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Use at Shop" sheetId="2" r:id="rId6"/>
    <sheet state="visible" name="Binders" sheetId="3" r:id="rId7"/>
    <sheet state="visible" name="Wishlist" sheetId="4" r:id="rId8"/>
    <sheet state="visible" name="Deck 1" sheetId="5" r:id="rId9"/>
    <sheet state="visible" name="Deck 2" sheetId="6" r:id="rId10"/>
    <sheet state="visible" name="Deck 3" sheetId="7" r:id="rId11"/>
    <sheet state="visible" name="Deck 4" sheetId="8" r:id="rId12"/>
    <sheet state="visible" name="Deck 5" sheetId="9" r:id="rId13"/>
    <sheet state="visible" name="Set Aliases" sheetId="10" r:id="rId14"/>
    <sheet state="hidden" name="Binder Setup" sheetId="11" r:id="rId15"/>
    <sheet state="hidden" name="Binder Data" sheetId="12" r:id="rId16"/>
    <sheet state="hidden" name="List Setup" sheetId="13" r:id="rId17"/>
  </sheets>
  <definedNames>
    <definedName hidden="1" localSheetId="3" name="_xlnm._FilterDatabase">Wishlist!$A$1:$O$1000</definedName>
    <definedName hidden="1" localSheetId="4" name="_xlnm._FilterDatabase">'Deck 1'!$A$1:$O$1000</definedName>
    <definedName hidden="1" localSheetId="5" name="_xlnm._FilterDatabase">'Deck 2'!$A$1:$O$1000</definedName>
    <definedName hidden="1" localSheetId="6" name="_xlnm._FilterDatabase">'Deck 3'!$A$1:$O$1000</definedName>
    <definedName hidden="1" localSheetId="7" name="_xlnm._FilterDatabase">'Deck 4'!$A$1:$O$1000</definedName>
    <definedName hidden="1" localSheetId="8" name="_xlnm._FilterDatabase">'Deck 5'!$A$1:$O$1000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tc={367fb1f1-fe7b-4f86-8cec-beedd84187b9}</author>
    <author>tc={5aa09262-6134-4a9e-ad4d-7341a24416ac}</author>
    <author>tc={8bcd1642-3ea9-4182-a8ce-8b94b95de54b}</author>
    <author>tc={a0029789-7a43-4a15-849e-17fdef41165c}</author>
    <author>tc={bf7aa33b-5d09-4196-b132-f904fff6e560}</author>
    <author>tc={f5a3d027-b454-4c2b-96e0-589384e97a0c}</author>
  </authors>
  <commentList>
    <comment authorId="0"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Surge Foil
</t>
      </text>
    </comment>
    <comment authorId="1" xr:uid="{367fb1f1-fe7b-4f86-8cec-beedd84187b9}"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Surge Foil
</t>
      </text>
    </comment>
    <comment authorId="2" xr:uid="{5aa09262-6134-4a9e-ad4d-7341a24416ac}"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Surge Foil
</t>
      </text>
    </comment>
    <comment authorId="3" xr:uid="{8bcd1642-3ea9-4182-a8ce-8b94b95de54b}"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Surge Foil
</t>
      </text>
    </comment>
    <comment authorId="4" xr:uid="{a0029789-7a43-4a15-849e-17fdef41165c}"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Surge Foil
</t>
      </text>
    </comment>
    <comment authorId="5" xr:uid="{bf7aa33b-5d09-4196-b132-f904fff6e560}"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Surge Foil
</t>
      </text>
    </comment>
    <comment authorId="6" xr:uid="{f5a3d027-b454-4c2b-96e0-589384e97a0c}"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Surge Foil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Surge Foil
</t>
      </text>
    </comment>
    <comment authorId="0" ref="M8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Surge Foil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L8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Surge Foil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L8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Surge Foil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L8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Surge Foil
</t>
      </text>
    </comment>
  </commentList>
</comments>
</file>

<file path=xl/sharedStrings.xml><?xml version="1.0" encoding="utf-8"?>
<sst xmlns="http://schemas.openxmlformats.org/spreadsheetml/2006/main" count="1029" uniqueCount="760">
  <si>
    <t>CARD FINDER</t>
  </si>
  <si>
    <t>Version 10 (October 2026)</t>
  </si>
  <si>
    <t>PURPOSE</t>
  </si>
  <si>
    <t>Find the cards you need in a game shop's binders without flipping through every one. Shops sort singles binders by set, and a card can be printed in a dozen sets. Card Finder looks up every set each card was printed in, matches them to the shop's binders, and tells you which binders to pull and which cards to look for in each.</t>
  </si>
  <si>
    <t>QUICK START</t>
  </si>
  <si>
    <t>1. Export a decklist from Moxfield, Archidekt or EDHREC as plain text (lines like "1 Sol Ring").</t>
  </si>
  <si>
    <t>2. Paste it into column C of a green list tab, starting at C2.</t>
  </si>
  <si>
    <t>3. Card Finder &gt; Fetch card data (this tab). Counts move to column B, names get corrected, and the row fills in from Scryfall: every set the card was printed in, the price in each set, colors and an image link.</t>
  </si>
  <si>
    <t>4. Mark what you already own in column A (see STATUS).</t>
  </si>
  <si>
    <t>5. Open Binder Plan or Shop. Binders are built automatically from your needed cards.</t>
  </si>
  <si>
    <t>STATUS (column A of each list tab)</t>
  </si>
  <si>
    <t>TRUE: You own it. Not needed.</t>
  </si>
  <si>
    <t>FALSE or blank: You still need it. It shows up on Binder Plan and Shop.</t>
  </si>
  <si>
    <t>ORDERED: Bought online and on the way. Not needed.</t>
  </si>
  <si>
    <t>PROXY: Playing a stand-in for now. Not needed. Switch back to FALSE to hunt for a real one.</t>
  </si>
  <si>
    <t>OUT OF DECK: Cut from the deck but kept for reference. Not needed.</t>
  </si>
  <si>
    <t>LISTS (decks and wishlists)</t>
  </si>
  <si>
    <t>Any tab with "In Collection?" in A1 is a list, read left to right in tab order. Up to 25 lists of 250 cards each.</t>
  </si>
  <si>
    <t>New deck: right-click a list tab &gt; Duplicate, rename it, clear the old cards, and paste the new list. Reload the sheet (or Card Finder &gt; Refresh lists) and it appears on Binder Plan.</t>
  </si>
  <si>
    <t>Renamed, moved or deleted a list tab? Reload or run Refresh lists. Search it? ticks stay with their list.</t>
  </si>
  <si>
    <t>target_binder (column F) shows the binder to check for each card right now, or its status. Sort or filter with the row 1 filter so whole rows move together.</t>
  </si>
  <si>
    <t>BINDERS (automatic)</t>
  </si>
  <si>
    <t>Every set your needed cards were printed in is treated as a binder, ranked by how many needed cards it could supply, so the biggest binders come first. The ranking updates when you fetch cards, open the sheet, change Set Aliases, or turn lists on or off. It doesn't reshuffle while you mark cards found.</t>
  </si>
  <si>
    <t>Set Aliases is optional. Use column B to group sets the shop keeps together (every Commander set -&gt; "Commander Box", The List -&gt; "Foundations"), or type (none) for sets your shops never carry so they're skipped everywhere. Card Finder &gt; Find sets without a binder lists your sets there, most common first.</t>
  </si>
  <si>
    <t>BINDER PLAN</t>
  </si>
  <si>
    <t>Shows binders that still have cards to find, in pull order, with the cards to look for, how many, and their value.</t>
  </si>
  <si>
    <t>Worth the pull?: Pull if the binder has at least the card count in D3 or the value in E3. Otherwise "Skip: buy elsewhere".</t>
  </si>
  <si>
    <t>Value uses the price of the printing in that binder's set, so it reflects what you'd actually pay there.</t>
  </si>
  <si>
    <t>Searched / No binder: tick it once you've checked a binder, or if the shop doesn't have it. It drops off and its cards move to their next binder.</t>
  </si>
  <si>
    <t>Bring back a binder (B4): ticked one by mistake? Pick it here and it returns. Reset all (G3) clears every tick for a new shop.</t>
  </si>
  <si>
    <t>Lists to search (right): turn whole lists on or off.</t>
  </si>
  <si>
    <t>SHOP (at the store)</t>
  </si>
  <si>
    <t>1. Open Shop. It shows the top binder from Binder Plan, or pick one from the dropdown in B3.</t>
  </si>
  <si>
    <t>2. Every needed card from every active list in that binder is listed, sorted the way binders usually are: White, Blue, Black, Red, Green, Multicolor, Colorless, Land, then by name.</t>
  </si>
  <si>
    <t>3. Tick Found? on each card you find. It's marked TRUE on its own list tab and drops off.</t>
  </si>
  <si>
    <t>4. Tick Done / not here when you've finished the binder or the shop doesn't have it. The next binder comes up.</t>
  </si>
  <si>
    <t>Show images (E4) turns on small card pictures. Off by default to keep the list compact.</t>
  </si>
  <si>
    <t>MENU (computer only)</t>
  </si>
  <si>
    <t>Fetch card data (this tab / all lists): fills new or changed rows from Scryfall. Filled rows are skipped, so reruns are quick.</t>
  </si>
  <si>
    <t>Refresh ALL rows on this tab: refetches everything, including current prices.</t>
  </si>
  <si>
    <t>Refresh lists: picks up added, renamed, moved or deleted list tabs. Also runs every time the sheet opens.</t>
  </si>
  <si>
    <t>Find sets without a binder: adds unmapped sets to Set Aliases.</t>
  </si>
  <si>
    <t>Reset Searched / No Binder (new shop): same as the Reset all checkbox.</t>
  </si>
  <si>
    <t>Re-rank binders: rebuilds the binder ranking by hand (it normally updates on its own).</t>
  </si>
  <si>
    <t>Repair: rebuild all list formulas: use if Binder Plan looks wrong after big changes to list tabs.</t>
  </si>
  <si>
    <t>PHONE AND TABLET</t>
  </si>
  <si>
    <t>The Google Sheets app (phone or tablet) does not show the Card Finder menu, and script buttons don't work there. Checkboxes and dropdowns do, so the Shop tab, Binder Plan and column A statuses all work in the app.</t>
  </si>
  <si>
    <t>Fetch, Find sets and Refresh lists need the menu: use a computer, or a tablet browser set to "Request desktop website".</t>
  </si>
  <si>
    <t>BEHIND THE SCENES (hidden tabs)</t>
  </si>
  <si>
    <t>Binder Data stacks every list and works out each card's binder, set, price and color. List Setup finds each list's columns by header and ranks the binders. Binder Setup is the automatic binder list and remembers which binders are ticked. All three are hidden and protected with a warning, because the script writes them.</t>
  </si>
  <si>
    <t>To see them: View &gt; Hidden sheets (on a computer), or click the list of sheets at the bottom left. To change them, accept the warning when you edit. If something breaks, Card Finder &gt; Repair: rebuild all list formulas rewrites them.</t>
  </si>
  <si>
    <t>GOOD TO KNOW</t>
  </si>
  <si>
    <t>Names Scryfall can't find turn red, with a note. Fix the spelling and fetch again.</t>
  </si>
  <si>
    <t>After importing a new copy, reload once on a computer so the script restores the checkboxes and rebuilds the list formulas.</t>
  </si>
  <si>
    <t>First run: Google will warn that the app isn't verified. That happens with any personal script that connects to the web. Click Advanced &gt; Go to (project name) &gt; Allow. The script only reads and writes this spreadsheet and looks cards up on Scryfall.</t>
  </si>
  <si>
    <t>The script checks this tab's version line on open and warns if the sheet and script versions don't match.</t>
  </si>
  <si>
    <t>Shop: one binder at a time</t>
  </si>
  <si>
    <t>Shows the top binder from Binder Plan, or pick one. Tick Found? for each card you find (it's marked TRUE on its list). Tick Done / not here when you've finished the binder or the shop doesn't have it, and the next one comes up.</t>
  </si>
  <si>
    <t>Pick a binder:</t>
  </si>
  <si>
    <t>Foundations</t>
  </si>
  <si>
    <t>Done / not here:</t>
  </si>
  <si>
    <t>Showing:</t>
  </si>
  <si>
    <t>Show images:</t>
  </si>
  <si>
    <t>Found?</t>
  </si>
  <si>
    <t>Card</t>
  </si>
  <si>
    <t>Color</t>
  </si>
  <si>
    <t>Set in this binder</t>
  </si>
  <si>
    <t>Price</t>
  </si>
  <si>
    <t>List</t>
  </si>
  <si>
    <t>Image</t>
  </si>
  <si>
    <t>key</t>
  </si>
  <si>
    <t>Card finder: binder pull plan</t>
  </si>
  <si>
    <t>Binders are built automatically from your needed cards, most cards first. Tick Searched / No binder when you've checked a binder or the shop doesn't have it: it drops off and its cards move to their next binder. Ticked one by mistake? Pick it in Bring back a binder (B4). Lists to search (right) chooses which lists count.</t>
  </si>
  <si>
    <t>Worth a binder pull if it holds at least this many cards (D3) or this much value (E3):</t>
  </si>
  <si>
    <t>Reset all:</t>
  </si>
  <si>
    <t>Bring back a binder:</t>
  </si>
  <si>
    <t>Pull #</t>
  </si>
  <si>
    <t>Binder / set</t>
  </si>
  <si>
    <t>Cards to look for here</t>
  </si>
  <si>
    <t>Cards left to find</t>
  </si>
  <si>
    <t>Value of cards left here</t>
  </si>
  <si>
    <t>Worth the pull?</t>
  </si>
  <si>
    <t>Searched / No binder</t>
  </si>
  <si>
    <t>Search it?</t>
  </si>
  <si>
    <t>Cards still needed</t>
  </si>
  <si>
    <t>Wishlist</t>
  </si>
  <si>
    <t>Deck 1</t>
  </si>
  <si>
    <t>Deck 2</t>
  </si>
  <si>
    <t>Deck 3</t>
  </si>
  <si>
    <t>Deck 4</t>
  </si>
  <si>
    <t>Deck 5</t>
  </si>
  <si>
    <t>Every tab with "In Collection?" in A1 is a list, in tab order, up to 25. Added, renamed or moved a list tab? Reload the sheet or run Card Finder &gt; Refresh lists. Ticks stay with their list.</t>
  </si>
  <si>
    <t>Summary</t>
  </si>
  <si>
    <t>Cards still needed (searched lists)</t>
  </si>
  <si>
    <t>Ordered or proxy (not needed)</t>
  </si>
  <si>
    <t>In collection</t>
  </si>
  <si>
    <t>Needed cards covered by "Pull" rows</t>
  </si>
  <si>
    <t>Binders to pull</t>
  </si>
  <si>
    <t>Needed but in no binder on this list</t>
  </si>
  <si>
    <t>Which ones:</t>
  </si>
  <si>
    <t>Notes</t>
  </si>
  <si>
    <t>How it fits together: the green tabs are your lists, filled from Scryfall by the Card Finder script. Every set your needed cards come in is a binder, ranked by how many cards it could supply. This tab shows the binders that still have cards to find. The Shop tab walks through them one at a time.</t>
  </si>
  <si>
    <t>Binder names can be a real set ("Foundations") or a group you make up ("Commander Box"). Map sets into a binder on Set Aliases.</t>
  </si>
  <si>
    <t>Ticked a binder by mistake? Pick it in Bring back a binder (B4). Reset all (G3) clears every tick for a new shop.</t>
  </si>
  <si>
    <t>Value uses the price of the printing in that binder's set when the list has set_prices; otherwise the cheapest printing.</t>
  </si>
  <si>
    <t>Same card on two lists: it shows up under both, tagged with the list name whenever more than one list is being searched.</t>
  </si>
  <si>
    <t>In Collection?</t>
  </si>
  <si>
    <t>count</t>
  </si>
  <si>
    <t>name</t>
  </si>
  <si>
    <t>type_line</t>
  </si>
  <si>
    <t>mana_cost</t>
  </si>
  <si>
    <t>target_binder</t>
  </si>
  <si>
    <t>set_name</t>
  </si>
  <si>
    <t>cmc</t>
  </si>
  <si>
    <t>rarity</t>
  </si>
  <si>
    <t>price_usd</t>
  </si>
  <si>
    <t>colors</t>
  </si>
  <si>
    <t>oracle_text</t>
  </si>
  <si>
    <t>scryfall_uri</t>
  </si>
  <si>
    <t>set_prices</t>
  </si>
  <si>
    <t>image_uri</t>
  </si>
  <si>
    <t>Anim Pakal, Thousandth Moon</t>
  </si>
  <si>
    <t>Legendary Creature — Human Soldier</t>
  </si>
  <si>
    <t>{1}{R}{W}</t>
  </si>
  <si>
    <t>The List
The Lost Caverns of Ixalan Promos
The Lost Caverns of Ixalan</t>
  </si>
  <si>
    <t>rare</t>
  </si>
  <si>
    <t>RW</t>
  </si>
  <si>
    <t>Whenever you attack with one or more non-Gnome creatures, put a +1/+1 counter on Anim Pakal, then create X 1/1 colorless Gnome artifact creature tokens that are tapped and attacking, where X is the number of +1/+1 counters on Anim Pakal.</t>
  </si>
  <si>
    <t>https://scryfall.com/card/lci/223/anim-pakal-thousandth-moon?utm_source=api</t>
  </si>
  <si>
    <t xml:space="preserve">
6.49
4.07</t>
  </si>
  <si>
    <t>https://cards.scryfall.io/small/front/8/6/868856b7-8875-43c1-8249-0f8fb2c8319b.jpg?1783913734</t>
  </si>
  <si>
    <t>Arabella, Abandoned Doll</t>
  </si>
  <si>
    <t>Legendary Artifact Creature — Toy</t>
  </si>
  <si>
    <t>{R}{W}</t>
  </si>
  <si>
    <t>The List
Duskmourn: House of Horror</t>
  </si>
  <si>
    <t>uncommon</t>
  </si>
  <si>
    <t>Whenever Arabella attacks, it deals X damage to each opponent and you gain X life, where X is the number of creatures you control with power 2 or less.</t>
  </si>
  <si>
    <t>https://scryfall.com/card/dsk/208/arabella-abandoned-doll?utm_source=api</t>
  </si>
  <si>
    <t>https://cards.scryfall.io/small/front/f/6/f683d5a1-b8bf-446f-9fe3-88a4398bf3cf.jpg?1783909446</t>
  </si>
  <si>
    <t>Battlefield Forge</t>
  </si>
  <si>
    <t>Land</t>
  </si>
  <si>
    <t>Reality Fracture Commander
Secrets of Strixhaven Commander
Edge of Eternities Commander
Final Fantasy Commander
Tarkir: Dragonstorm Commander
Bloomburrow Commander
Modern Horizons 3 Commander
Outlaws of Thunder Junction Commander
Tales of Middle-earth Commander
The Brothers' War Promos
The Brothers' War
Dominaria United Commander
Secret Lair Drop
Commander 2021
Commander 2020
Magic Origins
Magic 2015
Tenth Edition
Ninth Edition
Apocalypse</t>
  </si>
  <si>
    <t>{T}: Add {C}.
{T}: Add {R} or {W}. This land deals 1 damage to you.</t>
  </si>
  <si>
    <t>https://scryfall.com/card/frc/65/battlefield-forge?utm_source=api</t>
  </si>
  <si>
    <t>0.22
0.35
0.32
0.30
0.34
0.34
0.35
0.39
0.45
0.95
0.37
0.36
56.76
0.43
0.36
0.35
0.45
3.07
3.62
10.60</t>
  </si>
  <si>
    <t>https://cards.scryfall.io/small/front/e/f/ef7d3676-b1db-4329-9201-18f8a6c54ea6.jpg?1789599856</t>
  </si>
  <si>
    <t>Belladonna Took</t>
  </si>
  <si>
    <t>Legendary Creature — Halfling Citizen</t>
  </si>
  <si>
    <t>{1}{W}</t>
  </si>
  <si>
    <t>The Hobbit</t>
  </si>
  <si>
    <t>W</t>
  </si>
  <si>
    <t>Whenever a token you control enters, you gain 1 life if this is the first time this ability has resolved this turn. If it's the second time, draw a card. If it's the third time, put a +1/+1 counter on each creature you control.</t>
  </si>
  <si>
    <t>https://scryfall.com/card/hob/4/belladonna-took?utm_source=api</t>
  </si>
  <si>
    <t>https://cards.scryfall.io/small/front/8/8/88f0c189-c9ed-4ea3-ae62-3d8ac6c7fecf.jpg?1784894804</t>
  </si>
  <si>
    <t>Blasphemous Act</t>
  </si>
  <si>
    <t>Sorcery</t>
  </si>
  <si>
    <t>{8}{R}</t>
  </si>
  <si>
    <t>Foundations Commander
Marvel Super Heroes Commander
The List
Secrets of Strixhaven Commander
Teenage Mutant Ninja Turtles Eternal
Lorwyn Eclipsed Commander
Avatar: The Last Airbender Eternal
Secret Lair Drop
Edge of Eternities Commander
Tarkir: Dragonstorm Commander
Aetherdrift Commander
Duskmourn: House of Horror Commander
Bloomburrow Commander
Fallout
The Lost Caverns of Ixalan Commander
Doctor Who
Commander Masters
Tales of Middle-earth Commander
Starter Commander Decks
The Brothers' War Commander
Warhammer 40,000 Commander
Commander Legends: Battle for Baldur's Gate
New Capenna Commander
Crimson Vow Commander
Commander 2021
Commander Legends
Double Masters
Commander 2018
Commander Anthology Volume II
Commander 2016
Commander 2014
Innistrad</t>
  </si>
  <si>
    <t>R</t>
  </si>
  <si>
    <t>This spell costs {1} less to cast for each creature on the battlefield.
Blasphemous Act deals 13 damage to each creature.</t>
  </si>
  <si>
    <t>https://scryfall.com/card/msc/163/blasphemous-act?utm_source=api</t>
  </si>
  <si>
    <t>0.76
0.86
1.22
0.94
0.89
0.94
4.12
3.46
0.96
1.19
0.90
1.07
1.16
0.97
1.03
1.13
1.23
2.28
0.96
2.15
2.79
1.47
1.74
1.05
1.40
1.23
2.10
1.04
2.22
2.11
1.10
1.37</t>
  </si>
  <si>
    <t>https://cards.scryfall.io/small/front/7/d/7d4b1d44-126e-4987-9a9f-f0f9627a09cb.jpg?1783903234</t>
  </si>
  <si>
    <t>Bonehoard Dracosaur</t>
  </si>
  <si>
    <t>Creature — Dinosaur Dragon</t>
  </si>
  <si>
    <t>{3}{R}{R}</t>
  </si>
  <si>
    <t>The Lost Caverns of Ixalan Promos
The Lost Caverns of Ixalan</t>
  </si>
  <si>
    <t>mythic</t>
  </si>
  <si>
    <t>Flying, first strike
At the beginning of your upkeep, exile the top two cards of your library. You may play them this turn. If you exiled a land card this way, create a 3/1 red Dinosaur creature token. If you exiled a nonland card this way, create a Treasure token.</t>
  </si>
  <si>
    <t>https://scryfall.com/card/lci/134/bonehoard-dracosaur?utm_source=api</t>
  </si>
  <si>
    <t>20.04
14.99</t>
  </si>
  <si>
    <t>https://cards.scryfall.io/small/front/2/2/2220ed60-3f8f-4dd2-8319-6a06896a5350.jpg?1783913768</t>
  </si>
  <si>
    <t>Boros Signet</t>
  </si>
  <si>
    <t>Artifact</t>
  </si>
  <si>
    <t>{2}</t>
  </si>
  <si>
    <t>Tarkir: Dragonstorm Commander
Bloomburrow Commander
Ravnica: Clue Edition
Ravnica Remastered
Commander Masters
Phyrexia: All Will Be One Commander
Secret Lair Drop
Commander Legends
Commander 2020
GRN Guild Kit
Commander Anthology Volume II
Commander 2017
Commander Anthology
Modern Masters 2017
Commander 2015
Commander 2011
Planechase
Ravnica: City of Guilds</t>
  </si>
  <si>
    <t>{1}, {T}: Add {R}{W}.</t>
  </si>
  <si>
    <t>https://scryfall.com/card/tdc/314/boros-signet?utm_source=api</t>
  </si>
  <si>
    <t>0.66
0.62
0.63
1.55
1.70
1.93
15.79
0.56
2.14
0.67
0.65
0.62
0.90
0.58
0.54
0.76
1.11
1.84</t>
  </si>
  <si>
    <t>https://cards.scryfall.io/small/front/4/9/49c37c0e-d363-4033-a069-710241cd9923.jpg?1783907016</t>
  </si>
  <si>
    <t>Breya's Apprentice</t>
  </si>
  <si>
    <t>Artifact Creature — Human Artificer</t>
  </si>
  <si>
    <t>{2}{R}</t>
  </si>
  <si>
    <t>Modern Horizons 2
Modern Horizons 2 Promos</t>
  </si>
  <si>
    <t>When this creature enters, create a 1/1 colorless Thopter artifact creature token with flying.
{T}, Sacrifice an artifact: Choose one —
• Exile the top card of your library. Until the end of your next turn, you may play that card.
• Target creature gets +2/+0 until end of turn.</t>
  </si>
  <si>
    <t>https://scryfall.com/card/mh2/117/breyas-apprentice?utm_source=api</t>
  </si>
  <si>
    <t>0.36
1.00</t>
  </si>
  <si>
    <t>https://cards.scryfall.io/small/front/c/3/c32b5b2e-dabf-4672-b476-4873781f636e.jpg?1783926848</t>
  </si>
  <si>
    <t>Castle Embereth</t>
  </si>
  <si>
    <t>The List
Tarkir: Dragonstorm Commander
Phyrexia: All Will Be One Commander
Commander Legends: Battle for Baldur's Gate
New Capenna Commander
Throne of Eldraine Promos
Throne of Eldraine</t>
  </si>
  <si>
    <t>This land enters tapped unless you control a Mountain.
{T}: Add {R}.
{1}{R}{R}, {T}: Creatures you control get +1/+0 until end of turn.</t>
  </si>
  <si>
    <t>https://scryfall.com/card/tdc/347/castle-embereth?utm_source=api</t>
  </si>
  <si>
    <t>0.36
0.61
0.51
0.42
0.40
0.56
0.39</t>
  </si>
  <si>
    <t>https://cards.scryfall.io/small/front/3/3/337f2d97-b317-4c10-b151-7acccf38fca8.jpg?1783906997</t>
  </si>
  <si>
    <t>Chandra, Fire Artisan</t>
  </si>
  <si>
    <t>Legendary Planeswalker — Chandra</t>
  </si>
  <si>
    <t>{2}{R}{R}</t>
  </si>
  <si>
    <t>Secret Lair Drop
War of the Spark Promos
War of the Spark</t>
  </si>
  <si>
    <t>Whenever one or more loyalty counters are removed from Chandra, she deals that much damage to target opponent or planeswalker.
+1: Exile the top card of your library. You may play it this turn.
−7: Exile the top seven cards of your library. You may play them this turn.</t>
  </si>
  <si>
    <t>https://scryfall.com/card/war/119/chandra-fire-artisan?utm_source=api</t>
  </si>
  <si>
    <t>2.30
0.73
0.34</t>
  </si>
  <si>
    <t>https://cards.scryfall.io/small/front/d/2/d21a7b23-8827-49f2-ade4-75a602d17743.jpg?1783933433</t>
  </si>
  <si>
    <t>Chandra, Torch of Defiance</t>
  </si>
  <si>
    <t>Reality Fracture Promos
Reality Fracture
Commander Masters
Pioneer Challenger Decks 2021
Signature Spellbook: Chandra
San Diego Comic-Con 2018
San Diego Comic-Con 2017
Kaladesh Promos
Kaladesh</t>
  </si>
  <si>
    <t>+1: Exile the top card of your library. You may cast that card. If you don't, Chandra deals 2 damage to each opponent.
+1: Add {R}{R}.
−3: Chandra deals 4 damage to target creature.
−7: You get an emblem with "Whenever you cast a spell, this emblem deals 5 damage to any target."</t>
  </si>
  <si>
    <t>https://scryfall.com/card/fra/244/chandra-torch-of-defiance?utm_source=api</t>
  </si>
  <si>
    <t xml:space="preserve">
2.06
3.31
3.32
2.96
63.25
32.08
27.27
3.55</t>
  </si>
  <si>
    <t>https://cards.scryfall.io/small/front/4/0/40cb22c8-cb03-45c9-bb0e-b8cabdcc43cd.jpg?1788329325</t>
  </si>
  <si>
    <t>Chief of the Foundry</t>
  </si>
  <si>
    <t>Artifact Creature — Construct</t>
  </si>
  <si>
    <t>{3}</t>
  </si>
  <si>
    <t>Foundations Commander
Foundations Jumpstart
The Brothers' War Commander
Double Masters
Commander 2018
Kaladesh Promos
Kaladesh
Magic Origins</t>
  </si>
  <si>
    <t>Other artifact creatures you control get +1/+1.</t>
  </si>
  <si>
    <t>https://scryfall.com/card/2xm/238/chief-of-the-foundry?utm_source=api</t>
  </si>
  <si>
    <t>0.28
0.33
0.36
0.20
0.25
0.47
0.23
0.26</t>
  </si>
  <si>
    <t>https://cards.scryfall.io/small/front/b/f/bf306f7f-b231-4343-807c-083df8b90c87.jpg?1783930118</t>
  </si>
  <si>
    <t>Clifftop Retreat</t>
  </si>
  <si>
    <t>Reality Fracture Commander
Marvel Super Heroes Commander
Secrets of Strixhaven Commander
Edge of Eternities Commander
Final Fantasy Commander
Tarkir: Dragonstorm Commander
Bloomburrow Commander
Outlaws of Thunder Junction Commander
Fallout
The List
The Lost Caverns of Ixalan Commander
Tales of Middle-earth Commander
Dominaria Remastered
Dominaria Promos
Dominaria
Innistrad</t>
  </si>
  <si>
    <t>This land enters tapped unless you control a Mountain or a Plains.
{T}: Add {R} or {W}.</t>
  </si>
  <si>
    <t>https://scryfall.com/card/frc/67/clifftop-retreat?utm_source=api</t>
  </si>
  <si>
    <t>0.19
0.29
0.31
0.31
0.37
0.32
0.32
1.39
0.36
0.76
0.34
0.39
0.43
2.69
0.51
0.77</t>
  </si>
  <si>
    <t>https://cards.scryfall.io/small/front/c/d/cd112d5c-102f-45a6-b26c-f80cc97d4df2.jpg?1789599889</t>
  </si>
  <si>
    <t>Command Beacon</t>
  </si>
  <si>
    <t>The List
Final Fantasy: Through the Ages
Tarkir: Dragonstorm Commander
Outlaws of Thunder Junction Commander
Secret Lair Drop
Commander Legends Promos
Commander Legends
Judge Gift Cards 2016
Commander 2015</t>
  </si>
  <si>
    <t>{T}: Add {C}.
{T}, Sacrifice this land: Put your commander into your hand from the command zone.</t>
  </si>
  <si>
    <t>https://scryfall.com/card/tdc/352/command-beacon?utm_source=api</t>
  </si>
  <si>
    <t>10.61
8.81
9.77
9.89
14.42
9.47
8.88
25.06
9.46</t>
  </si>
  <si>
    <t>https://cards.scryfall.io/small/front/4/3/435e9678-9ff3-4e5d-8061-3f806e1c2ed2.jpg?1783906993</t>
  </si>
  <si>
    <t>Command Tower</t>
  </si>
  <si>
    <t>Reality Fracture Commander
The List
Secret Lair Drop
The Zeta Set
Marvel Super Heroes Commander
Media and Collaboration Promos
Secrets of Strixhaven Commander
Teenage Mutant Ninja Turtles Eternal
Lorwyn Eclipsed Commander
Wizards Play Network 2025
Edge of Eternities Commander
Final Fantasy Commander
Tarkir: Dragonstorm Commander
Aetherdrift Commander
Foundations Commander
Duskmourn: House of Horror Commander
Mystery Booster 2
Bloomburrow Commander
Modern Horizons 3 Commander
Outlaws of Thunder Junction Commander
Fallout
Murders at Karlov Manor Commander
Jurassic World Collection
The Lost Caverns of Ixalan Commander
Doctor Who
Wilds of Eldraine Commander
Commander Masters
Tales of Middle-earth Commander
March of the Machine Commander
Phyrexia: All Will Be One Commander
Starter Commander Decks
The Brothers' War Commander
Warhammer 40,000 Commander
Dominaria United Commander
Commander Legends: Battle for Baldur's Gate
New Capenna Commander
Neon Dynasty Commander
Commander Collection: Black
Crimson Vow Commander
Midnight Hunt Commander
Forgotten Realms Commander
Commander 2021
Kaldheim Commander
Commander Collection: Green
Commander Legends
Zendikar Rising Commander
Commander 2020
Throne of Eldraine
Commander 2019
Commander 2018
Commander Anthology Volume II
Commander 2017
Commander Anthology
Commander 2016
Commander 2015
Commander 2013
Commander's Arsenal
Judge Gift Cards 2012
Commander 2011</t>
  </si>
  <si>
    <t>common</t>
  </si>
  <si>
    <t>{T}: Add one mana of any color in your commander's color identity.</t>
  </si>
  <si>
    <t>https://scryfall.com/card/frc/22/command-tower?utm_source=api</t>
  </si>
  <si>
    <t>0.26
0.36
1.22
0.28
33.35
0.24
0.27
0.29
10.75
0.45
0.29
0.18
0.27
0.42
0.40
164.75
0.30
0.37
0.34
0.37
0.41
4.36
0.24
0.32
0.36
0.70
0.31
0.40
0.38
0.25
2.46
0.46
0.40
0.34
0.36
0.33
2.75
0.38
0.32
0.59
0.43
0.35
4.09
0.30
0.33
0.38
0.42
0.65
0.36
0.42
0.35
0.36
0.30
0.28
0.37
29.79
48.89
1.02</t>
  </si>
  <si>
    <t>https://cards.scryfall.io/small/front/1/a/1ac6cb62-45da-4e9a-84c6-09e6eacf0664.jpg?1789644465</t>
  </si>
  <si>
    <t>Cori Mountain Monastery</t>
  </si>
  <si>
    <t>Tarkir: Dragonstorm Promos
Tarkir: Dragonstorm</t>
  </si>
  <si>
    <t>This land enters tapped unless you control a Plains or an Island.
{T}: Add {R}.
{3}{R}, {T}: Exile the top card of your library. Until the end of your next turn, you may play that card.</t>
  </si>
  <si>
    <t>https://scryfall.com/card/tdm/252/cori-mountain-monastery?utm_source=api</t>
  </si>
  <si>
    <t>0.50
1.16</t>
  </si>
  <si>
    <t>https://cards.scryfall.io/small/front/9/3/9312821a-2059-4f44-9b20-c9522b827e38.jpg?1783907281</t>
  </si>
  <si>
    <t>Count on Luck</t>
  </si>
  <si>
    <t>Enchantment</t>
  </si>
  <si>
    <t>{R}{R}{R}</t>
  </si>
  <si>
    <t>Foundations Commander
Aetherdrift Promos
Aetherdrift</t>
  </si>
  <si>
    <t>At the beginning of your upkeep, exile the top card of your library. You may play that card this turn.</t>
  </si>
  <si>
    <t>https://scryfall.com/card/dft/118/count-on-luck?utm_source=api</t>
  </si>
  <si>
    <t>0.32
0.90
0.41</t>
  </si>
  <si>
    <t>https://cards.scryfall.io/small/front/8/f/8f31beae-9b8f-4c32-af84-9f3ee767ba1d.jpg?1783907886</t>
  </si>
  <si>
    <t>Dark-Dweller Oracle</t>
  </si>
  <si>
    <t>Creature — Goblin Shaman</t>
  </si>
  <si>
    <t>{1}{R}</t>
  </si>
  <si>
    <t>The List
Double Masters 2022
Forgotten Realms Commander
Core Set 2019 Promos
Core Set 2019</t>
  </si>
  <si>
    <t>{1}, Sacrifice a creature: Exile the top card of your library. You may play that card this turn. (You still pay its costs. You can play a land this way only if you have an available land play remaining.)</t>
  </si>
  <si>
    <t>https://scryfall.com/card/2x2/106/dark-dweller-oracle?utm_source=api</t>
  </si>
  <si>
    <t>0.22
0.32
0.23
2.86
0.34</t>
  </si>
  <si>
    <t>https://cards.scryfall.io/small/front/b/d/bd35664f-b99d-46b6-988e-8f2814b0a854.jpg?1783921890</t>
  </si>
  <si>
    <t>Demolition Field</t>
  </si>
  <si>
    <t>Final Fantasy Commander
Foundations
Modern Horizons 3 Commander
Outlaws of Thunder Junction Commander
The Brothers' War</t>
  </si>
  <si>
    <t>{T}: Add {C}.
{2}, {T}, Sacrifice this land: Destroy target nonbasic land an opponent controls. That land's controller may search their library for a basic land card, put it onto the battlefield, then shuffle. You may search your library for a basic land card, put it onto the battlefield, then shuffle.</t>
  </si>
  <si>
    <t>https://scryfall.com/card/fdn/687/demolition-field?utm_source=api</t>
  </si>
  <si>
    <t>0.24
0.32
0.38
0.74
0.41</t>
  </si>
  <si>
    <t>https://cards.scryfall.io/small/front/0/c/0c7e51b6-4898-4632-b39c-3ce438caa882.jpg?1783908902</t>
  </si>
  <si>
    <t>Dollmaker's Shop // Porcelain Gallery</t>
  </si>
  <si>
    <t>Enchantment — Room // Enchantment — Room</t>
  </si>
  <si>
    <t>{1}{W} // {4}{W}{W}</t>
  </si>
  <si>
    <t>Duskmourn: House of Horror Promos
Duskmourn: House of Horror</t>
  </si>
  <si>
    <t>Whenever one or more non-Toy creatures you control attack a player, create a 1/1 white Toy artifact creature token.
(You may cast either half. That door unlocks on the battlefield. As a sorcery, you may pay the mana cost of a locked door to unlock it.) // Creatures you control have base power and toughness each equal to the number of creatures you control.
(You may cast either half. That door unlocks on the battlefield. As a sorcery, you may pay the mana cost of a locked door to unlock it.)</t>
  </si>
  <si>
    <t>https://scryfall.com/card/dsk/4/dollmakers-shop-porcelain-gallery?utm_source=api</t>
  </si>
  <si>
    <t>4.86
5.99</t>
  </si>
  <si>
    <t>https://cards.scryfall.io/small/front/c/5/c5ee6651-9946-4bae-b21e-6cf28fa77b13.jpg?1783909512</t>
  </si>
  <si>
    <t>Exotic Orchard</t>
  </si>
  <si>
    <t>Mystery Booster Commander Edition
Reality Fracture Commander
The List
Marvel Super Heroes Commander
Secrets of Strixhaven Commander
Teenage Mutant Ninja Turtles Eternal
Lorwyn Eclipsed Commander
Edge of Eternities Commander
Final Fantasy Commander
Tarkir: Dragonstorm Commander
Aetherdrift Commander
Duskmourn: House of Horror Commander
Bloomburrow Commander
Modern Horizons 3 Commander
Outlaws of Thunder Junction Commander
Fallout
Murders at Karlov Manor Commander
The Lost Caverns of Ixalan Commander
Doctor Who
Wilds of Eldraine Commander
Commander Masters
Tales of Middle-earth Commander
March of the Machine Commander
Secret Lair Drop
Phyrexia: All Will Be One Commander
The Brothers' War Commander
Warhammer 40,000 Commander
Dominaria United Commander
Commander Legends: Battle for Baldur's Gate
New Capenna Commander
Neon Dynasty Commander
Crimson Vow Commander
Midnight Hunt Commander
Forgotten Realms Commander
Commander 2021
Commander 2020
Commander 2019
Commander Anthology Volume II
Commander 2017
Planechase Anthology
Commander 2016
Conspiracy: Take the Crown
Planechase 2012
Conflux</t>
  </si>
  <si>
    <t>{T}: Add one mana of any color that a land an opponent controls could produce.</t>
  </si>
  <si>
    <t>https://scryfall.com/card/mbc/79/exotic-orchard?utm_source=api</t>
  </si>
  <si>
    <t xml:space="preserve">
0.21
0.28
0.35
0.34
0.27
0.35
0.23
0.27
0.35
0.38
0.32
0.35
0.32
0.30
0.37
0.34
0.30
0.34
0.28
0.32
0.39
0.35
38.97
0.34
0.57
0.39
0.28
0.33
0.44
0.56
0.30
0.38
0.36
0.30
0.33
0.31
0.50
0.32
0.33
0.26
0.27
1.09
3.25</t>
  </si>
  <si>
    <t>https://cards.scryfall.io/small/front/d/1/d11c5fe0-1528-4c94-a8cc-42bcab9d7487.jpg?1787743263</t>
  </si>
  <si>
    <t>Fountainport</t>
  </si>
  <si>
    <t>Secret Lair Drop
The List
Bloomburrow Promos
Bloomburrow</t>
  </si>
  <si>
    <t>{T}: Add {C}.
{2}, {T}, Sacrifice a token: Draw a card.
{3}, {T}, Pay 1 life: Create a 1/1 blue Fish creature token.
{4}, {T}: Create a Treasure token.</t>
  </si>
  <si>
    <t>https://scryfall.com/card/blb/253/fountainport?utm_source=api</t>
  </si>
  <si>
    <t>4.83
3.45
4.38
2.81</t>
  </si>
  <si>
    <t>https://cards.scryfall.io/small/front/6/5/658cfcb7-81b7-48c6-9dd2-1663d06108cf.jpg?1783910785</t>
  </si>
  <si>
    <t>Furycalm Snarl</t>
  </si>
  <si>
    <t>Marvel Super Heroes Commander
Secrets of Strixhaven Commander
Final Fantasy Commander
Modern Horizons 3 Commander
Murders at Karlov Manor Commander
The Lost Caverns of Ixalan Commander
Doctor Who
Commander Masters
Tales of Middle-earth Commander
March of the Machine Commander
Phyrexia: All Will Be One Commander
Strixhaven: School of Mages Promos
Strixhaven: School of Mages</t>
  </si>
  <si>
    <t>As this land enters, you may reveal a Mountain or Plains card from your hand. If you don't, this land enters tapped.
{T}: Add {R} or {W}.</t>
  </si>
  <si>
    <t>https://scryfall.com/card/msc/247/furycalm-snarl?utm_source=api</t>
  </si>
  <si>
    <t>0.23
0.30
0.25
0.33
0.30
0.27
0.33
0.34
0.34
0.29
0.34
1.14
0.35</t>
  </si>
  <si>
    <t>https://cards.scryfall.io/small/front/a/f/afc12892-4978-4442-ace5-c4dea5c0ee00.jpg?1783903200</t>
  </si>
  <si>
    <t>Hedron Detonator</t>
  </si>
  <si>
    <t>Creature — Goblin Artificer</t>
  </si>
  <si>
    <t>March of the Machine Commander</t>
  </si>
  <si>
    <t>Whenever an artifact you control enters, this creature deals 1 damage to target opponent.
{T}, Sacrifice two artifacts: Exile the top card of your library. You may play that card this turn.</t>
  </si>
  <si>
    <t>https://scryfall.com/card/moc/31/hedron-detonator?utm_source=api</t>
  </si>
  <si>
    <t>https://cards.scryfall.io/small/front/7/f/7f1ccee1-20d1-48f2-ae90-a7a78172e05d.jpg?1783917283</t>
  </si>
  <si>
    <t>Hex Magic</t>
  </si>
  <si>
    <t>Sorcery — Arcane</t>
  </si>
  <si>
    <t>Secret Lair Drop
Marvel Super Heroes</t>
  </si>
  <si>
    <t>Exile all the cards from your hand, then draw that many cards. Until the end of your next turn, you may play cards exiled this way.</t>
  </si>
  <si>
    <t>https://scryfall.com/card/msh/133/hex-magic?utm_source=api</t>
  </si>
  <si>
    <t>15.77
0.68</t>
  </si>
  <si>
    <t>https://cards.scryfall.io/small/front/2/5/259bed47-1950-43ae-8efd-3009537529a8.jpg?1783902932</t>
  </si>
  <si>
    <t>Improvisation Capstone</t>
  </si>
  <si>
    <t>Sorcery — Lesson</t>
  </si>
  <si>
    <t>{5}{R}{R}</t>
  </si>
  <si>
    <t>Secrets of Strixhaven Promos
Secrets of Strixhaven</t>
  </si>
  <si>
    <t>Exile cards from the top of your library until you exile cards with total mana value 4 or greater. You may cast any number of spells from among them without paying their mana costs.
Paradigm (Then exile this spell. After you first resolve a spell with this name, you may cast a copy of it from exile without paying its mana cost at the beginning of each of your first main phases.)</t>
  </si>
  <si>
    <t>https://scryfall.com/card/sos/120/improvisation-capstone?utm_source=api</t>
  </si>
  <si>
    <t>10.60
9.83</t>
  </si>
  <si>
    <t>https://cards.scryfall.io/small/front/d/0/d01fe6e9-49ee-4708-833e-75cd5a9f167c.jpg?1783903667</t>
  </si>
  <si>
    <t>Ingenious Artillerist</t>
  </si>
  <si>
    <t>Creature — Human Artificer</t>
  </si>
  <si>
    <t>Commander Legends: Battle for Baldur's Gate</t>
  </si>
  <si>
    <t>Whenever one or more artifacts you control enter, this creature deals that much damage to each opponent.</t>
  </si>
  <si>
    <t>https://scryfall.com/card/clb/182/ingenious-artillerist?utm_source=api</t>
  </si>
  <si>
    <t>https://cards.scryfall.io/small/front/1/d/1d8dd6c3-3699-4dd1-a019-fdb569eaf722.jpg?1783922736</t>
  </si>
  <si>
    <t>Interdimensional Web Watch</t>
  </si>
  <si>
    <t>{4}</t>
  </si>
  <si>
    <t>Marvel's Spider-Man Promos
Marvel's Spider-Man</t>
  </si>
  <si>
    <t>When this artifact enters, exile the top two cards of your library. Until the end of your next turn, you may play those cards.
{T}: Add two mana in any combination of colors. Spend this mana only to cast spells from exile.</t>
  </si>
  <si>
    <t>https://scryfall.com/card/spm/165/interdimensional-web-watch?utm_source=api</t>
  </si>
  <si>
    <t>1.35
0.35</t>
  </si>
  <si>
    <t>https://cards.scryfall.io/small/front/8/7/87a8e112-e72f-413f-88a3-e7ce72c2ec53.jpg?1783905305</t>
  </si>
  <si>
    <t>Invasion of Kaldheim // Pyre of the World Tree</t>
  </si>
  <si>
    <t>Battle — Siege // Enchantment</t>
  </si>
  <si>
    <t>{3}{R}</t>
  </si>
  <si>
    <t>March of the Machine Promos
March of the Machine</t>
  </si>
  <si>
    <t>(As a Siege enters, choose an opponent to protect it. You and others can attack it. When it's defeated, exile it, then cast it transformed.)
When this Siege enters, exile all cards from your hand, then draw that many cards. Until the end of your next turn, you may play cards exiled this way. // Discard a land card: This enchantment deals 2 damage to any target.
Whenever you discard a land card, exile the top card of your library. You may play that card this turn.</t>
  </si>
  <si>
    <t>https://scryfall.com/card/mom/145/invasion-of-kaldheim-pyre-of-the-world-tree?utm_source=api</t>
  </si>
  <si>
    <t>1.68
0.39</t>
  </si>
  <si>
    <t>https://cards.scryfall.io/small/front/f/7/f7cedd62-efc8-464d-8387-220bb55e07e9.jpg?1783916996</t>
  </si>
  <si>
    <t>Jor Kadeen, the Prevailer</t>
  </si>
  <si>
    <t>Legendary Creature — Human Warrior</t>
  </si>
  <si>
    <t>{3}{R}{W}</t>
  </si>
  <si>
    <t>Phyrexia: All Will Be One Commander
Commander 2021
Commander 2016
New Phyrexia</t>
  </si>
  <si>
    <t>First strike
Metalcraft — Creatures you control get +3/+0 as long as you control three or more artifacts.</t>
  </si>
  <si>
    <t>https://scryfall.com/card/c21/220/jor-kadeen-the-prevailer?utm_source=api</t>
  </si>
  <si>
    <t>0.36
0.33
0.31
0.20</t>
  </si>
  <si>
    <t>https://cards.scryfall.io/small/front/5/7/576d86b5-2541-4ebc-8992-73248af7c805.jpg?1783927522</t>
  </si>
  <si>
    <t>Laelia, the Blade Reforged</t>
  </si>
  <si>
    <t>Legendary Creature — Spirit Warrior</t>
  </si>
  <si>
    <t>Secrets of Strixhaven Commander
Modern Horizons 3
Commander Legends: Battle for Baldur's Gate
Commander 2021</t>
  </si>
  <si>
    <t>Haste
Whenever Laelia attacks, exile the top card of your library. You may play that card this turn.
Whenever one or more cards are put into exile from your library and/or your graveyard, put a +1/+1 counter on Laelia.</t>
  </si>
  <si>
    <t>https://scryfall.com/card/soc/246/laelia-the-blade-reforged?utm_source=api</t>
  </si>
  <si>
    <t>0.28
0.32
0.44
0.68</t>
  </si>
  <si>
    <t>https://cards.scryfall.io/small/front/2/c/2cb16354-1211-4230-90e2-4858ba68f348.jpg?1783903774</t>
  </si>
  <si>
    <t>Long-Range Sensor</t>
  </si>
  <si>
    <t>Edge of Eternities Commander</t>
  </si>
  <si>
    <t>Whenever you attack a player, put a charge counter on this artifact.
{1}, Remove two charge counters from this artifact: Discover 4. Activate only as a sorcery. (Exile cards from the top of your library until you exile a nonland card with mana value 4 or less. Cast it without paying its mana cost or put it into your hand. Put the rest on the bottom in a random order.)</t>
  </si>
  <si>
    <t>https://scryfall.com/card/eoc/11/long-range-sensor?utm_source=api</t>
  </si>
  <si>
    <t>https://cards.scryfall.io/small/front/7/b/7bc56147-9920-401d-8e4e-93d497e8b67a.jpg?1783906066</t>
  </si>
  <si>
    <t>Losheel, Clockwork Scholar</t>
  </si>
  <si>
    <t>Legendary Creature — Elephant Artificer</t>
  </si>
  <si>
    <t>{2}{W}</t>
  </si>
  <si>
    <t>Commander Masters
The Brothers' War Commander
Commander 2021</t>
  </si>
  <si>
    <t>Prevent all combat damage that would be dealt to attacking artifact creatures you control.
Whenever one or more artifact creatures you control enter, draw a card. This ability triggers only once each turn.</t>
  </si>
  <si>
    <t>https://scryfall.com/card/cmm/38/losheel-clockwork-scholar?utm_source=api</t>
  </si>
  <si>
    <t>2.81
2.56
2.80</t>
  </si>
  <si>
    <t>https://cards.scryfall.io/small/front/e/e/ee6b54de-8e79-4f60-b642-3d259bf74ea0.jpg?1783915719</t>
  </si>
  <si>
    <t>Loyal Apprentice</t>
  </si>
  <si>
    <t>The List
Tarkir: Dragonstorm Commander
Aetherdrift Commander
Fallout
Commander Masters
Phyrexia: All Will Be One Commander
Forgotten Realms Commander
Commander 2018</t>
  </si>
  <si>
    <t>Haste
Lieutenant — At the beginning of combat on your turn, if you control your commander, create a 1/1 colorless Thopter artifact creature token with flying. That token gains haste until end of turn.</t>
  </si>
  <si>
    <t>https://scryfall.com/card/tdc/222/loyal-apprentice?utm_source=api</t>
  </si>
  <si>
    <t>0.37
0.34
0.24
0.30
0.40
0.39
0.39
0.26</t>
  </si>
  <si>
    <t>https://cards.scryfall.io/small/front/d/4/d4d469ea-824b-4eff-82e8-2a0b9b4c0e2d.jpg?1783907066</t>
  </si>
  <si>
    <t>Master Trinketeer</t>
  </si>
  <si>
    <t>Creature — Dwarf Artificer</t>
  </si>
  <si>
    <t>Kaladesh Promos
Kaladesh</t>
  </si>
  <si>
    <t>Servos and Thopters you control get +1/+1.
{3}{W}: Create a 1/1 colorless Servo artifact creature token.</t>
  </si>
  <si>
    <t>https://scryfall.com/card/kld/21/master-trinketeer?utm_source=api</t>
  </si>
  <si>
    <t>1.32
0.24</t>
  </si>
  <si>
    <t>https://cards.scryfall.io/small/front/c/d/cdb6beb3-1669-4e7b-9c76-65424673eb36.jpg?1783937230</t>
  </si>
  <si>
    <t>Molten Gatekeeper</t>
  </si>
  <si>
    <t>Artifact Creature — Golem</t>
  </si>
  <si>
    <t>Modern Horizons 3</t>
  </si>
  <si>
    <t>Whenever another creature you control enters, this creature deals 1 damage to each opponent.
Unearth {R} ({R}: Return this card from your graveyard to the battlefield. It gains haste. Exile it at the beginning of the next end step or if it would leave the battlefield. Unearth only as a sorcery.)</t>
  </si>
  <si>
    <t>https://scryfall.com/card/mh3/128/molten-gatekeeper?utm_source=api</t>
  </si>
  <si>
    <t>https://cards.scryfall.io/small/front/9/f/9f5ba065-2806-4e99-a330-168cfe76250f.jpg?1783911269</t>
  </si>
  <si>
    <t>Mountain</t>
  </si>
  <si>
    <t>Basic Land — Mountain</t>
  </si>
  <si>
    <t>({T}: Add {R}.)</t>
  </si>
  <si>
    <t>https://scryfall.com/card/mdd/298/mountain?utm_source=api</t>
  </si>
  <si>
    <t>n/a</t>
  </si>
  <si>
    <t>https://cards.scryfall.io/small/front/8/5/85177bd7-6c50-48da-b692-ae5fe7bd357c.jpg?1791578439</t>
  </si>
  <si>
    <t>Neyali, Suns' Vanguard</t>
  </si>
  <si>
    <t>Legendary Creature — Human Rebel</t>
  </si>
  <si>
    <t>{2}{R}{W}</t>
  </si>
  <si>
    <t>Phyrexia: All Will Be One Commander</t>
  </si>
  <si>
    <t>Attacking tokens you control have double strike.
Whenever one or more tokens you control attack a player, exile the top card of your library. During any turn you attacked with a token, you may play that card.</t>
  </si>
  <si>
    <t>https://scryfall.com/card/onc/2/neyali-suns-vanguard?utm_source=api</t>
  </si>
  <si>
    <t>https://cards.scryfall.io/small/front/2/b/2b5df03d-2463-468b-b444-d946eeb1c96d.jpg?1783918164</t>
  </si>
  <si>
    <t>Ornithopter of Paradise</t>
  </si>
  <si>
    <t>Artifact Creature — Thopter</t>
  </si>
  <si>
    <t>Foundations Commander
Aetherdrift Commander
Foundations Jumpstart
The List
Bloomburrow Commander
Commander Masters
Modern Horizons 2</t>
  </si>
  <si>
    <t>Flying
{T}: Add one mana of any color.</t>
  </si>
  <si>
    <t>https://scryfall.com/card/cmm/966/ornithopter-of-paradise?utm_source=api</t>
  </si>
  <si>
    <t>0.34
0.43
0.51
0.45
1.76
2.16
0.49</t>
  </si>
  <si>
    <t>https://cards.scryfall.io/small/front/1/8/18bbdc6c-b6c9-4f89-8f0a-6266e53c1fb9.jpg?1783915400</t>
  </si>
  <si>
    <t>Party Thrasher</t>
  </si>
  <si>
    <t>Creature — Lizard Wizard</t>
  </si>
  <si>
    <t>Modern Horizons 3 Promos
Modern Horizons 3</t>
  </si>
  <si>
    <t>Noncreature spells you cast from exile have convoke. (Each creature you tap while casting a noncreature spell from exile pays for {1} or one mana of that creature's color.)
At the beginning of your first main phase, you may discard a card. If you do, exile the top two cards of your library, then choose one of them. You may play that card this turn.</t>
  </si>
  <si>
    <t>https://scryfall.com/card/mh3/129/party-thrasher?utm_source=api</t>
  </si>
  <si>
    <t>1.72
0.59</t>
  </si>
  <si>
    <t>https://cards.scryfall.io/small/front/b/7/b7f8bb8d-c46a-4531-9525-6981a222b468.jpg?1783911269</t>
  </si>
  <si>
    <t>Patchwork Banner</t>
  </si>
  <si>
    <t>Foundations Commander
Marvel Super Heroes Commander
Secrets of Strixhaven Commander
Secret Lair Drop
Media and Collaboration Promos
Bloomburrow</t>
  </si>
  <si>
    <t>As this artifact enters, choose a creature type.
Creatures you control of the chosen type get +1/+1.
{T}: Add one mana of any color.</t>
  </si>
  <si>
    <t>https://scryfall.com/card/msc/207/patchwork-banner?utm_source=api</t>
  </si>
  <si>
    <t>1.53
2.69
3.49
8.58
4.17
3.17</t>
  </si>
  <si>
    <t>https://cards.scryfall.io/small/front/5/3/537ea7e7-e8e8-4736-bdd9-1085f1a7c259.jpg?1783903215</t>
  </si>
  <si>
    <t>Pia Nalaar</t>
  </si>
  <si>
    <t>Legendary Creature — Human Artificer</t>
  </si>
  <si>
    <t>Commander 2021
Kaladesh Promos
Kaladesh</t>
  </si>
  <si>
    <t>When Pia Nalaar enters, create a 1/1 colorless Thopter artifact creature token with flying.
{1}{R}: Target artifact creature gets +1/+0 until end of turn.
{1}, Sacrifice an artifact: Target creature can't block this turn.</t>
  </si>
  <si>
    <t>https://scryfall.com/card/c21/177/pia-nalaar?utm_source=api</t>
  </si>
  <si>
    <t>0.27
1.07
0.25</t>
  </si>
  <si>
    <t>https://cards.scryfall.io/small/front/9/d/9d2502c8-bf80-404c-9a9a-b843d355fcaa.jpg?1783927540</t>
  </si>
  <si>
    <t>Pia Nalaar, Consul of Revival</t>
  </si>
  <si>
    <t>March of the Machine: The Aftermath</t>
  </si>
  <si>
    <t>Thopters you control have haste.
Whenever you play a land from exile or cast a spell from exile, create a 1/1 colorless Thopter artifact creature token with flying.</t>
  </si>
  <si>
    <t>https://scryfall.com/card/mat/42/pia-nalaar-consul-of-revival?utm_source=api</t>
  </si>
  <si>
    <t>https://cards.scryfall.io/small/front/0/a/0ae89461-4bce-4b49-b875-03afc2469fe7.jpg?1783916510</t>
  </si>
  <si>
    <t>Plains</t>
  </si>
  <si>
    <t>Basic Land — Plains</t>
  </si>
  <si>
    <t>({T}: Add {W}.)</t>
  </si>
  <si>
    <t>https://scryfall.com/card/mdd/292/plains?utm_source=api</t>
  </si>
  <si>
    <t>https://cards.scryfall.io/small/front/0/9/09ac862f-0a51-44dd-b86f-9412b8218b13.jpg?1791578423</t>
  </si>
  <si>
    <t>Professional Face-Breaker</t>
  </si>
  <si>
    <t>Creature — Human Warrior</t>
  </si>
  <si>
    <t>Final Fantasy Commander
Modern Horizons 3 Commander
Secret Lair Drop
Jumpstart 2022
Streets of New Capenna
Streets of New Capenna Promos</t>
  </si>
  <si>
    <t>Menace
Whenever one or more creatures you control deal combat damage to a player, create a Treasure token.
Sacrifice a Treasure: Exile the top card of your library. You may play that card this turn.</t>
  </si>
  <si>
    <t>https://scryfall.com/card/snc/116/professional-face-breaker?utm_source=api</t>
  </si>
  <si>
    <t>4.71
6.90
17.67
7.97
7.44
7.12</t>
  </si>
  <si>
    <t>https://cards.scryfall.io/small/front/4/2/42acbf52-b137-44f0-a815-2817fe8d2da2.jpg?1783923119</t>
  </si>
  <si>
    <t>Radiant Summit</t>
  </si>
  <si>
    <t>Land — Mountain Plains</t>
  </si>
  <si>
    <t>Reality Fracture Commander
Marvel Super Heroes Commander
Secrets of Strixhaven Commander
Edge of Eternities Commander</t>
  </si>
  <si>
    <t>({T}: Add {R} or {W}.)
This land enters tapped unless you control two or more basic lands.</t>
  </si>
  <si>
    <t>https://scryfall.com/card/frc/80/radiant-summit?utm_source=api</t>
  </si>
  <si>
    <t>0.29
0.38
0.49
0.39</t>
  </si>
  <si>
    <t>https://cards.scryfall.io/small/front/f/8/f8cd6aae-a1cb-43b1-aca9-09fe2778969f.jpg?1790063310</t>
  </si>
  <si>
    <t>Reckless Fireweaver</t>
  </si>
  <si>
    <t>Aetherdrift Commander
Secret Lair Drop
Jumpstart 2022
The List
Kaladesh</t>
  </si>
  <si>
    <t>Whenever an artifact you control enters, this creature deals 1 damage to each opponent.</t>
  </si>
  <si>
    <t>https://scryfall.com/card/kld/126/reckless-fireweaver?utm_source=api</t>
  </si>
  <si>
    <t>0.40
46.95
0.85
0.92
0.47</t>
  </si>
  <si>
    <t>https://cards.scryfall.io/small/front/6/3/63ffac51-62c4-4170-85b3-a43d7cfae7d7.jpg?1783937190</t>
  </si>
  <si>
    <t>Retrofitter Foundry</t>
  </si>
  <si>
    <t>{1}</t>
  </si>
  <si>
    <t>Secret Lair Countdown
Aetherdrift Commander
Judge Gift Cards 2023
Commander 2018</t>
  </si>
  <si>
    <t>{3}: Untap this artifact.
{2}, {T}: Create a 1/1 colorless Servo artifact creature token.
{1}, {T}, Sacrifice a Servo: Create a 1/1 colorless Thopter artifact creature token with flying.
{T}, Sacrifice a Thopter: Create a 4/4 colorless Construct artifact creature token.</t>
  </si>
  <si>
    <t>https://scryfall.com/card/c18/57/retrofitter-foundry?utm_source=api</t>
  </si>
  <si>
    <t>0.83
0.33
14.98
1.20</t>
  </si>
  <si>
    <t>https://cards.scryfall.io/small/front/5/d/5da578b8-19e6-4068-9336-e7cd33c585f1.jpg?1783934323</t>
  </si>
  <si>
    <t>Rose, Cutthroat Raider</t>
  </si>
  <si>
    <t>Legendary Artifact Creature — Robot</t>
  </si>
  <si>
    <t>Fallout</t>
  </si>
  <si>
    <t>First strike
Raid — At end of combat on your turn, if you attacked this turn, create a Junk token for each opponent you attacked. (It's an artifact with "{T}, Sacrifice this token: Exile the top card of your library. You may play that card this turn. Activate only as a sorcery.")
Whenever you sacrifice a Junk, add {R}.</t>
  </si>
  <si>
    <t>https://scryfall.com/card/pip/66/rose-cutthroat-raider?utm_source=api</t>
  </si>
  <si>
    <t>https://cards.scryfall.io/small/front/f/8/f803a510-99fe-467a-be3b-9301497ec7ec.jpg?1783912401</t>
  </si>
  <si>
    <t>Rugged Prairie</t>
  </si>
  <si>
    <t>Secrets of Strixhaven Commander
Edge of Eternities Commander
Final Fantasy Commander
Tarkir: Dragonstorm Commander
Bloomburrow Commander
Outlaws of Thunder Junction Commander
Commander Masters
New Capenna Commander
Double Masters
Masters 25
Zendikar Expeditions
Eventide</t>
  </si>
  <si>
    <t>{T}: Add {C}.
{R/W}, {T}: Add {R}{R}, {R}{W}, or {W}{W}.</t>
  </si>
  <si>
    <t>https://scryfall.com/card/soc/401/rugged-prairie?utm_source=api</t>
  </si>
  <si>
    <t>0.32
0.24
0.33
0.30
0.30
0.36
0.51
0.40
0.78
0.84
35.73
4.63</t>
  </si>
  <si>
    <t>https://cards.scryfall.io/small/front/6/b/6bd21c9e-de16-4ee9-ae16-6e82b490109d.jpg?1783903721</t>
  </si>
  <si>
    <t>Scavenger Grounds</t>
  </si>
  <si>
    <t>Land — Desert</t>
  </si>
  <si>
    <t>Foundations Commander
Marvel Super Heroes Commander
Edge of Eternities: Stellar Sights
Final Fantasy Commander
Outlaws of Thunder Junction Commander
Fallout
Murders at Karlov Manor Commander
Commander Masters
Commander 2021
Commander 2020
Hour of Devastation Promos
Hour of Devastation</t>
  </si>
  <si>
    <t>{T}: Add {C}.
{2}, {T}, Sacrifice a Desert: Exile all graveyards.</t>
  </si>
  <si>
    <t>https://scryfall.com/card/msc/263/scavenger-grounds?utm_source=api</t>
  </si>
  <si>
    <t>0.20
0.32
1.58
0.32
0.76
0.35
0.36
0.48
0.52
0.37
5.28
0.51</t>
  </si>
  <si>
    <t>https://cards.scryfall.io/small/front/9/f/9fbe68ba-ffe5-4fe0-ac0a-0b3221e4f395.jpg?1783903197</t>
  </si>
  <si>
    <t>Sentinel Sarah Lyons</t>
  </si>
  <si>
    <t>Legendary Creature — Human Knight</t>
  </si>
  <si>
    <t>Haste
As long as an artifact entered the battlefield under your control this turn, creatures you control get +2/+2.
Battalion — Whenever Sentinel Sarah Lyons and at least two other creatures attack, Sentinel Sarah Lyons deals damage equal to the number of artifacts you control to target player.</t>
  </si>
  <si>
    <t>https://scryfall.com/card/pip/118/sentinel-sarah-lyons?utm_source=api</t>
  </si>
  <si>
    <t>https://cards.scryfall.io/small/front/2/3/23b76965-528c-48f9-9ee6-332b09cae664.jpg?1783912384</t>
  </si>
  <si>
    <t>Sephara, Sky's Blade</t>
  </si>
  <si>
    <t>Legendary Creature — Angel</t>
  </si>
  <si>
    <t>{4}{W}{W}{W}</t>
  </si>
  <si>
    <t>Foundations Commander
The List
Commander Masters
Starter Commander Decks
Core Set 2020 Promos
Core Set 2020</t>
  </si>
  <si>
    <t>You may pay {W} and tap four untapped creatures you control with flying rather than pay this spell's mana cost.
Flying, lifelink
Other creatures you control with flying have indestructible. (Damage and effects that say "destroy" don't destroy them.)</t>
  </si>
  <si>
    <t>https://scryfall.com/card/cmm/54/sephara-skys-blade?utm_source=api</t>
  </si>
  <si>
    <t>0.92
6.61
3.70
3.99
4.39
3.43</t>
  </si>
  <si>
    <t>https://cards.scryfall.io/small/front/7/2/729ee848-6c27-4202-b2bc-605f45209468.jpg?1783915714</t>
  </si>
  <si>
    <t>Shadow of the Goblin</t>
  </si>
  <si>
    <t>Unreliable Visions — At the beginning of your first main phase, discard a card. If you do, draw a card.
Undying Vengeance — Whenever you play a land or cast a spell from anywhere other than your hand, this enchantment deals 1 damage to each opponent.</t>
  </si>
  <si>
    <t>https://scryfall.com/card/spm/87/shadow-of-the-goblin?utm_source=api</t>
  </si>
  <si>
    <t>1.90
0.68</t>
  </si>
  <si>
    <t>https://cards.scryfall.io/small/front/8/5/854b6898-c480-435b-8952-a077c7977cec.jpg?1783905334</t>
  </si>
  <si>
    <t>Spire of Industry</t>
  </si>
  <si>
    <t>Edge of Eternities Commander
Final Fantasy Commander
Aetherdrift Commander
Fallout
Murders at Karlov Manor Commander
March of the Machine Commander
The Brothers' War Commander
Neon Dynasty Commander
Aether Revolt Promos
Aether Revolt</t>
  </si>
  <si>
    <t>{T}: Add {C}.
{T}, Pay 1 life: Add one mana of any color. Activate only if you control an artifact.</t>
  </si>
  <si>
    <t>https://scryfall.com/card/eoc/183/spire-of-industry?utm_source=api</t>
  </si>
  <si>
    <t>0.31
0.23
0.30
0.32
0.33
0.35
0.98
0.34
9.22
0.26</t>
  </si>
  <si>
    <t>https://cards.scryfall.io/small/front/3/5/35e9ec06-a848-4230-84a2-19cb8034e0f0.jpg?1783906004</t>
  </si>
  <si>
    <t>Steel Overseer</t>
  </si>
  <si>
    <t>Foundations Commander
Edge of Eternities Commander
Fallout
Jumpstart 2022
The Brothers' War Commander
Commander 2021
Core Set 2020 Promos
Core Set 2020
Kaladesh Inventions
Duel Decks: Elspeth vs. Tezzeret
Magic 2011</t>
  </si>
  <si>
    <t>{T}: Put a +1/+1 counter on each artifact creature you control.</t>
  </si>
  <si>
    <t>https://scryfall.com/card/eoc/144/steel-overseer?utm_source=api</t>
  </si>
  <si>
    <t>0.23
0.35
0.36
1.45
0.99
0.70
1.24
0.97
66.88
0.89
1.00</t>
  </si>
  <si>
    <t>https://cards.scryfall.io/small/front/7/6/7601fbf2-916f-44b2-837a-201fd8304613.jpg?1783906018</t>
  </si>
  <si>
    <t>Stridehangar Automaton</t>
  </si>
  <si>
    <t>Aetherdrift Commander</t>
  </si>
  <si>
    <t>Thopters you control get +1/+1.
If one or more artifact tokens would be created under your control, those tokens plus an additional 1/1 colorless Thopter artifact creature token with flying are created instead.</t>
  </si>
  <si>
    <t>https://scryfall.com/card/drc/19/stridehangar-automaton?utm_source=api</t>
  </si>
  <si>
    <t>https://cards.scryfall.io/small/front/4/c/4c398d11-a2fc-43e2-96e9-7f3383e1a43c.jpg?1783907749</t>
  </si>
  <si>
    <t>Sunbaked Canyon</t>
  </si>
  <si>
    <t>Avatar: The Last Airbender Eternal
Assassin's Creed
Doctor Who
Modern Horizons</t>
  </si>
  <si>
    <t>{T}, Pay 1 life: Add {R} or {W}.
{1}, {T}, Sacrifice this land: Draw a card.</t>
  </si>
  <si>
    <t>https://scryfall.com/card/mh1/247/sunbaked-canyon?utm_source=api</t>
  </si>
  <si>
    <t>4.23
6.68
4.17
4.20</t>
  </si>
  <si>
    <t>https://cards.scryfall.io/small/front/c/3/c36820fa-ee86-4206-9a0d-737a67cf5208.jpg?1783933065</t>
  </si>
  <si>
    <t>Sundown Pass</t>
  </si>
  <si>
    <t>Secrets of Strixhaven Promos
Secrets of Strixhaven
Innistrad Remastered
Doctor Who
Innistrad: Double Feature
Innistrad: Crimson Vow Promos
Innistrad: Crimson Vow</t>
  </si>
  <si>
    <t>This land enters tapped unless you control two or more other lands.
{T}: Add {R} or {W}.</t>
  </si>
  <si>
    <t>https://scryfall.com/card/sos/264/sundown-pass?utm_source=api</t>
  </si>
  <si>
    <t>2.51
2.29
3.22
3.28
7.62
5.81
3.02</t>
  </si>
  <si>
    <t>https://cards.scryfall.io/small/front/b/3/b34000e9-ff20-4fb4-9d0b-03a172a92457.jpg?1783903618</t>
  </si>
  <si>
    <t>Sunscorched Divide</t>
  </si>
  <si>
    <t>Secrets of Strixhaven Commander
Final Fantasy Commander
Bloomburrow Commander
Outlaws of Thunder Junction Commander
Fallout</t>
  </si>
  <si>
    <t>https://scryfall.com/card/soc/410/sunscorched-divide?utm_source=api</t>
  </si>
  <si>
    <t>0.29
0.26
0.24
0.42
0.33</t>
  </si>
  <si>
    <t>https://cards.scryfall.io/small/front/e/a/eae999f9-9c58-4609-8ade-aca0acf07519.jpg?1783903718</t>
  </si>
  <si>
    <t>Talisman of Conviction</t>
  </si>
  <si>
    <t>Marvel Super Heroes Commander
Secrets of Strixhaven Commander
Final Fantasy Commander
Tarkir: Dragonstorm Commander
Modern Horizons 3 Commander
Fallout
Murders at Karlov Manor Commander
Doctor Who
Commander Masters
Tales of Middle-earth Commander
Phyrexia: All Will Be One Commander
Secret Lair Drop
Modern Horizons 1 Timeshifts
Modern Horizons</t>
  </si>
  <si>
    <t>{T}: Add {C}.
{T}: Add {R} or {W}. This artifact deals 1 damage to you.</t>
  </si>
  <si>
    <t>https://scryfall.com/card/msc/217/talisman-of-conviction?utm_source=api</t>
  </si>
  <si>
    <t>0.34
6.03
0.38
0.37
0.35
0.71
0.43
0.45
0.45
0.35
0.42
15.22
3.18
0.42</t>
  </si>
  <si>
    <t>https://cards.scryfall.io/small/front/a/3/a365885c-f7d9-4ea1-9125-5265055e5570.jpg?1783903211</t>
  </si>
  <si>
    <t>Thopter Shop</t>
  </si>
  <si>
    <t>The Brothers' War Commander</t>
  </si>
  <si>
    <t>Whenever one or more artifact creatures you control die, draw a card. This ability triggers only once each turn.
{2}{W}, {T}: Create a 1/1 colorless Thopter artifact creature token with flying.</t>
  </si>
  <si>
    <t>https://scryfall.com/card/brc/19/thopter-shop?utm_source=api</t>
  </si>
  <si>
    <t>https://cards.scryfall.io/small/front/e/7/e72a798b-8dab-41f4-9c2d-1d461e1b46c5.jpg?1783919718</t>
  </si>
  <si>
    <t>Unstable Amulet</t>
  </si>
  <si>
    <t>When this artifact enters, you get {E}{E} (two energy counters).
Whenever you cast a spell from anywhere other than your hand, this artifact deals 1 damage to each opponent.
{T}, Pay {E}{E}: Exile the top card of your library. You may play it until you exile another card with this artifact.</t>
  </si>
  <si>
    <t>https://scryfall.com/card/mh3/142/unstable-amulet?utm_source=api</t>
  </si>
  <si>
    <t>https://cards.scryfall.io/small/front/9/d/9d9949f5-8d6c-4ea9-b203-99e8a57a6c60.jpg?1783911264</t>
  </si>
  <si>
    <t>Weftstalker Ardent</t>
  </si>
  <si>
    <t>Creature — Drix Artificer</t>
  </si>
  <si>
    <t>Edge of Eternities</t>
  </si>
  <si>
    <t>Whenever another creature or artifact you control enters, this creature deals 1 damage to each opponent.
Warp {R} (You may cast this card from your hand for its warp cost. Exile this creature at the beginning of the next end step, then you may cast it from exile on a later turn.)</t>
  </si>
  <si>
    <t>https://scryfall.com/card/eoe/169/weftstalker-ardent?utm_source=api</t>
  </si>
  <si>
    <t>https://cards.scryfall.io/small/front/c/d/cddb48cc-8eb1-47ce-90f0-7aad1e93e2c4.jpg?1783905943</t>
  </si>
  <si>
    <t>Welcoming Vampire</t>
  </si>
  <si>
    <t>Creature — Vampire</t>
  </si>
  <si>
    <t>Tarkir: Dragonstorm Commander
Innistrad: Crimson Vow Promos
Murders at Karlov Manor Commander
The Lost Caverns of Ixalan Commander
Innistrad: Double Feature
Innistrad: Crimson Vow</t>
  </si>
  <si>
    <t>Flying
Whenever one or more other creatures you control with power 2 or less enter, draw a card. This ability triggers only once each turn.</t>
  </si>
  <si>
    <t>https://scryfall.com/card/tdc/140/welcoming-vampire?utm_source=api</t>
  </si>
  <si>
    <t>3.22
2.44
4.39
4.37
7.38
4.30</t>
  </si>
  <si>
    <t>https://cards.scryfall.io/small/front/3/5/35a69bb5-b8e6-4558-9563-10c7a3662f93.jpg?1783907112</t>
  </si>
  <si>
    <t>Wild Wasteland</t>
  </si>
  <si>
    <t>Skip your draw step.
At the beginning of your upkeep, exile the top two cards of your library. You may play those cards this turn.</t>
  </si>
  <si>
    <t>https://scryfall.com/card/pip/71/wild-wasteland?utm_source=api</t>
  </si>
  <si>
    <t>https://cards.scryfall.io/small/front/c/a/ca1024d6-c5f1-48f5-9081-fb90d0c46fdb.jpg?1783912401</t>
  </si>
  <si>
    <t>Windbrisk Heights</t>
  </si>
  <si>
    <t>Tarkir: Dragonstorm Commander
Fallout
The Lost Caverns of Ixalan Commander
Tales of Middle-earth Commander
Phyrexia: All Will Be One Commander
Commander Legends: Battle for Baldur's Gate
New Capenna Commander
Secret Lair Drop
Commander 2020
Commander 2016
Modern Event Deck 2014
From the Vault: Realms
Lorwyn</t>
  </si>
  <si>
    <t>Hideaway 4 (When this land enters, look at the top four cards of your library, exile one face down, then put the rest on the bottom in a random order.)
This land enters tapped.
{T}: Add {W}.
{W}, {T}: You may play the exiled card without paying its mana cost if you attacked with three or more creatures this turn.</t>
  </si>
  <si>
    <t>https://scryfall.com/card/tdc/411/windbrisk-heights?utm_source=api</t>
  </si>
  <si>
    <t>0.29
0.33
0.21
0.34
0.40
0.35
0.36
8.12
0.26
0.27
0.38
1.58
1.37</t>
  </si>
  <si>
    <t>https://cards.scryfall.io/small/front/d/f/df441bae-3b9c-46a9-8287-870c00d58a64.jpg?1783906957</t>
  </si>
  <si>
    <t>Witty Roastmaster</t>
  </si>
  <si>
    <t>Creature — Devil Citizen</t>
  </si>
  <si>
    <t>Streets of New Capenna</t>
  </si>
  <si>
    <t>Alliance — Whenever another creature you control enters, this creature deals 1 damage to each opponent.</t>
  </si>
  <si>
    <t>https://scryfall.com/card/snc/131/witty-roastmaster?utm_source=api</t>
  </si>
  <si>
    <t>https://cards.scryfall.io/small/front/7/1/71d13f19-482b-4a2e-9692-b7d7caf2f9f5.jpg?1783923109</t>
  </si>
  <si>
    <t>Set name (as Scryfall writes it)</t>
  </si>
  <si>
    <t>Binder (blank = its own binder; a group name; or (none))</t>
  </si>
  <si>
    <t>Rank (auto)</t>
  </si>
  <si>
    <t>Needed cards (last scan)</t>
  </si>
  <si>
    <t>How this works</t>
  </si>
  <si>
    <t>Commander Box</t>
  </si>
  <si>
    <t>Every set is its own binder automatically. Use column B only when a shop groups sets together, e.g. every Commander set -&gt; "Commander Box" or The List -&gt; "Foundations". Type (none) for sets your shops never carry, and they are skipped everywhere. Card Finder &gt; Find sets without a binder adds the sets from your needed cards here, most common first, with the count in column D.</t>
  </si>
  <si>
    <t>Foundations Jumpstart</t>
  </si>
  <si>
    <t>The List</t>
  </si>
  <si>
    <t>#</t>
  </si>
  <si>
    <t>Binder (auto, most cards first)</t>
  </si>
  <si>
    <t>Value left</t>
  </si>
  <si>
    <t>Status</t>
  </si>
  <si>
    <t>Plan row</t>
  </si>
  <si>
    <t>Could supply (cards)</t>
  </si>
  <si>
    <t>Skipped list</t>
  </si>
  <si>
    <t>Skip #</t>
  </si>
  <si>
    <t>How this tab works</t>
  </si>
  <si>
    <t>Built by the script (on open, after Fetch, and when Set Aliases or the list toggles change): every set, or Set Aliases group, that holds a needed card, ranked by how many needed cards it could supply. Column C is ticked from Binder Plan or Shop and stays with the binder name. Use Bring back on Binder Plan to untick one, or Reset all for a new shop.</t>
  </si>
  <si>
    <t>Secret Lair Drop</t>
  </si>
  <si>
    <t>Commander Masters</t>
  </si>
  <si>
    <t>Tarkir: Dragonstorm Commander</t>
  </si>
  <si>
    <t>Final Fantasy Commander</t>
  </si>
  <si>
    <t>Secrets of Strixhaven Commander</t>
  </si>
  <si>
    <t>Commander 2021</t>
  </si>
  <si>
    <t>Bloomburrow Commander</t>
  </si>
  <si>
    <t>Foundations Commander</t>
  </si>
  <si>
    <t>Marvel Super Heroes Commander</t>
  </si>
  <si>
    <t>Outlaws of Thunder Junction Commander</t>
  </si>
  <si>
    <t>Tales of Middle-earth Commander</t>
  </si>
  <si>
    <t>Doctor Who</t>
  </si>
  <si>
    <t>Modern Horizons 3 Commander</t>
  </si>
  <si>
    <t>Murders at Karlov Manor Commander</t>
  </si>
  <si>
    <t>The Lost Caverns of Ixalan Commander</t>
  </si>
  <si>
    <t>Commander 2020</t>
  </si>
  <si>
    <t>New Capenna Commander</t>
  </si>
  <si>
    <t>Commander 2016</t>
  </si>
  <si>
    <t>Commander 2018</t>
  </si>
  <si>
    <t>Kaladesh</t>
  </si>
  <si>
    <t>Reality Fracture Commander</t>
  </si>
  <si>
    <t>Commander Anthology Volume II</t>
  </si>
  <si>
    <t>Commander Legends</t>
  </si>
  <si>
    <t>Forgotten Realms Commander</t>
  </si>
  <si>
    <t>Kaladesh Promos</t>
  </si>
  <si>
    <t>Commander 2015</t>
  </si>
  <si>
    <t>Commander 2017</t>
  </si>
  <si>
    <t>Crimson Vow Commander</t>
  </si>
  <si>
    <t>Dominaria United Commander</t>
  </si>
  <si>
    <t>Double Masters</t>
  </si>
  <si>
    <t>Duskmourn: House of Horror Commander</t>
  </si>
  <si>
    <t>Jumpstart 2022</t>
  </si>
  <si>
    <t>Lorwyn Eclipsed Commander</t>
  </si>
  <si>
    <t>Neon Dynasty Commander</t>
  </si>
  <si>
    <t>Starter Commander Decks</t>
  </si>
  <si>
    <t>Teenage Mutant Ninja Turtles Eternal</t>
  </si>
  <si>
    <t>Warhammer 40,000 Commander</t>
  </si>
  <si>
    <t>Avatar: The Last Airbender Eternal</t>
  </si>
  <si>
    <t>Bloomburrow</t>
  </si>
  <si>
    <t>Commander 2011</t>
  </si>
  <si>
    <t>Commander 2019</t>
  </si>
  <si>
    <t>Commander Anthology</t>
  </si>
  <si>
    <t>Core Set 2020</t>
  </si>
  <si>
    <t>Core Set 2020 Promos</t>
  </si>
  <si>
    <t>Duskmourn: House of Horror</t>
  </si>
  <si>
    <t>Innistrad</t>
  </si>
  <si>
    <t>Innistrad: Crimson Vow</t>
  </si>
  <si>
    <t>Innistrad: Crimson Vow Promos</t>
  </si>
  <si>
    <t>Innistrad: Double Feature</t>
  </si>
  <si>
    <t>Magic Origins</t>
  </si>
  <si>
    <t>Marvel's Spider-Man</t>
  </si>
  <si>
    <t>Marvel's Spider-Man Promos</t>
  </si>
  <si>
    <t>Media and Collaboration Promos</t>
  </si>
  <si>
    <t>Midnight Hunt Commander</t>
  </si>
  <si>
    <t>Modern Horizons</t>
  </si>
  <si>
    <t>Modern Horizons 2</t>
  </si>
  <si>
    <t>Secrets of Strixhaven</t>
  </si>
  <si>
    <t>Secrets of Strixhaven Promos</t>
  </si>
  <si>
    <t>The Brothers' War</t>
  </si>
  <si>
    <t>The Lost Caverns of Ixalan</t>
  </si>
  <si>
    <t>The Lost Caverns of Ixalan Promos</t>
  </si>
  <si>
    <t>Throne of Eldraine</t>
  </si>
  <si>
    <t>Wilds of Eldraine Commander</t>
  </si>
  <si>
    <t>Aether Revolt</t>
  </si>
  <si>
    <t>Aether Revolt Promos</t>
  </si>
  <si>
    <t>Aetherdrift</t>
  </si>
  <si>
    <t>Aetherdrift Promos</t>
  </si>
  <si>
    <t>Apocalypse</t>
  </si>
  <si>
    <t>Assassin's Creed</t>
  </si>
  <si>
    <t>Bloomburrow Promos</t>
  </si>
  <si>
    <t>Commander 2013</t>
  </si>
  <si>
    <t>Commander 2014</t>
  </si>
  <si>
    <t>Commander Collection: Black</t>
  </si>
  <si>
    <t>Commander Collection: Green</t>
  </si>
  <si>
    <t>Commander Legends Promos</t>
  </si>
  <si>
    <t>Commander's Arsenal</t>
  </si>
  <si>
    <t>Conflux</t>
  </si>
  <si>
    <t>Conspiracy: Take the Crown</t>
  </si>
  <si>
    <t>Core Set 2019</t>
  </si>
  <si>
    <t>Core Set 2019 Promos</t>
  </si>
  <si>
    <t>Dominaria</t>
  </si>
  <si>
    <t>Dominaria Promos</t>
  </si>
  <si>
    <t>Dominaria Remastered</t>
  </si>
  <si>
    <t>Double Masters 2022</t>
  </si>
  <si>
    <t>Duel Decks: Elspeth vs. Tezzeret</t>
  </si>
  <si>
    <t>Duskmourn: House of Horror Promos</t>
  </si>
  <si>
    <t>Edge of Eternities: Stellar Sights</t>
  </si>
  <si>
    <t>Eventide</t>
  </si>
  <si>
    <t>Final Fantasy: Through the Ages</t>
  </si>
  <si>
    <t>From the Vault: Realms</t>
  </si>
  <si>
    <t>GRN Guild Kit</t>
  </si>
  <si>
    <t>Hour of Devastation</t>
  </si>
  <si>
    <t>Hour of Devastation Promos</t>
  </si>
  <si>
    <t>Innistrad Remastered</t>
  </si>
  <si>
    <t>Judge Gift Cards 2012</t>
  </si>
  <si>
    <t>Judge Gift Cards 2016</t>
  </si>
  <si>
    <t>Judge Gift Cards 2023</t>
  </si>
  <si>
    <t>Jurassic World Collection</t>
  </si>
  <si>
    <t>Kaladesh Inventions</t>
  </si>
  <si>
    <t>Kaldheim Commander</t>
  </si>
  <si>
    <t>Lorwyn</t>
  </si>
  <si>
    <t>Magic 2011</t>
  </si>
  <si>
    <t>Magic 2015</t>
  </si>
  <si>
    <t>March of the Machine</t>
  </si>
  <si>
    <t>March of the Machine Promos</t>
  </si>
  <si>
    <t>Marvel Super Heroes</t>
  </si>
  <si>
    <t>Masters 25</t>
  </si>
  <si>
    <t>Modern Event Deck 2014</t>
  </si>
  <si>
    <t>Modern Horizons 1 Timeshifts</t>
  </si>
  <si>
    <t>Modern Horizons 2 Promos</t>
  </si>
  <si>
    <t>Modern Horizons 3 Promos</t>
  </si>
  <si>
    <t>Modern Masters 2017</t>
  </si>
  <si>
    <t>Mystery Booster 2</t>
  </si>
  <si>
    <t>Mystery Booster Commander Edition</t>
  </si>
  <si>
    <t>New Phyrexia</t>
  </si>
  <si>
    <t>Ninth Edition</t>
  </si>
  <si>
    <t>Pioneer Challenger Decks 2021</t>
  </si>
  <si>
    <t>Planechase</t>
  </si>
  <si>
    <t>Planechase 2012</t>
  </si>
  <si>
    <t>Planechase Anthology</t>
  </si>
  <si>
    <t>Ravnica Remastered</t>
  </si>
  <si>
    <t>Ravnica: City of Guilds</t>
  </si>
  <si>
    <t>Ravnica: Clue Edition</t>
  </si>
  <si>
    <t>Reality Fracture</t>
  </si>
  <si>
    <t>Reality Fracture Promos</t>
  </si>
  <si>
    <t>San Diego Comic-Con 2017</t>
  </si>
  <si>
    <t>San Diego Comic-Con 2018</t>
  </si>
  <si>
    <t>Secret Lair Countdown</t>
  </si>
  <si>
    <t>Signature Spellbook: Chandra</t>
  </si>
  <si>
    <t>Streets of New Capenna Promos</t>
  </si>
  <si>
    <t>Strixhaven: School of Mages</t>
  </si>
  <si>
    <t>Strixhaven: School of Mages Promos</t>
  </si>
  <si>
    <t>Tarkir: Dragonstorm</t>
  </si>
  <si>
    <t>Tarkir: Dragonstorm Promos</t>
  </si>
  <si>
    <t>Tenth Edition</t>
  </si>
  <si>
    <t>The Brothers' War Promos</t>
  </si>
  <si>
    <t>The Zeta Set</t>
  </si>
  <si>
    <t>Throne of Eldraine Promos</t>
  </si>
  <si>
    <t>War of the Spark</t>
  </si>
  <si>
    <t>War of the Spark Promos</t>
  </si>
  <si>
    <t>Wizards Play Network 2025</t>
  </si>
  <si>
    <t>Zendikar Expeditions</t>
  </si>
  <si>
    <t>Zendikar Rising Commander</t>
  </si>
  <si>
    <t>Binder to pull</t>
  </si>
  <si>
    <t>Every set it is in</t>
  </si>
  <si>
    <t>Status (col A of its tab)</t>
  </si>
  <si>
    <t>Still need? (Y/N)</t>
  </si>
  <si>
    <t>Price (target binder set)</t>
  </si>
  <si>
    <t>Look-for label</t>
  </si>
  <si>
    <t>Sets (helper)</t>
  </si>
  <si>
    <t>Target set</t>
  </si>
  <si>
    <t>Target set price</t>
  </si>
  <si>
    <t>Color #</t>
  </si>
  <si>
    <t>Shop sort key</t>
  </si>
  <si>
    <t>Row on list tab</t>
  </si>
  <si>
    <t>Image link</t>
  </si>
  <si>
    <t>List on?</t>
  </si>
  <si>
    <t>List (tab name)</t>
  </si>
  <si>
    <t>Status col #</t>
  </si>
  <si>
    <t>Count col #</t>
  </si>
  <si>
    <t>Name col #</t>
  </si>
  <si>
    <t>Sets col #</t>
  </si>
  <si>
    <t>Price col #</t>
  </si>
  <si>
    <t>Set prices col #</t>
  </si>
  <si>
    <t>Colors col #</t>
  </si>
  <si>
    <t>Type col #</t>
  </si>
  <si>
    <t>Image col #</t>
  </si>
  <si>
    <t>Sheet id (auto)</t>
  </si>
  <si>
    <t>Binder (Binder Setup B)</t>
  </si>
  <si>
    <t>Effective rank</t>
  </si>
  <si>
    <t>One row per list tab, filled in by the script (Card Finder &gt; Refresh lists). Each column finds a field by its row 1 header, so list tabs can have columns in any order. Sheet id records which tab each row was built for. P:Q rank the binders on Binder Setup: 999 means skip (blank, searched, or mapped into another binder on Set Aliases).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</si>
</sst>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numFmts>
  <fonts count="27">
    <font>
      <sz val="10.0"/>
      <color rgb="FF000000"/>
      <name val="Arial"/>
      <scheme val="minor"/>
    </font>
    <font>
      <b/>
      <sz val="14.0"/>
      <color theme="1"/>
      <name val="Arial"/>
    </font>
    <font>
      <sz val="10.0"/>
      <color rgb="FF000000"/>
      <name val="Arial"/>
    </font>
    <font>
      <sz val="11.0"/>
      <color theme="1"/>
      <name val="Arial"/>
    </font>
    <font>
      <u/>
      <sz val="11.0"/>
      <color rgb="FF0097A7"/>
      <name val="Arial"/>
    </font>
    <font>
      <b/>
      <sz val="11.0"/>
      <color theme="1"/>
      <name val="Arial"/>
    </font>
    <font>
      <sz val="10.0"/>
      <color theme="1"/>
      <name val="Arial"/>
    </font>
    <font/>
    <font>
      <b/>
      <sz val="10.0"/>
      <color theme="1"/>
      <name val="Arial"/>
    </font>
    <font>
      <sz val="10.0"/>
      <color rgb="FF0000FF"/>
      <name val="Arial"/>
    </font>
    <font>
      <color theme="1"/>
      <name val="Arial"/>
      <scheme val="minor"/>
    </font>
    <font>
      <b/>
      <sz val="10.0"/>
      <color rgb="FFFFFFFF"/>
      <name val="Arial"/>
    </font>
    <font>
      <sz val="8.0"/>
      <color rgb="FFBFBFBF"/>
      <name val="Arial"/>
    </font>
    <font>
      <i/>
      <sz val="10.0"/>
      <color theme="1"/>
      <name val="Arial"/>
    </font>
    <font>
      <b/>
      <color theme="1"/>
      <name val="Arial"/>
    </font>
    <font>
      <i/>
      <sz val="10.0"/>
      <color rgb="FF808080"/>
      <name val="Arial"/>
    </font>
    <font>
      <sz val="11.0"/>
      <color rgb="FF000000"/>
      <name val="Arial"/>
    </font>
    <font>
      <i/>
      <sz val="10.0"/>
      <color rgb="FF595959"/>
      <name val="Arial"/>
    </font>
    <font>
      <u/>
      <sz val="11.0"/>
      <color rgb="FF0000FF"/>
      <name val="Cambria"/>
    </font>
    <font>
      <sz val="11.0"/>
      <color rgb="FF16161D"/>
      <name val="Lato"/>
    </font>
    <font>
      <u/>
      <sz val="11.0"/>
      <color rgb="FF0000FF"/>
      <name val="Cambria"/>
    </font>
    <font>
      <u/>
      <sz val="11.0"/>
      <color rgb="FF000000"/>
      <name val="Arial"/>
    </font>
    <font>
      <u/>
      <sz val="11.0"/>
      <color theme="1"/>
      <name val="Arial"/>
    </font>
    <font>
      <color theme="1"/>
      <name val="Arial"/>
    </font>
    <font>
      <color rgb="FF808080"/>
      <name val="Arial"/>
    </font>
    <font>
      <sz val="11.0"/>
      <color rgb="FF0000FF"/>
      <name val="Arial"/>
    </font>
    <font>
      <u/>
      <color rgb="FF0000FF"/>
    </font>
  </fonts>
  <fills count="5">
    <fill>
      <patternFill patternType="none"/>
    </fill>
    <fill>
      <patternFill patternType="lightGray"/>
    </fill>
    <fill>
      <patternFill patternType="solid">
        <fgColor rgb="FFFFFF99"/>
        <bgColor rgb="FFFFFF99"/>
      </patternFill>
    </fill>
    <fill>
      <patternFill patternType="solid">
        <fgColor rgb="FF1F3864"/>
        <bgColor rgb="FF1F3864"/>
      </patternFill>
    </fill>
    <fill>
      <patternFill patternType="solid">
        <fgColor rgb="FFFFFFFF"/>
        <bgColor rgb="FFFFFFFF"/>
      </patternFill>
    </fill>
  </fills>
  <borders count="3">
    <border/>
    <border>
      <bottom style="thin">
        <color rgb="FFBFBFBF"/>
      </bottom>
    </border>
    <border>
      <left/>
      <right/>
      <top/>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Font="1"/>
    <xf borderId="0" fillId="0" fontId="3" numFmtId="0" xfId="0" applyAlignment="1" applyFont="1">
      <alignment shrinkToFit="0" vertical="top" wrapText="1"/>
    </xf>
    <xf borderId="0" fillId="0" fontId="4" numFmtId="0" xfId="0" applyAlignment="1" applyFont="1">
      <alignment vertical="bottom"/>
    </xf>
    <xf borderId="0" fillId="0" fontId="3" numFmtId="0" xfId="0" applyAlignment="1" applyFont="1">
      <alignment vertical="bottom"/>
    </xf>
    <xf borderId="0" fillId="0" fontId="5" numFmtId="0" xfId="0" applyFont="1"/>
    <xf borderId="0" fillId="0" fontId="5" numFmtId="0" xfId="0" applyAlignment="1" applyFont="1">
      <alignment vertical="bottom"/>
    </xf>
    <xf borderId="1" fillId="0" fontId="6" numFmtId="0" xfId="0" applyAlignment="1" applyBorder="1" applyFont="1">
      <alignment shrinkToFit="0" vertical="top" wrapText="1"/>
    </xf>
    <xf borderId="1" fillId="0" fontId="7" numFmtId="0" xfId="0" applyBorder="1" applyFont="1"/>
    <xf borderId="0" fillId="0" fontId="8" numFmtId="0" xfId="0" applyAlignment="1" applyFont="1">
      <alignment vertical="bottom"/>
    </xf>
    <xf borderId="2" fillId="2" fontId="9" numFmtId="0" xfId="0" applyAlignment="1" applyBorder="1" applyFill="1" applyFont="1">
      <alignment horizontal="center" readingOrder="0" vertical="bottom"/>
    </xf>
    <xf borderId="0" fillId="0" fontId="8" numFmtId="0" xfId="0" applyAlignment="1" applyFont="1">
      <alignment horizontal="right"/>
    </xf>
    <xf borderId="0" fillId="0" fontId="10" numFmtId="0" xfId="0" applyAlignment="1" applyFont="1">
      <alignment readingOrder="0"/>
    </xf>
    <xf borderId="1" fillId="0" fontId="6" numFmtId="0" xfId="0" applyAlignment="1" applyBorder="1" applyFont="1">
      <alignment horizontal="center" vertical="top"/>
    </xf>
    <xf borderId="2" fillId="3" fontId="11" numFmtId="0" xfId="0" applyAlignment="1" applyBorder="1" applyFill="1" applyFont="1">
      <alignment shrinkToFit="0" vertical="center" wrapText="1"/>
    </xf>
    <xf borderId="1" fillId="0" fontId="6" numFmtId="0" xfId="0" applyAlignment="1" applyBorder="1" applyFont="1">
      <alignment horizontal="center" readingOrder="0" vertical="top"/>
    </xf>
    <xf borderId="1" fillId="0" fontId="6" numFmtId="164" xfId="0" applyAlignment="1" applyBorder="1" applyFont="1" applyNumberFormat="1">
      <alignment horizontal="center" vertical="top"/>
    </xf>
    <xf borderId="1" fillId="0" fontId="12" numFmtId="0" xfId="0" applyAlignment="1" applyBorder="1" applyFont="1">
      <alignment horizontal="center" vertical="top"/>
    </xf>
    <xf borderId="0" fillId="0" fontId="2" numFmtId="0" xfId="0" applyAlignment="1" applyFont="1">
      <alignment vertical="bottom"/>
    </xf>
    <xf borderId="0" fillId="0" fontId="13" numFmtId="0" xfId="0" applyAlignment="1" applyFont="1">
      <alignment shrinkToFit="0" vertical="top" wrapText="1"/>
    </xf>
    <xf borderId="2" fillId="2" fontId="9" numFmtId="0" xfId="0" applyAlignment="1" applyBorder="1" applyFill="1" applyFont="1">
      <alignment horizontal="center" vertical="bottom"/>
    </xf>
    <xf borderId="0" fillId="0" fontId="9" numFmtId="164" xfId="0" applyAlignment="1" applyFont="1" applyNumberFormat="1">
      <alignment horizontal="center" vertical="bottom"/>
    </xf>
    <xf borderId="0" fillId="0" fontId="14" numFmtId="0" xfId="0" applyAlignment="1" applyFont="1">
      <alignment horizontal="right"/>
    </xf>
    <xf borderId="0" fillId="0" fontId="2" numFmtId="0" xfId="0" applyAlignment="1" applyFont="1">
      <alignment horizontal="right" readingOrder="0" vertical="bottom"/>
    </xf>
    <xf borderId="1" fillId="0" fontId="9" numFmtId="0" xfId="0" applyAlignment="1" applyBorder="1" applyFont="1">
      <alignment readingOrder="0" vertical="bottom"/>
    </xf>
    <xf borderId="1" fillId="0" fontId="9" numFmtId="0" xfId="0" applyAlignment="1" applyBorder="1" applyFont="1">
      <alignment vertical="bottom"/>
    </xf>
    <xf borderId="0" fillId="0" fontId="6" numFmtId="0" xfId="0" applyAlignment="1" applyFont="1">
      <alignment shrinkToFit="0" vertical="top" wrapText="1"/>
    </xf>
    <xf borderId="2" fillId="3" fontId="11" numFmtId="0" xfId="0" applyAlignment="1" applyBorder="1" applyFill="1" applyFont="1">
      <alignment vertical="bottom"/>
    </xf>
    <xf borderId="1" fillId="0" fontId="8" numFmtId="0" xfId="0" applyAlignment="1" applyBorder="1" applyFont="1">
      <alignment shrinkToFit="0" vertical="top" wrapText="1"/>
    </xf>
    <xf borderId="0" fillId="0" fontId="15" numFmtId="0" xfId="0" applyAlignment="1" applyFont="1">
      <alignment vertical="bottom"/>
    </xf>
    <xf borderId="0" fillId="0" fontId="16" numFmtId="0" xfId="0" applyAlignment="1" applyFont="1">
      <alignment horizontal="center" vertical="bottom"/>
    </xf>
    <xf borderId="0" fillId="0" fontId="3" numFmtId="0" xfId="0" applyAlignment="1" applyFont="1">
      <alignment horizontal="right" vertical="bottom"/>
    </xf>
    <xf borderId="0" fillId="0" fontId="3" numFmtId="0" xfId="0" applyAlignment="1" applyFont="1">
      <alignment horizontal="left" vertical="bottom"/>
    </xf>
    <xf borderId="0" fillId="0" fontId="17" numFmtId="0" xfId="0" applyFont="1"/>
    <xf borderId="0" fillId="0" fontId="3" numFmtId="164" xfId="0" applyAlignment="1" applyFont="1" applyNumberFormat="1">
      <alignment horizontal="right" vertical="bottom"/>
    </xf>
    <xf borderId="0" fillId="0" fontId="3" numFmtId="164" xfId="0" applyAlignment="1" applyFont="1" applyNumberFormat="1">
      <alignment horizontal="left" vertical="bottom"/>
    </xf>
    <xf borderId="0" fillId="0" fontId="3" numFmtId="164" xfId="0" applyAlignment="1" applyFont="1" applyNumberFormat="1">
      <alignment horizontal="left" shrinkToFit="0" vertical="bottom" wrapText="1"/>
    </xf>
    <xf borderId="0" fillId="0" fontId="18" numFmtId="164" xfId="0" applyAlignment="1" applyFont="1" applyNumberFormat="1">
      <alignment horizontal="left" vertical="bottom"/>
    </xf>
    <xf borderId="0" fillId="0" fontId="16" numFmtId="0" xfId="0" applyAlignment="1" applyFont="1">
      <alignment horizontal="left" vertical="bottom"/>
    </xf>
    <xf borderId="0" fillId="0" fontId="3" numFmtId="0" xfId="0" applyAlignment="1" applyFont="1">
      <alignment horizontal="left" shrinkToFit="0" vertical="bottom" wrapText="1"/>
    </xf>
    <xf borderId="0" fillId="4" fontId="16" numFmtId="0" xfId="0" applyAlignment="1" applyFill="1" applyFont="1">
      <alignment horizontal="right" vertical="bottom"/>
    </xf>
    <xf borderId="0" fillId="0" fontId="16" numFmtId="0" xfId="0" applyAlignment="1" applyFont="1">
      <alignment horizontal="right" vertical="bottom"/>
    </xf>
    <xf borderId="0" fillId="0" fontId="16" numFmtId="164" xfId="0" applyAlignment="1" applyFont="1" applyNumberFormat="1">
      <alignment horizontal="left" vertical="bottom"/>
    </xf>
    <xf borderId="0" fillId="0" fontId="16" numFmtId="164" xfId="0" applyAlignment="1" applyFont="1" applyNumberFormat="1">
      <alignment horizontal="right" vertical="bottom"/>
    </xf>
    <xf borderId="0" fillId="4" fontId="3" numFmtId="0" xfId="0" applyAlignment="1" applyFill="1" applyFont="1">
      <alignment vertical="bottom"/>
    </xf>
    <xf borderId="0" fillId="0" fontId="3" numFmtId="164" xfId="0" applyAlignment="1" applyFont="1" applyNumberFormat="1">
      <alignment vertical="bottom"/>
    </xf>
    <xf borderId="2" fillId="4" fontId="19" numFmtId="0" xfId="0" applyAlignment="1" applyBorder="1" applyFill="1" applyFont="1">
      <alignment vertical="bottom"/>
    </xf>
    <xf borderId="0" fillId="4" fontId="2" numFmtId="0" xfId="0" applyAlignment="1" applyFill="1" applyFont="1">
      <alignment vertical="bottom"/>
    </xf>
    <xf borderId="0" fillId="0" fontId="3" numFmtId="0" xfId="0" applyAlignment="1" applyFont="1">
      <alignment horizontal="right" readingOrder="0" vertical="bottom"/>
    </xf>
    <xf borderId="0" fillId="0" fontId="3" numFmtId="0" xfId="0" applyAlignment="1" applyFont="1">
      <alignment horizontal="left" readingOrder="0" vertical="bottom"/>
    </xf>
    <xf borderId="0" fillId="0" fontId="3" numFmtId="0" xfId="0" applyAlignment="1" applyFont="1">
      <alignment horizontal="left" readingOrder="0" shrinkToFit="0" vertical="bottom" wrapText="0"/>
    </xf>
    <xf borderId="0" fillId="0" fontId="3" numFmtId="164" xfId="0" applyAlignment="1" applyFont="1" applyNumberFormat="1">
      <alignment horizontal="right" readingOrder="0" vertical="bottom"/>
    </xf>
    <xf borderId="0" fillId="0" fontId="3" numFmtId="164" xfId="0" applyAlignment="1" applyFont="1" applyNumberFormat="1">
      <alignment horizontal="left" readingOrder="0" vertical="bottom"/>
    </xf>
    <xf borderId="0" fillId="0" fontId="3" numFmtId="164" xfId="0" applyAlignment="1" applyFont="1" applyNumberFormat="1">
      <alignment horizontal="left" readingOrder="0" shrinkToFit="0" vertical="bottom" wrapText="1"/>
    </xf>
    <xf borderId="0" fillId="0" fontId="20" numFmtId="164" xfId="0" applyAlignment="1" applyFont="1" applyNumberFormat="1">
      <alignment horizontal="left" readingOrder="0" vertical="bottom"/>
    </xf>
    <xf borderId="0" fillId="0" fontId="16" numFmtId="0" xfId="0" applyAlignment="1" applyFont="1">
      <alignment horizontal="left" readingOrder="0" vertical="bottom"/>
    </xf>
    <xf borderId="0" fillId="0" fontId="21" numFmtId="0" xfId="0" applyAlignment="1" applyFont="1">
      <alignment horizontal="left" readingOrder="0" vertical="bottom"/>
    </xf>
    <xf quotePrefix="1" borderId="0" fillId="0" fontId="3" numFmtId="0" xfId="0" applyAlignment="1" applyFont="1">
      <alignment horizontal="left" readingOrder="0" vertical="bottom"/>
    </xf>
    <xf borderId="0" fillId="0" fontId="3" numFmtId="0" xfId="0" applyAlignment="1" applyFont="1">
      <alignment horizontal="left" shrinkToFit="0" vertical="bottom" wrapText="0"/>
    </xf>
    <xf borderId="0" fillId="0" fontId="22" numFmtId="0" xfId="0" applyAlignment="1" applyFont="1">
      <alignment horizontal="left" readingOrder="0" vertical="bottom"/>
    </xf>
    <xf borderId="0" fillId="4" fontId="3" numFmtId="0" xfId="0" applyAlignment="1" applyFill="1" applyFont="1">
      <alignment horizontal="left" vertical="bottom"/>
    </xf>
    <xf borderId="0" fillId="0" fontId="16" numFmtId="0" xfId="0" applyAlignment="1" applyFont="1">
      <alignment horizontal="left" shrinkToFit="0" vertical="bottom" wrapText="0"/>
    </xf>
    <xf borderId="0" fillId="0" fontId="3" numFmtId="0" xfId="0" applyAlignment="1" applyFont="1">
      <alignment shrinkToFit="0" vertical="bottom" wrapText="0"/>
    </xf>
    <xf borderId="0" fillId="0" fontId="2" numFmtId="0" xfId="0" applyAlignment="1" applyFont="1">
      <alignment shrinkToFit="0" vertical="bottom" wrapText="0"/>
    </xf>
    <xf borderId="0" fillId="0" fontId="14" numFmtId="0" xfId="0" applyAlignment="1" applyFont="1">
      <alignment vertical="bottom"/>
    </xf>
    <xf borderId="0" fillId="0" fontId="23" numFmtId="0" xfId="0" applyAlignment="1" applyFont="1">
      <alignment vertical="bottom"/>
    </xf>
    <xf borderId="0" fillId="0" fontId="3" numFmtId="0" xfId="0" applyAlignment="1" applyFont="1">
      <alignment horizontal="center" vertical="bottom"/>
    </xf>
    <xf borderId="0" fillId="0" fontId="17" numFmtId="0" xfId="0" applyAlignment="1" applyFont="1">
      <alignment vertical="bottom"/>
    </xf>
    <xf borderId="0" fillId="0" fontId="23" numFmtId="164" xfId="0" applyAlignment="1" applyFont="1" applyNumberFormat="1">
      <alignment vertical="bottom"/>
    </xf>
    <xf borderId="0" fillId="4" fontId="23" numFmtId="0" xfId="0" applyAlignment="1" applyFill="1" applyFont="1">
      <alignment vertical="bottom"/>
    </xf>
    <xf borderId="2" fillId="4" fontId="23" numFmtId="0" xfId="0" applyAlignment="1" applyBorder="1" applyFill="1" applyFont="1">
      <alignment vertical="bottom"/>
    </xf>
    <xf borderId="0" fillId="0" fontId="9" numFmtId="0" xfId="0" applyAlignment="1" applyFont="1">
      <alignment readingOrder="0" vertical="bottom"/>
    </xf>
    <xf borderId="0" fillId="0" fontId="24" numFmtId="0" xfId="0" applyAlignment="1" applyFont="1">
      <alignment vertical="bottom"/>
    </xf>
    <xf borderId="0" fillId="0" fontId="24" numFmtId="0" xfId="0" applyAlignment="1" applyFont="1">
      <alignment shrinkToFit="0" vertical="top" wrapText="1"/>
    </xf>
    <xf borderId="0" fillId="0" fontId="2" numFmtId="0" xfId="0" applyAlignment="1" applyFont="1">
      <alignment shrinkToFit="0" vertical="top" wrapText="1"/>
    </xf>
    <xf borderId="0" fillId="0" fontId="24" numFmtId="0" xfId="0" applyFont="1"/>
    <xf borderId="1" fillId="0" fontId="25" numFmtId="0" xfId="0" applyAlignment="1" applyBorder="1" applyFont="1">
      <alignment shrinkToFit="0" vertical="top" wrapText="1"/>
    </xf>
    <xf borderId="0" fillId="0" fontId="9" numFmtId="0" xfId="0" applyAlignment="1" applyFont="1">
      <alignment vertical="bottom"/>
    </xf>
    <xf borderId="1" fillId="0" fontId="9" numFmtId="0" xfId="0" applyAlignment="1" applyBorder="1" applyFont="1">
      <alignment shrinkToFit="0" vertical="top" wrapText="1"/>
    </xf>
    <xf borderId="0" fillId="0" fontId="10" numFmtId="0" xfId="0" applyFont="1"/>
    <xf borderId="0" fillId="0" fontId="2" numFmtId="0" xfId="0" applyAlignment="1" applyFont="1">
      <alignment readingOrder="0"/>
    </xf>
    <xf borderId="0" fillId="0" fontId="2" numFmtId="0" xfId="0" applyAlignment="1" applyFont="1">
      <alignment readingOrder="0"/>
    </xf>
    <xf borderId="0" fillId="0" fontId="2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Unknown Author" id="{ea1583b3-c1bf-4201-862a-c210b93ae93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10-12T19:28:29.00" personId="{ea1583b3-c1bf-4201-862a-c210b93ae93f}" id="{367fb1f1-fe7b-4f86-8cec-beedd84187b9}" done="0">
    <x18tc:text xml:space="preserve">[Threaded comment]
 Your version of Excel allows you to read this threaded comment; however, any edits to it will get removed if the file is opened in a newer version of Excel. Learn more: https://go.microsoft.com/fwlink/?linkid=870924
Comment:
	Surge Foil</x18tc:text>
    <x18tc:extLst>
      <ext uri="{F7C98A9C-CBB3-438F-8F68-D28B6AF4A901}">
        <xltc2:checksum/>
        <xltc2:hyperlink startIndex="189" length="46" url="https://go.microsoft.com/fwlink/?linkid=870924"/>
      </ext>
    </x18tc:extLst>
  </x18tc:threadedComment>
  <x18tc:threadedComment ref="A1" dT="2026-10-12T19:28:29.00" personId="{ea1583b3-c1bf-4201-862a-c210b93ae93f}" id="{8bcd1642-3ea9-4182-a8ce-8b94b95de54b}" done="0">
    <x18tc:text xml:space="preserve">[Threaded comment]
 Your version of Excel allows you to read this threaded comment; however, any edits to it will get removed if the file is opened in a newer version of Excel. Learn more: https://go.microsoft.com/fwlink/?linkid=870924
Comment:
	Surge Foil</x18tc:text>
    <x18tc:extLst>
      <ext uri="{F7C98A9C-CBB3-438F-8F68-D28B6AF4A901}">
        <xltc2:checksum/>
        <xltc2:hyperlink startIndex="189" length="46" url="https://go.microsoft.com/fwlink/?linkid=870924"/>
      </ext>
    </x18tc:extLst>
  </x18tc:threadedComment>
  <x18tc:threadedComment ref="A1" dT="2026-10-12T19:28:29.00" personId="{ea1583b3-c1bf-4201-862a-c210b93ae93f}" id="{bf7aa33b-5d09-4196-b132-f904fff6e560}" done="0">
    <x18tc:text xml:space="preserve">[Threaded comment]
 Your version of Excel allows you to read this threaded comment; however, any edits to it will get removed if the file is opened in a newer version of Excel. Learn more: https://go.microsoft.com/fwlink/?linkid=870924
Comment:
	Surge Foil</x18tc:text>
    <x18tc:extLst>
      <ext uri="{F7C98A9C-CBB3-438F-8F68-D28B6AF4A901}">
        <xltc2:checksum/>
        <xltc2:hyperlink startIndex="189" length="46" url="https://go.microsoft.com/fwlink/?linkid=870924"/>
      </ext>
    </x18tc:extLst>
  </x18tc:threadedComment>
  <x18tc:threadedComment ref="A1" dT="2026-10-12T19:28:29.00" personId="{ea1583b3-c1bf-4201-862a-c210b93ae93f}" id="{5aa09262-6134-4a9e-ad4d-7341a24416ac}" done="0">
    <x18tc:text xml:space="preserve">[Threaded comment]
 Your version of Excel allows you to read this threaded comment; however, any edits to it will get removed if the file is opened in a newer version of Excel. Learn more: https://go.microsoft.com/fwlink/?linkid=870924
Comment:
	Surge Foil</x18tc:text>
    <x18tc:extLst>
      <ext uri="{F7C98A9C-CBB3-438F-8F68-D28B6AF4A901}">
        <xltc2:checksum/>
        <xltc2:hyperlink startIndex="189" length="46" url="https://go.microsoft.com/fwlink/?linkid=870924"/>
      </ext>
    </x18tc:extLst>
  </x18tc:threadedComment>
  <x18tc:threadedComment ref="A1" dT="2026-10-12T19:28:29.00" personId="{ea1583b3-c1bf-4201-862a-c210b93ae93f}" id="{f5a3d027-b454-4c2b-96e0-589384e97a0c}" done="0">
    <x18tc:text xml:space="preserve">[Threaded comment]
 Your version of Excel allows you to read this threaded comment; however, any edits to it will get removed if the file is opened in a newer version of Excel. Learn more: https://go.microsoft.com/fwlink/?linkid=870924
Comment:
	Surge Foil</x18tc:text>
    <x18tc:extLst>
      <ext uri="{F7C98A9C-CBB3-438F-8F68-D28B6AF4A901}">
        <xltc2:checksum/>
        <xltc2:hyperlink startIndex="189" length="46" url="https://go.microsoft.com/fwlink/?linkid=870924"/>
      </ext>
    </x18tc:extLst>
  </x18tc:threadedComment>
  <x18tc:threadedComment ref="A1" dT="2026-10-12T19:28:29.00" personId="{ea1583b3-c1bf-4201-862a-c210b93ae93f}" id="{a0029789-7a43-4a15-849e-17fdef41165c}" done="0">
    <x18tc:text xml:space="preserve">[Threaded comment]
 Your version of Excel allows you to read this threaded comment; however, any edits to it will get removed if the file is opened in a newer version of Excel. Learn more: https://go.microsoft.com/fwlink/?linkid=870924
Comment:
	Surge Foil</x18tc:text>
    <x18tc:extLst>
      <ext uri="{F7C98A9C-CBB3-438F-8F68-D28B6AF4A901}">
        <xltc2:checksum/>
        <xltc2:hyperlink startIndex="189" length="46" url="https://go.microsoft.com/fwlink/?linkid=870924"/>
      </ext>
    </x18tc:extLs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cards.scryfall.io/small/front/c/5/c5ee6651-9946-4bae-b21e-6cf28fa77b13.jpg?1783909512" TargetMode="External"/><Relationship Id="rId42" Type="http://schemas.openxmlformats.org/officeDocument/2006/relationships/hyperlink" Target="https://cards.scryfall.io/small/front/d/1/d11c5fe0-1528-4c94-a8cc-42bcab9d7487.jpg?1787743263" TargetMode="External"/><Relationship Id="rId41" Type="http://schemas.openxmlformats.org/officeDocument/2006/relationships/hyperlink" Target="https://scryfall.com/card/mbc/79/exotic-orchard?utm_source=api" TargetMode="External"/><Relationship Id="rId44" Type="http://schemas.openxmlformats.org/officeDocument/2006/relationships/hyperlink" Target="https://cards.scryfall.io/small/front/6/5/658cfcb7-81b7-48c6-9dd2-1663d06108cf.jpg?1783910785" TargetMode="External"/><Relationship Id="rId43" Type="http://schemas.openxmlformats.org/officeDocument/2006/relationships/hyperlink" Target="https://scryfall.com/card/blb/253/fountainport?utm_source=api" TargetMode="External"/><Relationship Id="rId46" Type="http://schemas.openxmlformats.org/officeDocument/2006/relationships/hyperlink" Target="https://cards.scryfall.io/small/front/a/f/afc12892-4978-4442-ace5-c4dea5c0ee00.jpg?1783903200" TargetMode="External"/><Relationship Id="rId45" Type="http://schemas.openxmlformats.org/officeDocument/2006/relationships/hyperlink" Target="https://scryfall.com/card/msc/247/furycalm-snarl?utm_source=api" TargetMode="External"/><Relationship Id="rId107" Type="http://schemas.openxmlformats.org/officeDocument/2006/relationships/hyperlink" Target="https://scryfall.com/card/spm/87/shadow-of-the-goblin?utm_source=api" TargetMode="External"/><Relationship Id="rId106" Type="http://schemas.openxmlformats.org/officeDocument/2006/relationships/hyperlink" Target="https://cards.scryfall.io/small/front/7/2/729ee848-6c27-4202-b2bc-605f45209468.jpg?1783915714" TargetMode="External"/><Relationship Id="rId105" Type="http://schemas.openxmlformats.org/officeDocument/2006/relationships/hyperlink" Target="https://scryfall.com/card/cmm/54/sephara-skys-blade?utm_source=api" TargetMode="External"/><Relationship Id="rId104" Type="http://schemas.openxmlformats.org/officeDocument/2006/relationships/hyperlink" Target="https://cards.scryfall.io/small/front/2/3/23b76965-528c-48f9-9ee6-332b09cae664.jpg?1783912384" TargetMode="External"/><Relationship Id="rId109" Type="http://schemas.openxmlformats.org/officeDocument/2006/relationships/hyperlink" Target="https://scryfall.com/card/eoc/183/spire-of-industry?utm_source=api" TargetMode="External"/><Relationship Id="rId108" Type="http://schemas.openxmlformats.org/officeDocument/2006/relationships/hyperlink" Target="https://cards.scryfall.io/small/front/8/5/854b6898-c480-435b-8952-a077c7977cec.jpg?1783905334" TargetMode="External"/><Relationship Id="rId48" Type="http://schemas.openxmlformats.org/officeDocument/2006/relationships/hyperlink" Target="https://cards.scryfall.io/small/front/7/f/7f1ccee1-20d1-48f2-ae90-a7a78172e05d.jpg?1783917283" TargetMode="External"/><Relationship Id="rId47" Type="http://schemas.openxmlformats.org/officeDocument/2006/relationships/hyperlink" Target="https://scryfall.com/card/moc/31/hedron-detonator?utm_source=api" TargetMode="External"/><Relationship Id="rId49" Type="http://schemas.openxmlformats.org/officeDocument/2006/relationships/hyperlink" Target="https://scryfall.com/card/msh/133/hex-magic?utm_source=api" TargetMode="External"/><Relationship Id="rId103" Type="http://schemas.openxmlformats.org/officeDocument/2006/relationships/hyperlink" Target="https://scryfall.com/card/pip/118/sentinel-sarah-lyons?utm_source=api" TargetMode="External"/><Relationship Id="rId102" Type="http://schemas.openxmlformats.org/officeDocument/2006/relationships/hyperlink" Target="https://cards.scryfall.io/small/front/9/f/9fbe68ba-ffe5-4fe0-ac0a-0b3221e4f395.jpg?1783903197" TargetMode="External"/><Relationship Id="rId101" Type="http://schemas.openxmlformats.org/officeDocument/2006/relationships/hyperlink" Target="https://scryfall.com/card/msc/263/scavenger-grounds?utm_source=api" TargetMode="External"/><Relationship Id="rId100" Type="http://schemas.openxmlformats.org/officeDocument/2006/relationships/hyperlink" Target="https://cards.scryfall.io/small/front/6/b/6bd21c9e-de16-4ee9-ae16-6e82b490109d.jpg?1783903721" TargetMode="External"/><Relationship Id="rId31" Type="http://schemas.openxmlformats.org/officeDocument/2006/relationships/hyperlink" Target="https://scryfall.com/card/tdm/252/cori-mountain-monastery?utm_source=api" TargetMode="External"/><Relationship Id="rId30" Type="http://schemas.openxmlformats.org/officeDocument/2006/relationships/hyperlink" Target="https://cards.scryfall.io/small/front/1/a/1ac6cb62-45da-4e9a-84c6-09e6eacf0664.jpg?1789644465" TargetMode="External"/><Relationship Id="rId33" Type="http://schemas.openxmlformats.org/officeDocument/2006/relationships/hyperlink" Target="https://scryfall.com/card/dft/118/count-on-luck?utm_source=api" TargetMode="External"/><Relationship Id="rId32" Type="http://schemas.openxmlformats.org/officeDocument/2006/relationships/hyperlink" Target="https://cards.scryfall.io/small/front/9/3/9312821a-2059-4f44-9b20-c9522b827e38.jpg?1783907281" TargetMode="External"/><Relationship Id="rId35" Type="http://schemas.openxmlformats.org/officeDocument/2006/relationships/hyperlink" Target="https://scryfall.com/card/2x2/106/dark-dweller-oracle?utm_source=api" TargetMode="External"/><Relationship Id="rId34" Type="http://schemas.openxmlformats.org/officeDocument/2006/relationships/hyperlink" Target="https://cards.scryfall.io/small/front/8/f/8f31beae-9b8f-4c32-af84-9f3ee767ba1d.jpg?1783907886" TargetMode="External"/><Relationship Id="rId37" Type="http://schemas.openxmlformats.org/officeDocument/2006/relationships/hyperlink" Target="https://scryfall.com/card/fdn/687/demolition-field?utm_source=api" TargetMode="External"/><Relationship Id="rId36" Type="http://schemas.openxmlformats.org/officeDocument/2006/relationships/hyperlink" Target="https://cards.scryfall.io/small/front/b/d/bd35664f-b99d-46b6-988e-8f2814b0a854.jpg?1783921890" TargetMode="External"/><Relationship Id="rId39" Type="http://schemas.openxmlformats.org/officeDocument/2006/relationships/hyperlink" Target="https://scryfall.com/card/dsk/4/dollmakers-shop-porcelain-gallery?utm_source=api" TargetMode="External"/><Relationship Id="rId38" Type="http://schemas.openxmlformats.org/officeDocument/2006/relationships/hyperlink" Target="https://cards.scryfall.io/small/front/0/c/0c7e51b6-4898-4632-b39c-3ce438caa882.jpg?1783908902" TargetMode="External"/><Relationship Id="rId20" Type="http://schemas.openxmlformats.org/officeDocument/2006/relationships/hyperlink" Target="https://cards.scryfall.io/small/front/d/2/d21a7b23-8827-49f2-ade4-75a602d17743.jpg?1783933433" TargetMode="External"/><Relationship Id="rId22" Type="http://schemas.openxmlformats.org/officeDocument/2006/relationships/hyperlink" Target="https://cards.scryfall.io/small/front/4/0/40cb22c8-cb03-45c9-bb0e-b8cabdcc43cd.jpg?1788329325" TargetMode="External"/><Relationship Id="rId21" Type="http://schemas.openxmlformats.org/officeDocument/2006/relationships/hyperlink" Target="https://scryfall.com/card/fra/244/chandra-torch-of-defiance?utm_source=api" TargetMode="External"/><Relationship Id="rId24" Type="http://schemas.openxmlformats.org/officeDocument/2006/relationships/hyperlink" Target="https://cards.scryfall.io/small/front/b/f/bf306f7f-b231-4343-807c-083df8b90c87.jpg?1783930118" TargetMode="External"/><Relationship Id="rId23" Type="http://schemas.openxmlformats.org/officeDocument/2006/relationships/hyperlink" Target="https://scryfall.com/card/2xm/238/chief-of-the-foundry?utm_source=api" TargetMode="External"/><Relationship Id="rId129" Type="http://schemas.openxmlformats.org/officeDocument/2006/relationships/hyperlink" Target="https://scryfall.com/card/tdc/140/welcoming-vampire?utm_source=api" TargetMode="External"/><Relationship Id="rId128" Type="http://schemas.openxmlformats.org/officeDocument/2006/relationships/hyperlink" Target="https://cards.scryfall.io/small/front/c/d/cddb48cc-8eb1-47ce-90f0-7aad1e93e2c4.jpg?1783905943" TargetMode="External"/><Relationship Id="rId127" Type="http://schemas.openxmlformats.org/officeDocument/2006/relationships/hyperlink" Target="https://scryfall.com/card/eoe/169/weftstalker-ardent?utm_source=api" TargetMode="External"/><Relationship Id="rId126" Type="http://schemas.openxmlformats.org/officeDocument/2006/relationships/hyperlink" Target="https://cards.scryfall.io/small/front/9/d/9d9949f5-8d6c-4ea9-b203-99e8a57a6c60.jpg?1783911264" TargetMode="External"/><Relationship Id="rId26" Type="http://schemas.openxmlformats.org/officeDocument/2006/relationships/hyperlink" Target="https://cards.scryfall.io/small/front/c/d/cd112d5c-102f-45a6-b26c-f80cc97d4df2.jpg?1789599889" TargetMode="External"/><Relationship Id="rId121" Type="http://schemas.openxmlformats.org/officeDocument/2006/relationships/hyperlink" Target="https://scryfall.com/card/msc/217/talisman-of-conviction?utm_source=api" TargetMode="External"/><Relationship Id="rId25" Type="http://schemas.openxmlformats.org/officeDocument/2006/relationships/hyperlink" Target="https://scryfall.com/card/frc/67/clifftop-retreat?utm_source=api" TargetMode="External"/><Relationship Id="rId120" Type="http://schemas.openxmlformats.org/officeDocument/2006/relationships/hyperlink" Target="https://cards.scryfall.io/small/front/e/a/eae999f9-9c58-4609-8ade-aca0acf07519.jpg?1783903718" TargetMode="External"/><Relationship Id="rId28" Type="http://schemas.openxmlformats.org/officeDocument/2006/relationships/hyperlink" Target="https://cards.scryfall.io/small/front/4/3/435e9678-9ff3-4e5d-8061-3f806e1c2ed2.jpg?1783906993" TargetMode="External"/><Relationship Id="rId27" Type="http://schemas.openxmlformats.org/officeDocument/2006/relationships/hyperlink" Target="https://scryfall.com/card/tdc/352/command-beacon?utm_source=api" TargetMode="External"/><Relationship Id="rId125" Type="http://schemas.openxmlformats.org/officeDocument/2006/relationships/hyperlink" Target="https://scryfall.com/card/mh3/142/unstable-amulet?utm_source=api" TargetMode="External"/><Relationship Id="rId29" Type="http://schemas.openxmlformats.org/officeDocument/2006/relationships/hyperlink" Target="https://scryfall.com/card/frc/22/command-tower?utm_source=api" TargetMode="External"/><Relationship Id="rId124" Type="http://schemas.openxmlformats.org/officeDocument/2006/relationships/hyperlink" Target="https://cards.scryfall.io/small/front/e/7/e72a798b-8dab-41f4-9c2d-1d461e1b46c5.jpg?1783919718" TargetMode="External"/><Relationship Id="rId123" Type="http://schemas.openxmlformats.org/officeDocument/2006/relationships/hyperlink" Target="https://scryfall.com/card/brc/19/thopter-shop?utm_source=api" TargetMode="External"/><Relationship Id="rId122" Type="http://schemas.openxmlformats.org/officeDocument/2006/relationships/hyperlink" Target="https://cards.scryfall.io/small/front/a/3/a365885c-f7d9-4ea1-9125-5265055e5570.jpg?1783903211" TargetMode="External"/><Relationship Id="rId95" Type="http://schemas.openxmlformats.org/officeDocument/2006/relationships/hyperlink" Target="https://scryfall.com/card/c18/57/retrofitter-foundry?utm_source=api" TargetMode="External"/><Relationship Id="rId94" Type="http://schemas.openxmlformats.org/officeDocument/2006/relationships/hyperlink" Target="https://cards.scryfall.io/small/front/6/3/63ffac51-62c4-4170-85b3-a43d7cfae7d7.jpg?1783937190" TargetMode="External"/><Relationship Id="rId97" Type="http://schemas.openxmlformats.org/officeDocument/2006/relationships/hyperlink" Target="https://scryfall.com/card/pip/66/rose-cutthroat-raider?utm_source=api" TargetMode="External"/><Relationship Id="rId96" Type="http://schemas.openxmlformats.org/officeDocument/2006/relationships/hyperlink" Target="https://cards.scryfall.io/small/front/5/d/5da578b8-19e6-4068-9336-e7cd33c585f1.jpg?1783934323" TargetMode="External"/><Relationship Id="rId11" Type="http://schemas.openxmlformats.org/officeDocument/2006/relationships/hyperlink" Target="https://scryfall.com/card/lci/134/bonehoard-dracosaur?utm_source=api" TargetMode="External"/><Relationship Id="rId99" Type="http://schemas.openxmlformats.org/officeDocument/2006/relationships/hyperlink" Target="https://scryfall.com/card/soc/401/rugged-prairie?utm_source=api" TargetMode="External"/><Relationship Id="rId10" Type="http://schemas.openxmlformats.org/officeDocument/2006/relationships/hyperlink" Target="https://cards.scryfall.io/small/front/7/d/7d4b1d44-126e-4987-9a9f-f0f9627a09cb.jpg?1783903234" TargetMode="External"/><Relationship Id="rId98" Type="http://schemas.openxmlformats.org/officeDocument/2006/relationships/hyperlink" Target="https://cards.scryfall.io/small/front/f/8/f803a510-99fe-467a-be3b-9301497ec7ec.jpg?1783912401" TargetMode="External"/><Relationship Id="rId13" Type="http://schemas.openxmlformats.org/officeDocument/2006/relationships/hyperlink" Target="https://scryfall.com/card/tdc/314/boros-signet?utm_source=api" TargetMode="External"/><Relationship Id="rId12" Type="http://schemas.openxmlformats.org/officeDocument/2006/relationships/hyperlink" Target="https://cards.scryfall.io/small/front/2/2/2220ed60-3f8f-4dd2-8319-6a06896a5350.jpg?1783913768" TargetMode="External"/><Relationship Id="rId91" Type="http://schemas.openxmlformats.org/officeDocument/2006/relationships/hyperlink" Target="https://scryfall.com/card/frc/80/radiant-summit?utm_source=api" TargetMode="External"/><Relationship Id="rId90" Type="http://schemas.openxmlformats.org/officeDocument/2006/relationships/hyperlink" Target="https://cards.scryfall.io/small/front/4/2/42acbf52-b137-44f0-a815-2817fe8d2da2.jpg?1783923119" TargetMode="External"/><Relationship Id="rId93" Type="http://schemas.openxmlformats.org/officeDocument/2006/relationships/hyperlink" Target="https://scryfall.com/card/kld/126/reckless-fireweaver?utm_source=api" TargetMode="External"/><Relationship Id="rId92" Type="http://schemas.openxmlformats.org/officeDocument/2006/relationships/hyperlink" Target="https://cards.scryfall.io/small/front/f/8/f8cd6aae-a1cb-43b1-aca9-09fe2778969f.jpg?1790063310" TargetMode="External"/><Relationship Id="rId118" Type="http://schemas.openxmlformats.org/officeDocument/2006/relationships/hyperlink" Target="https://cards.scryfall.io/small/front/b/3/b34000e9-ff20-4fb4-9d0b-03a172a92457.jpg?1783903618" TargetMode="External"/><Relationship Id="rId117" Type="http://schemas.openxmlformats.org/officeDocument/2006/relationships/hyperlink" Target="https://scryfall.com/card/sos/264/sundown-pass?utm_source=api" TargetMode="External"/><Relationship Id="rId116" Type="http://schemas.openxmlformats.org/officeDocument/2006/relationships/hyperlink" Target="https://cards.scryfall.io/small/front/c/3/c36820fa-ee86-4206-9a0d-737a67cf5208.jpg?1783933065" TargetMode="External"/><Relationship Id="rId115" Type="http://schemas.openxmlformats.org/officeDocument/2006/relationships/hyperlink" Target="https://scryfall.com/card/mh1/247/sunbaked-canyon?utm_source=api" TargetMode="External"/><Relationship Id="rId119" Type="http://schemas.openxmlformats.org/officeDocument/2006/relationships/hyperlink" Target="https://scryfall.com/card/soc/410/sunscorched-divide?utm_source=api" TargetMode="External"/><Relationship Id="rId15" Type="http://schemas.openxmlformats.org/officeDocument/2006/relationships/hyperlink" Target="https://scryfall.com/card/mh2/117/breyas-apprentice?utm_source=api" TargetMode="External"/><Relationship Id="rId110" Type="http://schemas.openxmlformats.org/officeDocument/2006/relationships/hyperlink" Target="https://cards.scryfall.io/small/front/3/5/35e9ec06-a848-4230-84a2-19cb8034e0f0.jpg?1783906004" TargetMode="External"/><Relationship Id="rId14" Type="http://schemas.openxmlformats.org/officeDocument/2006/relationships/hyperlink" Target="https://cards.scryfall.io/small/front/4/9/49c37c0e-d363-4033-a069-710241cd9923.jpg?1783907016" TargetMode="External"/><Relationship Id="rId17" Type="http://schemas.openxmlformats.org/officeDocument/2006/relationships/hyperlink" Target="https://scryfall.com/card/tdc/347/castle-embereth?utm_source=api" TargetMode="External"/><Relationship Id="rId16" Type="http://schemas.openxmlformats.org/officeDocument/2006/relationships/hyperlink" Target="https://cards.scryfall.io/small/front/c/3/c32b5b2e-dabf-4672-b476-4873781f636e.jpg?1783926848" TargetMode="External"/><Relationship Id="rId19" Type="http://schemas.openxmlformats.org/officeDocument/2006/relationships/hyperlink" Target="https://scryfall.com/card/war/119/chandra-fire-artisan?utm_source=api" TargetMode="External"/><Relationship Id="rId114" Type="http://schemas.openxmlformats.org/officeDocument/2006/relationships/hyperlink" Target="https://cards.scryfall.io/small/front/4/c/4c398d11-a2fc-43e2-96e9-7f3383e1a43c.jpg?1783907749" TargetMode="External"/><Relationship Id="rId18" Type="http://schemas.openxmlformats.org/officeDocument/2006/relationships/hyperlink" Target="https://cards.scryfall.io/small/front/3/3/337f2d97-b317-4c10-b151-7acccf38fca8.jpg?1783906997" TargetMode="External"/><Relationship Id="rId113" Type="http://schemas.openxmlformats.org/officeDocument/2006/relationships/hyperlink" Target="https://scryfall.com/card/drc/19/stridehangar-automaton?utm_source=api" TargetMode="External"/><Relationship Id="rId112" Type="http://schemas.openxmlformats.org/officeDocument/2006/relationships/hyperlink" Target="https://cards.scryfall.io/small/front/7/6/7601fbf2-916f-44b2-837a-201fd8304613.jpg?1783906018" TargetMode="External"/><Relationship Id="rId111" Type="http://schemas.openxmlformats.org/officeDocument/2006/relationships/hyperlink" Target="https://scryfall.com/card/eoc/144/steel-overseer?utm_source=api" TargetMode="External"/><Relationship Id="rId84" Type="http://schemas.openxmlformats.org/officeDocument/2006/relationships/hyperlink" Target="https://cards.scryfall.io/small/front/9/d/9d2502c8-bf80-404c-9a9a-b843d355fcaa.jpg?1783927540" TargetMode="External"/><Relationship Id="rId83" Type="http://schemas.openxmlformats.org/officeDocument/2006/relationships/hyperlink" Target="https://scryfall.com/card/c21/177/pia-nalaar?utm_source=api" TargetMode="External"/><Relationship Id="rId86" Type="http://schemas.openxmlformats.org/officeDocument/2006/relationships/hyperlink" Target="https://cards.scryfall.io/small/front/0/a/0ae89461-4bce-4b49-b875-03afc2469fe7.jpg?1783916510" TargetMode="External"/><Relationship Id="rId85" Type="http://schemas.openxmlformats.org/officeDocument/2006/relationships/hyperlink" Target="https://scryfall.com/card/mat/42/pia-nalaar-consul-of-revival?utm_source=api" TargetMode="External"/><Relationship Id="rId88" Type="http://schemas.openxmlformats.org/officeDocument/2006/relationships/hyperlink" Target="https://cards.scryfall.io/small/front/0/9/09ac862f-0a51-44dd-b86f-9412b8218b13.jpg?1791578423" TargetMode="External"/><Relationship Id="rId87" Type="http://schemas.openxmlformats.org/officeDocument/2006/relationships/hyperlink" Target="https://scryfall.com/card/mdd/292/plains?utm_source=api" TargetMode="External"/><Relationship Id="rId89" Type="http://schemas.openxmlformats.org/officeDocument/2006/relationships/hyperlink" Target="https://scryfall.com/card/snc/116/professional-face-breaker?utm_source=api" TargetMode="External"/><Relationship Id="rId80" Type="http://schemas.openxmlformats.org/officeDocument/2006/relationships/hyperlink" Target="https://cards.scryfall.io/small/front/b/7/b7f8bb8d-c46a-4531-9525-6981a222b468.jpg?1783911269" TargetMode="External"/><Relationship Id="rId82" Type="http://schemas.openxmlformats.org/officeDocument/2006/relationships/hyperlink" Target="https://cards.scryfall.io/small/front/5/3/537ea7e7-e8e8-4736-bdd9-1085f1a7c259.jpg?1783903215" TargetMode="External"/><Relationship Id="rId81" Type="http://schemas.openxmlformats.org/officeDocument/2006/relationships/hyperlink" Target="https://scryfall.com/card/msc/207/patchwork-banner?utm_source=api" TargetMode="External"/><Relationship Id="rId1" Type="http://schemas.openxmlformats.org/officeDocument/2006/relationships/hyperlink" Target="https://scryfall.com/card/lci/223/anim-pakal-thousandth-moon?utm_source=api" TargetMode="External"/><Relationship Id="rId2" Type="http://schemas.openxmlformats.org/officeDocument/2006/relationships/hyperlink" Target="https://cards.scryfall.io/small/front/8/6/868856b7-8875-43c1-8249-0f8fb2c8319b.jpg?1783913734" TargetMode="External"/><Relationship Id="rId3" Type="http://schemas.openxmlformats.org/officeDocument/2006/relationships/hyperlink" Target="https://scryfall.com/card/dsk/208/arabella-abandoned-doll?utm_source=api" TargetMode="External"/><Relationship Id="rId4" Type="http://schemas.openxmlformats.org/officeDocument/2006/relationships/hyperlink" Target="https://cards.scryfall.io/small/front/f/6/f683d5a1-b8bf-446f-9fe3-88a4398bf3cf.jpg?1783909446" TargetMode="External"/><Relationship Id="rId9" Type="http://schemas.openxmlformats.org/officeDocument/2006/relationships/hyperlink" Target="https://scryfall.com/card/msc/163/blasphemous-act?utm_source=api" TargetMode="External"/><Relationship Id="rId5" Type="http://schemas.openxmlformats.org/officeDocument/2006/relationships/hyperlink" Target="https://scryfall.com/card/frc/65/battlefield-forge?utm_source=api" TargetMode="External"/><Relationship Id="rId6" Type="http://schemas.openxmlformats.org/officeDocument/2006/relationships/hyperlink" Target="https://cards.scryfall.io/small/front/e/f/ef7d3676-b1db-4329-9201-18f8a6c54ea6.jpg?1789599856" TargetMode="External"/><Relationship Id="rId7" Type="http://schemas.openxmlformats.org/officeDocument/2006/relationships/hyperlink" Target="https://scryfall.com/card/hob/4/belladonna-took?utm_source=api" TargetMode="External"/><Relationship Id="rId8" Type="http://schemas.openxmlformats.org/officeDocument/2006/relationships/hyperlink" Target="https://cards.scryfall.io/small/front/8/8/88f0c189-c9ed-4ea3-ae62-3d8ac6c7fecf.jpg?1784894804" TargetMode="External"/><Relationship Id="rId73" Type="http://schemas.openxmlformats.org/officeDocument/2006/relationships/hyperlink" Target="https://scryfall.com/card/mdd/298/mountain?utm_source=api" TargetMode="External"/><Relationship Id="rId72" Type="http://schemas.openxmlformats.org/officeDocument/2006/relationships/hyperlink" Target="https://cards.scryfall.io/small/front/9/f/9f5ba065-2806-4e99-a330-168cfe76250f.jpg?1783911269" TargetMode="External"/><Relationship Id="rId75" Type="http://schemas.openxmlformats.org/officeDocument/2006/relationships/hyperlink" Target="https://scryfall.com/card/onc/2/neyali-suns-vanguard?utm_source=api" TargetMode="External"/><Relationship Id="rId74" Type="http://schemas.openxmlformats.org/officeDocument/2006/relationships/hyperlink" Target="https://cards.scryfall.io/small/front/8/5/85177bd7-6c50-48da-b692-ae5fe7bd357c.jpg?1791578439" TargetMode="External"/><Relationship Id="rId77" Type="http://schemas.openxmlformats.org/officeDocument/2006/relationships/hyperlink" Target="https://scryfall.com/card/cmm/966/ornithopter-of-paradise?utm_source=api" TargetMode="External"/><Relationship Id="rId76" Type="http://schemas.openxmlformats.org/officeDocument/2006/relationships/hyperlink" Target="https://cards.scryfall.io/small/front/2/b/2b5df03d-2463-468b-b444-d946eeb1c96d.jpg?1783918164" TargetMode="External"/><Relationship Id="rId79" Type="http://schemas.openxmlformats.org/officeDocument/2006/relationships/hyperlink" Target="https://scryfall.com/card/mh3/129/party-thrasher?utm_source=api" TargetMode="External"/><Relationship Id="rId78" Type="http://schemas.openxmlformats.org/officeDocument/2006/relationships/hyperlink" Target="https://cards.scryfall.io/small/front/1/8/18bbdc6c-b6c9-4f89-8f0a-6266e53c1fb9.jpg?1783915400" TargetMode="External"/><Relationship Id="rId71" Type="http://schemas.openxmlformats.org/officeDocument/2006/relationships/hyperlink" Target="https://scryfall.com/card/mh3/128/molten-gatekeeper?utm_source=api" TargetMode="External"/><Relationship Id="rId70" Type="http://schemas.openxmlformats.org/officeDocument/2006/relationships/hyperlink" Target="https://cards.scryfall.io/small/front/c/d/cdb6beb3-1669-4e7b-9c76-65424673eb36.jpg?1783937230" TargetMode="External"/><Relationship Id="rId137" Type="http://schemas.openxmlformats.org/officeDocument/2006/relationships/drawing" Target="../drawings/drawing5.xml"/><Relationship Id="rId132" Type="http://schemas.openxmlformats.org/officeDocument/2006/relationships/hyperlink" Target="https://cards.scryfall.io/small/front/c/a/ca1024d6-c5f1-48f5-9081-fb90d0c46fdb.jpg?1783912401" TargetMode="External"/><Relationship Id="rId131" Type="http://schemas.openxmlformats.org/officeDocument/2006/relationships/hyperlink" Target="https://scryfall.com/card/pip/71/wild-wasteland?utm_source=api" TargetMode="External"/><Relationship Id="rId130" Type="http://schemas.openxmlformats.org/officeDocument/2006/relationships/hyperlink" Target="https://cards.scryfall.io/small/front/3/5/35a69bb5-b8e6-4558-9563-10c7a3662f93.jpg?1783907112" TargetMode="External"/><Relationship Id="rId136" Type="http://schemas.openxmlformats.org/officeDocument/2006/relationships/hyperlink" Target="https://cards.scryfall.io/small/front/7/1/71d13f19-482b-4a2e-9692-b7d7caf2f9f5.jpg?1783923109" TargetMode="External"/><Relationship Id="rId135" Type="http://schemas.openxmlformats.org/officeDocument/2006/relationships/hyperlink" Target="https://scryfall.com/card/snc/131/witty-roastmaster?utm_source=api" TargetMode="External"/><Relationship Id="rId134" Type="http://schemas.openxmlformats.org/officeDocument/2006/relationships/hyperlink" Target="https://cards.scryfall.io/small/front/d/f/df441bae-3b9c-46a9-8287-870c00d58a64.jpg?1783906957" TargetMode="External"/><Relationship Id="rId133" Type="http://schemas.openxmlformats.org/officeDocument/2006/relationships/hyperlink" Target="https://scryfall.com/card/tdc/411/windbrisk-heights?utm_source=api" TargetMode="External"/><Relationship Id="rId62" Type="http://schemas.openxmlformats.org/officeDocument/2006/relationships/hyperlink" Target="https://cards.scryfall.io/small/front/2/c/2cb16354-1211-4230-90e2-4858ba68f348.jpg?1783903774" TargetMode="External"/><Relationship Id="rId61" Type="http://schemas.openxmlformats.org/officeDocument/2006/relationships/hyperlink" Target="https://scryfall.com/card/soc/246/laelia-the-blade-reforged?utm_source=api" TargetMode="External"/><Relationship Id="rId64" Type="http://schemas.openxmlformats.org/officeDocument/2006/relationships/hyperlink" Target="https://cards.scryfall.io/small/front/7/b/7bc56147-9920-401d-8e4e-93d497e8b67a.jpg?1783906066" TargetMode="External"/><Relationship Id="rId63" Type="http://schemas.openxmlformats.org/officeDocument/2006/relationships/hyperlink" Target="https://scryfall.com/card/eoc/11/long-range-sensor?utm_source=api" TargetMode="External"/><Relationship Id="rId66" Type="http://schemas.openxmlformats.org/officeDocument/2006/relationships/hyperlink" Target="https://cards.scryfall.io/small/front/e/e/ee6b54de-8e79-4f60-b642-3d259bf74ea0.jpg?1783915719" TargetMode="External"/><Relationship Id="rId65" Type="http://schemas.openxmlformats.org/officeDocument/2006/relationships/hyperlink" Target="https://scryfall.com/card/cmm/38/losheel-clockwork-scholar?utm_source=api" TargetMode="External"/><Relationship Id="rId68" Type="http://schemas.openxmlformats.org/officeDocument/2006/relationships/hyperlink" Target="https://cards.scryfall.io/small/front/d/4/d4d469ea-824b-4eff-82e8-2a0b9b4c0e2d.jpg?1783907066" TargetMode="External"/><Relationship Id="rId67" Type="http://schemas.openxmlformats.org/officeDocument/2006/relationships/hyperlink" Target="https://scryfall.com/card/tdc/222/loyal-apprentice?utm_source=api" TargetMode="External"/><Relationship Id="rId60" Type="http://schemas.openxmlformats.org/officeDocument/2006/relationships/hyperlink" Target="https://cards.scryfall.io/small/front/5/7/576d86b5-2541-4ebc-8992-73248af7c805.jpg?1783927522" TargetMode="External"/><Relationship Id="rId69" Type="http://schemas.openxmlformats.org/officeDocument/2006/relationships/hyperlink" Target="https://scryfall.com/card/kld/21/master-trinketeer?utm_source=api" TargetMode="External"/><Relationship Id="rId51" Type="http://schemas.openxmlformats.org/officeDocument/2006/relationships/hyperlink" Target="https://scryfall.com/card/sos/120/improvisation-capstone?utm_source=api" TargetMode="External"/><Relationship Id="rId50" Type="http://schemas.openxmlformats.org/officeDocument/2006/relationships/hyperlink" Target="https://cards.scryfall.io/small/front/2/5/259bed47-1950-43ae-8efd-3009537529a8.jpg?1783902932" TargetMode="External"/><Relationship Id="rId53" Type="http://schemas.openxmlformats.org/officeDocument/2006/relationships/hyperlink" Target="https://scryfall.com/card/clb/182/ingenious-artillerist?utm_source=api" TargetMode="External"/><Relationship Id="rId52" Type="http://schemas.openxmlformats.org/officeDocument/2006/relationships/hyperlink" Target="https://cards.scryfall.io/small/front/d/0/d01fe6e9-49ee-4708-833e-75cd5a9f167c.jpg?1783903667" TargetMode="External"/><Relationship Id="rId55" Type="http://schemas.openxmlformats.org/officeDocument/2006/relationships/hyperlink" Target="https://scryfall.com/card/spm/165/interdimensional-web-watch?utm_source=api" TargetMode="External"/><Relationship Id="rId54" Type="http://schemas.openxmlformats.org/officeDocument/2006/relationships/hyperlink" Target="https://cards.scryfall.io/small/front/1/d/1d8dd6c3-3699-4dd1-a019-fdb569eaf722.jpg?1783922736" TargetMode="External"/><Relationship Id="rId57" Type="http://schemas.openxmlformats.org/officeDocument/2006/relationships/hyperlink" Target="https://scryfall.com/card/mom/145/invasion-of-kaldheim-pyre-of-the-world-tree?utm_source=api" TargetMode="External"/><Relationship Id="rId56" Type="http://schemas.openxmlformats.org/officeDocument/2006/relationships/hyperlink" Target="https://cards.scryfall.io/small/front/8/7/87a8e112-e72f-413f-88a3-e7ce72c2ec53.jpg?1783905305" TargetMode="External"/><Relationship Id="rId59" Type="http://schemas.openxmlformats.org/officeDocument/2006/relationships/hyperlink" Target="https://scryfall.com/card/c21/220/jor-kadeen-the-prevailer?utm_source=api" TargetMode="External"/><Relationship Id="rId58" Type="http://schemas.openxmlformats.org/officeDocument/2006/relationships/hyperlink" Target="https://cards.scryfall.io/small/front/f/7/f7cedd62-efc8-464d-8387-220bb55e07e9.jpg?1783916996"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0.0"/>
    <col customWidth="1" min="2" max="6" width="12.63"/>
  </cols>
  <sheetData>
    <row r="1">
      <c r="A1" s="1" t="s">
        <v>0</v>
      </c>
      <c r="B1" s="2"/>
      <c r="C1" s="2"/>
      <c r="D1" s="2"/>
      <c r="E1" s="2"/>
      <c r="F1" s="2"/>
    </row>
    <row r="2" ht="15.0" customHeight="1">
      <c r="A2" s="3" t="s">
        <v>1</v>
      </c>
      <c r="B2" s="2"/>
      <c r="C2" s="2"/>
      <c r="D2" s="2"/>
      <c r="E2" s="2"/>
      <c r="F2" s="4"/>
    </row>
    <row r="3">
      <c r="A3" s="5"/>
      <c r="B3" s="2"/>
      <c r="C3" s="2"/>
      <c r="D3" s="2"/>
      <c r="E3" s="2"/>
      <c r="F3" s="2"/>
    </row>
    <row r="4">
      <c r="A4" s="6" t="s">
        <v>2</v>
      </c>
      <c r="B4" s="2"/>
      <c r="C4" s="2"/>
      <c r="D4" s="2"/>
      <c r="E4" s="2"/>
      <c r="F4" s="2"/>
    </row>
    <row r="5">
      <c r="A5" s="3" t="s">
        <v>3</v>
      </c>
      <c r="B5" s="2"/>
      <c r="C5" s="2"/>
      <c r="D5" s="2"/>
      <c r="E5" s="2"/>
      <c r="F5" s="2"/>
    </row>
    <row r="6">
      <c r="A6" s="5"/>
      <c r="B6" s="2"/>
      <c r="C6" s="2"/>
      <c r="D6" s="2"/>
      <c r="E6" s="2"/>
      <c r="F6" s="2"/>
    </row>
    <row r="7" ht="15.0" customHeight="1">
      <c r="A7" s="6" t="s">
        <v>4</v>
      </c>
      <c r="B7" s="2"/>
      <c r="C7" s="2"/>
      <c r="D7" s="2"/>
      <c r="E7" s="2"/>
      <c r="F7" s="2"/>
    </row>
    <row r="8">
      <c r="A8" s="3" t="s">
        <v>5</v>
      </c>
      <c r="B8" s="2"/>
      <c r="C8" s="2"/>
      <c r="D8" s="2"/>
      <c r="E8" s="2"/>
      <c r="F8" s="2"/>
    </row>
    <row r="9" ht="15.0" customHeight="1">
      <c r="A9" s="3" t="s">
        <v>6</v>
      </c>
      <c r="B9" s="2"/>
      <c r="C9" s="2"/>
      <c r="D9" s="2"/>
      <c r="E9" s="2"/>
      <c r="F9" s="2"/>
    </row>
    <row r="10">
      <c r="A10" s="3" t="s">
        <v>7</v>
      </c>
      <c r="B10" s="2"/>
      <c r="C10" s="2"/>
      <c r="D10" s="2"/>
      <c r="E10" s="2"/>
      <c r="F10" s="2"/>
    </row>
    <row r="11" ht="15.0" customHeight="1">
      <c r="A11" s="3" t="s">
        <v>8</v>
      </c>
      <c r="B11" s="2"/>
      <c r="C11" s="2"/>
      <c r="D11" s="2"/>
      <c r="E11" s="2"/>
      <c r="F11" s="2"/>
    </row>
    <row r="12">
      <c r="A12" s="3" t="s">
        <v>9</v>
      </c>
      <c r="B12" s="2"/>
      <c r="C12" s="2"/>
      <c r="D12" s="2"/>
      <c r="E12" s="2"/>
      <c r="F12" s="2"/>
    </row>
    <row r="13" ht="15.0" customHeight="1">
      <c r="A13" s="5"/>
      <c r="B13" s="2"/>
      <c r="C13" s="2"/>
      <c r="D13" s="2"/>
      <c r="E13" s="2"/>
      <c r="F13" s="2"/>
      <c r="M13" s="7"/>
    </row>
    <row r="14">
      <c r="A14" s="6" t="s">
        <v>10</v>
      </c>
      <c r="B14" s="2"/>
      <c r="C14" s="2"/>
      <c r="D14" s="2"/>
      <c r="E14" s="2"/>
      <c r="F14" s="2"/>
    </row>
    <row r="15" ht="15.0" customHeight="1">
      <c r="A15" s="3" t="s">
        <v>11</v>
      </c>
      <c r="B15" s="2"/>
      <c r="C15" s="2"/>
      <c r="D15" s="2"/>
      <c r="E15" s="2"/>
      <c r="F15" s="2"/>
    </row>
    <row r="16">
      <c r="A16" s="3" t="s">
        <v>12</v>
      </c>
      <c r="B16" s="2"/>
      <c r="C16" s="2"/>
      <c r="D16" s="2"/>
      <c r="E16" s="2"/>
      <c r="F16" s="2"/>
    </row>
    <row r="17" ht="15.0" customHeight="1">
      <c r="A17" s="3" t="s">
        <v>13</v>
      </c>
      <c r="B17" s="2"/>
      <c r="C17" s="2"/>
      <c r="D17" s="2"/>
      <c r="E17" s="2"/>
      <c r="F17" s="2"/>
    </row>
    <row r="18">
      <c r="A18" s="3" t="s">
        <v>14</v>
      </c>
      <c r="B18" s="2"/>
      <c r="C18" s="2"/>
      <c r="D18" s="2"/>
      <c r="E18" s="2"/>
      <c r="F18" s="2"/>
    </row>
    <row r="19" ht="15.0" customHeight="1">
      <c r="A19" s="3" t="s">
        <v>15</v>
      </c>
      <c r="B19" s="2"/>
      <c r="C19" s="2"/>
      <c r="D19" s="2"/>
      <c r="E19" s="2"/>
      <c r="F19" s="2"/>
    </row>
    <row r="20" ht="15.0" customHeight="1">
      <c r="A20" s="5"/>
      <c r="B20" s="2"/>
      <c r="C20" s="2"/>
      <c r="D20" s="2"/>
      <c r="E20" s="2"/>
      <c r="F20" s="2"/>
    </row>
    <row r="21" ht="15.0" customHeight="1">
      <c r="A21" s="6" t="s">
        <v>16</v>
      </c>
      <c r="B21" s="2"/>
      <c r="C21" s="2"/>
      <c r="D21" s="2"/>
      <c r="E21" s="2"/>
      <c r="F21" s="2"/>
    </row>
    <row r="22" ht="15.75" customHeight="1">
      <c r="A22" s="3" t="s">
        <v>17</v>
      </c>
      <c r="B22" s="2"/>
      <c r="C22" s="2"/>
      <c r="D22" s="2"/>
      <c r="E22" s="2"/>
      <c r="F22" s="2"/>
    </row>
    <row r="23" ht="15.0" customHeight="1">
      <c r="A23" s="3" t="s">
        <v>18</v>
      </c>
      <c r="B23" s="2"/>
      <c r="C23" s="2"/>
      <c r="D23" s="2"/>
      <c r="E23" s="2"/>
      <c r="F23" s="2"/>
    </row>
    <row r="24" ht="15.75" customHeight="1">
      <c r="A24" s="3" t="s">
        <v>19</v>
      </c>
      <c r="B24" s="2"/>
      <c r="C24" s="2"/>
      <c r="D24" s="2"/>
      <c r="E24" s="2"/>
      <c r="F24" s="2"/>
    </row>
    <row r="25" ht="15.75" customHeight="1">
      <c r="A25" s="3" t="s">
        <v>20</v>
      </c>
      <c r="B25" s="2"/>
      <c r="C25" s="2"/>
      <c r="D25" s="2"/>
      <c r="E25" s="2"/>
      <c r="F25" s="2"/>
    </row>
    <row r="26" ht="15.75" customHeight="1">
      <c r="A26" s="5"/>
      <c r="B26" s="2"/>
      <c r="C26" s="2"/>
      <c r="D26" s="2"/>
      <c r="E26" s="2"/>
      <c r="F26" s="2"/>
    </row>
    <row r="27" ht="15.75" customHeight="1">
      <c r="A27" s="6" t="s">
        <v>21</v>
      </c>
      <c r="B27" s="2"/>
      <c r="C27" s="2"/>
      <c r="D27" s="2"/>
      <c r="E27" s="2"/>
      <c r="F27" s="2"/>
    </row>
    <row r="28" ht="15.75" customHeight="1">
      <c r="A28" s="3" t="s">
        <v>22</v>
      </c>
      <c r="B28" s="2"/>
      <c r="C28" s="2"/>
      <c r="D28" s="2"/>
      <c r="E28" s="2"/>
      <c r="F28" s="2"/>
    </row>
    <row r="29" ht="15.75" customHeight="1">
      <c r="A29" s="3" t="s">
        <v>23</v>
      </c>
      <c r="B29" s="2"/>
      <c r="C29" s="2"/>
      <c r="D29" s="2"/>
      <c r="E29" s="2"/>
      <c r="F29" s="2"/>
    </row>
    <row r="30" ht="15.75" customHeight="1">
      <c r="A30" s="5"/>
      <c r="B30" s="2"/>
      <c r="C30" s="2"/>
      <c r="D30" s="2"/>
      <c r="E30" s="2"/>
      <c r="F30" s="2"/>
    </row>
    <row r="31" ht="15.75" customHeight="1">
      <c r="A31" s="6" t="s">
        <v>24</v>
      </c>
      <c r="B31" s="2"/>
      <c r="C31" s="2"/>
      <c r="D31" s="2"/>
      <c r="E31" s="2"/>
      <c r="F31" s="2"/>
    </row>
    <row r="32" ht="15.75" customHeight="1">
      <c r="A32" s="3" t="s">
        <v>25</v>
      </c>
      <c r="B32" s="2"/>
      <c r="C32" s="2"/>
      <c r="D32" s="2"/>
      <c r="E32" s="2"/>
      <c r="F32" s="2"/>
    </row>
    <row r="33" ht="15.75" customHeight="1">
      <c r="A33" s="3" t="s">
        <v>26</v>
      </c>
      <c r="B33" s="2"/>
      <c r="C33" s="2"/>
      <c r="D33" s="2"/>
      <c r="E33" s="2"/>
      <c r="F33" s="2"/>
    </row>
    <row r="34" ht="15.75" customHeight="1">
      <c r="A34" s="3" t="s">
        <v>27</v>
      </c>
      <c r="B34" s="2"/>
      <c r="C34" s="2"/>
      <c r="D34" s="2"/>
      <c r="E34" s="2"/>
      <c r="F34" s="2"/>
    </row>
    <row r="35" ht="15.75" customHeight="1">
      <c r="A35" s="3" t="s">
        <v>28</v>
      </c>
      <c r="B35" s="2"/>
      <c r="C35" s="2"/>
      <c r="D35" s="2"/>
      <c r="E35" s="2"/>
      <c r="F35" s="2"/>
    </row>
    <row r="36" ht="15.75" customHeight="1">
      <c r="A36" s="3" t="s">
        <v>29</v>
      </c>
      <c r="B36" s="2"/>
      <c r="C36" s="2"/>
      <c r="D36" s="2"/>
      <c r="E36" s="2"/>
      <c r="F36" s="2"/>
    </row>
    <row r="37" ht="15.75" customHeight="1">
      <c r="A37" s="3" t="s">
        <v>30</v>
      </c>
      <c r="B37" s="2"/>
      <c r="C37" s="2"/>
      <c r="D37" s="2"/>
      <c r="E37" s="2"/>
      <c r="F37" s="2"/>
    </row>
    <row r="38" ht="15.75" customHeight="1">
      <c r="A38" s="5"/>
      <c r="B38" s="2"/>
      <c r="C38" s="2"/>
      <c r="D38" s="2"/>
      <c r="E38" s="2"/>
      <c r="F38" s="2"/>
    </row>
    <row r="39" ht="15.75" customHeight="1">
      <c r="A39" s="6" t="s">
        <v>31</v>
      </c>
      <c r="B39" s="2"/>
      <c r="C39" s="2"/>
      <c r="D39" s="2"/>
      <c r="E39" s="2"/>
      <c r="F39" s="2"/>
    </row>
    <row r="40" ht="15.75" customHeight="1">
      <c r="A40" s="3" t="s">
        <v>32</v>
      </c>
      <c r="B40" s="2"/>
      <c r="C40" s="2"/>
      <c r="D40" s="2"/>
      <c r="E40" s="2"/>
      <c r="F40" s="2"/>
    </row>
    <row r="41" ht="15.75" customHeight="1">
      <c r="A41" s="3" t="s">
        <v>33</v>
      </c>
      <c r="B41" s="2"/>
      <c r="C41" s="2"/>
      <c r="D41" s="2"/>
      <c r="E41" s="2"/>
      <c r="F41" s="2"/>
    </row>
    <row r="42" ht="15.75" customHeight="1">
      <c r="A42" s="3" t="s">
        <v>34</v>
      </c>
      <c r="B42" s="2"/>
      <c r="C42" s="2"/>
      <c r="D42" s="2"/>
      <c r="E42" s="2"/>
      <c r="F42" s="2"/>
    </row>
    <row r="43" ht="15.75" customHeight="1">
      <c r="A43" s="3" t="s">
        <v>35</v>
      </c>
      <c r="B43" s="2"/>
      <c r="C43" s="2"/>
      <c r="D43" s="2"/>
      <c r="E43" s="2"/>
      <c r="F43" s="2"/>
    </row>
    <row r="44" ht="15.75" customHeight="1">
      <c r="A44" s="3" t="s">
        <v>36</v>
      </c>
      <c r="B44" s="2"/>
      <c r="C44" s="2"/>
      <c r="D44" s="2"/>
      <c r="E44" s="2"/>
      <c r="F44" s="2"/>
    </row>
    <row r="45" ht="15.75" customHeight="1">
      <c r="A45" s="5"/>
      <c r="B45" s="2"/>
      <c r="C45" s="2"/>
      <c r="D45" s="2"/>
      <c r="E45" s="2"/>
      <c r="F45" s="2"/>
    </row>
    <row r="46" ht="15.75" customHeight="1">
      <c r="A46" s="6" t="s">
        <v>37</v>
      </c>
      <c r="B46" s="2"/>
      <c r="C46" s="2"/>
      <c r="D46" s="2"/>
      <c r="E46" s="2"/>
      <c r="F46" s="2"/>
    </row>
    <row r="47" ht="15.75" customHeight="1">
      <c r="A47" s="3" t="s">
        <v>38</v>
      </c>
      <c r="B47" s="2"/>
      <c r="C47" s="2"/>
      <c r="D47" s="2"/>
      <c r="E47" s="2"/>
      <c r="F47" s="2"/>
    </row>
    <row r="48" ht="15.75" customHeight="1">
      <c r="A48" s="3" t="s">
        <v>39</v>
      </c>
      <c r="B48" s="2"/>
      <c r="C48" s="2"/>
      <c r="D48" s="2"/>
      <c r="E48" s="2"/>
      <c r="F48" s="2"/>
    </row>
    <row r="49" ht="15.75" customHeight="1">
      <c r="A49" s="3" t="s">
        <v>40</v>
      </c>
      <c r="B49" s="2"/>
      <c r="C49" s="2"/>
      <c r="D49" s="2"/>
      <c r="E49" s="2"/>
      <c r="F49" s="2"/>
    </row>
    <row r="50" ht="15.75" customHeight="1">
      <c r="A50" s="3" t="s">
        <v>41</v>
      </c>
      <c r="B50" s="2"/>
      <c r="C50" s="2"/>
      <c r="D50" s="2"/>
      <c r="E50" s="2"/>
      <c r="F50" s="2"/>
    </row>
    <row r="51" ht="15.75" customHeight="1">
      <c r="A51" s="3" t="s">
        <v>42</v>
      </c>
      <c r="B51" s="2"/>
      <c r="C51" s="2"/>
      <c r="D51" s="2"/>
      <c r="E51" s="2"/>
      <c r="F51" s="2"/>
    </row>
    <row r="52" ht="15.75" customHeight="1">
      <c r="A52" s="3" t="s">
        <v>43</v>
      </c>
      <c r="B52" s="2"/>
      <c r="C52" s="2"/>
      <c r="D52" s="2"/>
      <c r="E52" s="2"/>
      <c r="F52" s="2"/>
    </row>
    <row r="53" ht="15.75" customHeight="1">
      <c r="A53" s="3" t="s">
        <v>44</v>
      </c>
      <c r="B53" s="2"/>
      <c r="C53" s="2"/>
      <c r="D53" s="2"/>
      <c r="E53" s="2"/>
      <c r="F53" s="2"/>
    </row>
    <row r="54" ht="15.75" customHeight="1">
      <c r="A54" s="5"/>
      <c r="B54" s="2"/>
      <c r="C54" s="2"/>
      <c r="D54" s="2"/>
      <c r="E54" s="2"/>
      <c r="F54" s="2"/>
    </row>
    <row r="55" ht="15.75" customHeight="1">
      <c r="A55" s="6" t="s">
        <v>45</v>
      </c>
      <c r="B55" s="2"/>
      <c r="C55" s="2"/>
      <c r="D55" s="2"/>
      <c r="E55" s="2"/>
      <c r="F55" s="2"/>
    </row>
    <row r="56" ht="15.75" customHeight="1">
      <c r="A56" s="3" t="s">
        <v>46</v>
      </c>
      <c r="B56" s="2"/>
      <c r="C56" s="2"/>
      <c r="D56" s="2"/>
      <c r="E56" s="2"/>
      <c r="F56" s="2"/>
    </row>
    <row r="57" ht="15.75" customHeight="1">
      <c r="A57" s="3" t="s">
        <v>47</v>
      </c>
      <c r="B57" s="2"/>
      <c r="C57" s="2"/>
      <c r="D57" s="2"/>
      <c r="E57" s="2"/>
      <c r="F57" s="2"/>
    </row>
    <row r="58" ht="15.75" customHeight="1">
      <c r="A58" s="5"/>
      <c r="B58" s="2"/>
      <c r="C58" s="2"/>
      <c r="D58" s="2"/>
      <c r="E58" s="2"/>
      <c r="F58" s="2"/>
    </row>
    <row r="59" ht="15.75" customHeight="1">
      <c r="A59" s="6" t="s">
        <v>48</v>
      </c>
      <c r="B59" s="2"/>
      <c r="C59" s="2"/>
      <c r="D59" s="2"/>
      <c r="E59" s="2"/>
      <c r="F59" s="2"/>
    </row>
    <row r="60" ht="15.75" customHeight="1">
      <c r="A60" s="3" t="s">
        <v>49</v>
      </c>
      <c r="B60" s="2"/>
      <c r="C60" s="2"/>
      <c r="D60" s="2"/>
      <c r="E60" s="2"/>
      <c r="F60" s="2"/>
    </row>
    <row r="61" ht="15.75" customHeight="1">
      <c r="A61" s="3" t="s">
        <v>50</v>
      </c>
      <c r="B61" s="2"/>
      <c r="C61" s="2"/>
      <c r="D61" s="2"/>
      <c r="E61" s="2"/>
      <c r="F61" s="2"/>
    </row>
    <row r="62" ht="15.75" customHeight="1">
      <c r="A62" s="5"/>
      <c r="B62" s="2"/>
      <c r="C62" s="2"/>
      <c r="D62" s="2"/>
      <c r="E62" s="2"/>
      <c r="F62" s="2"/>
    </row>
    <row r="63" ht="15.75" customHeight="1">
      <c r="A63" s="6" t="s">
        <v>51</v>
      </c>
      <c r="B63" s="2"/>
      <c r="C63" s="2"/>
      <c r="D63" s="2"/>
      <c r="E63" s="2"/>
      <c r="F63" s="2"/>
    </row>
    <row r="64" ht="15.75" customHeight="1">
      <c r="A64" s="3" t="s">
        <v>52</v>
      </c>
      <c r="B64" s="2"/>
      <c r="C64" s="2"/>
      <c r="D64" s="2"/>
      <c r="E64" s="2"/>
      <c r="F64" s="2"/>
    </row>
    <row r="65" ht="15.75" customHeight="1">
      <c r="A65" s="3" t="s">
        <v>53</v>
      </c>
      <c r="B65" s="2"/>
      <c r="C65" s="2"/>
      <c r="D65" s="2"/>
      <c r="E65" s="2"/>
      <c r="F65" s="2"/>
    </row>
    <row r="66" ht="15.75" customHeight="1">
      <c r="A66" s="3" t="s">
        <v>54</v>
      </c>
      <c r="B66" s="2"/>
      <c r="C66" s="2"/>
      <c r="D66" s="2"/>
      <c r="E66" s="2"/>
      <c r="F66" s="2"/>
    </row>
    <row r="67" ht="15.75" customHeight="1">
      <c r="A67" s="3" t="s">
        <v>55</v>
      </c>
      <c r="B67" s="2"/>
      <c r="C67" s="2"/>
      <c r="D67" s="2"/>
      <c r="E67" s="2"/>
      <c r="F67" s="2"/>
    </row>
    <row r="68" ht="15.75" customHeight="1">
      <c r="A68" s="2"/>
      <c r="B68" s="2"/>
      <c r="C68" s="2"/>
      <c r="D68" s="2"/>
      <c r="E68" s="2"/>
      <c r="F68" s="2"/>
    </row>
    <row r="69" ht="15.75" customHeight="1">
      <c r="A69" s="2"/>
      <c r="B69" s="2"/>
      <c r="C69" s="2"/>
      <c r="D69" s="2"/>
      <c r="E69" s="2"/>
      <c r="F69" s="2"/>
    </row>
    <row r="70" ht="15.75" customHeight="1">
      <c r="A70" s="2"/>
      <c r="B70" s="2"/>
      <c r="C70" s="2"/>
      <c r="D70" s="2"/>
      <c r="E70" s="2"/>
      <c r="F70" s="2"/>
    </row>
    <row r="71" ht="15.75" customHeight="1">
      <c r="A71" s="2"/>
      <c r="B71" s="2"/>
      <c r="C71" s="2"/>
      <c r="D71" s="2"/>
      <c r="E71" s="2"/>
      <c r="F71" s="2"/>
    </row>
    <row r="72" ht="15.75" customHeight="1">
      <c r="A72" s="2"/>
      <c r="B72" s="2"/>
      <c r="C72" s="2"/>
      <c r="D72" s="2"/>
      <c r="E72" s="2"/>
      <c r="F72" s="2"/>
    </row>
    <row r="73" ht="15.75" customHeight="1">
      <c r="A73" s="2"/>
      <c r="B73" s="2"/>
      <c r="C73" s="2"/>
      <c r="D73" s="2"/>
      <c r="E73" s="2"/>
      <c r="F73" s="2"/>
    </row>
    <row r="74" ht="15.75" customHeight="1">
      <c r="A74" s="2"/>
      <c r="B74" s="2"/>
      <c r="C74" s="2"/>
      <c r="D74" s="2"/>
      <c r="E74" s="2"/>
      <c r="F74" s="2"/>
    </row>
    <row r="75" ht="15.75" customHeight="1">
      <c r="A75" s="2"/>
      <c r="B75" s="2"/>
      <c r="C75" s="2"/>
      <c r="D75" s="2"/>
      <c r="E75" s="2"/>
      <c r="F75" s="2"/>
    </row>
    <row r="76" ht="15.75" customHeight="1">
      <c r="A76" s="2"/>
      <c r="B76" s="2"/>
      <c r="C76" s="2"/>
      <c r="D76" s="2"/>
      <c r="E76" s="2"/>
      <c r="F76" s="2"/>
    </row>
    <row r="77" ht="15.75" customHeight="1">
      <c r="A77" s="2"/>
      <c r="B77" s="2"/>
      <c r="C77" s="2"/>
      <c r="D77" s="2"/>
      <c r="E77" s="2"/>
      <c r="F77" s="2"/>
    </row>
    <row r="78" ht="15.75" customHeight="1">
      <c r="A78" s="2"/>
      <c r="B78" s="2"/>
      <c r="C78" s="2"/>
      <c r="D78" s="2"/>
      <c r="E78" s="2"/>
      <c r="F78" s="2"/>
    </row>
    <row r="79" ht="15.75" customHeight="1">
      <c r="A79" s="2"/>
      <c r="B79" s="2"/>
      <c r="C79" s="2"/>
      <c r="D79" s="2"/>
      <c r="E79" s="2"/>
      <c r="F79" s="2"/>
    </row>
    <row r="80" ht="15.75" customHeight="1">
      <c r="A80" s="2"/>
      <c r="B80" s="2"/>
      <c r="C80" s="2"/>
      <c r="D80" s="2"/>
      <c r="E80" s="2"/>
      <c r="F80" s="2"/>
    </row>
    <row r="81" ht="15.75" customHeight="1">
      <c r="A81" s="2"/>
      <c r="B81" s="2"/>
      <c r="C81" s="2"/>
      <c r="D81" s="2"/>
      <c r="E81" s="2"/>
      <c r="F81" s="2"/>
    </row>
    <row r="82" ht="15.75" customHeight="1">
      <c r="A82" s="2"/>
      <c r="B82" s="2"/>
      <c r="C82" s="2"/>
      <c r="D82" s="2"/>
      <c r="E82" s="2"/>
      <c r="F82" s="2"/>
    </row>
    <row r="83" ht="15.75" customHeight="1">
      <c r="A83" s="2"/>
      <c r="B83" s="2"/>
      <c r="C83" s="2"/>
      <c r="D83" s="2"/>
      <c r="E83" s="2"/>
      <c r="F83" s="2"/>
    </row>
    <row r="84" ht="15.75" customHeight="1">
      <c r="A84" s="2"/>
      <c r="B84" s="2"/>
      <c r="C84" s="2"/>
      <c r="D84" s="2"/>
      <c r="E84" s="2"/>
      <c r="F84" s="2"/>
    </row>
    <row r="85" ht="15.75" customHeight="1">
      <c r="A85" s="2"/>
      <c r="B85" s="2"/>
      <c r="C85" s="2"/>
      <c r="D85" s="2"/>
      <c r="E85" s="2"/>
      <c r="F85" s="2"/>
    </row>
    <row r="86" ht="15.75" customHeight="1">
      <c r="A86" s="2"/>
      <c r="B86" s="2"/>
      <c r="C86" s="2"/>
      <c r="D86" s="2"/>
      <c r="E86" s="2"/>
      <c r="F86" s="2"/>
    </row>
    <row r="87" ht="15.75" customHeight="1">
      <c r="A87" s="2"/>
      <c r="B87" s="2"/>
      <c r="C87" s="2"/>
      <c r="D87" s="2"/>
      <c r="E87" s="2"/>
      <c r="F87" s="2"/>
    </row>
    <row r="88" ht="15.75" customHeight="1">
      <c r="A88" s="2"/>
      <c r="B88" s="2"/>
      <c r="C88" s="2"/>
      <c r="D88" s="2"/>
      <c r="E88" s="2"/>
      <c r="F88" s="2"/>
    </row>
    <row r="89" ht="15.75" customHeight="1">
      <c r="A89" s="2"/>
      <c r="B89" s="2"/>
      <c r="C89" s="2"/>
      <c r="D89" s="2"/>
      <c r="E89" s="2"/>
      <c r="F89" s="2"/>
    </row>
    <row r="90" ht="15.75" customHeight="1">
      <c r="A90" s="2"/>
      <c r="B90" s="2"/>
      <c r="C90" s="2"/>
      <c r="D90" s="2"/>
      <c r="E90" s="2"/>
      <c r="F90" s="2"/>
    </row>
    <row r="91" ht="15.75" customHeight="1">
      <c r="A91" s="2"/>
      <c r="B91" s="2"/>
      <c r="C91" s="2"/>
      <c r="D91" s="2"/>
      <c r="E91" s="2"/>
      <c r="F91" s="2"/>
    </row>
    <row r="92" ht="15.75" customHeight="1">
      <c r="A92" s="2"/>
      <c r="B92" s="2"/>
      <c r="C92" s="2"/>
      <c r="D92" s="2"/>
      <c r="E92" s="2"/>
      <c r="F92" s="2"/>
    </row>
    <row r="93" ht="15.75" customHeight="1">
      <c r="A93" s="2"/>
      <c r="B93" s="2"/>
      <c r="C93" s="2"/>
      <c r="D93" s="2"/>
      <c r="E93" s="2"/>
      <c r="F93" s="2"/>
    </row>
    <row r="94" ht="15.75" customHeight="1">
      <c r="A94" s="2"/>
      <c r="B94" s="2"/>
      <c r="C94" s="2"/>
      <c r="D94" s="2"/>
      <c r="E94" s="2"/>
      <c r="F94" s="2"/>
    </row>
    <row r="95" ht="15.75" customHeight="1">
      <c r="A95" s="2"/>
      <c r="B95" s="2"/>
      <c r="C95" s="2"/>
      <c r="D95" s="2"/>
      <c r="E95" s="2"/>
      <c r="F95" s="2"/>
    </row>
    <row r="96" ht="15.75" customHeight="1">
      <c r="A96" s="2"/>
      <c r="B96" s="2"/>
      <c r="C96" s="2"/>
      <c r="D96" s="2"/>
      <c r="E96" s="2"/>
      <c r="F96" s="2"/>
    </row>
    <row r="97" ht="15.75" customHeight="1">
      <c r="A97" s="2"/>
      <c r="B97" s="2"/>
      <c r="C97" s="2"/>
      <c r="D97" s="2"/>
      <c r="E97" s="2"/>
      <c r="F97" s="2"/>
    </row>
    <row r="98" ht="15.75" customHeight="1">
      <c r="A98" s="2"/>
      <c r="B98" s="2"/>
      <c r="C98" s="2"/>
      <c r="D98" s="2"/>
      <c r="E98" s="2"/>
      <c r="F98" s="2"/>
    </row>
    <row r="99" ht="15.75" customHeight="1">
      <c r="A99" s="2"/>
      <c r="B99" s="2"/>
      <c r="C99" s="2"/>
      <c r="D99" s="2"/>
      <c r="E99" s="2"/>
      <c r="F99" s="2"/>
    </row>
    <row r="100" ht="15.75" customHeight="1">
      <c r="A100" s="2"/>
      <c r="B100" s="2"/>
      <c r="C100" s="2"/>
      <c r="D100" s="2"/>
      <c r="E100" s="2"/>
      <c r="F100" s="2"/>
    </row>
    <row r="101" ht="15.75" customHeight="1">
      <c r="A101" s="2"/>
      <c r="B101" s="2"/>
      <c r="C101" s="2"/>
      <c r="D101" s="2"/>
      <c r="E101" s="2"/>
      <c r="F101" s="2"/>
    </row>
    <row r="102" ht="15.75" customHeight="1">
      <c r="A102" s="2"/>
      <c r="B102" s="2"/>
      <c r="C102" s="2"/>
      <c r="D102" s="2"/>
      <c r="E102" s="2"/>
      <c r="F102" s="2"/>
    </row>
    <row r="103" ht="15.75" customHeight="1">
      <c r="A103" s="2"/>
      <c r="B103" s="2"/>
      <c r="C103" s="2"/>
      <c r="D103" s="2"/>
      <c r="E103" s="2"/>
      <c r="F103" s="2"/>
    </row>
    <row r="104" ht="15.75" customHeight="1">
      <c r="A104" s="2"/>
      <c r="B104" s="2"/>
      <c r="C104" s="2"/>
      <c r="D104" s="2"/>
      <c r="E104" s="2"/>
      <c r="F104" s="2"/>
    </row>
    <row r="105" ht="15.75" customHeight="1">
      <c r="A105" s="2"/>
      <c r="B105" s="2"/>
      <c r="C105" s="2"/>
      <c r="D105" s="2"/>
      <c r="E105" s="2"/>
      <c r="F105" s="2"/>
    </row>
    <row r="106" ht="15.75" customHeight="1">
      <c r="A106" s="2"/>
      <c r="B106" s="2"/>
      <c r="C106" s="2"/>
      <c r="D106" s="2"/>
      <c r="E106" s="2"/>
      <c r="F106" s="2"/>
    </row>
    <row r="107" ht="15.75" customHeight="1">
      <c r="A107" s="2"/>
      <c r="B107" s="2"/>
      <c r="C107" s="2"/>
      <c r="D107" s="2"/>
      <c r="E107" s="2"/>
      <c r="F107" s="2"/>
    </row>
    <row r="108" ht="15.75" customHeight="1">
      <c r="A108" s="2"/>
      <c r="B108" s="2"/>
      <c r="C108" s="2"/>
      <c r="D108" s="2"/>
      <c r="E108" s="2"/>
      <c r="F108" s="2"/>
    </row>
    <row r="109" ht="15.75" customHeight="1">
      <c r="A109" s="2"/>
      <c r="B109" s="2"/>
      <c r="C109" s="2"/>
      <c r="D109" s="2"/>
      <c r="E109" s="2"/>
      <c r="F109" s="2"/>
    </row>
    <row r="110" ht="15.75" customHeight="1">
      <c r="A110" s="2"/>
      <c r="B110" s="2"/>
      <c r="C110" s="2"/>
      <c r="D110" s="2"/>
      <c r="E110" s="2"/>
      <c r="F110" s="2"/>
    </row>
    <row r="111" ht="15.75" customHeight="1">
      <c r="A111" s="2"/>
      <c r="B111" s="2"/>
      <c r="C111" s="2"/>
      <c r="D111" s="2"/>
      <c r="E111" s="2"/>
      <c r="F111" s="2"/>
    </row>
    <row r="112" ht="15.75" customHeight="1">
      <c r="A112" s="2"/>
      <c r="B112" s="2"/>
      <c r="C112" s="2"/>
      <c r="D112" s="2"/>
      <c r="E112" s="2"/>
      <c r="F112" s="2"/>
    </row>
    <row r="113" ht="15.75" customHeight="1">
      <c r="A113" s="2"/>
      <c r="B113" s="2"/>
      <c r="C113" s="2"/>
      <c r="D113" s="2"/>
      <c r="E113" s="2"/>
      <c r="F113" s="2"/>
    </row>
    <row r="114" ht="15.75" customHeight="1">
      <c r="A114" s="2"/>
      <c r="B114" s="2"/>
      <c r="C114" s="2"/>
      <c r="D114" s="2"/>
      <c r="E114" s="2"/>
      <c r="F114" s="2"/>
    </row>
    <row r="115" ht="15.75" customHeight="1">
      <c r="A115" s="2"/>
      <c r="B115" s="2"/>
      <c r="C115" s="2"/>
      <c r="D115" s="2"/>
      <c r="E115" s="2"/>
      <c r="F115" s="2"/>
    </row>
    <row r="116" ht="15.75" customHeight="1">
      <c r="A116" s="2"/>
      <c r="B116" s="2"/>
      <c r="C116" s="2"/>
      <c r="D116" s="2"/>
      <c r="E116" s="2"/>
      <c r="F116" s="2"/>
    </row>
    <row r="117" ht="15.75" customHeight="1">
      <c r="A117" s="2"/>
      <c r="B117" s="2"/>
      <c r="C117" s="2"/>
      <c r="D117" s="2"/>
      <c r="E117" s="2"/>
      <c r="F117" s="2"/>
    </row>
    <row r="118" ht="15.75" customHeight="1">
      <c r="A118" s="2"/>
      <c r="B118" s="2"/>
      <c r="C118" s="2"/>
      <c r="D118" s="2"/>
      <c r="E118" s="2"/>
      <c r="F118" s="2"/>
    </row>
    <row r="119" ht="15.75" customHeight="1">
      <c r="A119" s="2"/>
      <c r="B119" s="2"/>
      <c r="C119" s="2"/>
      <c r="D119" s="2"/>
      <c r="E119" s="2"/>
      <c r="F119" s="2"/>
    </row>
    <row r="120" ht="15.75" customHeight="1">
      <c r="A120" s="2"/>
      <c r="B120" s="2"/>
      <c r="C120" s="2"/>
      <c r="D120" s="2"/>
      <c r="E120" s="2"/>
      <c r="F120" s="2"/>
    </row>
    <row r="121" ht="15.75" customHeight="1">
      <c r="A121" s="2"/>
      <c r="B121" s="2"/>
      <c r="C121" s="2"/>
      <c r="D121" s="2"/>
      <c r="E121" s="2"/>
      <c r="F121" s="2"/>
    </row>
    <row r="122" ht="15.75" customHeight="1">
      <c r="A122" s="2"/>
      <c r="B122" s="2"/>
      <c r="C122" s="2"/>
      <c r="D122" s="2"/>
      <c r="E122" s="2"/>
      <c r="F122" s="2"/>
    </row>
    <row r="123" ht="15.75" customHeight="1">
      <c r="A123" s="2"/>
      <c r="B123" s="2"/>
      <c r="C123" s="2"/>
      <c r="D123" s="2"/>
      <c r="E123" s="2"/>
      <c r="F123" s="2"/>
    </row>
    <row r="124" ht="15.75" customHeight="1">
      <c r="A124" s="2"/>
      <c r="B124" s="2"/>
      <c r="C124" s="2"/>
      <c r="D124" s="2"/>
      <c r="E124" s="2"/>
      <c r="F124" s="2"/>
    </row>
    <row r="125" ht="15.75" customHeight="1">
      <c r="A125" s="2"/>
      <c r="B125" s="2"/>
      <c r="C125" s="2"/>
      <c r="D125" s="2"/>
      <c r="E125" s="2"/>
      <c r="F125" s="2"/>
    </row>
    <row r="126" ht="15.75" customHeight="1">
      <c r="A126" s="2"/>
      <c r="B126" s="2"/>
      <c r="C126" s="2"/>
      <c r="D126" s="2"/>
      <c r="E126" s="2"/>
      <c r="F126" s="2"/>
    </row>
    <row r="127" ht="15.75" customHeight="1">
      <c r="A127" s="2"/>
      <c r="B127" s="2"/>
      <c r="C127" s="2"/>
      <c r="D127" s="2"/>
      <c r="E127" s="2"/>
      <c r="F127" s="2"/>
    </row>
    <row r="128" ht="15.75" customHeight="1">
      <c r="A128" s="2"/>
      <c r="B128" s="2"/>
      <c r="C128" s="2"/>
      <c r="D128" s="2"/>
      <c r="E128" s="2"/>
      <c r="F128" s="2"/>
    </row>
    <row r="129" ht="15.75" customHeight="1">
      <c r="A129" s="2"/>
      <c r="B129" s="2"/>
      <c r="C129" s="2"/>
      <c r="D129" s="2"/>
      <c r="E129" s="2"/>
      <c r="F129" s="2"/>
    </row>
    <row r="130" ht="15.75" customHeight="1">
      <c r="A130" s="2"/>
      <c r="B130" s="2"/>
      <c r="C130" s="2"/>
      <c r="D130" s="2"/>
      <c r="E130" s="2"/>
      <c r="F130" s="2"/>
    </row>
    <row r="131" ht="15.75" customHeight="1">
      <c r="A131" s="2"/>
      <c r="B131" s="2"/>
      <c r="C131" s="2"/>
      <c r="D131" s="2"/>
      <c r="E131" s="2"/>
      <c r="F131" s="2"/>
    </row>
    <row r="132" ht="15.75" customHeight="1">
      <c r="A132" s="2"/>
      <c r="B132" s="2"/>
      <c r="C132" s="2"/>
      <c r="D132" s="2"/>
      <c r="E132" s="2"/>
      <c r="F132" s="2"/>
    </row>
    <row r="133" ht="15.75" customHeight="1">
      <c r="A133" s="2"/>
      <c r="B133" s="2"/>
      <c r="C133" s="2"/>
      <c r="D133" s="2"/>
      <c r="E133" s="2"/>
      <c r="F133" s="2"/>
    </row>
    <row r="134" ht="15.75" customHeight="1">
      <c r="A134" s="2"/>
      <c r="B134" s="2"/>
      <c r="C134" s="2"/>
      <c r="D134" s="2"/>
      <c r="E134" s="2"/>
      <c r="F134" s="2"/>
    </row>
    <row r="135" ht="15.75" customHeight="1">
      <c r="A135" s="2"/>
      <c r="B135" s="2"/>
      <c r="C135" s="2"/>
      <c r="D135" s="2"/>
      <c r="E135" s="2"/>
      <c r="F135" s="2"/>
    </row>
    <row r="136" ht="15.75" customHeight="1">
      <c r="A136" s="2"/>
      <c r="B136" s="2"/>
      <c r="C136" s="2"/>
      <c r="D136" s="2"/>
      <c r="E136" s="2"/>
      <c r="F136" s="2"/>
    </row>
    <row r="137" ht="15.75" customHeight="1">
      <c r="A137" s="2"/>
      <c r="B137" s="2"/>
      <c r="C137" s="2"/>
      <c r="D137" s="2"/>
      <c r="E137" s="2"/>
      <c r="F137" s="2"/>
    </row>
    <row r="138" ht="15.75" customHeight="1">
      <c r="A138" s="2"/>
      <c r="B138" s="2"/>
      <c r="C138" s="2"/>
      <c r="D138" s="2"/>
      <c r="E138" s="2"/>
      <c r="F138" s="2"/>
    </row>
    <row r="139" ht="15.75" customHeight="1">
      <c r="A139" s="2"/>
      <c r="B139" s="2"/>
      <c r="C139" s="2"/>
      <c r="D139" s="2"/>
      <c r="E139" s="2"/>
      <c r="F139" s="2"/>
    </row>
    <row r="140" ht="15.75" customHeight="1">
      <c r="A140" s="2"/>
      <c r="B140" s="2"/>
      <c r="C140" s="2"/>
      <c r="D140" s="2"/>
      <c r="E140" s="2"/>
      <c r="F140" s="2"/>
    </row>
    <row r="141" ht="15.75" customHeight="1">
      <c r="A141" s="2"/>
      <c r="B141" s="2"/>
      <c r="C141" s="2"/>
      <c r="D141" s="2"/>
      <c r="E141" s="2"/>
      <c r="F141" s="2"/>
    </row>
    <row r="142" ht="15.75" customHeight="1">
      <c r="A142" s="2"/>
      <c r="B142" s="2"/>
      <c r="C142" s="2"/>
      <c r="D142" s="2"/>
      <c r="E142" s="2"/>
      <c r="F142" s="2"/>
    </row>
    <row r="143" ht="15.75" customHeight="1">
      <c r="A143" s="2"/>
      <c r="B143" s="2"/>
      <c r="C143" s="2"/>
      <c r="D143" s="2"/>
      <c r="E143" s="2"/>
      <c r="F143" s="2"/>
    </row>
    <row r="144" ht="15.75" customHeight="1">
      <c r="A144" s="2"/>
      <c r="B144" s="2"/>
      <c r="C144" s="2"/>
      <c r="D144" s="2"/>
      <c r="E144" s="2"/>
      <c r="F144" s="2"/>
    </row>
    <row r="145" ht="15.75" customHeight="1">
      <c r="A145" s="2"/>
      <c r="B145" s="2"/>
      <c r="C145" s="2"/>
      <c r="D145" s="2"/>
      <c r="E145" s="2"/>
      <c r="F145" s="2"/>
    </row>
    <row r="146" ht="15.75" customHeight="1">
      <c r="A146" s="2"/>
      <c r="B146" s="2"/>
      <c r="C146" s="2"/>
      <c r="D146" s="2"/>
      <c r="E146" s="2"/>
      <c r="F146" s="2"/>
    </row>
    <row r="147" ht="15.75" customHeight="1">
      <c r="A147" s="2"/>
      <c r="B147" s="2"/>
      <c r="C147" s="2"/>
      <c r="D147" s="2"/>
      <c r="E147" s="2"/>
      <c r="F147" s="2"/>
    </row>
    <row r="148" ht="15.75" customHeight="1">
      <c r="A148" s="2"/>
      <c r="B148" s="2"/>
      <c r="C148" s="2"/>
      <c r="D148" s="2"/>
      <c r="E148" s="2"/>
      <c r="F148" s="2"/>
    </row>
    <row r="149" ht="15.75" customHeight="1">
      <c r="A149" s="2"/>
      <c r="B149" s="2"/>
      <c r="C149" s="2"/>
      <c r="D149" s="2"/>
      <c r="E149" s="2"/>
      <c r="F149" s="2"/>
    </row>
    <row r="150" ht="15.75" customHeight="1">
      <c r="A150" s="2"/>
      <c r="B150" s="2"/>
      <c r="C150" s="2"/>
      <c r="D150" s="2"/>
      <c r="E150" s="2"/>
      <c r="F150" s="2"/>
    </row>
    <row r="151" ht="15.75" customHeight="1">
      <c r="A151" s="2"/>
      <c r="B151" s="2"/>
      <c r="C151" s="2"/>
      <c r="D151" s="2"/>
      <c r="E151" s="2"/>
      <c r="F151" s="2"/>
    </row>
    <row r="152" ht="15.75" customHeight="1">
      <c r="A152" s="2"/>
      <c r="B152" s="2"/>
      <c r="C152" s="2"/>
      <c r="D152" s="2"/>
      <c r="E152" s="2"/>
      <c r="F152" s="2"/>
    </row>
    <row r="153" ht="15.75" customHeight="1">
      <c r="A153" s="2"/>
      <c r="B153" s="2"/>
      <c r="C153" s="2"/>
      <c r="D153" s="2"/>
      <c r="E153" s="2"/>
      <c r="F153" s="2"/>
    </row>
    <row r="154" ht="15.75" customHeight="1">
      <c r="A154" s="2"/>
      <c r="B154" s="2"/>
      <c r="C154" s="2"/>
      <c r="D154" s="2"/>
      <c r="E154" s="2"/>
      <c r="F154" s="2"/>
    </row>
    <row r="155" ht="15.75" customHeight="1">
      <c r="A155" s="2"/>
      <c r="B155" s="2"/>
      <c r="C155" s="2"/>
      <c r="D155" s="2"/>
      <c r="E155" s="2"/>
      <c r="F155" s="2"/>
    </row>
    <row r="156" ht="15.75" customHeight="1">
      <c r="A156" s="2"/>
      <c r="B156" s="2"/>
      <c r="C156" s="2"/>
      <c r="D156" s="2"/>
      <c r="E156" s="2"/>
      <c r="F156" s="2"/>
    </row>
    <row r="157" ht="15.75" customHeight="1">
      <c r="A157" s="2"/>
      <c r="B157" s="2"/>
      <c r="C157" s="2"/>
      <c r="D157" s="2"/>
      <c r="E157" s="2"/>
      <c r="F157" s="2"/>
    </row>
    <row r="158" ht="15.75" customHeight="1">
      <c r="A158" s="2"/>
      <c r="B158" s="2"/>
      <c r="C158" s="2"/>
      <c r="D158" s="2"/>
      <c r="E158" s="2"/>
      <c r="F158" s="2"/>
    </row>
    <row r="159" ht="15.75" customHeight="1">
      <c r="A159" s="2"/>
      <c r="B159" s="2"/>
      <c r="C159" s="2"/>
      <c r="D159" s="2"/>
      <c r="E159" s="2"/>
      <c r="F159" s="2"/>
    </row>
    <row r="160" ht="15.75" customHeight="1">
      <c r="A160" s="2"/>
      <c r="B160" s="2"/>
      <c r="C160" s="2"/>
      <c r="D160" s="2"/>
      <c r="E160" s="2"/>
      <c r="F160" s="2"/>
    </row>
    <row r="161" ht="15.75" customHeight="1">
      <c r="A161" s="2"/>
      <c r="B161" s="2"/>
      <c r="C161" s="2"/>
      <c r="D161" s="2"/>
      <c r="E161" s="2"/>
      <c r="F161" s="2"/>
    </row>
    <row r="162" ht="15.75" customHeight="1">
      <c r="A162" s="2"/>
      <c r="B162" s="2"/>
      <c r="C162" s="2"/>
      <c r="D162" s="2"/>
      <c r="E162" s="2"/>
      <c r="F162" s="2"/>
    </row>
    <row r="163" ht="15.75" customHeight="1">
      <c r="A163" s="2"/>
      <c r="B163" s="2"/>
      <c r="C163" s="2"/>
      <c r="D163" s="2"/>
      <c r="E163" s="2"/>
      <c r="F163" s="2"/>
    </row>
    <row r="164" ht="15.75" customHeight="1">
      <c r="A164" s="2"/>
      <c r="B164" s="2"/>
      <c r="C164" s="2"/>
      <c r="D164" s="2"/>
      <c r="E164" s="2"/>
      <c r="F164" s="2"/>
    </row>
    <row r="165" ht="15.75" customHeight="1">
      <c r="A165" s="2"/>
      <c r="B165" s="2"/>
      <c r="C165" s="2"/>
      <c r="D165" s="2"/>
      <c r="E165" s="2"/>
      <c r="F165" s="2"/>
    </row>
    <row r="166" ht="15.75" customHeight="1">
      <c r="A166" s="2"/>
      <c r="B166" s="2"/>
      <c r="C166" s="2"/>
      <c r="D166" s="2"/>
      <c r="E166" s="2"/>
      <c r="F166" s="2"/>
    </row>
    <row r="167" ht="15.75" customHeight="1">
      <c r="A167" s="2"/>
      <c r="B167" s="2"/>
      <c r="C167" s="2"/>
      <c r="D167" s="2"/>
      <c r="E167" s="2"/>
      <c r="F167" s="2"/>
    </row>
    <row r="168" ht="15.75" customHeight="1">
      <c r="A168" s="2"/>
      <c r="B168" s="2"/>
      <c r="C168" s="2"/>
      <c r="D168" s="2"/>
      <c r="E168" s="2"/>
      <c r="F168" s="2"/>
    </row>
    <row r="169" ht="15.75" customHeight="1">
      <c r="A169" s="2"/>
      <c r="B169" s="2"/>
      <c r="C169" s="2"/>
      <c r="D169" s="2"/>
      <c r="E169" s="2"/>
      <c r="F169" s="2"/>
    </row>
    <row r="170" ht="15.75" customHeight="1">
      <c r="A170" s="2"/>
      <c r="B170" s="2"/>
      <c r="C170" s="2"/>
      <c r="D170" s="2"/>
      <c r="E170" s="2"/>
      <c r="F170" s="2"/>
    </row>
    <row r="171" ht="15.75" customHeight="1">
      <c r="A171" s="2"/>
      <c r="B171" s="2"/>
      <c r="C171" s="2"/>
      <c r="D171" s="2"/>
      <c r="E171" s="2"/>
      <c r="F171" s="2"/>
    </row>
    <row r="172" ht="15.75" customHeight="1">
      <c r="A172" s="2"/>
      <c r="B172" s="2"/>
      <c r="C172" s="2"/>
      <c r="D172" s="2"/>
      <c r="E172" s="2"/>
      <c r="F172" s="2"/>
    </row>
    <row r="173" ht="15.75" customHeight="1">
      <c r="A173" s="2"/>
      <c r="B173" s="2"/>
      <c r="C173" s="2"/>
      <c r="D173" s="2"/>
      <c r="E173" s="2"/>
      <c r="F173" s="2"/>
    </row>
    <row r="174" ht="15.75" customHeight="1">
      <c r="A174" s="2"/>
      <c r="B174" s="2"/>
      <c r="C174" s="2"/>
      <c r="D174" s="2"/>
      <c r="E174" s="2"/>
      <c r="F174" s="2"/>
    </row>
    <row r="175" ht="15.75" customHeight="1">
      <c r="A175" s="2"/>
      <c r="B175" s="2"/>
      <c r="C175" s="2"/>
      <c r="D175" s="2"/>
      <c r="E175" s="2"/>
      <c r="F175" s="2"/>
    </row>
    <row r="176" ht="15.75" customHeight="1">
      <c r="A176" s="2"/>
      <c r="B176" s="2"/>
      <c r="C176" s="2"/>
      <c r="D176" s="2"/>
      <c r="E176" s="2"/>
      <c r="F176" s="2"/>
    </row>
    <row r="177" ht="15.75" customHeight="1">
      <c r="A177" s="2"/>
      <c r="B177" s="2"/>
      <c r="C177" s="2"/>
      <c r="D177" s="2"/>
      <c r="E177" s="2"/>
      <c r="F177" s="2"/>
    </row>
    <row r="178" ht="15.75" customHeight="1">
      <c r="A178" s="2"/>
      <c r="B178" s="2"/>
      <c r="C178" s="2"/>
      <c r="D178" s="2"/>
      <c r="E178" s="2"/>
      <c r="F178" s="2"/>
    </row>
    <row r="179" ht="15.75" customHeight="1">
      <c r="A179" s="2"/>
      <c r="B179" s="2"/>
      <c r="C179" s="2"/>
      <c r="D179" s="2"/>
      <c r="E179" s="2"/>
      <c r="F179" s="2"/>
    </row>
    <row r="180" ht="15.75" customHeight="1">
      <c r="A180" s="2"/>
      <c r="B180" s="2"/>
      <c r="C180" s="2"/>
      <c r="D180" s="2"/>
      <c r="E180" s="2"/>
      <c r="F180" s="2"/>
    </row>
    <row r="181" ht="15.75" customHeight="1">
      <c r="A181" s="2"/>
      <c r="B181" s="2"/>
      <c r="C181" s="2"/>
      <c r="D181" s="2"/>
      <c r="E181" s="2"/>
      <c r="F181" s="2"/>
    </row>
    <row r="182" ht="15.75" customHeight="1">
      <c r="A182" s="2"/>
      <c r="B182" s="2"/>
      <c r="C182" s="2"/>
      <c r="D182" s="2"/>
      <c r="E182" s="2"/>
      <c r="F182" s="2"/>
    </row>
    <row r="183" ht="15.75" customHeight="1">
      <c r="A183" s="2"/>
      <c r="B183" s="2"/>
      <c r="C183" s="2"/>
      <c r="D183" s="2"/>
      <c r="E183" s="2"/>
      <c r="F183" s="2"/>
    </row>
    <row r="184" ht="15.75" customHeight="1">
      <c r="A184" s="2"/>
      <c r="B184" s="2"/>
      <c r="C184" s="2"/>
      <c r="D184" s="2"/>
      <c r="E184" s="2"/>
      <c r="F184" s="2"/>
    </row>
    <row r="185" ht="15.75" customHeight="1">
      <c r="A185" s="2"/>
      <c r="B185" s="2"/>
      <c r="C185" s="2"/>
      <c r="D185" s="2"/>
      <c r="E185" s="2"/>
      <c r="F185" s="2"/>
    </row>
    <row r="186" ht="15.75" customHeight="1">
      <c r="A186" s="2"/>
      <c r="B186" s="2"/>
      <c r="C186" s="2"/>
      <c r="D186" s="2"/>
      <c r="E186" s="2"/>
      <c r="F186" s="2"/>
    </row>
    <row r="187" ht="15.75" customHeight="1">
      <c r="A187" s="2"/>
      <c r="B187" s="2"/>
      <c r="C187" s="2"/>
      <c r="D187" s="2"/>
      <c r="E187" s="2"/>
      <c r="F187" s="2"/>
    </row>
    <row r="188" ht="15.75" customHeight="1">
      <c r="A188" s="2"/>
      <c r="B188" s="2"/>
      <c r="C188" s="2"/>
      <c r="D188" s="2"/>
      <c r="E188" s="2"/>
      <c r="F188" s="2"/>
    </row>
    <row r="189" ht="15.75" customHeight="1">
      <c r="A189" s="2"/>
      <c r="B189" s="2"/>
      <c r="C189" s="2"/>
      <c r="D189" s="2"/>
      <c r="E189" s="2"/>
      <c r="F189" s="2"/>
    </row>
    <row r="190" ht="15.75" customHeight="1">
      <c r="A190" s="2"/>
      <c r="B190" s="2"/>
      <c r="C190" s="2"/>
      <c r="D190" s="2"/>
      <c r="E190" s="2"/>
      <c r="F190" s="2"/>
    </row>
    <row r="191" ht="15.75" customHeight="1">
      <c r="A191" s="2"/>
      <c r="B191" s="2"/>
      <c r="C191" s="2"/>
      <c r="D191" s="2"/>
      <c r="E191" s="2"/>
      <c r="F191" s="2"/>
    </row>
    <row r="192" ht="15.75" customHeight="1">
      <c r="A192" s="2"/>
      <c r="B192" s="2"/>
      <c r="C192" s="2"/>
      <c r="D192" s="2"/>
      <c r="E192" s="2"/>
      <c r="F192" s="2"/>
    </row>
    <row r="193" ht="15.75" customHeight="1">
      <c r="A193" s="2"/>
      <c r="B193" s="2"/>
      <c r="C193" s="2"/>
      <c r="D193" s="2"/>
      <c r="E193" s="2"/>
      <c r="F193" s="2"/>
    </row>
    <row r="194" ht="15.75" customHeight="1">
      <c r="A194" s="2"/>
      <c r="B194" s="2"/>
      <c r="C194" s="2"/>
      <c r="D194" s="2"/>
      <c r="E194" s="2"/>
      <c r="F194" s="2"/>
    </row>
    <row r="195" ht="15.75" customHeight="1">
      <c r="A195" s="2"/>
      <c r="B195" s="2"/>
      <c r="C195" s="2"/>
      <c r="D195" s="2"/>
      <c r="E195" s="2"/>
      <c r="F195" s="2"/>
    </row>
    <row r="196" ht="15.75" customHeight="1">
      <c r="A196" s="2"/>
      <c r="B196" s="2"/>
      <c r="C196" s="2"/>
      <c r="D196" s="2"/>
      <c r="E196" s="2"/>
      <c r="F196" s="2"/>
    </row>
    <row r="197" ht="15.75" customHeight="1">
      <c r="A197" s="2"/>
      <c r="B197" s="2"/>
      <c r="C197" s="2"/>
      <c r="D197" s="2"/>
      <c r="E197" s="2"/>
      <c r="F197" s="2"/>
    </row>
    <row r="198" ht="15.75" customHeight="1">
      <c r="A198" s="2"/>
      <c r="B198" s="2"/>
      <c r="C198" s="2"/>
      <c r="D198" s="2"/>
      <c r="E198" s="2"/>
      <c r="F198" s="2"/>
    </row>
    <row r="199" ht="15.75" customHeight="1">
      <c r="A199" s="2"/>
      <c r="B199" s="2"/>
      <c r="C199" s="2"/>
      <c r="D199" s="2"/>
      <c r="E199" s="2"/>
      <c r="F199" s="2"/>
    </row>
    <row r="200" ht="15.75" customHeight="1">
      <c r="A200" s="2"/>
      <c r="B200" s="2"/>
      <c r="C200" s="2"/>
      <c r="D200" s="2"/>
      <c r="E200" s="2"/>
      <c r="F200" s="2"/>
    </row>
    <row r="201" ht="15.75" customHeight="1">
      <c r="A201" s="2"/>
      <c r="B201" s="2"/>
      <c r="C201" s="2"/>
      <c r="D201" s="2"/>
      <c r="E201" s="2"/>
      <c r="F201" s="2"/>
    </row>
    <row r="202" ht="15.75" customHeight="1">
      <c r="A202" s="2"/>
      <c r="B202" s="2"/>
      <c r="C202" s="2"/>
      <c r="D202" s="2"/>
      <c r="E202" s="2"/>
      <c r="F202" s="2"/>
    </row>
    <row r="203" ht="15.75" customHeight="1">
      <c r="A203" s="2"/>
      <c r="B203" s="2"/>
      <c r="C203" s="2"/>
      <c r="D203" s="2"/>
      <c r="E203" s="2"/>
      <c r="F203" s="2"/>
    </row>
    <row r="204" ht="15.75" customHeight="1">
      <c r="A204" s="2"/>
      <c r="B204" s="2"/>
      <c r="C204" s="2"/>
      <c r="D204" s="2"/>
      <c r="E204" s="2"/>
      <c r="F204" s="2"/>
    </row>
    <row r="205" ht="15.75" customHeight="1">
      <c r="A205" s="2"/>
      <c r="B205" s="2"/>
      <c r="C205" s="2"/>
      <c r="D205" s="2"/>
      <c r="E205" s="2"/>
      <c r="F205" s="2"/>
    </row>
    <row r="206" ht="15.75" customHeight="1">
      <c r="A206" s="2"/>
      <c r="B206" s="2"/>
      <c r="C206" s="2"/>
      <c r="D206" s="2"/>
      <c r="E206" s="2"/>
      <c r="F206" s="2"/>
    </row>
    <row r="207" ht="15.75" customHeight="1">
      <c r="A207" s="2"/>
      <c r="B207" s="2"/>
      <c r="C207" s="2"/>
      <c r="D207" s="2"/>
      <c r="E207" s="2"/>
      <c r="F207" s="2"/>
    </row>
    <row r="208" ht="15.75" customHeight="1">
      <c r="A208" s="2"/>
      <c r="B208" s="2"/>
      <c r="C208" s="2"/>
      <c r="D208" s="2"/>
      <c r="E208" s="2"/>
      <c r="F208" s="2"/>
    </row>
    <row r="209" ht="15.75" customHeight="1">
      <c r="A209" s="2"/>
      <c r="B209" s="2"/>
      <c r="C209" s="2"/>
      <c r="D209" s="2"/>
      <c r="E209" s="2"/>
      <c r="F209" s="2"/>
    </row>
    <row r="210" ht="15.75" customHeight="1">
      <c r="A210" s="2"/>
      <c r="B210" s="2"/>
      <c r="C210" s="2"/>
      <c r="D210" s="2"/>
      <c r="E210" s="2"/>
      <c r="F210" s="2"/>
    </row>
    <row r="211" ht="15.75" customHeight="1">
      <c r="A211" s="2"/>
      <c r="B211" s="2"/>
      <c r="C211" s="2"/>
      <c r="D211" s="2"/>
      <c r="E211" s="2"/>
      <c r="F211" s="2"/>
    </row>
    <row r="212" ht="15.75" customHeight="1">
      <c r="A212" s="2"/>
      <c r="B212" s="2"/>
      <c r="C212" s="2"/>
      <c r="D212" s="2"/>
      <c r="E212" s="2"/>
      <c r="F212" s="2"/>
    </row>
    <row r="213" ht="15.75" customHeight="1">
      <c r="A213" s="2"/>
      <c r="B213" s="2"/>
      <c r="C213" s="2"/>
      <c r="D213" s="2"/>
      <c r="E213" s="2"/>
      <c r="F213" s="2"/>
    </row>
    <row r="214" ht="15.75" customHeight="1">
      <c r="A214" s="2"/>
      <c r="B214" s="2"/>
      <c r="C214" s="2"/>
      <c r="D214" s="2"/>
      <c r="E214" s="2"/>
      <c r="F214" s="2"/>
    </row>
    <row r="215" ht="15.75" customHeight="1">
      <c r="A215" s="2"/>
      <c r="B215" s="2"/>
      <c r="C215" s="2"/>
      <c r="D215" s="2"/>
      <c r="E215" s="2"/>
      <c r="F215" s="2"/>
    </row>
    <row r="216" ht="15.75" customHeight="1">
      <c r="A216" s="2"/>
      <c r="B216" s="2"/>
      <c r="C216" s="2"/>
      <c r="D216" s="2"/>
      <c r="E216" s="2"/>
      <c r="F216" s="2"/>
    </row>
    <row r="217" ht="15.75" customHeight="1">
      <c r="A217" s="2"/>
      <c r="B217" s="2"/>
      <c r="C217" s="2"/>
      <c r="D217" s="2"/>
      <c r="E217" s="2"/>
      <c r="F217" s="2"/>
    </row>
    <row r="218" ht="15.75" customHeight="1">
      <c r="A218" s="2"/>
      <c r="B218" s="2"/>
      <c r="C218" s="2"/>
      <c r="D218" s="2"/>
      <c r="E218" s="2"/>
      <c r="F218" s="2"/>
    </row>
    <row r="219" ht="15.75" customHeight="1">
      <c r="A219" s="2"/>
      <c r="B219" s="2"/>
      <c r="C219" s="2"/>
      <c r="D219" s="2"/>
      <c r="E219" s="2"/>
      <c r="F219" s="2"/>
    </row>
    <row r="220" ht="15.75" customHeight="1">
      <c r="A220" s="2"/>
      <c r="B220" s="2"/>
      <c r="C220" s="2"/>
      <c r="D220" s="2"/>
      <c r="E220" s="2"/>
      <c r="F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0.984027777777778" footer="0.0" header="0.0" left="0.747916666666667" right="0.747916666666667" top="0.984027777777778"/>
  <pageSetup orientation="portrait"/>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72C4"/>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9.0"/>
    <col customWidth="1" min="2" max="2" width="38.0"/>
    <col customWidth="1" min="3" max="3" width="11.0"/>
    <col customWidth="1" min="4" max="4" width="28.0"/>
    <col customWidth="1" min="5" max="5" width="9.0"/>
    <col customWidth="1" min="6" max="6" width="16.0"/>
    <col customWidth="1" min="7" max="7" width="25.63"/>
    <col customWidth="1" min="8" max="8" width="5.0"/>
    <col customWidth="1" min="9" max="26" width="8.63"/>
  </cols>
  <sheetData>
    <row r="1">
      <c r="A1" s="1" t="s">
        <v>56</v>
      </c>
      <c r="B1" s="2"/>
      <c r="C1" s="2"/>
      <c r="D1" s="2"/>
      <c r="E1" s="2"/>
      <c r="F1" s="2"/>
      <c r="G1" s="2"/>
      <c r="H1" s="2"/>
    </row>
    <row r="2" ht="30.0" customHeight="1">
      <c r="A2" s="8" t="s">
        <v>57</v>
      </c>
      <c r="B2" s="9"/>
      <c r="C2" s="9"/>
      <c r="D2" s="9"/>
      <c r="E2" s="9"/>
      <c r="F2" s="9"/>
      <c r="G2" s="9"/>
      <c r="H2" s="2"/>
    </row>
    <row r="3">
      <c r="A3" s="10" t="s">
        <v>58</v>
      </c>
      <c r="B3" s="11" t="s">
        <v>59</v>
      </c>
      <c r="C3" s="2"/>
      <c r="D3" s="12" t="s">
        <v>60</v>
      </c>
      <c r="E3" s="13" t="b">
        <v>0</v>
      </c>
      <c r="F3" s="2"/>
      <c r="G3" s="2"/>
      <c r="H3" s="2"/>
    </row>
    <row r="4">
      <c r="A4" s="10" t="s">
        <v>61</v>
      </c>
      <c r="B4" s="10" t="str">
        <f>IF(B3&lt;&gt;"",B3,Binders!$B$6)</f>
        <v>Foundations</v>
      </c>
      <c r="C4" s="14" t="str">
        <f>COUNT(H6:H205)&amp;" cards"</f>
        <v>16 cards</v>
      </c>
      <c r="D4" s="12" t="s">
        <v>62</v>
      </c>
      <c r="E4" s="13" t="b">
        <v>1</v>
      </c>
      <c r="F4" s="2"/>
      <c r="G4" s="2"/>
      <c r="H4" s="2"/>
    </row>
    <row r="5">
      <c r="A5" s="15" t="s">
        <v>63</v>
      </c>
      <c r="B5" s="15" t="s">
        <v>64</v>
      </c>
      <c r="C5" s="15" t="s">
        <v>65</v>
      </c>
      <c r="D5" s="15" t="s">
        <v>66</v>
      </c>
      <c r="E5" s="15" t="s">
        <v>67</v>
      </c>
      <c r="F5" s="15" t="s">
        <v>68</v>
      </c>
      <c r="G5" s="15" t="s">
        <v>69</v>
      </c>
      <c r="H5" s="15" t="s">
        <v>70</v>
      </c>
    </row>
    <row r="6" ht="198.75" customHeight="1">
      <c r="A6" s="16" t="b">
        <v>0</v>
      </c>
      <c r="B6" s="14" t="str">
        <f t="array" ref="B6">IF($H6="","",INDEX('Binder Data'!$A:$A,$H6))</f>
        <v>Sephara, Sky's Blade</v>
      </c>
      <c r="C6" s="14" t="str">
        <f t="array" ref="C6">IF($H6="","",INDEX('Binder Data'!$L:$L,$H6))</f>
        <v>White</v>
      </c>
      <c r="D6" s="14" t="str">
        <f t="array" ref="D6">IF($H6="","",INDEX('Binder Data'!$I:$I,$H6))</f>
        <v>The List</v>
      </c>
      <c r="E6" s="17">
        <f t="array" ref="E6">IF($H6="","",INDEX('Binder Data'!$F:$F,$H6))</f>
        <v>6.61</v>
      </c>
      <c r="F6" s="14" t="str">
        <f t="array" ref="F6">IF($H6="","",INDEX('Binder Data'!$Q:$Q,$H6))</f>
        <v>Deck 1</v>
      </c>
      <c r="G6" s="14" t="str">
        <f t="array" ref="G6">IF(OR($H6="",$E$4&lt;&gt;TRUE()),"",IFERROR(IMAGE(INDEX('Binder Data'!$O:$O,$H6)),""))</f>
        <v/>
      </c>
      <c r="H6" s="18">
        <f>IFERROR(MATCH(SMALL('Binder Data'!$M$2:$M$6251,1),'Binder Data'!$M$2:$M$6251,0)+1,"")</f>
        <v>304</v>
      </c>
    </row>
    <row r="7" ht="198.75" customHeight="1">
      <c r="A7" s="16" t="b">
        <v>0</v>
      </c>
      <c r="B7" s="14" t="str">
        <f t="array" ref="B7">IF($H7="","",INDEX('Binder Data'!$A:$A,$H7))</f>
        <v>Blasphemous Act</v>
      </c>
      <c r="C7" s="14" t="str">
        <f t="array" ref="C7">IF($H7="","",INDEX('Binder Data'!$L:$L,$H7))</f>
        <v>Red</v>
      </c>
      <c r="D7" s="14" t="str">
        <f t="array" ref="D7">IF($H7="","",INDEX('Binder Data'!$I:$I,$H7))</f>
        <v>The List</v>
      </c>
      <c r="E7" s="17">
        <f t="array" ref="E7">IF($H7="","",INDEX('Binder Data'!$F:$F,$H7))</f>
        <v>1.22</v>
      </c>
      <c r="F7" s="14" t="str">
        <f t="array" ref="F7">IF($H7="","",INDEX('Binder Data'!$Q:$Q,$H7))</f>
        <v>Deck 1</v>
      </c>
      <c r="G7" s="14" t="str">
        <f t="array" ref="G7">IF(OR($H7="",$E$4&lt;&gt;TRUE()),"",IFERROR(IMAGE(INDEX('Binder Data'!$O:$O,$H7)),""))</f>
        <v/>
      </c>
      <c r="H7" s="18">
        <f>IFERROR(MATCH(SMALL('Binder Data'!$M$2:$M$6251,2),'Binder Data'!$M$2:$M$6251,0)+1,"")</f>
        <v>256</v>
      </c>
    </row>
    <row r="8" ht="198.75" customHeight="1">
      <c r="A8" s="16" t="b">
        <v>0</v>
      </c>
      <c r="B8" s="14" t="str">
        <f t="array" ref="B8">IF($H8="","",INDEX('Binder Data'!$A:$A,$H8))</f>
        <v>Dark-Dweller Oracle</v>
      </c>
      <c r="C8" s="14" t="str">
        <f t="array" ref="C8">IF($H8="","",INDEX('Binder Data'!$L:$L,$H8))</f>
        <v>Red</v>
      </c>
      <c r="D8" s="14" t="str">
        <f t="array" ref="D8">IF($H8="","",INDEX('Binder Data'!$I:$I,$H8))</f>
        <v>The List</v>
      </c>
      <c r="E8" s="17">
        <f t="array" ref="E8">IF($H8="","",INDEX('Binder Data'!$F:$F,$H8))</f>
        <v>0.22</v>
      </c>
      <c r="F8" s="14" t="str">
        <f t="array" ref="F8">IF($H8="","",INDEX('Binder Data'!$Q:$Q,$H8))</f>
        <v>Deck 1</v>
      </c>
      <c r="G8" s="14" t="str">
        <f t="array" ref="G8">IF(OR($H8="",$E$4&lt;&gt;TRUE()),"",IFERROR(IMAGE(INDEX('Binder Data'!$O:$O,$H8)),""))</f>
        <v/>
      </c>
      <c r="H8" s="18">
        <f>IFERROR(MATCH(SMALL('Binder Data'!$M$2:$M$6251,3),'Binder Data'!$M$2:$M$6251,0)+1,"")</f>
        <v>269</v>
      </c>
    </row>
    <row r="9" ht="198.75" customHeight="1">
      <c r="A9" s="16" t="b">
        <v>0</v>
      </c>
      <c r="B9" s="14" t="str">
        <f t="array" ref="B9">IF($H9="","",INDEX('Binder Data'!$A:$A,$H9))</f>
        <v>Loyal Apprentice</v>
      </c>
      <c r="C9" s="14" t="str">
        <f t="array" ref="C9">IF($H9="","",INDEX('Binder Data'!$L:$L,$H9))</f>
        <v>Red</v>
      </c>
      <c r="D9" s="14" t="str">
        <f t="array" ref="D9">IF($H9="","",INDEX('Binder Data'!$I:$I,$H9))</f>
        <v>The List</v>
      </c>
      <c r="E9" s="17">
        <f t="array" ref="E9">IF($H9="","",INDEX('Binder Data'!$F:$F,$H9))</f>
        <v>0.37</v>
      </c>
      <c r="F9" s="14" t="str">
        <f t="array" ref="F9">IF($H9="","",INDEX('Binder Data'!$Q:$Q,$H9))</f>
        <v>Deck 1</v>
      </c>
      <c r="G9" s="14" t="str">
        <f t="array" ref="G9">IF(OR($H9="",$E$4&lt;&gt;TRUE()),"",IFERROR(IMAGE(INDEX('Binder Data'!$O:$O,$H9)),""))</f>
        <v/>
      </c>
      <c r="H9" s="18">
        <f>IFERROR(MATCH(SMALL('Binder Data'!$M$2:$M$6251,4),'Binder Data'!$M$2:$M$6251,0)+1,"")</f>
        <v>285</v>
      </c>
    </row>
    <row r="10" ht="198.75" customHeight="1">
      <c r="A10" s="16" t="b">
        <v>0</v>
      </c>
      <c r="B10" s="14" t="str">
        <f t="array" ref="B10">IF($H10="","",INDEX('Binder Data'!$A:$A,$H10))</f>
        <v>Reckless Fireweaver</v>
      </c>
      <c r="C10" s="14" t="str">
        <f t="array" ref="C10">IF($H10="","",INDEX('Binder Data'!$L:$L,$H10))</f>
        <v>Red</v>
      </c>
      <c r="D10" s="14" t="str">
        <f t="array" ref="D10">IF($H10="","",INDEX('Binder Data'!$I:$I,$H10))</f>
        <v>The List</v>
      </c>
      <c r="E10" s="17">
        <f t="array" ref="E10">IF($H10="","",INDEX('Binder Data'!$F:$F,$H10))</f>
        <v>0.92</v>
      </c>
      <c r="F10" s="14" t="str">
        <f t="array" ref="F10">IF($H10="","",INDEX('Binder Data'!$Q:$Q,$H10))</f>
        <v>Deck 1</v>
      </c>
      <c r="G10" s="14" t="str">
        <f t="array" ref="G10">IF(OR($H10="",$E$4&lt;&gt;TRUE()),"",IFERROR(IMAGE(INDEX('Binder Data'!$O:$O,$H10)),""))</f>
        <v/>
      </c>
      <c r="H10" s="18">
        <f>IFERROR(MATCH(SMALL('Binder Data'!$M$2:$M$6251,5),'Binder Data'!$M$2:$M$6251,0)+1,"")</f>
        <v>298</v>
      </c>
    </row>
    <row r="11" ht="198.75" customHeight="1">
      <c r="A11" s="16" t="b">
        <v>0</v>
      </c>
      <c r="B11" s="14" t="str">
        <f t="array" ref="B11">IF($H11="","",INDEX('Binder Data'!$A:$A,$H11))</f>
        <v>Anim Pakal, Thousandth Moon</v>
      </c>
      <c r="C11" s="14" t="str">
        <f t="array" ref="C11">IF($H11="","",INDEX('Binder Data'!$L:$L,$H11))</f>
        <v>Multicolor</v>
      </c>
      <c r="D11" s="14" t="str">
        <f t="array" ref="D11">IF($H11="","",INDEX('Binder Data'!$I:$I,$H11))</f>
        <v>The List</v>
      </c>
      <c r="E11" s="17">
        <f t="array" ref="E11">IF($H11="","",INDEX('Binder Data'!$F:$F,$H11))</f>
        <v>0</v>
      </c>
      <c r="F11" s="14" t="str">
        <f t="array" ref="F11">IF($H11="","",INDEX('Binder Data'!$Q:$Q,$H11))</f>
        <v>Deck 1</v>
      </c>
      <c r="G11" s="14" t="str">
        <f t="array" ref="G11">IF(OR($H11="",$E$4&lt;&gt;TRUE()),"",IFERROR(IMAGE(INDEX('Binder Data'!$O:$O,$H11)),""))</f>
        <v/>
      </c>
      <c r="H11" s="18">
        <f>IFERROR(MATCH(SMALL('Binder Data'!$M$2:$M$6251,6),'Binder Data'!$M$2:$M$6251,0)+1,"")</f>
        <v>252</v>
      </c>
    </row>
    <row r="12" ht="198.75" customHeight="1">
      <c r="A12" s="16" t="b">
        <v>0</v>
      </c>
      <c r="B12" s="14" t="str">
        <f t="array" ref="B12">IF($H12="","",INDEX('Binder Data'!$A:$A,$H12))</f>
        <v>Arabella, Abandoned Doll</v>
      </c>
      <c r="C12" s="14" t="str">
        <f t="array" ref="C12">IF($H12="","",INDEX('Binder Data'!$L:$L,$H12))</f>
        <v>Multicolor</v>
      </c>
      <c r="D12" s="14" t="str">
        <f t="array" ref="D12">IF($H12="","",INDEX('Binder Data'!$I:$I,$H12))</f>
        <v>The List</v>
      </c>
      <c r="E12" s="17">
        <f t="array" ref="E12">IF($H12="","",INDEX('Binder Data'!$F:$F,$H12))</f>
        <v>0.77</v>
      </c>
      <c r="F12" s="14" t="str">
        <f t="array" ref="F12">IF($H12="","",INDEX('Binder Data'!$Q:$Q,$H12))</f>
        <v>Deck 1</v>
      </c>
      <c r="G12" s="14" t="str">
        <f t="array" ref="G12">IF(OR($H12="",$E$4&lt;&gt;TRUE()),"",IFERROR(IMAGE(INDEX('Binder Data'!$O:$O,$H12)),""))</f>
        <v/>
      </c>
      <c r="H12" s="18">
        <f>IFERROR(MATCH(SMALL('Binder Data'!$M$2:$M$6251,7),'Binder Data'!$M$2:$M$6251,0)+1,"")</f>
        <v>253</v>
      </c>
    </row>
    <row r="13" ht="198.75" customHeight="1">
      <c r="A13" s="16" t="b">
        <v>0</v>
      </c>
      <c r="B13" s="14" t="str">
        <f t="array" ref="B13">IF($H13="","",INDEX('Binder Data'!$A:$A,$H13))</f>
        <v>Chief of the Foundry</v>
      </c>
      <c r="C13" s="14" t="str">
        <f t="array" ref="C13">IF($H13="","",INDEX('Binder Data'!$L:$L,$H13))</f>
        <v>Colorless</v>
      </c>
      <c r="D13" s="14" t="str">
        <f t="array" ref="D13">IF($H13="","",INDEX('Binder Data'!$I:$I,$H13))</f>
        <v>Foundations Jumpstart</v>
      </c>
      <c r="E13" s="17">
        <f t="array" ref="E13">IF($H13="","",INDEX('Binder Data'!$F:$F,$H13))</f>
        <v>0.33</v>
      </c>
      <c r="F13" s="14" t="str">
        <f t="array" ref="F13">IF($H13="","",INDEX('Binder Data'!$Q:$Q,$H13))</f>
        <v>Deck 1</v>
      </c>
      <c r="G13" s="14" t="str">
        <f t="array" ref="G13">IF(OR($H13="",$E$4&lt;&gt;TRUE()),"",IFERROR(IMAGE(INDEX('Binder Data'!$O:$O,$H13)),""))</f>
        <v/>
      </c>
      <c r="H13" s="18">
        <f>IFERROR(MATCH(SMALL('Binder Data'!$M$2:$M$6251,8),'Binder Data'!$M$2:$M$6251,0)+1,"")</f>
        <v>263</v>
      </c>
    </row>
    <row r="14" ht="198.75" customHeight="1">
      <c r="A14" s="16" t="b">
        <v>0</v>
      </c>
      <c r="B14" s="14" t="str">
        <f t="array" ref="B14">IF($H14="","",INDEX('Binder Data'!$A:$A,$H14))</f>
        <v>Ornithopter of Paradise</v>
      </c>
      <c r="C14" s="14" t="str">
        <f t="array" ref="C14">IF($H14="","",INDEX('Binder Data'!$L:$L,$H14))</f>
        <v>Colorless</v>
      </c>
      <c r="D14" s="14" t="str">
        <f t="array" ref="D14">IF($H14="","",INDEX('Binder Data'!$I:$I,$H14))</f>
        <v>Foundations Jumpstart</v>
      </c>
      <c r="E14" s="17">
        <f t="array" ref="E14">IF($H14="","",INDEX('Binder Data'!$F:$F,$H14))</f>
        <v>0.51</v>
      </c>
      <c r="F14" s="14" t="str">
        <f t="array" ref="F14">IF($H14="","",INDEX('Binder Data'!$Q:$Q,$H14))</f>
        <v>Deck 1</v>
      </c>
      <c r="G14" s="14" t="str">
        <f t="array" ref="G14">IF(OR($H14="",$E$4&lt;&gt;TRUE()),"",IFERROR(IMAGE(INDEX('Binder Data'!$O:$O,$H14)),""))</f>
        <v/>
      </c>
      <c r="H14" s="18">
        <f>IFERROR(MATCH(SMALL('Binder Data'!$M$2:$M$6251,9),'Binder Data'!$M$2:$M$6251,0)+1,"")</f>
        <v>290</v>
      </c>
    </row>
    <row r="15" ht="198.75" customHeight="1">
      <c r="A15" s="16" t="b">
        <v>0</v>
      </c>
      <c r="B15" s="14" t="str">
        <f t="array" ref="B15">IF($H15="","",INDEX('Binder Data'!$A:$A,$H15))</f>
        <v>Castle Embereth</v>
      </c>
      <c r="C15" s="14" t="str">
        <f t="array" ref="C15">IF($H15="","",INDEX('Binder Data'!$L:$L,$H15))</f>
        <v>Land</v>
      </c>
      <c r="D15" s="14" t="str">
        <f t="array" ref="D15">IF($H15="","",INDEX('Binder Data'!$I:$I,$H15))</f>
        <v>The List</v>
      </c>
      <c r="E15" s="17">
        <f t="array" ref="E15">IF($H15="","",INDEX('Binder Data'!$F:$F,$H15))</f>
        <v>0.36</v>
      </c>
      <c r="F15" s="14" t="str">
        <f t="array" ref="F15">IF($H15="","",INDEX('Binder Data'!$Q:$Q,$H15))</f>
        <v>Deck 1</v>
      </c>
      <c r="G15" s="14" t="str">
        <f t="array" ref="G15">IF(OR($H15="",$E$4&lt;&gt;TRUE()),"",IFERROR(IMAGE(INDEX('Binder Data'!$O:$O,$H15)),""))</f>
        <v/>
      </c>
      <c r="H15" s="18">
        <f>IFERROR(MATCH(SMALL('Binder Data'!$M$2:$M$6251,10),'Binder Data'!$M$2:$M$6251,0)+1,"")</f>
        <v>260</v>
      </c>
    </row>
    <row r="16" ht="198.75" customHeight="1">
      <c r="A16" s="16" t="b">
        <v>0</v>
      </c>
      <c r="B16" s="14" t="str">
        <f t="array" ref="B16">IF($H16="","",INDEX('Binder Data'!$A:$A,$H16))</f>
        <v>Clifftop Retreat</v>
      </c>
      <c r="C16" s="14" t="str">
        <f t="array" ref="C16">IF($H16="","",INDEX('Binder Data'!$L:$L,$H16))</f>
        <v>Land</v>
      </c>
      <c r="D16" s="14" t="str">
        <f t="array" ref="D16">IF($H16="","",INDEX('Binder Data'!$I:$I,$H16))</f>
        <v>The List</v>
      </c>
      <c r="E16" s="17">
        <f t="array" ref="E16">IF($H16="","",INDEX('Binder Data'!$F:$F,$H16))</f>
        <v>0.76</v>
      </c>
      <c r="F16" s="14" t="str">
        <f t="array" ref="F16">IF($H16="","",INDEX('Binder Data'!$Q:$Q,$H16))</f>
        <v>Deck 1</v>
      </c>
      <c r="G16" s="14" t="str">
        <f t="array" ref="G16">IF(OR($H16="",$E$4&lt;&gt;TRUE()),"",IFERROR(IMAGE(INDEX('Binder Data'!$O:$O,$H16)),""))</f>
        <v/>
      </c>
      <c r="H16" s="18">
        <f>IFERROR(MATCH(SMALL('Binder Data'!$M$2:$M$6251,11),'Binder Data'!$M$2:$M$6251,0)+1,"")</f>
        <v>264</v>
      </c>
    </row>
    <row r="17" ht="198.75" customHeight="1">
      <c r="A17" s="16" t="b">
        <v>0</v>
      </c>
      <c r="B17" s="14" t="str">
        <f t="array" ref="B17">IF($H17="","",INDEX('Binder Data'!$A:$A,$H17))</f>
        <v>Command Beacon</v>
      </c>
      <c r="C17" s="14" t="str">
        <f t="array" ref="C17">IF($H17="","",INDEX('Binder Data'!$L:$L,$H17))</f>
        <v>Land</v>
      </c>
      <c r="D17" s="14" t="str">
        <f t="array" ref="D17">IF($H17="","",INDEX('Binder Data'!$I:$I,$H17))</f>
        <v>The List</v>
      </c>
      <c r="E17" s="17">
        <f t="array" ref="E17">IF($H17="","",INDEX('Binder Data'!$F:$F,$H17))</f>
        <v>10.61</v>
      </c>
      <c r="F17" s="14" t="str">
        <f t="array" ref="F17">IF($H17="","",INDEX('Binder Data'!$Q:$Q,$H17))</f>
        <v>Deck 1</v>
      </c>
      <c r="G17" s="14" t="str">
        <f t="array" ref="G17">IF(OR($H17="",$E$4&lt;&gt;TRUE()),"",IFERROR(IMAGE(INDEX('Binder Data'!$O:$O,$H17)),""))</f>
        <v/>
      </c>
      <c r="H17" s="18">
        <f>IFERROR(MATCH(SMALL('Binder Data'!$M$2:$M$6251,12),'Binder Data'!$M$2:$M$6251,0)+1,"")</f>
        <v>265</v>
      </c>
    </row>
    <row r="18" ht="198.75" customHeight="1">
      <c r="A18" s="16" t="b">
        <v>0</v>
      </c>
      <c r="B18" s="14" t="str">
        <f t="array" ref="B18">IF($H18="","",INDEX('Binder Data'!$A:$A,$H18))</f>
        <v>Command Tower</v>
      </c>
      <c r="C18" s="14" t="str">
        <f t="array" ref="C18">IF($H18="","",INDEX('Binder Data'!$L:$L,$H18))</f>
        <v>Land</v>
      </c>
      <c r="D18" s="14" t="str">
        <f t="array" ref="D18">IF($H18="","",INDEX('Binder Data'!$I:$I,$H18))</f>
        <v>The List</v>
      </c>
      <c r="E18" s="17">
        <f t="array" ref="E18">IF($H18="","",INDEX('Binder Data'!$F:$F,$H18))</f>
        <v>0.36</v>
      </c>
      <c r="F18" s="14" t="str">
        <f t="array" ref="F18">IF($H18="","",INDEX('Binder Data'!$Q:$Q,$H18))</f>
        <v>Deck 1</v>
      </c>
      <c r="G18" s="14" t="str">
        <f t="array" ref="G18">IF(OR($H18="",$E$4&lt;&gt;TRUE()),"",IFERROR(IMAGE(INDEX('Binder Data'!$O:$O,$H18)),""))</f>
        <v/>
      </c>
      <c r="H18" s="18">
        <f>IFERROR(MATCH(SMALL('Binder Data'!$M$2:$M$6251,13),'Binder Data'!$M$2:$M$6251,0)+1,"")</f>
        <v>266</v>
      </c>
    </row>
    <row r="19" ht="198.75" customHeight="1">
      <c r="A19" s="16" t="b">
        <v>0</v>
      </c>
      <c r="B19" s="14" t="str">
        <f t="array" ref="B19">IF($H19="","",INDEX('Binder Data'!$A:$A,$H19))</f>
        <v>Demolition Field</v>
      </c>
      <c r="C19" s="14" t="str">
        <f t="array" ref="C19">IF($H19="","",INDEX('Binder Data'!$L:$L,$H19))</f>
        <v>Land</v>
      </c>
      <c r="D19" s="14" t="str">
        <f t="array" ref="D19">IF($H19="","",INDEX('Binder Data'!$I:$I,$H19))</f>
        <v>Foundations</v>
      </c>
      <c r="E19" s="17">
        <f t="array" ref="E19">IF($H19="","",INDEX('Binder Data'!$F:$F,$H19))</f>
        <v>0.32</v>
      </c>
      <c r="F19" s="14" t="str">
        <f t="array" ref="F19">IF($H19="","",INDEX('Binder Data'!$Q:$Q,$H19))</f>
        <v>Deck 1</v>
      </c>
      <c r="G19" s="14" t="str">
        <f t="array" ref="G19">IF(OR($H19="",$E$4&lt;&gt;TRUE()),"",IFERROR(IMAGE(INDEX('Binder Data'!$O:$O,$H19)),""))</f>
        <v/>
      </c>
      <c r="H19" s="18">
        <f>IFERROR(MATCH(SMALL('Binder Data'!$M$2:$M$6251,14),'Binder Data'!$M$2:$M$6251,0)+1,"")</f>
        <v>270</v>
      </c>
    </row>
    <row r="20" ht="198.75" customHeight="1">
      <c r="A20" s="16" t="b">
        <v>0</v>
      </c>
      <c r="B20" s="14" t="str">
        <f t="array" ref="B20">IF($H20="","",INDEX('Binder Data'!$A:$A,$H20))</f>
        <v>Exotic Orchard</v>
      </c>
      <c r="C20" s="14" t="str">
        <f t="array" ref="C20">IF($H20="","",INDEX('Binder Data'!$L:$L,$H20))</f>
        <v>Land</v>
      </c>
      <c r="D20" s="14" t="str">
        <f t="array" ref="D20">IF($H20="","",INDEX('Binder Data'!$I:$I,$H20))</f>
        <v>The List</v>
      </c>
      <c r="E20" s="17">
        <f t="array" ref="E20">IF($H20="","",INDEX('Binder Data'!$F:$F,$H20))</f>
        <v>0.28</v>
      </c>
      <c r="F20" s="14" t="str">
        <f t="array" ref="F20">IF($H20="","",INDEX('Binder Data'!$Q:$Q,$H20))</f>
        <v>Deck 1</v>
      </c>
      <c r="G20" s="14" t="str">
        <f t="array" ref="G20">IF(OR($H20="",$E$4&lt;&gt;TRUE()),"",IFERROR(IMAGE(INDEX('Binder Data'!$O:$O,$H20)),""))</f>
        <v/>
      </c>
      <c r="H20" s="18">
        <f>IFERROR(MATCH(SMALL('Binder Data'!$M$2:$M$6251,15),'Binder Data'!$M$2:$M$6251,0)+1,"")</f>
        <v>272</v>
      </c>
    </row>
    <row r="21" ht="198.75" customHeight="1">
      <c r="A21" s="16" t="b">
        <v>0</v>
      </c>
      <c r="B21" s="14" t="str">
        <f t="array" ref="B21">IF($H21="","",INDEX('Binder Data'!$A:$A,$H21))</f>
        <v>Fountainport</v>
      </c>
      <c r="C21" s="14" t="str">
        <f t="array" ref="C21">IF($H21="","",INDEX('Binder Data'!$L:$L,$H21))</f>
        <v>Land</v>
      </c>
      <c r="D21" s="14" t="str">
        <f t="array" ref="D21">IF($H21="","",INDEX('Binder Data'!$I:$I,$H21))</f>
        <v>The List</v>
      </c>
      <c r="E21" s="17">
        <f t="array" ref="E21">IF($H21="","",INDEX('Binder Data'!$F:$F,$H21))</f>
        <v>3.45</v>
      </c>
      <c r="F21" s="14" t="str">
        <f t="array" ref="F21">IF($H21="","",INDEX('Binder Data'!$Q:$Q,$H21))</f>
        <v>Deck 1</v>
      </c>
      <c r="G21" s="14" t="str">
        <f t="array" ref="G21">IF(OR($H21="",$E$4&lt;&gt;TRUE()),"",IFERROR(IMAGE(INDEX('Binder Data'!$O:$O,$H21)),""))</f>
        <v/>
      </c>
      <c r="H21" s="18">
        <f>IFERROR(MATCH(SMALL('Binder Data'!$M$2:$M$6251,16),'Binder Data'!$M$2:$M$6251,0)+1,"")</f>
        <v>273</v>
      </c>
    </row>
    <row r="22" ht="198.75" customHeight="1">
      <c r="A22" s="16" t="b">
        <v>0</v>
      </c>
      <c r="B22" s="14" t="str">
        <f t="array" ref="B22">IF($H22="","",INDEX('Binder Data'!$A:$A,$H22))</f>
        <v/>
      </c>
      <c r="C22" s="14" t="str">
        <f t="array" ref="C22">IF($H22="","",INDEX('Binder Data'!$L:$L,$H22))</f>
        <v/>
      </c>
      <c r="D22" s="14" t="str">
        <f t="array" ref="D22">IF($H22="","",INDEX('Binder Data'!$I:$I,$H22))</f>
        <v/>
      </c>
      <c r="E22" s="17" t="str">
        <f t="array" ref="E22">IF($H22="","",INDEX('Binder Data'!$F:$F,$H22))</f>
        <v/>
      </c>
      <c r="F22" s="14" t="str">
        <f t="array" ref="F22">IF($H22="","",INDEX('Binder Data'!$Q:$Q,$H22))</f>
        <v/>
      </c>
      <c r="G22" s="14" t="str">
        <f t="array" ref="G22">IF(OR($H22="",$E$4&lt;&gt;TRUE()),"",IFERROR(IMAGE(INDEX('Binder Data'!$O:$O,$H22)),""))</f>
        <v/>
      </c>
      <c r="H22" s="18" t="str">
        <f>IFERROR(MATCH(SMALL('Binder Data'!$M$2:$M$6251,17),'Binder Data'!$M$2:$M$6251,0)+1,"")</f>
        <v/>
      </c>
    </row>
    <row r="23" ht="198.75" customHeight="1">
      <c r="A23" s="16" t="b">
        <v>0</v>
      </c>
      <c r="B23" s="14" t="str">
        <f t="array" ref="B23">IF($H23="","",INDEX('Binder Data'!$A:$A,$H23))</f>
        <v/>
      </c>
      <c r="C23" s="14" t="str">
        <f t="array" ref="C23">IF($H23="","",INDEX('Binder Data'!$L:$L,$H23))</f>
        <v/>
      </c>
      <c r="D23" s="14" t="str">
        <f t="array" ref="D23">IF($H23="","",INDEX('Binder Data'!$I:$I,$H23))</f>
        <v/>
      </c>
      <c r="E23" s="17" t="str">
        <f t="array" ref="E23">IF($H23="","",INDEX('Binder Data'!$F:$F,$H23))</f>
        <v/>
      </c>
      <c r="F23" s="14" t="str">
        <f t="array" ref="F23">IF($H23="","",INDEX('Binder Data'!$Q:$Q,$H23))</f>
        <v/>
      </c>
      <c r="G23" s="14" t="str">
        <f t="array" ref="G23">IF(OR($H23="",$E$4&lt;&gt;TRUE()),"",IFERROR(IMAGE(INDEX('Binder Data'!$O:$O,$H23)),""))</f>
        <v/>
      </c>
      <c r="H23" s="18" t="str">
        <f>IFERROR(MATCH(SMALL('Binder Data'!$M$2:$M$6251,18),'Binder Data'!$M$2:$M$6251,0)+1,"")</f>
        <v/>
      </c>
    </row>
    <row r="24" ht="198.75" customHeight="1">
      <c r="A24" s="16" t="b">
        <v>0</v>
      </c>
      <c r="B24" s="14" t="str">
        <f t="array" ref="B24">IF($H24="","",INDEX('Binder Data'!$A:$A,$H24))</f>
        <v/>
      </c>
      <c r="C24" s="14" t="str">
        <f t="array" ref="C24">IF($H24="","",INDEX('Binder Data'!$L:$L,$H24))</f>
        <v/>
      </c>
      <c r="D24" s="14" t="str">
        <f t="array" ref="D24">IF($H24="","",INDEX('Binder Data'!$I:$I,$H24))</f>
        <v/>
      </c>
      <c r="E24" s="17" t="str">
        <f t="array" ref="E24">IF($H24="","",INDEX('Binder Data'!$F:$F,$H24))</f>
        <v/>
      </c>
      <c r="F24" s="14" t="str">
        <f t="array" ref="F24">IF($H24="","",INDEX('Binder Data'!$Q:$Q,$H24))</f>
        <v/>
      </c>
      <c r="G24" s="14" t="str">
        <f t="array" ref="G24">IF(OR($H24="",$E$4&lt;&gt;TRUE()),"",IFERROR(IMAGE(INDEX('Binder Data'!$O:$O,$H24)),""))</f>
        <v/>
      </c>
      <c r="H24" s="18" t="str">
        <f>IFERROR(MATCH(SMALL('Binder Data'!$M$2:$M$6251,19),'Binder Data'!$M$2:$M$6251,0)+1,"")</f>
        <v/>
      </c>
    </row>
    <row r="25" ht="198.75" customHeight="1">
      <c r="A25" s="16" t="b">
        <v>0</v>
      </c>
      <c r="B25" s="14" t="str">
        <f t="array" ref="B25">IF($H25="","",INDEX('Binder Data'!$A:$A,$H25))</f>
        <v/>
      </c>
      <c r="C25" s="14" t="str">
        <f t="array" ref="C25">IF($H25="","",INDEX('Binder Data'!$L:$L,$H25))</f>
        <v/>
      </c>
      <c r="D25" s="14" t="str">
        <f t="array" ref="D25">IF($H25="","",INDEX('Binder Data'!$I:$I,$H25))</f>
        <v/>
      </c>
      <c r="E25" s="17" t="str">
        <f t="array" ref="E25">IF($H25="","",INDEX('Binder Data'!$F:$F,$H25))</f>
        <v/>
      </c>
      <c r="F25" s="14" t="str">
        <f t="array" ref="F25">IF($H25="","",INDEX('Binder Data'!$Q:$Q,$H25))</f>
        <v/>
      </c>
      <c r="G25" s="14" t="str">
        <f t="array" ref="G25">IF(OR($H25="",$E$4&lt;&gt;TRUE()),"",IFERROR(IMAGE(INDEX('Binder Data'!$O:$O,$H25)),""))</f>
        <v/>
      </c>
      <c r="H25" s="18" t="str">
        <f>IFERROR(MATCH(SMALL('Binder Data'!$M$2:$M$6251,20),'Binder Data'!$M$2:$M$6251,0)+1,"")</f>
        <v/>
      </c>
    </row>
    <row r="26" ht="198.75" customHeight="1">
      <c r="A26" s="16" t="b">
        <v>0</v>
      </c>
      <c r="B26" s="14" t="str">
        <f t="array" ref="B26">IF($H26="","",INDEX('Binder Data'!$A:$A,$H26))</f>
        <v/>
      </c>
      <c r="C26" s="14" t="str">
        <f t="array" ref="C26">IF($H26="","",INDEX('Binder Data'!$L:$L,$H26))</f>
        <v/>
      </c>
      <c r="D26" s="14" t="str">
        <f t="array" ref="D26">IF($H26="","",INDEX('Binder Data'!$I:$I,$H26))</f>
        <v/>
      </c>
      <c r="E26" s="17" t="str">
        <f t="array" ref="E26">IF($H26="","",INDEX('Binder Data'!$F:$F,$H26))</f>
        <v/>
      </c>
      <c r="F26" s="14" t="str">
        <f t="array" ref="F26">IF($H26="","",INDEX('Binder Data'!$Q:$Q,$H26))</f>
        <v/>
      </c>
      <c r="G26" s="14" t="str">
        <f t="array" ref="G26">IF(OR($H26="",$E$4&lt;&gt;TRUE()),"",IFERROR(IMAGE(INDEX('Binder Data'!$O:$O,$H26)),""))</f>
        <v/>
      </c>
      <c r="H26" s="18" t="str">
        <f>IFERROR(MATCH(SMALL('Binder Data'!$M$2:$M$6251,21),'Binder Data'!$M$2:$M$6251,0)+1,"")</f>
        <v/>
      </c>
    </row>
    <row r="27" ht="198.75" customHeight="1">
      <c r="A27" s="16" t="b">
        <v>0</v>
      </c>
      <c r="B27" s="14" t="str">
        <f t="array" ref="B27">IF($H27="","",INDEX('Binder Data'!$A:$A,$H27))</f>
        <v/>
      </c>
      <c r="C27" s="14" t="str">
        <f t="array" ref="C27">IF($H27="","",INDEX('Binder Data'!$L:$L,$H27))</f>
        <v/>
      </c>
      <c r="D27" s="14" t="str">
        <f t="array" ref="D27">IF($H27="","",INDEX('Binder Data'!$I:$I,$H27))</f>
        <v/>
      </c>
      <c r="E27" s="17" t="str">
        <f t="array" ref="E27">IF($H27="","",INDEX('Binder Data'!$F:$F,$H27))</f>
        <v/>
      </c>
      <c r="F27" s="14" t="str">
        <f t="array" ref="F27">IF($H27="","",INDEX('Binder Data'!$Q:$Q,$H27))</f>
        <v/>
      </c>
      <c r="G27" s="14" t="str">
        <f t="array" ref="G27">IF(OR($H27="",$E$4&lt;&gt;TRUE()),"",IFERROR(IMAGE(INDEX('Binder Data'!$O:$O,$H27)),""))</f>
        <v/>
      </c>
      <c r="H27" s="18" t="str">
        <f>IFERROR(MATCH(SMALL('Binder Data'!$M$2:$M$6251,22),'Binder Data'!$M$2:$M$6251,0)+1,"")</f>
        <v/>
      </c>
    </row>
    <row r="28" ht="198.75" customHeight="1">
      <c r="A28" s="16" t="b">
        <v>0</v>
      </c>
      <c r="B28" s="14" t="str">
        <f t="array" ref="B28">IF($H28="","",INDEX('Binder Data'!$A:$A,$H28))</f>
        <v/>
      </c>
      <c r="C28" s="14" t="str">
        <f t="array" ref="C28">IF($H28="","",INDEX('Binder Data'!$L:$L,$H28))</f>
        <v/>
      </c>
      <c r="D28" s="14" t="str">
        <f t="array" ref="D28">IF($H28="","",INDEX('Binder Data'!$I:$I,$H28))</f>
        <v/>
      </c>
      <c r="E28" s="17" t="str">
        <f t="array" ref="E28">IF($H28="","",INDEX('Binder Data'!$F:$F,$H28))</f>
        <v/>
      </c>
      <c r="F28" s="14" t="str">
        <f t="array" ref="F28">IF($H28="","",INDEX('Binder Data'!$Q:$Q,$H28))</f>
        <v/>
      </c>
      <c r="G28" s="14" t="str">
        <f t="array" ref="G28">IF(OR($H28="",$E$4&lt;&gt;TRUE()),"",IFERROR(IMAGE(INDEX('Binder Data'!$O:$O,$H28)),""))</f>
        <v/>
      </c>
      <c r="H28" s="18" t="str">
        <f>IFERROR(MATCH(SMALL('Binder Data'!$M$2:$M$6251,23),'Binder Data'!$M$2:$M$6251,0)+1,"")</f>
        <v/>
      </c>
    </row>
    <row r="29" ht="198.75" customHeight="1">
      <c r="A29" s="16" t="b">
        <v>0</v>
      </c>
      <c r="B29" s="14" t="str">
        <f t="array" ref="B29">IF($H29="","",INDEX('Binder Data'!$A:$A,$H29))</f>
        <v/>
      </c>
      <c r="C29" s="14" t="str">
        <f t="array" ref="C29">IF($H29="","",INDEX('Binder Data'!$L:$L,$H29))</f>
        <v/>
      </c>
      <c r="D29" s="14" t="str">
        <f t="array" ref="D29">IF($H29="","",INDEX('Binder Data'!$I:$I,$H29))</f>
        <v/>
      </c>
      <c r="E29" s="17" t="str">
        <f t="array" ref="E29">IF($H29="","",INDEX('Binder Data'!$F:$F,$H29))</f>
        <v/>
      </c>
      <c r="F29" s="14" t="str">
        <f t="array" ref="F29">IF($H29="","",INDEX('Binder Data'!$Q:$Q,$H29))</f>
        <v/>
      </c>
      <c r="G29" s="14" t="str">
        <f t="array" ref="G29">IF(OR($H29="",$E$4&lt;&gt;TRUE()),"",IFERROR(IMAGE(INDEX('Binder Data'!$O:$O,$H29)),""))</f>
        <v/>
      </c>
      <c r="H29" s="18" t="str">
        <f>IFERROR(MATCH(SMALL('Binder Data'!$M$2:$M$6251,24),'Binder Data'!$M$2:$M$6251,0)+1,"")</f>
        <v/>
      </c>
    </row>
    <row r="30" ht="198.75" customHeight="1">
      <c r="A30" s="16" t="b">
        <v>0</v>
      </c>
      <c r="B30" s="14" t="str">
        <f t="array" ref="B30">IF($H30="","",INDEX('Binder Data'!$A:$A,$H30))</f>
        <v/>
      </c>
      <c r="C30" s="14" t="str">
        <f t="array" ref="C30">IF($H30="","",INDEX('Binder Data'!$L:$L,$H30))</f>
        <v/>
      </c>
      <c r="D30" s="14" t="str">
        <f t="array" ref="D30">IF($H30="","",INDEX('Binder Data'!$I:$I,$H30))</f>
        <v/>
      </c>
      <c r="E30" s="17" t="str">
        <f t="array" ref="E30">IF($H30="","",INDEX('Binder Data'!$F:$F,$H30))</f>
        <v/>
      </c>
      <c r="F30" s="14" t="str">
        <f t="array" ref="F30">IF($H30="","",INDEX('Binder Data'!$Q:$Q,$H30))</f>
        <v/>
      </c>
      <c r="G30" s="14" t="str">
        <f t="array" ref="G30">IF(OR($H30="",$E$4&lt;&gt;TRUE()),"",IFERROR(IMAGE(INDEX('Binder Data'!$O:$O,$H30)),""))</f>
        <v/>
      </c>
      <c r="H30" s="18" t="str">
        <f>IFERROR(MATCH(SMALL('Binder Data'!$M$2:$M$6251,25),'Binder Data'!$M$2:$M$6251,0)+1,"")</f>
        <v/>
      </c>
    </row>
    <row r="31" ht="198.75" customHeight="1">
      <c r="A31" s="16" t="b">
        <v>0</v>
      </c>
      <c r="B31" s="14" t="str">
        <f t="array" ref="B31">IF($H31="","",INDEX('Binder Data'!$A:$A,$H31))</f>
        <v/>
      </c>
      <c r="C31" s="14" t="str">
        <f t="array" ref="C31">IF($H31="","",INDEX('Binder Data'!$L:$L,$H31))</f>
        <v/>
      </c>
      <c r="D31" s="14" t="str">
        <f t="array" ref="D31">IF($H31="","",INDEX('Binder Data'!$I:$I,$H31))</f>
        <v/>
      </c>
      <c r="E31" s="17" t="str">
        <f t="array" ref="E31">IF($H31="","",INDEX('Binder Data'!$F:$F,$H31))</f>
        <v/>
      </c>
      <c r="F31" s="14" t="str">
        <f t="array" ref="F31">IF($H31="","",INDEX('Binder Data'!$Q:$Q,$H31))</f>
        <v/>
      </c>
      <c r="G31" s="14" t="str">
        <f t="array" ref="G31">IF(OR($H31="",$E$4&lt;&gt;TRUE()),"",IFERROR(IMAGE(INDEX('Binder Data'!$O:$O,$H31)),""))</f>
        <v/>
      </c>
      <c r="H31" s="18" t="str">
        <f>IFERROR(MATCH(SMALL('Binder Data'!$M$2:$M$6251,26),'Binder Data'!$M$2:$M$6251,0)+1,"")</f>
        <v/>
      </c>
    </row>
    <row r="32" ht="198.75" customHeight="1">
      <c r="A32" s="16" t="b">
        <v>0</v>
      </c>
      <c r="B32" s="14" t="str">
        <f t="array" ref="B32">IF($H32="","",INDEX('Binder Data'!$A:$A,$H32))</f>
        <v/>
      </c>
      <c r="C32" s="14" t="str">
        <f t="array" ref="C32">IF($H32="","",INDEX('Binder Data'!$L:$L,$H32))</f>
        <v/>
      </c>
      <c r="D32" s="14" t="str">
        <f t="array" ref="D32">IF($H32="","",INDEX('Binder Data'!$I:$I,$H32))</f>
        <v/>
      </c>
      <c r="E32" s="17" t="str">
        <f t="array" ref="E32">IF($H32="","",INDEX('Binder Data'!$F:$F,$H32))</f>
        <v/>
      </c>
      <c r="F32" s="14" t="str">
        <f t="array" ref="F32">IF($H32="","",INDEX('Binder Data'!$Q:$Q,$H32))</f>
        <v/>
      </c>
      <c r="G32" s="14" t="str">
        <f t="array" ref="G32">IF(OR($H32="",$E$4&lt;&gt;TRUE()),"",IFERROR(IMAGE(INDEX('Binder Data'!$O:$O,$H32)),""))</f>
        <v/>
      </c>
      <c r="H32" s="18" t="str">
        <f>IFERROR(MATCH(SMALL('Binder Data'!$M$2:$M$6251,27),'Binder Data'!$M$2:$M$6251,0)+1,"")</f>
        <v/>
      </c>
    </row>
    <row r="33" ht="198.75" customHeight="1">
      <c r="A33" s="16" t="b">
        <v>0</v>
      </c>
      <c r="B33" s="14" t="str">
        <f t="array" ref="B33">IF($H33="","",INDEX('Binder Data'!$A:$A,$H33))</f>
        <v/>
      </c>
      <c r="C33" s="14" t="str">
        <f t="array" ref="C33">IF($H33="","",INDEX('Binder Data'!$L:$L,$H33))</f>
        <v/>
      </c>
      <c r="D33" s="14" t="str">
        <f t="array" ref="D33">IF($H33="","",INDEX('Binder Data'!$I:$I,$H33))</f>
        <v/>
      </c>
      <c r="E33" s="17" t="str">
        <f t="array" ref="E33">IF($H33="","",INDEX('Binder Data'!$F:$F,$H33))</f>
        <v/>
      </c>
      <c r="F33" s="14" t="str">
        <f t="array" ref="F33">IF($H33="","",INDEX('Binder Data'!$Q:$Q,$H33))</f>
        <v/>
      </c>
      <c r="G33" s="14" t="str">
        <f t="array" ref="G33">IF(OR($H33="",$E$4&lt;&gt;TRUE()),"",IFERROR(IMAGE(INDEX('Binder Data'!$O:$O,$H33)),""))</f>
        <v/>
      </c>
      <c r="H33" s="18" t="str">
        <f>IFERROR(MATCH(SMALL('Binder Data'!$M$2:$M$6251,28),'Binder Data'!$M$2:$M$6251,0)+1,"")</f>
        <v/>
      </c>
    </row>
    <row r="34" ht="198.75" customHeight="1">
      <c r="A34" s="16" t="b">
        <v>0</v>
      </c>
      <c r="B34" s="14" t="str">
        <f t="array" ref="B34">IF($H34="","",INDEX('Binder Data'!$A:$A,$H34))</f>
        <v/>
      </c>
      <c r="C34" s="14" t="str">
        <f t="array" ref="C34">IF($H34="","",INDEX('Binder Data'!$L:$L,$H34))</f>
        <v/>
      </c>
      <c r="D34" s="14" t="str">
        <f t="array" ref="D34">IF($H34="","",INDEX('Binder Data'!$I:$I,$H34))</f>
        <v/>
      </c>
      <c r="E34" s="17" t="str">
        <f t="array" ref="E34">IF($H34="","",INDEX('Binder Data'!$F:$F,$H34))</f>
        <v/>
      </c>
      <c r="F34" s="14" t="str">
        <f t="array" ref="F34">IF($H34="","",INDEX('Binder Data'!$Q:$Q,$H34))</f>
        <v/>
      </c>
      <c r="G34" s="14" t="str">
        <f t="array" ref="G34">IF(OR($H34="",$E$4&lt;&gt;TRUE()),"",IFERROR(IMAGE(INDEX('Binder Data'!$O:$O,$H34)),""))</f>
        <v/>
      </c>
      <c r="H34" s="18" t="str">
        <f>IFERROR(MATCH(SMALL('Binder Data'!$M$2:$M$6251,29),'Binder Data'!$M$2:$M$6251,0)+1,"")</f>
        <v/>
      </c>
    </row>
    <row r="35" ht="198.75" customHeight="1">
      <c r="A35" s="16" t="b">
        <v>0</v>
      </c>
      <c r="B35" s="14" t="str">
        <f t="array" ref="B35">IF($H35="","",INDEX('Binder Data'!$A:$A,$H35))</f>
        <v/>
      </c>
      <c r="C35" s="14" t="str">
        <f t="array" ref="C35">IF($H35="","",INDEX('Binder Data'!$L:$L,$H35))</f>
        <v/>
      </c>
      <c r="D35" s="14" t="str">
        <f t="array" ref="D35">IF($H35="","",INDEX('Binder Data'!$I:$I,$H35))</f>
        <v/>
      </c>
      <c r="E35" s="17" t="str">
        <f t="array" ref="E35">IF($H35="","",INDEX('Binder Data'!$F:$F,$H35))</f>
        <v/>
      </c>
      <c r="F35" s="14" t="str">
        <f t="array" ref="F35">IF($H35="","",INDEX('Binder Data'!$Q:$Q,$H35))</f>
        <v/>
      </c>
      <c r="G35" s="14" t="str">
        <f t="array" ref="G35">IF(OR($H35="",$E$4&lt;&gt;TRUE()),"",IFERROR(IMAGE(INDEX('Binder Data'!$O:$O,$H35)),""))</f>
        <v/>
      </c>
      <c r="H35" s="18" t="str">
        <f>IFERROR(MATCH(SMALL('Binder Data'!$M$2:$M$6251,30),'Binder Data'!$M$2:$M$6251,0)+1,"")</f>
        <v/>
      </c>
    </row>
    <row r="36" ht="198.75" customHeight="1">
      <c r="A36" s="16" t="b">
        <v>0</v>
      </c>
      <c r="B36" s="14" t="str">
        <f t="array" ref="B36">IF($H36="","",INDEX('Binder Data'!$A:$A,$H36))</f>
        <v/>
      </c>
      <c r="C36" s="14" t="str">
        <f t="array" ref="C36">IF($H36="","",INDEX('Binder Data'!$L:$L,$H36))</f>
        <v/>
      </c>
      <c r="D36" s="14" t="str">
        <f t="array" ref="D36">IF($H36="","",INDEX('Binder Data'!$I:$I,$H36))</f>
        <v/>
      </c>
      <c r="E36" s="17" t="str">
        <f t="array" ref="E36">IF($H36="","",INDEX('Binder Data'!$F:$F,$H36))</f>
        <v/>
      </c>
      <c r="F36" s="14" t="str">
        <f t="array" ref="F36">IF($H36="","",INDEX('Binder Data'!$Q:$Q,$H36))</f>
        <v/>
      </c>
      <c r="G36" s="14" t="str">
        <f t="array" ref="G36">IF(OR($H36="",$E$4&lt;&gt;TRUE()),"",IFERROR(IMAGE(INDEX('Binder Data'!$O:$O,$H36)),""))</f>
        <v/>
      </c>
      <c r="H36" s="18" t="str">
        <f>IFERROR(MATCH(SMALL('Binder Data'!$M$2:$M$6251,31),'Binder Data'!$M$2:$M$6251,0)+1,"")</f>
        <v/>
      </c>
    </row>
    <row r="37" ht="198.75" customHeight="1">
      <c r="A37" s="16" t="b">
        <v>0</v>
      </c>
      <c r="B37" s="14" t="str">
        <f t="array" ref="B37">IF($H37="","",INDEX('Binder Data'!$A:$A,$H37))</f>
        <v/>
      </c>
      <c r="C37" s="14" t="str">
        <f t="array" ref="C37">IF($H37="","",INDEX('Binder Data'!$L:$L,$H37))</f>
        <v/>
      </c>
      <c r="D37" s="14" t="str">
        <f t="array" ref="D37">IF($H37="","",INDEX('Binder Data'!$I:$I,$H37))</f>
        <v/>
      </c>
      <c r="E37" s="17" t="str">
        <f t="array" ref="E37">IF($H37="","",INDEX('Binder Data'!$F:$F,$H37))</f>
        <v/>
      </c>
      <c r="F37" s="14" t="str">
        <f t="array" ref="F37">IF($H37="","",INDEX('Binder Data'!$Q:$Q,$H37))</f>
        <v/>
      </c>
      <c r="G37" s="14" t="str">
        <f t="array" ref="G37">IF(OR($H37="",$E$4&lt;&gt;TRUE()),"",IFERROR(IMAGE(INDEX('Binder Data'!$O:$O,$H37)),""))</f>
        <v/>
      </c>
      <c r="H37" s="18" t="str">
        <f>IFERROR(MATCH(SMALL('Binder Data'!$M$2:$M$6251,32),'Binder Data'!$M$2:$M$6251,0)+1,"")</f>
        <v/>
      </c>
    </row>
    <row r="38">
      <c r="A38" s="16" t="b">
        <v>0</v>
      </c>
      <c r="B38" s="14" t="str">
        <f t="array" ref="B38">IF($H38="","",INDEX('Binder Data'!$A:$A,$H38))</f>
        <v/>
      </c>
      <c r="C38" s="14" t="str">
        <f t="array" ref="C38">IF($H38="","",INDEX('Binder Data'!$L:$L,$H38))</f>
        <v/>
      </c>
      <c r="D38" s="14" t="str">
        <f t="array" ref="D38">IF($H38="","",INDEX('Binder Data'!$I:$I,$H38))</f>
        <v/>
      </c>
      <c r="E38" s="17" t="str">
        <f t="array" ref="E38">IF($H38="","",INDEX('Binder Data'!$F:$F,$H38))</f>
        <v/>
      </c>
      <c r="F38" s="14" t="str">
        <f t="array" ref="F38">IF($H38="","",INDEX('Binder Data'!$Q:$Q,$H38))</f>
        <v/>
      </c>
      <c r="G38" s="14" t="str">
        <f t="array" ref="G38">IF(OR($H38="",$E$4&lt;&gt;TRUE()),"",IFERROR(IMAGE(INDEX('Binder Data'!$O:$O,$H38)),""))</f>
        <v/>
      </c>
      <c r="H38" s="18" t="str">
        <f>IFERROR(MATCH(SMALL('Binder Data'!$M$2:$M$6251,33),'Binder Data'!$M$2:$M$6251,0)+1,"")</f>
        <v/>
      </c>
    </row>
    <row r="39">
      <c r="A39" s="16" t="b">
        <v>0</v>
      </c>
      <c r="B39" s="14" t="str">
        <f t="array" ref="B39">IF($H39="","",INDEX('Binder Data'!$A:$A,$H39))</f>
        <v/>
      </c>
      <c r="C39" s="14" t="str">
        <f t="array" ref="C39">IF($H39="","",INDEX('Binder Data'!$L:$L,$H39))</f>
        <v/>
      </c>
      <c r="D39" s="14" t="str">
        <f t="array" ref="D39">IF($H39="","",INDEX('Binder Data'!$I:$I,$H39))</f>
        <v/>
      </c>
      <c r="E39" s="17" t="str">
        <f t="array" ref="E39">IF($H39="","",INDEX('Binder Data'!$F:$F,$H39))</f>
        <v/>
      </c>
      <c r="F39" s="14" t="str">
        <f t="array" ref="F39">IF($H39="","",INDEX('Binder Data'!$Q:$Q,$H39))</f>
        <v/>
      </c>
      <c r="G39" s="14" t="str">
        <f t="array" ref="G39">IF(OR($H39="",$E$4&lt;&gt;TRUE()),"",IFERROR(IMAGE(INDEX('Binder Data'!$O:$O,$H39)),""))</f>
        <v/>
      </c>
      <c r="H39" s="18" t="str">
        <f>IFERROR(MATCH(SMALL('Binder Data'!$M$2:$M$6251,34),'Binder Data'!$M$2:$M$6251,0)+1,"")</f>
        <v/>
      </c>
    </row>
    <row r="40">
      <c r="A40" s="16" t="b">
        <v>0</v>
      </c>
      <c r="B40" s="14" t="str">
        <f t="array" ref="B40">IF($H40="","",INDEX('Binder Data'!$A:$A,$H40))</f>
        <v/>
      </c>
      <c r="C40" s="14" t="str">
        <f t="array" ref="C40">IF($H40="","",INDEX('Binder Data'!$L:$L,$H40))</f>
        <v/>
      </c>
      <c r="D40" s="14" t="str">
        <f t="array" ref="D40">IF($H40="","",INDEX('Binder Data'!$I:$I,$H40))</f>
        <v/>
      </c>
      <c r="E40" s="17" t="str">
        <f t="array" ref="E40">IF($H40="","",INDEX('Binder Data'!$F:$F,$H40))</f>
        <v/>
      </c>
      <c r="F40" s="14" t="str">
        <f t="array" ref="F40">IF($H40="","",INDEX('Binder Data'!$Q:$Q,$H40))</f>
        <v/>
      </c>
      <c r="G40" s="14" t="str">
        <f t="array" ref="G40">IF(OR($H40="",$E$4&lt;&gt;TRUE()),"",IFERROR(IMAGE(INDEX('Binder Data'!$O:$O,$H40)),""))</f>
        <v/>
      </c>
      <c r="H40" s="18" t="str">
        <f>IFERROR(MATCH(SMALL('Binder Data'!$M$2:$M$6251,35),'Binder Data'!$M$2:$M$6251,0)+1,"")</f>
        <v/>
      </c>
    </row>
    <row r="41">
      <c r="A41" s="16" t="b">
        <v>0</v>
      </c>
      <c r="B41" s="14" t="str">
        <f t="array" ref="B41">IF($H41="","",INDEX('Binder Data'!$A:$A,$H41))</f>
        <v/>
      </c>
      <c r="C41" s="14" t="str">
        <f t="array" ref="C41">IF($H41="","",INDEX('Binder Data'!$L:$L,$H41))</f>
        <v/>
      </c>
      <c r="D41" s="14" t="str">
        <f t="array" ref="D41">IF($H41="","",INDEX('Binder Data'!$I:$I,$H41))</f>
        <v/>
      </c>
      <c r="E41" s="17" t="str">
        <f t="array" ref="E41">IF($H41="","",INDEX('Binder Data'!$F:$F,$H41))</f>
        <v/>
      </c>
      <c r="F41" s="14" t="str">
        <f t="array" ref="F41">IF($H41="","",INDEX('Binder Data'!$Q:$Q,$H41))</f>
        <v/>
      </c>
      <c r="G41" s="14" t="str">
        <f t="array" ref="G41">IF(OR($H41="",$E$4&lt;&gt;TRUE()),"",IFERROR(IMAGE(INDEX('Binder Data'!$O:$O,$H41)),""))</f>
        <v/>
      </c>
      <c r="H41" s="18" t="str">
        <f>IFERROR(MATCH(SMALL('Binder Data'!$M$2:$M$6251,36),'Binder Data'!$M$2:$M$6251,0)+1,"")</f>
        <v/>
      </c>
    </row>
    <row r="42">
      <c r="A42" s="16" t="b">
        <v>0</v>
      </c>
      <c r="B42" s="14" t="str">
        <f t="array" ref="B42">IF($H42="","",INDEX('Binder Data'!$A:$A,$H42))</f>
        <v/>
      </c>
      <c r="C42" s="14" t="str">
        <f t="array" ref="C42">IF($H42="","",INDEX('Binder Data'!$L:$L,$H42))</f>
        <v/>
      </c>
      <c r="D42" s="14" t="str">
        <f t="array" ref="D42">IF($H42="","",INDEX('Binder Data'!$I:$I,$H42))</f>
        <v/>
      </c>
      <c r="E42" s="17" t="str">
        <f t="array" ref="E42">IF($H42="","",INDEX('Binder Data'!$F:$F,$H42))</f>
        <v/>
      </c>
      <c r="F42" s="14" t="str">
        <f t="array" ref="F42">IF($H42="","",INDEX('Binder Data'!$Q:$Q,$H42))</f>
        <v/>
      </c>
      <c r="G42" s="14" t="str">
        <f t="array" ref="G42">IF(OR($H42="",$E$4&lt;&gt;TRUE()),"",IFERROR(IMAGE(INDEX('Binder Data'!$O:$O,$H42)),""))</f>
        <v/>
      </c>
      <c r="H42" s="18" t="str">
        <f>IFERROR(MATCH(SMALL('Binder Data'!$M$2:$M$6251,37),'Binder Data'!$M$2:$M$6251,0)+1,"")</f>
        <v/>
      </c>
    </row>
    <row r="43">
      <c r="A43" s="16" t="b">
        <v>0</v>
      </c>
      <c r="B43" s="14" t="str">
        <f t="array" ref="B43">IF($H43="","",INDEX('Binder Data'!$A:$A,$H43))</f>
        <v/>
      </c>
      <c r="C43" s="14" t="str">
        <f t="array" ref="C43">IF($H43="","",INDEX('Binder Data'!$L:$L,$H43))</f>
        <v/>
      </c>
      <c r="D43" s="14" t="str">
        <f t="array" ref="D43">IF($H43="","",INDEX('Binder Data'!$I:$I,$H43))</f>
        <v/>
      </c>
      <c r="E43" s="17" t="str">
        <f t="array" ref="E43">IF($H43="","",INDEX('Binder Data'!$F:$F,$H43))</f>
        <v/>
      </c>
      <c r="F43" s="14" t="str">
        <f t="array" ref="F43">IF($H43="","",INDEX('Binder Data'!$Q:$Q,$H43))</f>
        <v/>
      </c>
      <c r="G43" s="14" t="str">
        <f t="array" ref="G43">IF(OR($H43="",$E$4&lt;&gt;TRUE()),"",IFERROR(IMAGE(INDEX('Binder Data'!$O:$O,$H43)),""))</f>
        <v/>
      </c>
      <c r="H43" s="18" t="str">
        <f>IFERROR(MATCH(SMALL('Binder Data'!$M$2:$M$6251,38),'Binder Data'!$M$2:$M$6251,0)+1,"")</f>
        <v/>
      </c>
    </row>
    <row r="44">
      <c r="A44" s="16" t="b">
        <v>0</v>
      </c>
      <c r="B44" s="14" t="str">
        <f t="array" ref="B44">IF($H44="","",INDEX('Binder Data'!$A:$A,$H44))</f>
        <v/>
      </c>
      <c r="C44" s="14" t="str">
        <f t="array" ref="C44">IF($H44="","",INDEX('Binder Data'!$L:$L,$H44))</f>
        <v/>
      </c>
      <c r="D44" s="14" t="str">
        <f t="array" ref="D44">IF($H44="","",INDEX('Binder Data'!$I:$I,$H44))</f>
        <v/>
      </c>
      <c r="E44" s="17" t="str">
        <f t="array" ref="E44">IF($H44="","",INDEX('Binder Data'!$F:$F,$H44))</f>
        <v/>
      </c>
      <c r="F44" s="14" t="str">
        <f t="array" ref="F44">IF($H44="","",INDEX('Binder Data'!$Q:$Q,$H44))</f>
        <v/>
      </c>
      <c r="G44" s="14" t="str">
        <f t="array" ref="G44">IF(OR($H44="",$E$4&lt;&gt;TRUE()),"",IFERROR(IMAGE(INDEX('Binder Data'!$O:$O,$H44)),""))</f>
        <v/>
      </c>
      <c r="H44" s="18" t="str">
        <f>IFERROR(MATCH(SMALL('Binder Data'!$M$2:$M$6251,39),'Binder Data'!$M$2:$M$6251,0)+1,"")</f>
        <v/>
      </c>
    </row>
    <row r="45">
      <c r="A45" s="16" t="b">
        <v>0</v>
      </c>
      <c r="B45" s="14" t="str">
        <f t="array" ref="B45">IF($H45="","",INDEX('Binder Data'!$A:$A,$H45))</f>
        <v/>
      </c>
      <c r="C45" s="14" t="str">
        <f t="array" ref="C45">IF($H45="","",INDEX('Binder Data'!$L:$L,$H45))</f>
        <v/>
      </c>
      <c r="D45" s="14" t="str">
        <f t="array" ref="D45">IF($H45="","",INDEX('Binder Data'!$I:$I,$H45))</f>
        <v/>
      </c>
      <c r="E45" s="17" t="str">
        <f t="array" ref="E45">IF($H45="","",INDEX('Binder Data'!$F:$F,$H45))</f>
        <v/>
      </c>
      <c r="F45" s="14" t="str">
        <f t="array" ref="F45">IF($H45="","",INDEX('Binder Data'!$Q:$Q,$H45))</f>
        <v/>
      </c>
      <c r="G45" s="14" t="str">
        <f t="array" ref="G45">IF(OR($H45="",$E$4&lt;&gt;TRUE()),"",IFERROR(IMAGE(INDEX('Binder Data'!$O:$O,$H45)),""))</f>
        <v/>
      </c>
      <c r="H45" s="18" t="str">
        <f>IFERROR(MATCH(SMALL('Binder Data'!$M$2:$M$6251,40),'Binder Data'!$M$2:$M$6251,0)+1,"")</f>
        <v/>
      </c>
    </row>
    <row r="46">
      <c r="A46" s="16" t="b">
        <v>0</v>
      </c>
      <c r="B46" s="14" t="str">
        <f t="array" ref="B46">IF($H46="","",INDEX('Binder Data'!$A:$A,$H46))</f>
        <v/>
      </c>
      <c r="C46" s="14" t="str">
        <f t="array" ref="C46">IF($H46="","",INDEX('Binder Data'!$L:$L,$H46))</f>
        <v/>
      </c>
      <c r="D46" s="14" t="str">
        <f t="array" ref="D46">IF($H46="","",INDEX('Binder Data'!$I:$I,$H46))</f>
        <v/>
      </c>
      <c r="E46" s="17" t="str">
        <f t="array" ref="E46">IF($H46="","",INDEX('Binder Data'!$F:$F,$H46))</f>
        <v/>
      </c>
      <c r="F46" s="14" t="str">
        <f t="array" ref="F46">IF($H46="","",INDEX('Binder Data'!$Q:$Q,$H46))</f>
        <v/>
      </c>
      <c r="G46" s="14" t="str">
        <f t="array" ref="G46">IF(OR($H46="",$E$4&lt;&gt;TRUE()),"",IFERROR(IMAGE(INDEX('Binder Data'!$O:$O,$H46)),""))</f>
        <v/>
      </c>
      <c r="H46" s="18" t="str">
        <f>IFERROR(MATCH(SMALL('Binder Data'!$M$2:$M$6251,41),'Binder Data'!$M$2:$M$6251,0)+1,"")</f>
        <v/>
      </c>
    </row>
    <row r="47">
      <c r="A47" s="16" t="b">
        <v>0</v>
      </c>
      <c r="B47" s="14" t="str">
        <f t="array" ref="B47">IF($H47="","",INDEX('Binder Data'!$A:$A,$H47))</f>
        <v/>
      </c>
      <c r="C47" s="14" t="str">
        <f t="array" ref="C47">IF($H47="","",INDEX('Binder Data'!$L:$L,$H47))</f>
        <v/>
      </c>
      <c r="D47" s="14" t="str">
        <f t="array" ref="D47">IF($H47="","",INDEX('Binder Data'!$I:$I,$H47))</f>
        <v/>
      </c>
      <c r="E47" s="17" t="str">
        <f t="array" ref="E47">IF($H47="","",INDEX('Binder Data'!$F:$F,$H47))</f>
        <v/>
      </c>
      <c r="F47" s="14" t="str">
        <f t="array" ref="F47">IF($H47="","",INDEX('Binder Data'!$Q:$Q,$H47))</f>
        <v/>
      </c>
      <c r="G47" s="14" t="str">
        <f t="array" ref="G47">IF(OR($H47="",$E$4&lt;&gt;TRUE()),"",IFERROR(IMAGE(INDEX('Binder Data'!$O:$O,$H47)),""))</f>
        <v/>
      </c>
      <c r="H47" s="18" t="str">
        <f>IFERROR(MATCH(SMALL('Binder Data'!$M$2:$M$6251,42),'Binder Data'!$M$2:$M$6251,0)+1,"")</f>
        <v/>
      </c>
    </row>
    <row r="48">
      <c r="A48" s="16" t="b">
        <v>0</v>
      </c>
      <c r="B48" s="14" t="str">
        <f t="array" ref="B48">IF($H48="","",INDEX('Binder Data'!$A:$A,$H48))</f>
        <v/>
      </c>
      <c r="C48" s="14" t="str">
        <f t="array" ref="C48">IF($H48="","",INDEX('Binder Data'!$L:$L,$H48))</f>
        <v/>
      </c>
      <c r="D48" s="14" t="str">
        <f t="array" ref="D48">IF($H48="","",INDEX('Binder Data'!$I:$I,$H48))</f>
        <v/>
      </c>
      <c r="E48" s="17" t="str">
        <f t="array" ref="E48">IF($H48="","",INDEX('Binder Data'!$F:$F,$H48))</f>
        <v/>
      </c>
      <c r="F48" s="14" t="str">
        <f t="array" ref="F48">IF($H48="","",INDEX('Binder Data'!$Q:$Q,$H48))</f>
        <v/>
      </c>
      <c r="G48" s="14" t="str">
        <f t="array" ref="G48">IF(OR($H48="",$E$4&lt;&gt;TRUE()),"",IFERROR(IMAGE(INDEX('Binder Data'!$O:$O,$H48)),""))</f>
        <v/>
      </c>
      <c r="H48" s="18" t="str">
        <f>IFERROR(MATCH(SMALL('Binder Data'!$M$2:$M$6251,43),'Binder Data'!$M$2:$M$6251,0)+1,"")</f>
        <v/>
      </c>
    </row>
    <row r="49">
      <c r="A49" s="16" t="b">
        <v>0</v>
      </c>
      <c r="B49" s="14" t="str">
        <f t="array" ref="B49">IF($H49="","",INDEX('Binder Data'!$A:$A,$H49))</f>
        <v/>
      </c>
      <c r="C49" s="14" t="str">
        <f t="array" ref="C49">IF($H49="","",INDEX('Binder Data'!$L:$L,$H49))</f>
        <v/>
      </c>
      <c r="D49" s="14" t="str">
        <f t="array" ref="D49">IF($H49="","",INDEX('Binder Data'!$I:$I,$H49))</f>
        <v/>
      </c>
      <c r="E49" s="17" t="str">
        <f t="array" ref="E49">IF($H49="","",INDEX('Binder Data'!$F:$F,$H49))</f>
        <v/>
      </c>
      <c r="F49" s="14" t="str">
        <f t="array" ref="F49">IF($H49="","",INDEX('Binder Data'!$Q:$Q,$H49))</f>
        <v/>
      </c>
      <c r="G49" s="14" t="str">
        <f t="array" ref="G49">IF(OR($H49="",$E$4&lt;&gt;TRUE()),"",IFERROR(IMAGE(INDEX('Binder Data'!$O:$O,$H49)),""))</f>
        <v/>
      </c>
      <c r="H49" s="18" t="str">
        <f>IFERROR(MATCH(SMALL('Binder Data'!$M$2:$M$6251,44),'Binder Data'!$M$2:$M$6251,0)+1,"")</f>
        <v/>
      </c>
    </row>
    <row r="50">
      <c r="A50" s="16" t="b">
        <v>0</v>
      </c>
      <c r="B50" s="14" t="str">
        <f t="array" ref="B50">IF($H50="","",INDEX('Binder Data'!$A:$A,$H50))</f>
        <v/>
      </c>
      <c r="C50" s="14" t="str">
        <f t="array" ref="C50">IF($H50="","",INDEX('Binder Data'!$L:$L,$H50))</f>
        <v/>
      </c>
      <c r="D50" s="14" t="str">
        <f t="array" ref="D50">IF($H50="","",INDEX('Binder Data'!$I:$I,$H50))</f>
        <v/>
      </c>
      <c r="E50" s="17" t="str">
        <f t="array" ref="E50">IF($H50="","",INDEX('Binder Data'!$F:$F,$H50))</f>
        <v/>
      </c>
      <c r="F50" s="14" t="str">
        <f t="array" ref="F50">IF($H50="","",INDEX('Binder Data'!$Q:$Q,$H50))</f>
        <v/>
      </c>
      <c r="G50" s="14" t="str">
        <f t="array" ref="G50">IF(OR($H50="",$E$4&lt;&gt;TRUE()),"",IFERROR(IMAGE(INDEX('Binder Data'!$O:$O,$H50)),""))</f>
        <v/>
      </c>
      <c r="H50" s="18" t="str">
        <f>IFERROR(MATCH(SMALL('Binder Data'!$M$2:$M$6251,45),'Binder Data'!$M$2:$M$6251,0)+1,"")</f>
        <v/>
      </c>
    </row>
    <row r="51">
      <c r="A51" s="16" t="b">
        <v>0</v>
      </c>
      <c r="B51" s="14" t="str">
        <f t="array" ref="B51">IF($H51="","",INDEX('Binder Data'!$A:$A,$H51))</f>
        <v/>
      </c>
      <c r="C51" s="14" t="str">
        <f t="array" ref="C51">IF($H51="","",INDEX('Binder Data'!$L:$L,$H51))</f>
        <v/>
      </c>
      <c r="D51" s="14" t="str">
        <f t="array" ref="D51">IF($H51="","",INDEX('Binder Data'!$I:$I,$H51))</f>
        <v/>
      </c>
      <c r="E51" s="17" t="str">
        <f t="array" ref="E51">IF($H51="","",INDEX('Binder Data'!$F:$F,$H51))</f>
        <v/>
      </c>
      <c r="F51" s="14" t="str">
        <f t="array" ref="F51">IF($H51="","",INDEX('Binder Data'!$Q:$Q,$H51))</f>
        <v/>
      </c>
      <c r="G51" s="14" t="str">
        <f t="array" ref="G51">IF(OR($H51="",$E$4&lt;&gt;TRUE()),"",IFERROR(IMAGE(INDEX('Binder Data'!$O:$O,$H51)),""))</f>
        <v/>
      </c>
      <c r="H51" s="18" t="str">
        <f>IFERROR(MATCH(SMALL('Binder Data'!$M$2:$M$6251,46),'Binder Data'!$M$2:$M$6251,0)+1,"")</f>
        <v/>
      </c>
    </row>
    <row r="52">
      <c r="A52" s="16" t="b">
        <v>0</v>
      </c>
      <c r="B52" s="14" t="str">
        <f t="array" ref="B52">IF($H52="","",INDEX('Binder Data'!$A:$A,$H52))</f>
        <v/>
      </c>
      <c r="C52" s="14" t="str">
        <f t="array" ref="C52">IF($H52="","",INDEX('Binder Data'!$L:$L,$H52))</f>
        <v/>
      </c>
      <c r="D52" s="14" t="str">
        <f t="array" ref="D52">IF($H52="","",INDEX('Binder Data'!$I:$I,$H52))</f>
        <v/>
      </c>
      <c r="E52" s="17" t="str">
        <f t="array" ref="E52">IF($H52="","",INDEX('Binder Data'!$F:$F,$H52))</f>
        <v/>
      </c>
      <c r="F52" s="14" t="str">
        <f t="array" ref="F52">IF($H52="","",INDEX('Binder Data'!$Q:$Q,$H52))</f>
        <v/>
      </c>
      <c r="G52" s="14" t="str">
        <f t="array" ref="G52">IF(OR($H52="",$E$4&lt;&gt;TRUE()),"",IFERROR(IMAGE(INDEX('Binder Data'!$O:$O,$H52)),""))</f>
        <v/>
      </c>
      <c r="H52" s="18" t="str">
        <f>IFERROR(MATCH(SMALL('Binder Data'!$M$2:$M$6251,47),'Binder Data'!$M$2:$M$6251,0)+1,"")</f>
        <v/>
      </c>
    </row>
    <row r="53">
      <c r="A53" s="16" t="b">
        <v>0</v>
      </c>
      <c r="B53" s="14" t="str">
        <f t="array" ref="B53">IF($H53="","",INDEX('Binder Data'!$A:$A,$H53))</f>
        <v/>
      </c>
      <c r="C53" s="14" t="str">
        <f t="array" ref="C53">IF($H53="","",INDEX('Binder Data'!$L:$L,$H53))</f>
        <v/>
      </c>
      <c r="D53" s="14" t="str">
        <f t="array" ref="D53">IF($H53="","",INDEX('Binder Data'!$I:$I,$H53))</f>
        <v/>
      </c>
      <c r="E53" s="17" t="str">
        <f t="array" ref="E53">IF($H53="","",INDEX('Binder Data'!$F:$F,$H53))</f>
        <v/>
      </c>
      <c r="F53" s="14" t="str">
        <f t="array" ref="F53">IF($H53="","",INDEX('Binder Data'!$Q:$Q,$H53))</f>
        <v/>
      </c>
      <c r="G53" s="14" t="str">
        <f t="array" ref="G53">IF(OR($H53="",$E$4&lt;&gt;TRUE()),"",IFERROR(IMAGE(INDEX('Binder Data'!$O:$O,$H53)),""))</f>
        <v/>
      </c>
      <c r="H53" s="18" t="str">
        <f>IFERROR(MATCH(SMALL('Binder Data'!$M$2:$M$6251,48),'Binder Data'!$M$2:$M$6251,0)+1,"")</f>
        <v/>
      </c>
    </row>
    <row r="54">
      <c r="A54" s="16" t="b">
        <v>0</v>
      </c>
      <c r="B54" s="14" t="str">
        <f t="array" ref="B54">IF($H54="","",INDEX('Binder Data'!$A:$A,$H54))</f>
        <v/>
      </c>
      <c r="C54" s="14" t="str">
        <f t="array" ref="C54">IF($H54="","",INDEX('Binder Data'!$L:$L,$H54))</f>
        <v/>
      </c>
      <c r="D54" s="14" t="str">
        <f t="array" ref="D54">IF($H54="","",INDEX('Binder Data'!$I:$I,$H54))</f>
        <v/>
      </c>
      <c r="E54" s="17" t="str">
        <f t="array" ref="E54">IF($H54="","",INDEX('Binder Data'!$F:$F,$H54))</f>
        <v/>
      </c>
      <c r="F54" s="14" t="str">
        <f t="array" ref="F54">IF($H54="","",INDEX('Binder Data'!$Q:$Q,$H54))</f>
        <v/>
      </c>
      <c r="G54" s="14" t="str">
        <f t="array" ref="G54">IF(OR($H54="",$E$4&lt;&gt;TRUE()),"",IFERROR(IMAGE(INDEX('Binder Data'!$O:$O,$H54)),""))</f>
        <v/>
      </c>
      <c r="H54" s="18" t="str">
        <f>IFERROR(MATCH(SMALL('Binder Data'!$M$2:$M$6251,49),'Binder Data'!$M$2:$M$6251,0)+1,"")</f>
        <v/>
      </c>
    </row>
    <row r="55" ht="15.75" customHeight="1">
      <c r="A55" s="16" t="b">
        <v>0</v>
      </c>
      <c r="B55" s="14" t="str">
        <f t="array" ref="B55">IF($H55="","",INDEX('Binder Data'!$A:$A,$H55))</f>
        <v/>
      </c>
      <c r="C55" s="14" t="str">
        <f t="array" ref="C55">IF($H55="","",INDEX('Binder Data'!$L:$L,$H55))</f>
        <v/>
      </c>
      <c r="D55" s="14" t="str">
        <f t="array" ref="D55">IF($H55="","",INDEX('Binder Data'!$I:$I,$H55))</f>
        <v/>
      </c>
      <c r="E55" s="17" t="str">
        <f t="array" ref="E55">IF($H55="","",INDEX('Binder Data'!$F:$F,$H55))</f>
        <v/>
      </c>
      <c r="F55" s="14" t="str">
        <f t="array" ref="F55">IF($H55="","",INDEX('Binder Data'!$Q:$Q,$H55))</f>
        <v/>
      </c>
      <c r="G55" s="14" t="str">
        <f t="array" ref="G55">IF(OR($H55="",$E$4&lt;&gt;TRUE()),"",IFERROR(IMAGE(INDEX('Binder Data'!$O:$O,$H55)),""))</f>
        <v/>
      </c>
      <c r="H55" s="18" t="str">
        <f>IFERROR(MATCH(SMALL('Binder Data'!$M$2:$M$6251,50),'Binder Data'!$M$2:$M$6251,0)+1,"")</f>
        <v/>
      </c>
    </row>
    <row r="56" ht="15.75" customHeight="1">
      <c r="A56" s="16" t="b">
        <v>0</v>
      </c>
      <c r="B56" s="14" t="str">
        <f t="array" ref="B56">IF($H56="","",INDEX('Binder Data'!$A:$A,$H56))</f>
        <v/>
      </c>
      <c r="C56" s="14" t="str">
        <f t="array" ref="C56">IF($H56="","",INDEX('Binder Data'!$L:$L,$H56))</f>
        <v/>
      </c>
      <c r="D56" s="14" t="str">
        <f t="array" ref="D56">IF($H56="","",INDEX('Binder Data'!$I:$I,$H56))</f>
        <v/>
      </c>
      <c r="E56" s="17" t="str">
        <f t="array" ref="E56">IF($H56="","",INDEX('Binder Data'!$F:$F,$H56))</f>
        <v/>
      </c>
      <c r="F56" s="14" t="str">
        <f t="array" ref="F56">IF($H56="","",INDEX('Binder Data'!$Q:$Q,$H56))</f>
        <v/>
      </c>
      <c r="G56" s="14" t="str">
        <f t="array" ref="G56">IF(OR($H56="",$E$4&lt;&gt;TRUE()),"",IFERROR(IMAGE(INDEX('Binder Data'!$O:$O,$H56)),""))</f>
        <v/>
      </c>
      <c r="H56" s="18" t="str">
        <f>IFERROR(MATCH(SMALL('Binder Data'!$M$2:$M$6251,51),'Binder Data'!$M$2:$M$6251,0)+1,"")</f>
        <v/>
      </c>
    </row>
    <row r="57" ht="15.75" customHeight="1">
      <c r="A57" s="16" t="b">
        <v>0</v>
      </c>
      <c r="B57" s="14" t="str">
        <f t="array" ref="B57">IF($H57="","",INDEX('Binder Data'!$A:$A,$H57))</f>
        <v/>
      </c>
      <c r="C57" s="14" t="str">
        <f t="array" ref="C57">IF($H57="","",INDEX('Binder Data'!$L:$L,$H57))</f>
        <v/>
      </c>
      <c r="D57" s="14" t="str">
        <f t="array" ref="D57">IF($H57="","",INDEX('Binder Data'!$I:$I,$H57))</f>
        <v/>
      </c>
      <c r="E57" s="17" t="str">
        <f t="array" ref="E57">IF($H57="","",INDEX('Binder Data'!$F:$F,$H57))</f>
        <v/>
      </c>
      <c r="F57" s="14" t="str">
        <f t="array" ref="F57">IF($H57="","",INDEX('Binder Data'!$Q:$Q,$H57))</f>
        <v/>
      </c>
      <c r="G57" s="14" t="str">
        <f t="array" ref="G57">IF(OR($H57="",$E$4&lt;&gt;TRUE()),"",IFERROR(IMAGE(INDEX('Binder Data'!$O:$O,$H57)),""))</f>
        <v/>
      </c>
      <c r="H57" s="18" t="str">
        <f>IFERROR(MATCH(SMALL('Binder Data'!$M$2:$M$6251,52),'Binder Data'!$M$2:$M$6251,0)+1,"")</f>
        <v/>
      </c>
    </row>
    <row r="58" ht="15.75" customHeight="1">
      <c r="A58" s="16" t="b">
        <v>0</v>
      </c>
      <c r="B58" s="14" t="str">
        <f t="array" ref="B58">IF($H58="","",INDEX('Binder Data'!$A:$A,$H58))</f>
        <v/>
      </c>
      <c r="C58" s="14" t="str">
        <f t="array" ref="C58">IF($H58="","",INDEX('Binder Data'!$L:$L,$H58))</f>
        <v/>
      </c>
      <c r="D58" s="14" t="str">
        <f t="array" ref="D58">IF($H58="","",INDEX('Binder Data'!$I:$I,$H58))</f>
        <v/>
      </c>
      <c r="E58" s="17" t="str">
        <f t="array" ref="E58">IF($H58="","",INDEX('Binder Data'!$F:$F,$H58))</f>
        <v/>
      </c>
      <c r="F58" s="14" t="str">
        <f t="array" ref="F58">IF($H58="","",INDEX('Binder Data'!$Q:$Q,$H58))</f>
        <v/>
      </c>
      <c r="G58" s="14" t="str">
        <f t="array" ref="G58">IF(OR($H58="",$E$4&lt;&gt;TRUE()),"",IFERROR(IMAGE(INDEX('Binder Data'!$O:$O,$H58)),""))</f>
        <v/>
      </c>
      <c r="H58" s="18" t="str">
        <f>IFERROR(MATCH(SMALL('Binder Data'!$M$2:$M$6251,53),'Binder Data'!$M$2:$M$6251,0)+1,"")</f>
        <v/>
      </c>
    </row>
    <row r="59" ht="15.75" customHeight="1">
      <c r="A59" s="16" t="b">
        <v>0</v>
      </c>
      <c r="B59" s="14" t="str">
        <f t="array" ref="B59">IF($H59="","",INDEX('Binder Data'!$A:$A,$H59))</f>
        <v/>
      </c>
      <c r="C59" s="14" t="str">
        <f t="array" ref="C59">IF($H59="","",INDEX('Binder Data'!$L:$L,$H59))</f>
        <v/>
      </c>
      <c r="D59" s="14" t="str">
        <f t="array" ref="D59">IF($H59="","",INDEX('Binder Data'!$I:$I,$H59))</f>
        <v/>
      </c>
      <c r="E59" s="17" t="str">
        <f t="array" ref="E59">IF($H59="","",INDEX('Binder Data'!$F:$F,$H59))</f>
        <v/>
      </c>
      <c r="F59" s="14" t="str">
        <f t="array" ref="F59">IF($H59="","",INDEX('Binder Data'!$Q:$Q,$H59))</f>
        <v/>
      </c>
      <c r="G59" s="14" t="str">
        <f t="array" ref="G59">IF(OR($H59="",$E$4&lt;&gt;TRUE()),"",IFERROR(IMAGE(INDEX('Binder Data'!$O:$O,$H59)),""))</f>
        <v/>
      </c>
      <c r="H59" s="18" t="str">
        <f>IFERROR(MATCH(SMALL('Binder Data'!$M$2:$M$6251,54),'Binder Data'!$M$2:$M$6251,0)+1,"")</f>
        <v/>
      </c>
    </row>
    <row r="60" ht="15.75" customHeight="1">
      <c r="A60" s="16" t="b">
        <v>0</v>
      </c>
      <c r="B60" s="14" t="str">
        <f t="array" ref="B60">IF($H60="","",INDEX('Binder Data'!$A:$A,$H60))</f>
        <v/>
      </c>
      <c r="C60" s="14" t="str">
        <f t="array" ref="C60">IF($H60="","",INDEX('Binder Data'!$L:$L,$H60))</f>
        <v/>
      </c>
      <c r="D60" s="14" t="str">
        <f t="array" ref="D60">IF($H60="","",INDEX('Binder Data'!$I:$I,$H60))</f>
        <v/>
      </c>
      <c r="E60" s="17" t="str">
        <f t="array" ref="E60">IF($H60="","",INDEX('Binder Data'!$F:$F,$H60))</f>
        <v/>
      </c>
      <c r="F60" s="14" t="str">
        <f t="array" ref="F60">IF($H60="","",INDEX('Binder Data'!$Q:$Q,$H60))</f>
        <v/>
      </c>
      <c r="G60" s="14" t="str">
        <f t="array" ref="G60">IF(OR($H60="",$E$4&lt;&gt;TRUE()),"",IFERROR(IMAGE(INDEX('Binder Data'!$O:$O,$H60)),""))</f>
        <v/>
      </c>
      <c r="H60" s="18" t="str">
        <f>IFERROR(MATCH(SMALL('Binder Data'!$M$2:$M$6251,55),'Binder Data'!$M$2:$M$6251,0)+1,"")</f>
        <v/>
      </c>
    </row>
    <row r="61" ht="15.75" customHeight="1">
      <c r="A61" s="16" t="b">
        <v>0</v>
      </c>
      <c r="B61" s="14" t="str">
        <f t="array" ref="B61">IF($H61="","",INDEX('Binder Data'!$A:$A,$H61))</f>
        <v/>
      </c>
      <c r="C61" s="14" t="str">
        <f t="array" ref="C61">IF($H61="","",INDEX('Binder Data'!$L:$L,$H61))</f>
        <v/>
      </c>
      <c r="D61" s="14" t="str">
        <f t="array" ref="D61">IF($H61="","",INDEX('Binder Data'!$I:$I,$H61))</f>
        <v/>
      </c>
      <c r="E61" s="17" t="str">
        <f t="array" ref="E61">IF($H61="","",INDEX('Binder Data'!$F:$F,$H61))</f>
        <v/>
      </c>
      <c r="F61" s="14" t="str">
        <f t="array" ref="F61">IF($H61="","",INDEX('Binder Data'!$Q:$Q,$H61))</f>
        <v/>
      </c>
      <c r="G61" s="14" t="str">
        <f t="array" ref="G61">IF(OR($H61="",$E$4&lt;&gt;TRUE()),"",IFERROR(IMAGE(INDEX('Binder Data'!$O:$O,$H61)),""))</f>
        <v/>
      </c>
      <c r="H61" s="18" t="str">
        <f>IFERROR(MATCH(SMALL('Binder Data'!$M$2:$M$6251,56),'Binder Data'!$M$2:$M$6251,0)+1,"")</f>
        <v/>
      </c>
    </row>
    <row r="62" ht="15.75" customHeight="1">
      <c r="A62" s="16" t="b">
        <v>0</v>
      </c>
      <c r="B62" s="14" t="str">
        <f t="array" ref="B62">IF($H62="","",INDEX('Binder Data'!$A:$A,$H62))</f>
        <v/>
      </c>
      <c r="C62" s="14" t="str">
        <f t="array" ref="C62">IF($H62="","",INDEX('Binder Data'!$L:$L,$H62))</f>
        <v/>
      </c>
      <c r="D62" s="14" t="str">
        <f t="array" ref="D62">IF($H62="","",INDEX('Binder Data'!$I:$I,$H62))</f>
        <v/>
      </c>
      <c r="E62" s="17" t="str">
        <f t="array" ref="E62">IF($H62="","",INDEX('Binder Data'!$F:$F,$H62))</f>
        <v/>
      </c>
      <c r="F62" s="14" t="str">
        <f t="array" ref="F62">IF($H62="","",INDEX('Binder Data'!$Q:$Q,$H62))</f>
        <v/>
      </c>
      <c r="G62" s="14" t="str">
        <f t="array" ref="G62">IF(OR($H62="",$E$4&lt;&gt;TRUE()),"",IFERROR(IMAGE(INDEX('Binder Data'!$O:$O,$H62)),""))</f>
        <v/>
      </c>
      <c r="H62" s="18" t="str">
        <f>IFERROR(MATCH(SMALL('Binder Data'!$M$2:$M$6251,57),'Binder Data'!$M$2:$M$6251,0)+1,"")</f>
        <v/>
      </c>
    </row>
    <row r="63" ht="15.75" customHeight="1">
      <c r="A63" s="16" t="b">
        <v>0</v>
      </c>
      <c r="B63" s="14" t="str">
        <f t="array" ref="B63">IF($H63="","",INDEX('Binder Data'!$A:$A,$H63))</f>
        <v/>
      </c>
      <c r="C63" s="14" t="str">
        <f t="array" ref="C63">IF($H63="","",INDEX('Binder Data'!$L:$L,$H63))</f>
        <v/>
      </c>
      <c r="D63" s="14" t="str">
        <f t="array" ref="D63">IF($H63="","",INDEX('Binder Data'!$I:$I,$H63))</f>
        <v/>
      </c>
      <c r="E63" s="17" t="str">
        <f t="array" ref="E63">IF($H63="","",INDEX('Binder Data'!$F:$F,$H63))</f>
        <v/>
      </c>
      <c r="F63" s="14" t="str">
        <f t="array" ref="F63">IF($H63="","",INDEX('Binder Data'!$Q:$Q,$H63))</f>
        <v/>
      </c>
      <c r="G63" s="14" t="str">
        <f t="array" ref="G63">IF(OR($H63="",$E$4&lt;&gt;TRUE()),"",IFERROR(IMAGE(INDEX('Binder Data'!$O:$O,$H63)),""))</f>
        <v/>
      </c>
      <c r="H63" s="18" t="str">
        <f>IFERROR(MATCH(SMALL('Binder Data'!$M$2:$M$6251,58),'Binder Data'!$M$2:$M$6251,0)+1,"")</f>
        <v/>
      </c>
    </row>
    <row r="64" ht="15.75" customHeight="1">
      <c r="A64" s="16" t="b">
        <v>0</v>
      </c>
      <c r="B64" s="14" t="str">
        <f t="array" ref="B64">IF($H64="","",INDEX('Binder Data'!$A:$A,$H64))</f>
        <v/>
      </c>
      <c r="C64" s="14" t="str">
        <f t="array" ref="C64">IF($H64="","",INDEX('Binder Data'!$L:$L,$H64))</f>
        <v/>
      </c>
      <c r="D64" s="14" t="str">
        <f t="array" ref="D64">IF($H64="","",INDEX('Binder Data'!$I:$I,$H64))</f>
        <v/>
      </c>
      <c r="E64" s="17" t="str">
        <f t="array" ref="E64">IF($H64="","",INDEX('Binder Data'!$F:$F,$H64))</f>
        <v/>
      </c>
      <c r="F64" s="14" t="str">
        <f t="array" ref="F64">IF($H64="","",INDEX('Binder Data'!$Q:$Q,$H64))</f>
        <v/>
      </c>
      <c r="G64" s="14" t="str">
        <f t="array" ref="G64">IF(OR($H64="",$E$4&lt;&gt;TRUE()),"",IFERROR(IMAGE(INDEX('Binder Data'!$O:$O,$H64)),""))</f>
        <v/>
      </c>
      <c r="H64" s="18" t="str">
        <f>IFERROR(MATCH(SMALL('Binder Data'!$M$2:$M$6251,59),'Binder Data'!$M$2:$M$6251,0)+1,"")</f>
        <v/>
      </c>
    </row>
    <row r="65" ht="15.75" customHeight="1">
      <c r="A65" s="16" t="b">
        <v>0</v>
      </c>
      <c r="B65" s="14" t="str">
        <f t="array" ref="B65">IF($H65="","",INDEX('Binder Data'!$A:$A,$H65))</f>
        <v/>
      </c>
      <c r="C65" s="14" t="str">
        <f t="array" ref="C65">IF($H65="","",INDEX('Binder Data'!$L:$L,$H65))</f>
        <v/>
      </c>
      <c r="D65" s="14" t="str">
        <f t="array" ref="D65">IF($H65="","",INDEX('Binder Data'!$I:$I,$H65))</f>
        <v/>
      </c>
      <c r="E65" s="17" t="str">
        <f t="array" ref="E65">IF($H65="","",INDEX('Binder Data'!$F:$F,$H65))</f>
        <v/>
      </c>
      <c r="F65" s="14" t="str">
        <f t="array" ref="F65">IF($H65="","",INDEX('Binder Data'!$Q:$Q,$H65))</f>
        <v/>
      </c>
      <c r="G65" s="14" t="str">
        <f t="array" ref="G65">IF(OR($H65="",$E$4&lt;&gt;TRUE()),"",IFERROR(IMAGE(INDEX('Binder Data'!$O:$O,$H65)),""))</f>
        <v/>
      </c>
      <c r="H65" s="18" t="str">
        <f>IFERROR(MATCH(SMALL('Binder Data'!$M$2:$M$6251,60),'Binder Data'!$M$2:$M$6251,0)+1,"")</f>
        <v/>
      </c>
    </row>
    <row r="66" ht="15.75" customHeight="1">
      <c r="A66" s="16" t="b">
        <v>0</v>
      </c>
      <c r="B66" s="14" t="str">
        <f t="array" ref="B66">IF($H66="","",INDEX('Binder Data'!$A:$A,$H66))</f>
        <v/>
      </c>
      <c r="C66" s="14" t="str">
        <f t="array" ref="C66">IF($H66="","",INDEX('Binder Data'!$L:$L,$H66))</f>
        <v/>
      </c>
      <c r="D66" s="14" t="str">
        <f t="array" ref="D66">IF($H66="","",INDEX('Binder Data'!$I:$I,$H66))</f>
        <v/>
      </c>
      <c r="E66" s="17" t="str">
        <f t="array" ref="E66">IF($H66="","",INDEX('Binder Data'!$F:$F,$H66))</f>
        <v/>
      </c>
      <c r="F66" s="14" t="str">
        <f t="array" ref="F66">IF($H66="","",INDEX('Binder Data'!$Q:$Q,$H66))</f>
        <v/>
      </c>
      <c r="G66" s="14" t="str">
        <f t="array" ref="G66">IF(OR($H66="",$E$4&lt;&gt;TRUE()),"",IFERROR(IMAGE(INDEX('Binder Data'!$O:$O,$H66)),""))</f>
        <v/>
      </c>
      <c r="H66" s="18" t="str">
        <f>IFERROR(MATCH(SMALL('Binder Data'!$M$2:$M$6251,61),'Binder Data'!$M$2:$M$6251,0)+1,"")</f>
        <v/>
      </c>
    </row>
    <row r="67" ht="15.75" customHeight="1">
      <c r="A67" s="16" t="b">
        <v>0</v>
      </c>
      <c r="B67" s="14" t="str">
        <f t="array" ref="B67">IF($H67="","",INDEX('Binder Data'!$A:$A,$H67))</f>
        <v/>
      </c>
      <c r="C67" s="14" t="str">
        <f t="array" ref="C67">IF($H67="","",INDEX('Binder Data'!$L:$L,$H67))</f>
        <v/>
      </c>
      <c r="D67" s="14" t="str">
        <f t="array" ref="D67">IF($H67="","",INDEX('Binder Data'!$I:$I,$H67))</f>
        <v/>
      </c>
      <c r="E67" s="17" t="str">
        <f t="array" ref="E67">IF($H67="","",INDEX('Binder Data'!$F:$F,$H67))</f>
        <v/>
      </c>
      <c r="F67" s="14" t="str">
        <f t="array" ref="F67">IF($H67="","",INDEX('Binder Data'!$Q:$Q,$H67))</f>
        <v/>
      </c>
      <c r="G67" s="14" t="str">
        <f t="array" ref="G67">IF(OR($H67="",$E$4&lt;&gt;TRUE()),"",IFERROR(IMAGE(INDEX('Binder Data'!$O:$O,$H67)),""))</f>
        <v/>
      </c>
      <c r="H67" s="18" t="str">
        <f>IFERROR(MATCH(SMALL('Binder Data'!$M$2:$M$6251,62),'Binder Data'!$M$2:$M$6251,0)+1,"")</f>
        <v/>
      </c>
    </row>
    <row r="68" ht="15.75" customHeight="1">
      <c r="A68" s="16" t="b">
        <v>0</v>
      </c>
      <c r="B68" s="14" t="str">
        <f t="array" ref="B68">IF($H68="","",INDEX('Binder Data'!$A:$A,$H68))</f>
        <v/>
      </c>
      <c r="C68" s="14" t="str">
        <f t="array" ref="C68">IF($H68="","",INDEX('Binder Data'!$L:$L,$H68))</f>
        <v/>
      </c>
      <c r="D68" s="14" t="str">
        <f t="array" ref="D68">IF($H68="","",INDEX('Binder Data'!$I:$I,$H68))</f>
        <v/>
      </c>
      <c r="E68" s="17" t="str">
        <f t="array" ref="E68">IF($H68="","",INDEX('Binder Data'!$F:$F,$H68))</f>
        <v/>
      </c>
      <c r="F68" s="14" t="str">
        <f t="array" ref="F68">IF($H68="","",INDEX('Binder Data'!$Q:$Q,$H68))</f>
        <v/>
      </c>
      <c r="G68" s="14" t="str">
        <f t="array" ref="G68">IF(OR($H68="",$E$4&lt;&gt;TRUE()),"",IFERROR(IMAGE(INDEX('Binder Data'!$O:$O,$H68)),""))</f>
        <v/>
      </c>
      <c r="H68" s="18" t="str">
        <f>IFERROR(MATCH(SMALL('Binder Data'!$M$2:$M$6251,63),'Binder Data'!$M$2:$M$6251,0)+1,"")</f>
        <v/>
      </c>
    </row>
    <row r="69" ht="15.75" customHeight="1">
      <c r="A69" s="16" t="b">
        <v>0</v>
      </c>
      <c r="B69" s="14" t="str">
        <f t="array" ref="B69">IF($H69="","",INDEX('Binder Data'!$A:$A,$H69))</f>
        <v/>
      </c>
      <c r="C69" s="14" t="str">
        <f t="array" ref="C69">IF($H69="","",INDEX('Binder Data'!$L:$L,$H69))</f>
        <v/>
      </c>
      <c r="D69" s="14" t="str">
        <f t="array" ref="D69">IF($H69="","",INDEX('Binder Data'!$I:$I,$H69))</f>
        <v/>
      </c>
      <c r="E69" s="17" t="str">
        <f t="array" ref="E69">IF($H69="","",INDEX('Binder Data'!$F:$F,$H69))</f>
        <v/>
      </c>
      <c r="F69" s="14" t="str">
        <f t="array" ref="F69">IF($H69="","",INDEX('Binder Data'!$Q:$Q,$H69))</f>
        <v/>
      </c>
      <c r="G69" s="14" t="str">
        <f t="array" ref="G69">IF(OR($H69="",$E$4&lt;&gt;TRUE()),"",IFERROR(IMAGE(INDEX('Binder Data'!$O:$O,$H69)),""))</f>
        <v/>
      </c>
      <c r="H69" s="18" t="str">
        <f>IFERROR(MATCH(SMALL('Binder Data'!$M$2:$M$6251,64),'Binder Data'!$M$2:$M$6251,0)+1,"")</f>
        <v/>
      </c>
    </row>
    <row r="70" ht="15.75" customHeight="1">
      <c r="A70" s="16" t="b">
        <v>0</v>
      </c>
      <c r="B70" s="14" t="str">
        <f t="array" ref="B70">IF($H70="","",INDEX('Binder Data'!$A:$A,$H70))</f>
        <v/>
      </c>
      <c r="C70" s="14" t="str">
        <f t="array" ref="C70">IF($H70="","",INDEX('Binder Data'!$L:$L,$H70))</f>
        <v/>
      </c>
      <c r="D70" s="14" t="str">
        <f t="array" ref="D70">IF($H70="","",INDEX('Binder Data'!$I:$I,$H70))</f>
        <v/>
      </c>
      <c r="E70" s="17" t="str">
        <f t="array" ref="E70">IF($H70="","",INDEX('Binder Data'!$F:$F,$H70))</f>
        <v/>
      </c>
      <c r="F70" s="14" t="str">
        <f t="array" ref="F70">IF($H70="","",INDEX('Binder Data'!$Q:$Q,$H70))</f>
        <v/>
      </c>
      <c r="G70" s="14" t="str">
        <f t="array" ref="G70">IF(OR($H70="",$E$4&lt;&gt;TRUE()),"",IFERROR(IMAGE(INDEX('Binder Data'!$O:$O,$H70)),""))</f>
        <v/>
      </c>
      <c r="H70" s="18" t="str">
        <f>IFERROR(MATCH(SMALL('Binder Data'!$M$2:$M$6251,65),'Binder Data'!$M$2:$M$6251,0)+1,"")</f>
        <v/>
      </c>
    </row>
    <row r="71" ht="15.75" customHeight="1">
      <c r="A71" s="16" t="b">
        <v>0</v>
      </c>
      <c r="B71" s="14" t="str">
        <f t="array" ref="B71">IF($H71="","",INDEX('Binder Data'!$A:$A,$H71))</f>
        <v/>
      </c>
      <c r="C71" s="14" t="str">
        <f t="array" ref="C71">IF($H71="","",INDEX('Binder Data'!$L:$L,$H71))</f>
        <v/>
      </c>
      <c r="D71" s="14" t="str">
        <f t="array" ref="D71">IF($H71="","",INDEX('Binder Data'!$I:$I,$H71))</f>
        <v/>
      </c>
      <c r="E71" s="17" t="str">
        <f t="array" ref="E71">IF($H71="","",INDEX('Binder Data'!$F:$F,$H71))</f>
        <v/>
      </c>
      <c r="F71" s="14" t="str">
        <f t="array" ref="F71">IF($H71="","",INDEX('Binder Data'!$Q:$Q,$H71))</f>
        <v/>
      </c>
      <c r="G71" s="14" t="str">
        <f t="array" ref="G71">IF(OR($H71="",$E$4&lt;&gt;TRUE()),"",IFERROR(IMAGE(INDEX('Binder Data'!$O:$O,$H71)),""))</f>
        <v/>
      </c>
      <c r="H71" s="18" t="str">
        <f>IFERROR(MATCH(SMALL('Binder Data'!$M$2:$M$6251,66),'Binder Data'!$M$2:$M$6251,0)+1,"")</f>
        <v/>
      </c>
    </row>
    <row r="72" ht="15.75" customHeight="1">
      <c r="A72" s="16" t="b">
        <v>0</v>
      </c>
      <c r="B72" s="14" t="str">
        <f t="array" ref="B72">IF($H72="","",INDEX('Binder Data'!$A:$A,$H72))</f>
        <v/>
      </c>
      <c r="C72" s="14" t="str">
        <f t="array" ref="C72">IF($H72="","",INDEX('Binder Data'!$L:$L,$H72))</f>
        <v/>
      </c>
      <c r="D72" s="14" t="str">
        <f t="array" ref="D72">IF($H72="","",INDEX('Binder Data'!$I:$I,$H72))</f>
        <v/>
      </c>
      <c r="E72" s="17" t="str">
        <f t="array" ref="E72">IF($H72="","",INDEX('Binder Data'!$F:$F,$H72))</f>
        <v/>
      </c>
      <c r="F72" s="14" t="str">
        <f t="array" ref="F72">IF($H72="","",INDEX('Binder Data'!$Q:$Q,$H72))</f>
        <v/>
      </c>
      <c r="G72" s="14" t="str">
        <f t="array" ref="G72">IF(OR($H72="",$E$4&lt;&gt;TRUE()),"",IFERROR(IMAGE(INDEX('Binder Data'!$O:$O,$H72)),""))</f>
        <v/>
      </c>
      <c r="H72" s="18" t="str">
        <f>IFERROR(MATCH(SMALL('Binder Data'!$M$2:$M$6251,67),'Binder Data'!$M$2:$M$6251,0)+1,"")</f>
        <v/>
      </c>
    </row>
    <row r="73" ht="15.75" customHeight="1">
      <c r="A73" s="16" t="b">
        <v>0</v>
      </c>
      <c r="B73" s="14" t="str">
        <f t="array" ref="B73">IF($H73="","",INDEX('Binder Data'!$A:$A,$H73))</f>
        <v/>
      </c>
      <c r="C73" s="14" t="str">
        <f t="array" ref="C73">IF($H73="","",INDEX('Binder Data'!$L:$L,$H73))</f>
        <v/>
      </c>
      <c r="D73" s="14" t="str">
        <f t="array" ref="D73">IF($H73="","",INDEX('Binder Data'!$I:$I,$H73))</f>
        <v/>
      </c>
      <c r="E73" s="17" t="str">
        <f t="array" ref="E73">IF($H73="","",INDEX('Binder Data'!$F:$F,$H73))</f>
        <v/>
      </c>
      <c r="F73" s="14" t="str">
        <f t="array" ref="F73">IF($H73="","",INDEX('Binder Data'!$Q:$Q,$H73))</f>
        <v/>
      </c>
      <c r="G73" s="14" t="str">
        <f t="array" ref="G73">IF(OR($H73="",$E$4&lt;&gt;TRUE()),"",IFERROR(IMAGE(INDEX('Binder Data'!$O:$O,$H73)),""))</f>
        <v/>
      </c>
      <c r="H73" s="18" t="str">
        <f>IFERROR(MATCH(SMALL('Binder Data'!$M$2:$M$6251,68),'Binder Data'!$M$2:$M$6251,0)+1,"")</f>
        <v/>
      </c>
    </row>
    <row r="74" ht="15.75" customHeight="1">
      <c r="A74" s="16" t="b">
        <v>0</v>
      </c>
      <c r="B74" s="14" t="str">
        <f t="array" ref="B74">IF($H74="","",INDEX('Binder Data'!$A:$A,$H74))</f>
        <v/>
      </c>
      <c r="C74" s="14" t="str">
        <f t="array" ref="C74">IF($H74="","",INDEX('Binder Data'!$L:$L,$H74))</f>
        <v/>
      </c>
      <c r="D74" s="14" t="str">
        <f t="array" ref="D74">IF($H74="","",INDEX('Binder Data'!$I:$I,$H74))</f>
        <v/>
      </c>
      <c r="E74" s="17" t="str">
        <f t="array" ref="E74">IF($H74="","",INDEX('Binder Data'!$F:$F,$H74))</f>
        <v/>
      </c>
      <c r="F74" s="14" t="str">
        <f t="array" ref="F74">IF($H74="","",INDEX('Binder Data'!$Q:$Q,$H74))</f>
        <v/>
      </c>
      <c r="G74" s="14" t="str">
        <f t="array" ref="G74">IF(OR($H74="",$E$4&lt;&gt;TRUE()),"",IFERROR(IMAGE(INDEX('Binder Data'!$O:$O,$H74)),""))</f>
        <v/>
      </c>
      <c r="H74" s="18" t="str">
        <f>IFERROR(MATCH(SMALL('Binder Data'!$M$2:$M$6251,69),'Binder Data'!$M$2:$M$6251,0)+1,"")</f>
        <v/>
      </c>
    </row>
    <row r="75" ht="15.75" customHeight="1">
      <c r="A75" s="16" t="b">
        <v>0</v>
      </c>
      <c r="B75" s="14" t="str">
        <f t="array" ref="B75">IF($H75="","",INDEX('Binder Data'!$A:$A,$H75))</f>
        <v/>
      </c>
      <c r="C75" s="14" t="str">
        <f t="array" ref="C75">IF($H75="","",INDEX('Binder Data'!$L:$L,$H75))</f>
        <v/>
      </c>
      <c r="D75" s="14" t="str">
        <f t="array" ref="D75">IF($H75="","",INDEX('Binder Data'!$I:$I,$H75))</f>
        <v/>
      </c>
      <c r="E75" s="17" t="str">
        <f t="array" ref="E75">IF($H75="","",INDEX('Binder Data'!$F:$F,$H75))</f>
        <v/>
      </c>
      <c r="F75" s="14" t="str">
        <f t="array" ref="F75">IF($H75="","",INDEX('Binder Data'!$Q:$Q,$H75))</f>
        <v/>
      </c>
      <c r="G75" s="14" t="str">
        <f t="array" ref="G75">IF(OR($H75="",$E$4&lt;&gt;TRUE()),"",IFERROR(IMAGE(INDEX('Binder Data'!$O:$O,$H75)),""))</f>
        <v/>
      </c>
      <c r="H75" s="18" t="str">
        <f>IFERROR(MATCH(SMALL('Binder Data'!$M$2:$M$6251,70),'Binder Data'!$M$2:$M$6251,0)+1,"")</f>
        <v/>
      </c>
    </row>
    <row r="76" ht="15.75" customHeight="1">
      <c r="A76" s="16" t="b">
        <v>0</v>
      </c>
      <c r="B76" s="14" t="str">
        <f t="array" ref="B76">IF($H76="","",INDEX('Binder Data'!$A:$A,$H76))</f>
        <v/>
      </c>
      <c r="C76" s="14" t="str">
        <f t="array" ref="C76">IF($H76="","",INDEX('Binder Data'!$L:$L,$H76))</f>
        <v/>
      </c>
      <c r="D76" s="14" t="str">
        <f t="array" ref="D76">IF($H76="","",INDEX('Binder Data'!$I:$I,$H76))</f>
        <v/>
      </c>
      <c r="E76" s="17" t="str">
        <f t="array" ref="E76">IF($H76="","",INDEX('Binder Data'!$F:$F,$H76))</f>
        <v/>
      </c>
      <c r="F76" s="14" t="str">
        <f t="array" ref="F76">IF($H76="","",INDEX('Binder Data'!$Q:$Q,$H76))</f>
        <v/>
      </c>
      <c r="G76" s="14" t="str">
        <f t="array" ref="G76">IF(OR($H76="",$E$4&lt;&gt;TRUE()),"",IFERROR(IMAGE(INDEX('Binder Data'!$O:$O,$H76)),""))</f>
        <v/>
      </c>
      <c r="H76" s="18" t="str">
        <f>IFERROR(MATCH(SMALL('Binder Data'!$M$2:$M$6251,71),'Binder Data'!$M$2:$M$6251,0)+1,"")</f>
        <v/>
      </c>
    </row>
    <row r="77" ht="15.75" customHeight="1">
      <c r="A77" s="16" t="b">
        <v>0</v>
      </c>
      <c r="B77" s="14" t="str">
        <f t="array" ref="B77">IF($H77="","",INDEX('Binder Data'!$A:$A,$H77))</f>
        <v/>
      </c>
      <c r="C77" s="14" t="str">
        <f t="array" ref="C77">IF($H77="","",INDEX('Binder Data'!$L:$L,$H77))</f>
        <v/>
      </c>
      <c r="D77" s="14" t="str">
        <f t="array" ref="D77">IF($H77="","",INDEX('Binder Data'!$I:$I,$H77))</f>
        <v/>
      </c>
      <c r="E77" s="17" t="str">
        <f t="array" ref="E77">IF($H77="","",INDEX('Binder Data'!$F:$F,$H77))</f>
        <v/>
      </c>
      <c r="F77" s="14" t="str">
        <f t="array" ref="F77">IF($H77="","",INDEX('Binder Data'!$Q:$Q,$H77))</f>
        <v/>
      </c>
      <c r="G77" s="14" t="str">
        <f t="array" ref="G77">IF(OR($H77="",$E$4&lt;&gt;TRUE()),"",IFERROR(IMAGE(INDEX('Binder Data'!$O:$O,$H77)),""))</f>
        <v/>
      </c>
      <c r="H77" s="18" t="str">
        <f>IFERROR(MATCH(SMALL('Binder Data'!$M$2:$M$6251,72),'Binder Data'!$M$2:$M$6251,0)+1,"")</f>
        <v/>
      </c>
    </row>
    <row r="78" ht="15.75" customHeight="1">
      <c r="A78" s="16" t="b">
        <v>0</v>
      </c>
      <c r="B78" s="14" t="str">
        <f t="array" ref="B78">IF($H78="","",INDEX('Binder Data'!$A:$A,$H78))</f>
        <v/>
      </c>
      <c r="C78" s="14" t="str">
        <f t="array" ref="C78">IF($H78="","",INDEX('Binder Data'!$L:$L,$H78))</f>
        <v/>
      </c>
      <c r="D78" s="14" t="str">
        <f t="array" ref="D78">IF($H78="","",INDEX('Binder Data'!$I:$I,$H78))</f>
        <v/>
      </c>
      <c r="E78" s="17" t="str">
        <f t="array" ref="E78">IF($H78="","",INDEX('Binder Data'!$F:$F,$H78))</f>
        <v/>
      </c>
      <c r="F78" s="14" t="str">
        <f t="array" ref="F78">IF($H78="","",INDEX('Binder Data'!$Q:$Q,$H78))</f>
        <v/>
      </c>
      <c r="G78" s="14" t="str">
        <f t="array" ref="G78">IF(OR($H78="",$E$4&lt;&gt;TRUE()),"",IFERROR(IMAGE(INDEX('Binder Data'!$O:$O,$H78)),""))</f>
        <v/>
      </c>
      <c r="H78" s="18" t="str">
        <f>IFERROR(MATCH(SMALL('Binder Data'!$M$2:$M$6251,73),'Binder Data'!$M$2:$M$6251,0)+1,"")</f>
        <v/>
      </c>
    </row>
    <row r="79" ht="15.75" customHeight="1">
      <c r="A79" s="16" t="b">
        <v>0</v>
      </c>
      <c r="B79" s="14" t="str">
        <f t="array" ref="B79">IF($H79="","",INDEX('Binder Data'!$A:$A,$H79))</f>
        <v/>
      </c>
      <c r="C79" s="14" t="str">
        <f t="array" ref="C79">IF($H79="","",INDEX('Binder Data'!$L:$L,$H79))</f>
        <v/>
      </c>
      <c r="D79" s="14" t="str">
        <f t="array" ref="D79">IF($H79="","",INDEX('Binder Data'!$I:$I,$H79))</f>
        <v/>
      </c>
      <c r="E79" s="17" t="str">
        <f t="array" ref="E79">IF($H79="","",INDEX('Binder Data'!$F:$F,$H79))</f>
        <v/>
      </c>
      <c r="F79" s="14" t="str">
        <f t="array" ref="F79">IF($H79="","",INDEX('Binder Data'!$Q:$Q,$H79))</f>
        <v/>
      </c>
      <c r="G79" s="14" t="str">
        <f t="array" ref="G79">IF(OR($H79="",$E$4&lt;&gt;TRUE()),"",IFERROR(IMAGE(INDEX('Binder Data'!$O:$O,$H79)),""))</f>
        <v/>
      </c>
      <c r="H79" s="18" t="str">
        <f>IFERROR(MATCH(SMALL('Binder Data'!$M$2:$M$6251,74),'Binder Data'!$M$2:$M$6251,0)+1,"")</f>
        <v/>
      </c>
    </row>
    <row r="80" ht="15.75" customHeight="1">
      <c r="A80" s="16" t="b">
        <v>0</v>
      </c>
      <c r="B80" s="14" t="str">
        <f t="array" ref="B80">IF($H80="","",INDEX('Binder Data'!$A:$A,$H80))</f>
        <v/>
      </c>
      <c r="C80" s="14" t="str">
        <f t="array" ref="C80">IF($H80="","",INDEX('Binder Data'!$L:$L,$H80))</f>
        <v/>
      </c>
      <c r="D80" s="14" t="str">
        <f t="array" ref="D80">IF($H80="","",INDEX('Binder Data'!$I:$I,$H80))</f>
        <v/>
      </c>
      <c r="E80" s="17" t="str">
        <f t="array" ref="E80">IF($H80="","",INDEX('Binder Data'!$F:$F,$H80))</f>
        <v/>
      </c>
      <c r="F80" s="14" t="str">
        <f t="array" ref="F80">IF($H80="","",INDEX('Binder Data'!$Q:$Q,$H80))</f>
        <v/>
      </c>
      <c r="G80" s="14" t="str">
        <f t="array" ref="G80">IF(OR($H80="",$E$4&lt;&gt;TRUE()),"",IFERROR(IMAGE(INDEX('Binder Data'!$O:$O,$H80)),""))</f>
        <v/>
      </c>
      <c r="H80" s="18" t="str">
        <f>IFERROR(MATCH(SMALL('Binder Data'!$M$2:$M$6251,75),'Binder Data'!$M$2:$M$6251,0)+1,"")</f>
        <v/>
      </c>
    </row>
    <row r="81" ht="15.75" customHeight="1">
      <c r="A81" s="16" t="b">
        <v>0</v>
      </c>
      <c r="B81" s="14" t="str">
        <f t="array" ref="B81">IF($H81="","",INDEX('Binder Data'!$A:$A,$H81))</f>
        <v/>
      </c>
      <c r="C81" s="14" t="str">
        <f t="array" ref="C81">IF($H81="","",INDEX('Binder Data'!$L:$L,$H81))</f>
        <v/>
      </c>
      <c r="D81" s="14" t="str">
        <f t="array" ref="D81">IF($H81="","",INDEX('Binder Data'!$I:$I,$H81))</f>
        <v/>
      </c>
      <c r="E81" s="17" t="str">
        <f t="array" ref="E81">IF($H81="","",INDEX('Binder Data'!$F:$F,$H81))</f>
        <v/>
      </c>
      <c r="F81" s="14" t="str">
        <f t="array" ref="F81">IF($H81="","",INDEX('Binder Data'!$Q:$Q,$H81))</f>
        <v/>
      </c>
      <c r="G81" s="14" t="str">
        <f t="array" ref="G81">IF(OR($H81="",$E$4&lt;&gt;TRUE()),"",IFERROR(IMAGE(INDEX('Binder Data'!$O:$O,$H81)),""))</f>
        <v/>
      </c>
      <c r="H81" s="18" t="str">
        <f>IFERROR(MATCH(SMALL('Binder Data'!$M$2:$M$6251,76),'Binder Data'!$M$2:$M$6251,0)+1,"")</f>
        <v/>
      </c>
    </row>
    <row r="82" ht="15.75" customHeight="1">
      <c r="A82" s="16" t="b">
        <v>0</v>
      </c>
      <c r="B82" s="14" t="str">
        <f t="array" ref="B82">IF($H82="","",INDEX('Binder Data'!$A:$A,$H82))</f>
        <v/>
      </c>
      <c r="C82" s="14" t="str">
        <f t="array" ref="C82">IF($H82="","",INDEX('Binder Data'!$L:$L,$H82))</f>
        <v/>
      </c>
      <c r="D82" s="14" t="str">
        <f t="array" ref="D82">IF($H82="","",INDEX('Binder Data'!$I:$I,$H82))</f>
        <v/>
      </c>
      <c r="E82" s="17" t="str">
        <f t="array" ref="E82">IF($H82="","",INDEX('Binder Data'!$F:$F,$H82))</f>
        <v/>
      </c>
      <c r="F82" s="14" t="str">
        <f t="array" ref="F82">IF($H82="","",INDEX('Binder Data'!$Q:$Q,$H82))</f>
        <v/>
      </c>
      <c r="G82" s="14" t="str">
        <f t="array" ref="G82">IF(OR($H82="",$E$4&lt;&gt;TRUE()),"",IFERROR(IMAGE(INDEX('Binder Data'!$O:$O,$H82)),""))</f>
        <v/>
      </c>
      <c r="H82" s="18" t="str">
        <f>IFERROR(MATCH(SMALL('Binder Data'!$M$2:$M$6251,77),'Binder Data'!$M$2:$M$6251,0)+1,"")</f>
        <v/>
      </c>
    </row>
    <row r="83" ht="15.75" customHeight="1">
      <c r="A83" s="16" t="b">
        <v>0</v>
      </c>
      <c r="B83" s="14" t="str">
        <f t="array" ref="B83">IF($H83="","",INDEX('Binder Data'!$A:$A,$H83))</f>
        <v/>
      </c>
      <c r="C83" s="14" t="str">
        <f t="array" ref="C83">IF($H83="","",INDEX('Binder Data'!$L:$L,$H83))</f>
        <v/>
      </c>
      <c r="D83" s="14" t="str">
        <f t="array" ref="D83">IF($H83="","",INDEX('Binder Data'!$I:$I,$H83))</f>
        <v/>
      </c>
      <c r="E83" s="17" t="str">
        <f t="array" ref="E83">IF($H83="","",INDEX('Binder Data'!$F:$F,$H83))</f>
        <v/>
      </c>
      <c r="F83" s="14" t="str">
        <f t="array" ref="F83">IF($H83="","",INDEX('Binder Data'!$Q:$Q,$H83))</f>
        <v/>
      </c>
      <c r="G83" s="14" t="str">
        <f t="array" ref="G83">IF(OR($H83="",$E$4&lt;&gt;TRUE()),"",IFERROR(IMAGE(INDEX('Binder Data'!$O:$O,$H83)),""))</f>
        <v/>
      </c>
      <c r="H83" s="18" t="str">
        <f>IFERROR(MATCH(SMALL('Binder Data'!$M$2:$M$6251,78),'Binder Data'!$M$2:$M$6251,0)+1,"")</f>
        <v/>
      </c>
    </row>
    <row r="84" ht="15.75" customHeight="1">
      <c r="A84" s="16" t="b">
        <v>0</v>
      </c>
      <c r="B84" s="14" t="str">
        <f t="array" ref="B84">IF($H84="","",INDEX('Binder Data'!$A:$A,$H84))</f>
        <v/>
      </c>
      <c r="C84" s="14" t="str">
        <f t="array" ref="C84">IF($H84="","",INDEX('Binder Data'!$L:$L,$H84))</f>
        <v/>
      </c>
      <c r="D84" s="14" t="str">
        <f t="array" ref="D84">IF($H84="","",INDEX('Binder Data'!$I:$I,$H84))</f>
        <v/>
      </c>
      <c r="E84" s="17" t="str">
        <f t="array" ref="E84">IF($H84="","",INDEX('Binder Data'!$F:$F,$H84))</f>
        <v/>
      </c>
      <c r="F84" s="14" t="str">
        <f t="array" ref="F84">IF($H84="","",INDEX('Binder Data'!$Q:$Q,$H84))</f>
        <v/>
      </c>
      <c r="G84" s="14" t="str">
        <f t="array" ref="G84">IF(OR($H84="",$E$4&lt;&gt;TRUE()),"",IFERROR(IMAGE(INDEX('Binder Data'!$O:$O,$H84)),""))</f>
        <v/>
      </c>
      <c r="H84" s="18" t="str">
        <f>IFERROR(MATCH(SMALL('Binder Data'!$M$2:$M$6251,79),'Binder Data'!$M$2:$M$6251,0)+1,"")</f>
        <v/>
      </c>
    </row>
    <row r="85" ht="15.75" customHeight="1">
      <c r="A85" s="16" t="b">
        <v>0</v>
      </c>
      <c r="B85" s="14" t="str">
        <f t="array" ref="B85">IF($H85="","",INDEX('Binder Data'!$A:$A,$H85))</f>
        <v/>
      </c>
      <c r="C85" s="14" t="str">
        <f t="array" ref="C85">IF($H85="","",INDEX('Binder Data'!$L:$L,$H85))</f>
        <v/>
      </c>
      <c r="D85" s="14" t="str">
        <f t="array" ref="D85">IF($H85="","",INDEX('Binder Data'!$I:$I,$H85))</f>
        <v/>
      </c>
      <c r="E85" s="17" t="str">
        <f t="array" ref="E85">IF($H85="","",INDEX('Binder Data'!$F:$F,$H85))</f>
        <v/>
      </c>
      <c r="F85" s="14" t="str">
        <f t="array" ref="F85">IF($H85="","",INDEX('Binder Data'!$Q:$Q,$H85))</f>
        <v/>
      </c>
      <c r="G85" s="14" t="str">
        <f t="array" ref="G85">IF(OR($H85="",$E$4&lt;&gt;TRUE()),"",IFERROR(IMAGE(INDEX('Binder Data'!$O:$O,$H85)),""))</f>
        <v/>
      </c>
      <c r="H85" s="18" t="str">
        <f>IFERROR(MATCH(SMALL('Binder Data'!$M$2:$M$6251,80),'Binder Data'!$M$2:$M$6251,0)+1,"")</f>
        <v/>
      </c>
    </row>
    <row r="86" ht="15.75" customHeight="1">
      <c r="A86" s="16" t="b">
        <v>0</v>
      </c>
      <c r="B86" s="14" t="str">
        <f t="array" ref="B86">IF($H86="","",INDEX('Binder Data'!$A:$A,$H86))</f>
        <v/>
      </c>
      <c r="C86" s="14" t="str">
        <f t="array" ref="C86">IF($H86="","",INDEX('Binder Data'!$L:$L,$H86))</f>
        <v/>
      </c>
      <c r="D86" s="14" t="str">
        <f t="array" ref="D86">IF($H86="","",INDEX('Binder Data'!$I:$I,$H86))</f>
        <v/>
      </c>
      <c r="E86" s="17" t="str">
        <f t="array" ref="E86">IF($H86="","",INDEX('Binder Data'!$F:$F,$H86))</f>
        <v/>
      </c>
      <c r="F86" s="14" t="str">
        <f t="array" ref="F86">IF($H86="","",INDEX('Binder Data'!$Q:$Q,$H86))</f>
        <v/>
      </c>
      <c r="G86" s="14" t="str">
        <f t="array" ref="G86">IF(OR($H86="",$E$4&lt;&gt;TRUE()),"",IFERROR(IMAGE(INDEX('Binder Data'!$O:$O,$H86)),""))</f>
        <v/>
      </c>
      <c r="H86" s="18" t="str">
        <f>IFERROR(MATCH(SMALL('Binder Data'!$M$2:$M$6251,81),'Binder Data'!$M$2:$M$6251,0)+1,"")</f>
        <v/>
      </c>
    </row>
    <row r="87" ht="15.75" customHeight="1">
      <c r="A87" s="16" t="b">
        <v>0</v>
      </c>
      <c r="B87" s="14" t="str">
        <f t="array" ref="B87">IF($H87="","",INDEX('Binder Data'!$A:$A,$H87))</f>
        <v/>
      </c>
      <c r="C87" s="14" t="str">
        <f t="array" ref="C87">IF($H87="","",INDEX('Binder Data'!$L:$L,$H87))</f>
        <v/>
      </c>
      <c r="D87" s="14" t="str">
        <f t="array" ref="D87">IF($H87="","",INDEX('Binder Data'!$I:$I,$H87))</f>
        <v/>
      </c>
      <c r="E87" s="17" t="str">
        <f t="array" ref="E87">IF($H87="","",INDEX('Binder Data'!$F:$F,$H87))</f>
        <v/>
      </c>
      <c r="F87" s="14" t="str">
        <f t="array" ref="F87">IF($H87="","",INDEX('Binder Data'!$Q:$Q,$H87))</f>
        <v/>
      </c>
      <c r="G87" s="14" t="str">
        <f t="array" ref="G87">IF(OR($H87="",$E$4&lt;&gt;TRUE()),"",IFERROR(IMAGE(INDEX('Binder Data'!$O:$O,$H87)),""))</f>
        <v/>
      </c>
      <c r="H87" s="18" t="str">
        <f>IFERROR(MATCH(SMALL('Binder Data'!$M$2:$M$6251,82),'Binder Data'!$M$2:$M$6251,0)+1,"")</f>
        <v/>
      </c>
    </row>
    <row r="88" ht="15.75" customHeight="1">
      <c r="A88" s="16" t="b">
        <v>0</v>
      </c>
      <c r="B88" s="14" t="str">
        <f t="array" ref="B88">IF($H88="","",INDEX('Binder Data'!$A:$A,$H88))</f>
        <v/>
      </c>
      <c r="C88" s="14" t="str">
        <f t="array" ref="C88">IF($H88="","",INDEX('Binder Data'!$L:$L,$H88))</f>
        <v/>
      </c>
      <c r="D88" s="14" t="str">
        <f t="array" ref="D88">IF($H88="","",INDEX('Binder Data'!$I:$I,$H88))</f>
        <v/>
      </c>
      <c r="E88" s="17" t="str">
        <f t="array" ref="E88">IF($H88="","",INDEX('Binder Data'!$F:$F,$H88))</f>
        <v/>
      </c>
      <c r="F88" s="14" t="str">
        <f t="array" ref="F88">IF($H88="","",INDEX('Binder Data'!$Q:$Q,$H88))</f>
        <v/>
      </c>
      <c r="G88" s="14" t="str">
        <f t="array" ref="G88">IF(OR($H88="",$E$4&lt;&gt;TRUE()),"",IFERROR(IMAGE(INDEX('Binder Data'!$O:$O,$H88)),""))</f>
        <v/>
      </c>
      <c r="H88" s="18" t="str">
        <f>IFERROR(MATCH(SMALL('Binder Data'!$M$2:$M$6251,83),'Binder Data'!$M$2:$M$6251,0)+1,"")</f>
        <v/>
      </c>
    </row>
    <row r="89" ht="15.75" customHeight="1">
      <c r="A89" s="16" t="b">
        <v>0</v>
      </c>
      <c r="B89" s="14" t="str">
        <f t="array" ref="B89">IF($H89="","",INDEX('Binder Data'!$A:$A,$H89))</f>
        <v/>
      </c>
      <c r="C89" s="14" t="str">
        <f t="array" ref="C89">IF($H89="","",INDEX('Binder Data'!$L:$L,$H89))</f>
        <v/>
      </c>
      <c r="D89" s="14" t="str">
        <f t="array" ref="D89">IF($H89="","",INDEX('Binder Data'!$I:$I,$H89))</f>
        <v/>
      </c>
      <c r="E89" s="17" t="str">
        <f t="array" ref="E89">IF($H89="","",INDEX('Binder Data'!$F:$F,$H89))</f>
        <v/>
      </c>
      <c r="F89" s="14" t="str">
        <f t="array" ref="F89">IF($H89="","",INDEX('Binder Data'!$Q:$Q,$H89))</f>
        <v/>
      </c>
      <c r="G89" s="14" t="str">
        <f t="array" ref="G89">IF(OR($H89="",$E$4&lt;&gt;TRUE()),"",IFERROR(IMAGE(INDEX('Binder Data'!$O:$O,$H89)),""))</f>
        <v/>
      </c>
      <c r="H89" s="18" t="str">
        <f>IFERROR(MATCH(SMALL('Binder Data'!$M$2:$M$6251,84),'Binder Data'!$M$2:$M$6251,0)+1,"")</f>
        <v/>
      </c>
    </row>
    <row r="90" ht="15.75" customHeight="1">
      <c r="A90" s="16" t="b">
        <v>0</v>
      </c>
      <c r="B90" s="14" t="str">
        <f t="array" ref="B90">IF($H90="","",INDEX('Binder Data'!$A:$A,$H90))</f>
        <v/>
      </c>
      <c r="C90" s="14" t="str">
        <f t="array" ref="C90">IF($H90="","",INDEX('Binder Data'!$L:$L,$H90))</f>
        <v/>
      </c>
      <c r="D90" s="14" t="str">
        <f t="array" ref="D90">IF($H90="","",INDEX('Binder Data'!$I:$I,$H90))</f>
        <v/>
      </c>
      <c r="E90" s="17" t="str">
        <f t="array" ref="E90">IF($H90="","",INDEX('Binder Data'!$F:$F,$H90))</f>
        <v/>
      </c>
      <c r="F90" s="14" t="str">
        <f t="array" ref="F90">IF($H90="","",INDEX('Binder Data'!$Q:$Q,$H90))</f>
        <v/>
      </c>
      <c r="G90" s="14" t="str">
        <f t="array" ref="G90">IF(OR($H90="",$E$4&lt;&gt;TRUE()),"",IFERROR(IMAGE(INDEX('Binder Data'!$O:$O,$H90)),""))</f>
        <v/>
      </c>
      <c r="H90" s="18" t="str">
        <f>IFERROR(MATCH(SMALL('Binder Data'!$M$2:$M$6251,85),'Binder Data'!$M$2:$M$6251,0)+1,"")</f>
        <v/>
      </c>
    </row>
    <row r="91" ht="15.75" customHeight="1">
      <c r="A91" s="16" t="b">
        <v>0</v>
      </c>
      <c r="B91" s="14" t="str">
        <f t="array" ref="B91">IF($H91="","",INDEX('Binder Data'!$A:$A,$H91))</f>
        <v/>
      </c>
      <c r="C91" s="14" t="str">
        <f t="array" ref="C91">IF($H91="","",INDEX('Binder Data'!$L:$L,$H91))</f>
        <v/>
      </c>
      <c r="D91" s="14" t="str">
        <f t="array" ref="D91">IF($H91="","",INDEX('Binder Data'!$I:$I,$H91))</f>
        <v/>
      </c>
      <c r="E91" s="17" t="str">
        <f t="array" ref="E91">IF($H91="","",INDEX('Binder Data'!$F:$F,$H91))</f>
        <v/>
      </c>
      <c r="F91" s="14" t="str">
        <f t="array" ref="F91">IF($H91="","",INDEX('Binder Data'!$Q:$Q,$H91))</f>
        <v/>
      </c>
      <c r="G91" s="14" t="str">
        <f t="array" ref="G91">IF(OR($H91="",$E$4&lt;&gt;TRUE()),"",IFERROR(IMAGE(INDEX('Binder Data'!$O:$O,$H91)),""))</f>
        <v/>
      </c>
      <c r="H91" s="18" t="str">
        <f>IFERROR(MATCH(SMALL('Binder Data'!$M$2:$M$6251,86),'Binder Data'!$M$2:$M$6251,0)+1,"")</f>
        <v/>
      </c>
    </row>
    <row r="92" ht="15.75" customHeight="1">
      <c r="A92" s="16" t="b">
        <v>0</v>
      </c>
      <c r="B92" s="14" t="str">
        <f t="array" ref="B92">IF($H92="","",INDEX('Binder Data'!$A:$A,$H92))</f>
        <v/>
      </c>
      <c r="C92" s="14" t="str">
        <f t="array" ref="C92">IF($H92="","",INDEX('Binder Data'!$L:$L,$H92))</f>
        <v/>
      </c>
      <c r="D92" s="14" t="str">
        <f t="array" ref="D92">IF($H92="","",INDEX('Binder Data'!$I:$I,$H92))</f>
        <v/>
      </c>
      <c r="E92" s="17" t="str">
        <f t="array" ref="E92">IF($H92="","",INDEX('Binder Data'!$F:$F,$H92))</f>
        <v/>
      </c>
      <c r="F92" s="14" t="str">
        <f t="array" ref="F92">IF($H92="","",INDEX('Binder Data'!$Q:$Q,$H92))</f>
        <v/>
      </c>
      <c r="G92" s="14" t="str">
        <f t="array" ref="G92">IF(OR($H92="",$E$4&lt;&gt;TRUE()),"",IFERROR(IMAGE(INDEX('Binder Data'!$O:$O,$H92)),""))</f>
        <v/>
      </c>
      <c r="H92" s="18" t="str">
        <f>IFERROR(MATCH(SMALL('Binder Data'!$M$2:$M$6251,87),'Binder Data'!$M$2:$M$6251,0)+1,"")</f>
        <v/>
      </c>
    </row>
    <row r="93" ht="15.75" customHeight="1">
      <c r="A93" s="16" t="b">
        <v>0</v>
      </c>
      <c r="B93" s="14" t="str">
        <f t="array" ref="B93">IF($H93="","",INDEX('Binder Data'!$A:$A,$H93))</f>
        <v/>
      </c>
      <c r="C93" s="14" t="str">
        <f t="array" ref="C93">IF($H93="","",INDEX('Binder Data'!$L:$L,$H93))</f>
        <v/>
      </c>
      <c r="D93" s="14" t="str">
        <f t="array" ref="D93">IF($H93="","",INDEX('Binder Data'!$I:$I,$H93))</f>
        <v/>
      </c>
      <c r="E93" s="17" t="str">
        <f t="array" ref="E93">IF($H93="","",INDEX('Binder Data'!$F:$F,$H93))</f>
        <v/>
      </c>
      <c r="F93" s="14" t="str">
        <f t="array" ref="F93">IF($H93="","",INDEX('Binder Data'!$Q:$Q,$H93))</f>
        <v/>
      </c>
      <c r="G93" s="14" t="str">
        <f t="array" ref="G93">IF(OR($H93="",$E$4&lt;&gt;TRUE()),"",IFERROR(IMAGE(INDEX('Binder Data'!$O:$O,$H93)),""))</f>
        <v/>
      </c>
      <c r="H93" s="18" t="str">
        <f>IFERROR(MATCH(SMALL('Binder Data'!$M$2:$M$6251,88),'Binder Data'!$M$2:$M$6251,0)+1,"")</f>
        <v/>
      </c>
    </row>
    <row r="94" ht="15.75" customHeight="1">
      <c r="A94" s="16" t="b">
        <v>0</v>
      </c>
      <c r="B94" s="14" t="str">
        <f t="array" ref="B94">IF($H94="","",INDEX('Binder Data'!$A:$A,$H94))</f>
        <v/>
      </c>
      <c r="C94" s="14" t="str">
        <f t="array" ref="C94">IF($H94="","",INDEX('Binder Data'!$L:$L,$H94))</f>
        <v/>
      </c>
      <c r="D94" s="14" t="str">
        <f t="array" ref="D94">IF($H94="","",INDEX('Binder Data'!$I:$I,$H94))</f>
        <v/>
      </c>
      <c r="E94" s="17" t="str">
        <f t="array" ref="E94">IF($H94="","",INDEX('Binder Data'!$F:$F,$H94))</f>
        <v/>
      </c>
      <c r="F94" s="14" t="str">
        <f t="array" ref="F94">IF($H94="","",INDEX('Binder Data'!$Q:$Q,$H94))</f>
        <v/>
      </c>
      <c r="G94" s="14" t="str">
        <f t="array" ref="G94">IF(OR($H94="",$E$4&lt;&gt;TRUE()),"",IFERROR(IMAGE(INDEX('Binder Data'!$O:$O,$H94)),""))</f>
        <v/>
      </c>
      <c r="H94" s="18" t="str">
        <f>IFERROR(MATCH(SMALL('Binder Data'!$M$2:$M$6251,89),'Binder Data'!$M$2:$M$6251,0)+1,"")</f>
        <v/>
      </c>
    </row>
    <row r="95" ht="15.75" customHeight="1">
      <c r="A95" s="16" t="b">
        <v>0</v>
      </c>
      <c r="B95" s="14" t="str">
        <f t="array" ref="B95">IF($H95="","",INDEX('Binder Data'!$A:$A,$H95))</f>
        <v/>
      </c>
      <c r="C95" s="14" t="str">
        <f t="array" ref="C95">IF($H95="","",INDEX('Binder Data'!$L:$L,$H95))</f>
        <v/>
      </c>
      <c r="D95" s="14" t="str">
        <f t="array" ref="D95">IF($H95="","",INDEX('Binder Data'!$I:$I,$H95))</f>
        <v/>
      </c>
      <c r="E95" s="17" t="str">
        <f t="array" ref="E95">IF($H95="","",INDEX('Binder Data'!$F:$F,$H95))</f>
        <v/>
      </c>
      <c r="F95" s="14" t="str">
        <f t="array" ref="F95">IF($H95="","",INDEX('Binder Data'!$Q:$Q,$H95))</f>
        <v/>
      </c>
      <c r="G95" s="14" t="str">
        <f t="array" ref="G95">IF(OR($H95="",$E$4&lt;&gt;TRUE()),"",IFERROR(IMAGE(INDEX('Binder Data'!$O:$O,$H95)),""))</f>
        <v/>
      </c>
      <c r="H95" s="18" t="str">
        <f>IFERROR(MATCH(SMALL('Binder Data'!$M$2:$M$6251,90),'Binder Data'!$M$2:$M$6251,0)+1,"")</f>
        <v/>
      </c>
    </row>
    <row r="96" ht="15.75" customHeight="1">
      <c r="A96" s="16" t="b">
        <v>0</v>
      </c>
      <c r="B96" s="14" t="str">
        <f t="array" ref="B96">IF($H96="","",INDEX('Binder Data'!$A:$A,$H96))</f>
        <v/>
      </c>
      <c r="C96" s="14" t="str">
        <f t="array" ref="C96">IF($H96="","",INDEX('Binder Data'!$L:$L,$H96))</f>
        <v/>
      </c>
      <c r="D96" s="14" t="str">
        <f t="array" ref="D96">IF($H96="","",INDEX('Binder Data'!$I:$I,$H96))</f>
        <v/>
      </c>
      <c r="E96" s="17" t="str">
        <f t="array" ref="E96">IF($H96="","",INDEX('Binder Data'!$F:$F,$H96))</f>
        <v/>
      </c>
      <c r="F96" s="14" t="str">
        <f t="array" ref="F96">IF($H96="","",INDEX('Binder Data'!$Q:$Q,$H96))</f>
        <v/>
      </c>
      <c r="G96" s="14" t="str">
        <f t="array" ref="G96">IF(OR($H96="",$E$4&lt;&gt;TRUE()),"",IFERROR(IMAGE(INDEX('Binder Data'!$O:$O,$H96)),""))</f>
        <v/>
      </c>
      <c r="H96" s="18" t="str">
        <f>IFERROR(MATCH(SMALL('Binder Data'!$M$2:$M$6251,91),'Binder Data'!$M$2:$M$6251,0)+1,"")</f>
        <v/>
      </c>
    </row>
    <row r="97" ht="15.75" customHeight="1">
      <c r="A97" s="16" t="b">
        <v>0</v>
      </c>
      <c r="B97" s="14" t="str">
        <f t="array" ref="B97">IF($H97="","",INDEX('Binder Data'!$A:$A,$H97))</f>
        <v/>
      </c>
      <c r="C97" s="14" t="str">
        <f t="array" ref="C97">IF($H97="","",INDEX('Binder Data'!$L:$L,$H97))</f>
        <v/>
      </c>
      <c r="D97" s="14" t="str">
        <f t="array" ref="D97">IF($H97="","",INDEX('Binder Data'!$I:$I,$H97))</f>
        <v/>
      </c>
      <c r="E97" s="17" t="str">
        <f t="array" ref="E97">IF($H97="","",INDEX('Binder Data'!$F:$F,$H97))</f>
        <v/>
      </c>
      <c r="F97" s="14" t="str">
        <f t="array" ref="F97">IF($H97="","",INDEX('Binder Data'!$Q:$Q,$H97))</f>
        <v/>
      </c>
      <c r="G97" s="14" t="str">
        <f t="array" ref="G97">IF(OR($H97="",$E$4&lt;&gt;TRUE()),"",IFERROR(IMAGE(INDEX('Binder Data'!$O:$O,$H97)),""))</f>
        <v/>
      </c>
      <c r="H97" s="18" t="str">
        <f>IFERROR(MATCH(SMALL('Binder Data'!$M$2:$M$6251,92),'Binder Data'!$M$2:$M$6251,0)+1,"")</f>
        <v/>
      </c>
    </row>
    <row r="98" ht="15.75" customHeight="1">
      <c r="A98" s="16" t="b">
        <v>0</v>
      </c>
      <c r="B98" s="14" t="str">
        <f t="array" ref="B98">IF($H98="","",INDEX('Binder Data'!$A:$A,$H98))</f>
        <v/>
      </c>
      <c r="C98" s="14" t="str">
        <f t="array" ref="C98">IF($H98="","",INDEX('Binder Data'!$L:$L,$H98))</f>
        <v/>
      </c>
      <c r="D98" s="14" t="str">
        <f t="array" ref="D98">IF($H98="","",INDEX('Binder Data'!$I:$I,$H98))</f>
        <v/>
      </c>
      <c r="E98" s="17" t="str">
        <f t="array" ref="E98">IF($H98="","",INDEX('Binder Data'!$F:$F,$H98))</f>
        <v/>
      </c>
      <c r="F98" s="14" t="str">
        <f t="array" ref="F98">IF($H98="","",INDEX('Binder Data'!$Q:$Q,$H98))</f>
        <v/>
      </c>
      <c r="G98" s="14" t="str">
        <f t="array" ref="G98">IF(OR($H98="",$E$4&lt;&gt;TRUE()),"",IFERROR(IMAGE(INDEX('Binder Data'!$O:$O,$H98)),""))</f>
        <v/>
      </c>
      <c r="H98" s="18" t="str">
        <f>IFERROR(MATCH(SMALL('Binder Data'!$M$2:$M$6251,93),'Binder Data'!$M$2:$M$6251,0)+1,"")</f>
        <v/>
      </c>
    </row>
    <row r="99" ht="15.75" customHeight="1">
      <c r="A99" s="16" t="b">
        <v>0</v>
      </c>
      <c r="B99" s="14" t="str">
        <f t="array" ref="B99">IF($H99="","",INDEX('Binder Data'!$A:$A,$H99))</f>
        <v/>
      </c>
      <c r="C99" s="14" t="str">
        <f t="array" ref="C99">IF($H99="","",INDEX('Binder Data'!$L:$L,$H99))</f>
        <v/>
      </c>
      <c r="D99" s="14" t="str">
        <f t="array" ref="D99">IF($H99="","",INDEX('Binder Data'!$I:$I,$H99))</f>
        <v/>
      </c>
      <c r="E99" s="17" t="str">
        <f t="array" ref="E99">IF($H99="","",INDEX('Binder Data'!$F:$F,$H99))</f>
        <v/>
      </c>
      <c r="F99" s="14" t="str">
        <f t="array" ref="F99">IF($H99="","",INDEX('Binder Data'!$Q:$Q,$H99))</f>
        <v/>
      </c>
      <c r="G99" s="14" t="str">
        <f t="array" ref="G99">IF(OR($H99="",$E$4&lt;&gt;TRUE()),"",IFERROR(IMAGE(INDEX('Binder Data'!$O:$O,$H99)),""))</f>
        <v/>
      </c>
      <c r="H99" s="18" t="str">
        <f>IFERROR(MATCH(SMALL('Binder Data'!$M$2:$M$6251,94),'Binder Data'!$M$2:$M$6251,0)+1,"")</f>
        <v/>
      </c>
    </row>
    <row r="100" ht="15.75" customHeight="1">
      <c r="A100" s="16" t="b">
        <v>0</v>
      </c>
      <c r="B100" s="14" t="str">
        <f t="array" ref="B100">IF($H100="","",INDEX('Binder Data'!$A:$A,$H100))</f>
        <v/>
      </c>
      <c r="C100" s="14" t="str">
        <f t="array" ref="C100">IF($H100="","",INDEX('Binder Data'!$L:$L,$H100))</f>
        <v/>
      </c>
      <c r="D100" s="14" t="str">
        <f t="array" ref="D100">IF($H100="","",INDEX('Binder Data'!$I:$I,$H100))</f>
        <v/>
      </c>
      <c r="E100" s="17" t="str">
        <f t="array" ref="E100">IF($H100="","",INDEX('Binder Data'!$F:$F,$H100))</f>
        <v/>
      </c>
      <c r="F100" s="14" t="str">
        <f t="array" ref="F100">IF($H100="","",INDEX('Binder Data'!$Q:$Q,$H100))</f>
        <v/>
      </c>
      <c r="G100" s="14" t="str">
        <f t="array" ref="G100">IF(OR($H100="",$E$4&lt;&gt;TRUE()),"",IFERROR(IMAGE(INDEX('Binder Data'!$O:$O,$H100)),""))</f>
        <v/>
      </c>
      <c r="H100" s="18" t="str">
        <f>IFERROR(MATCH(SMALL('Binder Data'!$M$2:$M$6251,95),'Binder Data'!$M$2:$M$6251,0)+1,"")</f>
        <v/>
      </c>
    </row>
    <row r="101" ht="15.75" customHeight="1">
      <c r="A101" s="16" t="b">
        <v>0</v>
      </c>
      <c r="B101" s="14" t="str">
        <f t="array" ref="B101">IF($H101="","",INDEX('Binder Data'!$A:$A,$H101))</f>
        <v/>
      </c>
      <c r="C101" s="14" t="str">
        <f t="array" ref="C101">IF($H101="","",INDEX('Binder Data'!$L:$L,$H101))</f>
        <v/>
      </c>
      <c r="D101" s="14" t="str">
        <f t="array" ref="D101">IF($H101="","",INDEX('Binder Data'!$I:$I,$H101))</f>
        <v/>
      </c>
      <c r="E101" s="17" t="str">
        <f t="array" ref="E101">IF($H101="","",INDEX('Binder Data'!$F:$F,$H101))</f>
        <v/>
      </c>
      <c r="F101" s="14" t="str">
        <f t="array" ref="F101">IF($H101="","",INDEX('Binder Data'!$Q:$Q,$H101))</f>
        <v/>
      </c>
      <c r="G101" s="14" t="str">
        <f t="array" ref="G101">IF(OR($H101="",$E$4&lt;&gt;TRUE()),"",IFERROR(IMAGE(INDEX('Binder Data'!$O:$O,$H101)),""))</f>
        <v/>
      </c>
      <c r="H101" s="18" t="str">
        <f>IFERROR(MATCH(SMALL('Binder Data'!$M$2:$M$6251,96),'Binder Data'!$M$2:$M$6251,0)+1,"")</f>
        <v/>
      </c>
    </row>
    <row r="102" ht="15.75" customHeight="1">
      <c r="A102" s="16" t="b">
        <v>0</v>
      </c>
      <c r="B102" s="14" t="str">
        <f t="array" ref="B102">IF($H102="","",INDEX('Binder Data'!$A:$A,$H102))</f>
        <v/>
      </c>
      <c r="C102" s="14" t="str">
        <f t="array" ref="C102">IF($H102="","",INDEX('Binder Data'!$L:$L,$H102))</f>
        <v/>
      </c>
      <c r="D102" s="14" t="str">
        <f t="array" ref="D102">IF($H102="","",INDEX('Binder Data'!$I:$I,$H102))</f>
        <v/>
      </c>
      <c r="E102" s="17" t="str">
        <f t="array" ref="E102">IF($H102="","",INDEX('Binder Data'!$F:$F,$H102))</f>
        <v/>
      </c>
      <c r="F102" s="14" t="str">
        <f t="array" ref="F102">IF($H102="","",INDEX('Binder Data'!$Q:$Q,$H102))</f>
        <v/>
      </c>
      <c r="G102" s="14" t="str">
        <f t="array" ref="G102">IF(OR($H102="",$E$4&lt;&gt;TRUE()),"",IFERROR(IMAGE(INDEX('Binder Data'!$O:$O,$H102)),""))</f>
        <v/>
      </c>
      <c r="H102" s="18" t="str">
        <f>IFERROR(MATCH(SMALL('Binder Data'!$M$2:$M$6251,97),'Binder Data'!$M$2:$M$6251,0)+1,"")</f>
        <v/>
      </c>
    </row>
    <row r="103" ht="15.75" customHeight="1">
      <c r="A103" s="16" t="b">
        <v>0</v>
      </c>
      <c r="B103" s="14" t="str">
        <f t="array" ref="B103">IF($H103="","",INDEX('Binder Data'!$A:$A,$H103))</f>
        <v/>
      </c>
      <c r="C103" s="14" t="str">
        <f t="array" ref="C103">IF($H103="","",INDEX('Binder Data'!$L:$L,$H103))</f>
        <v/>
      </c>
      <c r="D103" s="14" t="str">
        <f t="array" ref="D103">IF($H103="","",INDEX('Binder Data'!$I:$I,$H103))</f>
        <v/>
      </c>
      <c r="E103" s="17" t="str">
        <f t="array" ref="E103">IF($H103="","",INDEX('Binder Data'!$F:$F,$H103))</f>
        <v/>
      </c>
      <c r="F103" s="14" t="str">
        <f t="array" ref="F103">IF($H103="","",INDEX('Binder Data'!$Q:$Q,$H103))</f>
        <v/>
      </c>
      <c r="G103" s="14" t="str">
        <f t="array" ref="G103">IF(OR($H103="",$E$4&lt;&gt;TRUE()),"",IFERROR(IMAGE(INDEX('Binder Data'!$O:$O,$H103)),""))</f>
        <v/>
      </c>
      <c r="H103" s="18" t="str">
        <f>IFERROR(MATCH(SMALL('Binder Data'!$M$2:$M$6251,98),'Binder Data'!$M$2:$M$6251,0)+1,"")</f>
        <v/>
      </c>
    </row>
    <row r="104" ht="15.75" customHeight="1">
      <c r="A104" s="16" t="b">
        <v>0</v>
      </c>
      <c r="B104" s="14" t="str">
        <f t="array" ref="B104">IF($H104="","",INDEX('Binder Data'!$A:$A,$H104))</f>
        <v/>
      </c>
      <c r="C104" s="14" t="str">
        <f t="array" ref="C104">IF($H104="","",INDEX('Binder Data'!$L:$L,$H104))</f>
        <v/>
      </c>
      <c r="D104" s="14" t="str">
        <f t="array" ref="D104">IF($H104="","",INDEX('Binder Data'!$I:$I,$H104))</f>
        <v/>
      </c>
      <c r="E104" s="17" t="str">
        <f t="array" ref="E104">IF($H104="","",INDEX('Binder Data'!$F:$F,$H104))</f>
        <v/>
      </c>
      <c r="F104" s="14" t="str">
        <f t="array" ref="F104">IF($H104="","",INDEX('Binder Data'!$Q:$Q,$H104))</f>
        <v/>
      </c>
      <c r="G104" s="14" t="str">
        <f t="array" ref="G104">IF(OR($H104="",$E$4&lt;&gt;TRUE()),"",IFERROR(IMAGE(INDEX('Binder Data'!$O:$O,$H104)),""))</f>
        <v/>
      </c>
      <c r="H104" s="18" t="str">
        <f>IFERROR(MATCH(SMALL('Binder Data'!$M$2:$M$6251,99),'Binder Data'!$M$2:$M$6251,0)+1,"")</f>
        <v/>
      </c>
    </row>
    <row r="105" ht="15.75" customHeight="1">
      <c r="A105" s="16" t="b">
        <v>0</v>
      </c>
      <c r="B105" s="14" t="str">
        <f t="array" ref="B105">IF($H105="","",INDEX('Binder Data'!$A:$A,$H105))</f>
        <v/>
      </c>
      <c r="C105" s="14" t="str">
        <f t="array" ref="C105">IF($H105="","",INDEX('Binder Data'!$L:$L,$H105))</f>
        <v/>
      </c>
      <c r="D105" s="14" t="str">
        <f t="array" ref="D105">IF($H105="","",INDEX('Binder Data'!$I:$I,$H105))</f>
        <v/>
      </c>
      <c r="E105" s="17" t="str">
        <f t="array" ref="E105">IF($H105="","",INDEX('Binder Data'!$F:$F,$H105))</f>
        <v/>
      </c>
      <c r="F105" s="14" t="str">
        <f t="array" ref="F105">IF($H105="","",INDEX('Binder Data'!$Q:$Q,$H105))</f>
        <v/>
      </c>
      <c r="G105" s="14" t="str">
        <f t="array" ref="G105">IF(OR($H105="",$E$4&lt;&gt;TRUE()),"",IFERROR(IMAGE(INDEX('Binder Data'!$O:$O,$H105)),""))</f>
        <v/>
      </c>
      <c r="H105" s="18" t="str">
        <f>IFERROR(MATCH(SMALL('Binder Data'!$M$2:$M$6251,100),'Binder Data'!$M$2:$M$6251,0)+1,"")</f>
        <v/>
      </c>
    </row>
    <row r="106" ht="15.75" customHeight="1">
      <c r="A106" s="16" t="b">
        <v>0</v>
      </c>
      <c r="B106" s="14" t="str">
        <f t="array" ref="B106">IF($H106="","",INDEX('Binder Data'!$A:$A,$H106))</f>
        <v/>
      </c>
      <c r="C106" s="14" t="str">
        <f t="array" ref="C106">IF($H106="","",INDEX('Binder Data'!$L:$L,$H106))</f>
        <v/>
      </c>
      <c r="D106" s="14" t="str">
        <f t="array" ref="D106">IF($H106="","",INDEX('Binder Data'!$I:$I,$H106))</f>
        <v/>
      </c>
      <c r="E106" s="17" t="str">
        <f t="array" ref="E106">IF($H106="","",INDEX('Binder Data'!$F:$F,$H106))</f>
        <v/>
      </c>
      <c r="F106" s="14" t="str">
        <f t="array" ref="F106">IF($H106="","",INDEX('Binder Data'!$Q:$Q,$H106))</f>
        <v/>
      </c>
      <c r="G106" s="14" t="str">
        <f t="array" ref="G106">IF(OR($H106="",$E$4&lt;&gt;TRUE()),"",IFERROR(IMAGE(INDEX('Binder Data'!$O:$O,$H106)),""))</f>
        <v/>
      </c>
      <c r="H106" s="18" t="str">
        <f>IFERROR(MATCH(SMALL('Binder Data'!$M$2:$M$6251,101),'Binder Data'!$M$2:$M$6251,0)+1,"")</f>
        <v/>
      </c>
    </row>
    <row r="107" ht="15.75" customHeight="1">
      <c r="A107" s="16" t="b">
        <v>0</v>
      </c>
      <c r="B107" s="14" t="str">
        <f t="array" ref="B107">IF($H107="","",INDEX('Binder Data'!$A:$A,$H107))</f>
        <v/>
      </c>
      <c r="C107" s="14" t="str">
        <f t="array" ref="C107">IF($H107="","",INDEX('Binder Data'!$L:$L,$H107))</f>
        <v/>
      </c>
      <c r="D107" s="14" t="str">
        <f t="array" ref="D107">IF($H107="","",INDEX('Binder Data'!$I:$I,$H107))</f>
        <v/>
      </c>
      <c r="E107" s="17" t="str">
        <f t="array" ref="E107">IF($H107="","",INDEX('Binder Data'!$F:$F,$H107))</f>
        <v/>
      </c>
      <c r="F107" s="14" t="str">
        <f t="array" ref="F107">IF($H107="","",INDEX('Binder Data'!$Q:$Q,$H107))</f>
        <v/>
      </c>
      <c r="G107" s="14" t="str">
        <f t="array" ref="G107">IF(OR($H107="",$E$4&lt;&gt;TRUE()),"",IFERROR(IMAGE(INDEX('Binder Data'!$O:$O,$H107)),""))</f>
        <v/>
      </c>
      <c r="H107" s="18" t="str">
        <f>IFERROR(MATCH(SMALL('Binder Data'!$M$2:$M$6251,102),'Binder Data'!$M$2:$M$6251,0)+1,"")</f>
        <v/>
      </c>
    </row>
    <row r="108" ht="15.75" customHeight="1">
      <c r="A108" s="16" t="b">
        <v>0</v>
      </c>
      <c r="B108" s="14" t="str">
        <f t="array" ref="B108">IF($H108="","",INDEX('Binder Data'!$A:$A,$H108))</f>
        <v/>
      </c>
      <c r="C108" s="14" t="str">
        <f t="array" ref="C108">IF($H108="","",INDEX('Binder Data'!$L:$L,$H108))</f>
        <v/>
      </c>
      <c r="D108" s="14" t="str">
        <f t="array" ref="D108">IF($H108="","",INDEX('Binder Data'!$I:$I,$H108))</f>
        <v/>
      </c>
      <c r="E108" s="17" t="str">
        <f t="array" ref="E108">IF($H108="","",INDEX('Binder Data'!$F:$F,$H108))</f>
        <v/>
      </c>
      <c r="F108" s="14" t="str">
        <f t="array" ref="F108">IF($H108="","",INDEX('Binder Data'!$Q:$Q,$H108))</f>
        <v/>
      </c>
      <c r="G108" s="14" t="str">
        <f t="array" ref="G108">IF(OR($H108="",$E$4&lt;&gt;TRUE()),"",IFERROR(IMAGE(INDEX('Binder Data'!$O:$O,$H108)),""))</f>
        <v/>
      </c>
      <c r="H108" s="18" t="str">
        <f>IFERROR(MATCH(SMALL('Binder Data'!$M$2:$M$6251,103),'Binder Data'!$M$2:$M$6251,0)+1,"")</f>
        <v/>
      </c>
    </row>
    <row r="109" ht="15.75" customHeight="1">
      <c r="A109" s="16" t="b">
        <v>0</v>
      </c>
      <c r="B109" s="14" t="str">
        <f t="array" ref="B109">IF($H109="","",INDEX('Binder Data'!$A:$A,$H109))</f>
        <v/>
      </c>
      <c r="C109" s="14" t="str">
        <f t="array" ref="C109">IF($H109="","",INDEX('Binder Data'!$L:$L,$H109))</f>
        <v/>
      </c>
      <c r="D109" s="14" t="str">
        <f t="array" ref="D109">IF($H109="","",INDEX('Binder Data'!$I:$I,$H109))</f>
        <v/>
      </c>
      <c r="E109" s="17" t="str">
        <f t="array" ref="E109">IF($H109="","",INDEX('Binder Data'!$F:$F,$H109))</f>
        <v/>
      </c>
      <c r="F109" s="14" t="str">
        <f t="array" ref="F109">IF($H109="","",INDEX('Binder Data'!$Q:$Q,$H109))</f>
        <v/>
      </c>
      <c r="G109" s="14" t="str">
        <f t="array" ref="G109">IF(OR($H109="",$E$4&lt;&gt;TRUE()),"",IFERROR(IMAGE(INDEX('Binder Data'!$O:$O,$H109)),""))</f>
        <v/>
      </c>
      <c r="H109" s="18" t="str">
        <f>IFERROR(MATCH(SMALL('Binder Data'!$M$2:$M$6251,104),'Binder Data'!$M$2:$M$6251,0)+1,"")</f>
        <v/>
      </c>
    </row>
    <row r="110" ht="15.75" customHeight="1">
      <c r="A110" s="16" t="b">
        <v>0</v>
      </c>
      <c r="B110" s="14" t="str">
        <f t="array" ref="B110">IF($H110="","",INDEX('Binder Data'!$A:$A,$H110))</f>
        <v/>
      </c>
      <c r="C110" s="14" t="str">
        <f t="array" ref="C110">IF($H110="","",INDEX('Binder Data'!$L:$L,$H110))</f>
        <v/>
      </c>
      <c r="D110" s="14" t="str">
        <f t="array" ref="D110">IF($H110="","",INDEX('Binder Data'!$I:$I,$H110))</f>
        <v/>
      </c>
      <c r="E110" s="17" t="str">
        <f t="array" ref="E110">IF($H110="","",INDEX('Binder Data'!$F:$F,$H110))</f>
        <v/>
      </c>
      <c r="F110" s="14" t="str">
        <f t="array" ref="F110">IF($H110="","",INDEX('Binder Data'!$Q:$Q,$H110))</f>
        <v/>
      </c>
      <c r="G110" s="14" t="str">
        <f t="array" ref="G110">IF(OR($H110="",$E$4&lt;&gt;TRUE()),"",IFERROR(IMAGE(INDEX('Binder Data'!$O:$O,$H110)),""))</f>
        <v/>
      </c>
      <c r="H110" s="18" t="str">
        <f>IFERROR(MATCH(SMALL('Binder Data'!$M$2:$M$6251,105),'Binder Data'!$M$2:$M$6251,0)+1,"")</f>
        <v/>
      </c>
    </row>
    <row r="111" ht="15.75" customHeight="1">
      <c r="A111" s="16" t="b">
        <v>0</v>
      </c>
      <c r="B111" s="14" t="str">
        <f t="array" ref="B111">IF($H111="","",INDEX('Binder Data'!$A:$A,$H111))</f>
        <v/>
      </c>
      <c r="C111" s="14" t="str">
        <f t="array" ref="C111">IF($H111="","",INDEX('Binder Data'!$L:$L,$H111))</f>
        <v/>
      </c>
      <c r="D111" s="14" t="str">
        <f t="array" ref="D111">IF($H111="","",INDEX('Binder Data'!$I:$I,$H111))</f>
        <v/>
      </c>
      <c r="E111" s="17" t="str">
        <f t="array" ref="E111">IF($H111="","",INDEX('Binder Data'!$F:$F,$H111))</f>
        <v/>
      </c>
      <c r="F111" s="14" t="str">
        <f t="array" ref="F111">IF($H111="","",INDEX('Binder Data'!$Q:$Q,$H111))</f>
        <v/>
      </c>
      <c r="G111" s="14" t="str">
        <f t="array" ref="G111">IF(OR($H111="",$E$4&lt;&gt;TRUE()),"",IFERROR(IMAGE(INDEX('Binder Data'!$O:$O,$H111)),""))</f>
        <v/>
      </c>
      <c r="H111" s="18" t="str">
        <f>IFERROR(MATCH(SMALL('Binder Data'!$M$2:$M$6251,106),'Binder Data'!$M$2:$M$6251,0)+1,"")</f>
        <v/>
      </c>
    </row>
    <row r="112" ht="15.75" customHeight="1">
      <c r="A112" s="16" t="b">
        <v>0</v>
      </c>
      <c r="B112" s="14" t="str">
        <f t="array" ref="B112">IF($H112="","",INDEX('Binder Data'!$A:$A,$H112))</f>
        <v/>
      </c>
      <c r="C112" s="14" t="str">
        <f t="array" ref="C112">IF($H112="","",INDEX('Binder Data'!$L:$L,$H112))</f>
        <v/>
      </c>
      <c r="D112" s="14" t="str">
        <f t="array" ref="D112">IF($H112="","",INDEX('Binder Data'!$I:$I,$H112))</f>
        <v/>
      </c>
      <c r="E112" s="17" t="str">
        <f t="array" ref="E112">IF($H112="","",INDEX('Binder Data'!$F:$F,$H112))</f>
        <v/>
      </c>
      <c r="F112" s="14" t="str">
        <f t="array" ref="F112">IF($H112="","",INDEX('Binder Data'!$Q:$Q,$H112))</f>
        <v/>
      </c>
      <c r="G112" s="14" t="str">
        <f t="array" ref="G112">IF(OR($H112="",$E$4&lt;&gt;TRUE()),"",IFERROR(IMAGE(INDEX('Binder Data'!$O:$O,$H112)),""))</f>
        <v/>
      </c>
      <c r="H112" s="18" t="str">
        <f>IFERROR(MATCH(SMALL('Binder Data'!$M$2:$M$6251,107),'Binder Data'!$M$2:$M$6251,0)+1,"")</f>
        <v/>
      </c>
    </row>
    <row r="113" ht="15.75" customHeight="1">
      <c r="A113" s="16" t="b">
        <v>0</v>
      </c>
      <c r="B113" s="14" t="str">
        <f t="array" ref="B113">IF($H113="","",INDEX('Binder Data'!$A:$A,$H113))</f>
        <v/>
      </c>
      <c r="C113" s="14" t="str">
        <f t="array" ref="C113">IF($H113="","",INDEX('Binder Data'!$L:$L,$H113))</f>
        <v/>
      </c>
      <c r="D113" s="14" t="str">
        <f t="array" ref="D113">IF($H113="","",INDEX('Binder Data'!$I:$I,$H113))</f>
        <v/>
      </c>
      <c r="E113" s="17" t="str">
        <f t="array" ref="E113">IF($H113="","",INDEX('Binder Data'!$F:$F,$H113))</f>
        <v/>
      </c>
      <c r="F113" s="14" t="str">
        <f t="array" ref="F113">IF($H113="","",INDEX('Binder Data'!$Q:$Q,$H113))</f>
        <v/>
      </c>
      <c r="G113" s="14" t="str">
        <f t="array" ref="G113">IF(OR($H113="",$E$4&lt;&gt;TRUE()),"",IFERROR(IMAGE(INDEX('Binder Data'!$O:$O,$H113)),""))</f>
        <v/>
      </c>
      <c r="H113" s="18" t="str">
        <f>IFERROR(MATCH(SMALL('Binder Data'!$M$2:$M$6251,108),'Binder Data'!$M$2:$M$6251,0)+1,"")</f>
        <v/>
      </c>
    </row>
    <row r="114" ht="15.75" customHeight="1">
      <c r="A114" s="16" t="b">
        <v>0</v>
      </c>
      <c r="B114" s="14" t="str">
        <f t="array" ref="B114">IF($H114="","",INDEX('Binder Data'!$A:$A,$H114))</f>
        <v/>
      </c>
      <c r="C114" s="14" t="str">
        <f t="array" ref="C114">IF($H114="","",INDEX('Binder Data'!$L:$L,$H114))</f>
        <v/>
      </c>
      <c r="D114" s="14" t="str">
        <f t="array" ref="D114">IF($H114="","",INDEX('Binder Data'!$I:$I,$H114))</f>
        <v/>
      </c>
      <c r="E114" s="17" t="str">
        <f t="array" ref="E114">IF($H114="","",INDEX('Binder Data'!$F:$F,$H114))</f>
        <v/>
      </c>
      <c r="F114" s="14" t="str">
        <f t="array" ref="F114">IF($H114="","",INDEX('Binder Data'!$Q:$Q,$H114))</f>
        <v/>
      </c>
      <c r="G114" s="14" t="str">
        <f t="array" ref="G114">IF(OR($H114="",$E$4&lt;&gt;TRUE()),"",IFERROR(IMAGE(INDEX('Binder Data'!$O:$O,$H114)),""))</f>
        <v/>
      </c>
      <c r="H114" s="18" t="str">
        <f>IFERROR(MATCH(SMALL('Binder Data'!$M$2:$M$6251,109),'Binder Data'!$M$2:$M$6251,0)+1,"")</f>
        <v/>
      </c>
    </row>
    <row r="115" ht="15.75" customHeight="1">
      <c r="A115" s="16" t="b">
        <v>0</v>
      </c>
      <c r="B115" s="14" t="str">
        <f t="array" ref="B115">IF($H115="","",INDEX('Binder Data'!$A:$A,$H115))</f>
        <v/>
      </c>
      <c r="C115" s="14" t="str">
        <f t="array" ref="C115">IF($H115="","",INDEX('Binder Data'!$L:$L,$H115))</f>
        <v/>
      </c>
      <c r="D115" s="14" t="str">
        <f t="array" ref="D115">IF($H115="","",INDEX('Binder Data'!$I:$I,$H115))</f>
        <v/>
      </c>
      <c r="E115" s="17" t="str">
        <f t="array" ref="E115">IF($H115="","",INDEX('Binder Data'!$F:$F,$H115))</f>
        <v/>
      </c>
      <c r="F115" s="14" t="str">
        <f t="array" ref="F115">IF($H115="","",INDEX('Binder Data'!$Q:$Q,$H115))</f>
        <v/>
      </c>
      <c r="G115" s="14" t="str">
        <f t="array" ref="G115">IF(OR($H115="",$E$4&lt;&gt;TRUE()),"",IFERROR(IMAGE(INDEX('Binder Data'!$O:$O,$H115)),""))</f>
        <v/>
      </c>
      <c r="H115" s="18" t="str">
        <f>IFERROR(MATCH(SMALL('Binder Data'!$M$2:$M$6251,110),'Binder Data'!$M$2:$M$6251,0)+1,"")</f>
        <v/>
      </c>
    </row>
    <row r="116" ht="15.75" customHeight="1">
      <c r="A116" s="16" t="b">
        <v>0</v>
      </c>
      <c r="B116" s="14" t="str">
        <f t="array" ref="B116">IF($H116="","",INDEX('Binder Data'!$A:$A,$H116))</f>
        <v/>
      </c>
      <c r="C116" s="14" t="str">
        <f t="array" ref="C116">IF($H116="","",INDEX('Binder Data'!$L:$L,$H116))</f>
        <v/>
      </c>
      <c r="D116" s="14" t="str">
        <f t="array" ref="D116">IF($H116="","",INDEX('Binder Data'!$I:$I,$H116))</f>
        <v/>
      </c>
      <c r="E116" s="17" t="str">
        <f t="array" ref="E116">IF($H116="","",INDEX('Binder Data'!$F:$F,$H116))</f>
        <v/>
      </c>
      <c r="F116" s="14" t="str">
        <f t="array" ref="F116">IF($H116="","",INDEX('Binder Data'!$Q:$Q,$H116))</f>
        <v/>
      </c>
      <c r="G116" s="14" t="str">
        <f t="array" ref="G116">IF(OR($H116="",$E$4&lt;&gt;TRUE()),"",IFERROR(IMAGE(INDEX('Binder Data'!$O:$O,$H116)),""))</f>
        <v/>
      </c>
      <c r="H116" s="18" t="str">
        <f>IFERROR(MATCH(SMALL('Binder Data'!$M$2:$M$6251,111),'Binder Data'!$M$2:$M$6251,0)+1,"")</f>
        <v/>
      </c>
    </row>
    <row r="117" ht="15.75" customHeight="1">
      <c r="A117" s="16" t="b">
        <v>0</v>
      </c>
      <c r="B117" s="14" t="str">
        <f t="array" ref="B117">IF($H117="","",INDEX('Binder Data'!$A:$A,$H117))</f>
        <v/>
      </c>
      <c r="C117" s="14" t="str">
        <f t="array" ref="C117">IF($H117="","",INDEX('Binder Data'!$L:$L,$H117))</f>
        <v/>
      </c>
      <c r="D117" s="14" t="str">
        <f t="array" ref="D117">IF($H117="","",INDEX('Binder Data'!$I:$I,$H117))</f>
        <v/>
      </c>
      <c r="E117" s="17" t="str">
        <f t="array" ref="E117">IF($H117="","",INDEX('Binder Data'!$F:$F,$H117))</f>
        <v/>
      </c>
      <c r="F117" s="14" t="str">
        <f t="array" ref="F117">IF($H117="","",INDEX('Binder Data'!$Q:$Q,$H117))</f>
        <v/>
      </c>
      <c r="G117" s="14" t="str">
        <f t="array" ref="G117">IF(OR($H117="",$E$4&lt;&gt;TRUE()),"",IFERROR(IMAGE(INDEX('Binder Data'!$O:$O,$H117)),""))</f>
        <v/>
      </c>
      <c r="H117" s="18" t="str">
        <f>IFERROR(MATCH(SMALL('Binder Data'!$M$2:$M$6251,112),'Binder Data'!$M$2:$M$6251,0)+1,"")</f>
        <v/>
      </c>
    </row>
    <row r="118" ht="15.75" customHeight="1">
      <c r="A118" s="16" t="b">
        <v>0</v>
      </c>
      <c r="B118" s="14" t="str">
        <f t="array" ref="B118">IF($H118="","",INDEX('Binder Data'!$A:$A,$H118))</f>
        <v/>
      </c>
      <c r="C118" s="14" t="str">
        <f t="array" ref="C118">IF($H118="","",INDEX('Binder Data'!$L:$L,$H118))</f>
        <v/>
      </c>
      <c r="D118" s="14" t="str">
        <f t="array" ref="D118">IF($H118="","",INDEX('Binder Data'!$I:$I,$H118))</f>
        <v/>
      </c>
      <c r="E118" s="17" t="str">
        <f t="array" ref="E118">IF($H118="","",INDEX('Binder Data'!$F:$F,$H118))</f>
        <v/>
      </c>
      <c r="F118" s="14" t="str">
        <f t="array" ref="F118">IF($H118="","",INDEX('Binder Data'!$Q:$Q,$H118))</f>
        <v/>
      </c>
      <c r="G118" s="14" t="str">
        <f t="array" ref="G118">IF(OR($H118="",$E$4&lt;&gt;TRUE()),"",IFERROR(IMAGE(INDEX('Binder Data'!$O:$O,$H118)),""))</f>
        <v/>
      </c>
      <c r="H118" s="18" t="str">
        <f>IFERROR(MATCH(SMALL('Binder Data'!$M$2:$M$6251,113),'Binder Data'!$M$2:$M$6251,0)+1,"")</f>
        <v/>
      </c>
    </row>
    <row r="119" ht="15.75" customHeight="1">
      <c r="A119" s="16" t="b">
        <v>0</v>
      </c>
      <c r="B119" s="14" t="str">
        <f t="array" ref="B119">IF($H119="","",INDEX('Binder Data'!$A:$A,$H119))</f>
        <v/>
      </c>
      <c r="C119" s="14" t="str">
        <f t="array" ref="C119">IF($H119="","",INDEX('Binder Data'!$L:$L,$H119))</f>
        <v/>
      </c>
      <c r="D119" s="14" t="str">
        <f t="array" ref="D119">IF($H119="","",INDEX('Binder Data'!$I:$I,$H119))</f>
        <v/>
      </c>
      <c r="E119" s="17" t="str">
        <f t="array" ref="E119">IF($H119="","",INDEX('Binder Data'!$F:$F,$H119))</f>
        <v/>
      </c>
      <c r="F119" s="14" t="str">
        <f t="array" ref="F119">IF($H119="","",INDEX('Binder Data'!$Q:$Q,$H119))</f>
        <v/>
      </c>
      <c r="G119" s="14" t="str">
        <f t="array" ref="G119">IF(OR($H119="",$E$4&lt;&gt;TRUE()),"",IFERROR(IMAGE(INDEX('Binder Data'!$O:$O,$H119)),""))</f>
        <v/>
      </c>
      <c r="H119" s="18" t="str">
        <f>IFERROR(MATCH(SMALL('Binder Data'!$M$2:$M$6251,114),'Binder Data'!$M$2:$M$6251,0)+1,"")</f>
        <v/>
      </c>
    </row>
    <row r="120" ht="15.75" customHeight="1">
      <c r="A120" s="16" t="b">
        <v>0</v>
      </c>
      <c r="B120" s="14" t="str">
        <f t="array" ref="B120">IF($H120="","",INDEX('Binder Data'!$A:$A,$H120))</f>
        <v/>
      </c>
      <c r="C120" s="14" t="str">
        <f t="array" ref="C120">IF($H120="","",INDEX('Binder Data'!$L:$L,$H120))</f>
        <v/>
      </c>
      <c r="D120" s="14" t="str">
        <f t="array" ref="D120">IF($H120="","",INDEX('Binder Data'!$I:$I,$H120))</f>
        <v/>
      </c>
      <c r="E120" s="17" t="str">
        <f t="array" ref="E120">IF($H120="","",INDEX('Binder Data'!$F:$F,$H120))</f>
        <v/>
      </c>
      <c r="F120" s="14" t="str">
        <f t="array" ref="F120">IF($H120="","",INDEX('Binder Data'!$Q:$Q,$H120))</f>
        <v/>
      </c>
      <c r="G120" s="14" t="str">
        <f t="array" ref="G120">IF(OR($H120="",$E$4&lt;&gt;TRUE()),"",IFERROR(IMAGE(INDEX('Binder Data'!$O:$O,$H120)),""))</f>
        <v/>
      </c>
      <c r="H120" s="18" t="str">
        <f>IFERROR(MATCH(SMALL('Binder Data'!$M$2:$M$6251,115),'Binder Data'!$M$2:$M$6251,0)+1,"")</f>
        <v/>
      </c>
    </row>
    <row r="121" ht="15.75" customHeight="1">
      <c r="A121" s="16" t="b">
        <v>0</v>
      </c>
      <c r="B121" s="14" t="str">
        <f t="array" ref="B121">IF($H121="","",INDEX('Binder Data'!$A:$A,$H121))</f>
        <v/>
      </c>
      <c r="C121" s="14" t="str">
        <f t="array" ref="C121">IF($H121="","",INDEX('Binder Data'!$L:$L,$H121))</f>
        <v/>
      </c>
      <c r="D121" s="14" t="str">
        <f t="array" ref="D121">IF($H121="","",INDEX('Binder Data'!$I:$I,$H121))</f>
        <v/>
      </c>
      <c r="E121" s="17" t="str">
        <f t="array" ref="E121">IF($H121="","",INDEX('Binder Data'!$F:$F,$H121))</f>
        <v/>
      </c>
      <c r="F121" s="14" t="str">
        <f t="array" ref="F121">IF($H121="","",INDEX('Binder Data'!$Q:$Q,$H121))</f>
        <v/>
      </c>
      <c r="G121" s="14" t="str">
        <f t="array" ref="G121">IF(OR($H121="",$E$4&lt;&gt;TRUE()),"",IFERROR(IMAGE(INDEX('Binder Data'!$O:$O,$H121)),""))</f>
        <v/>
      </c>
      <c r="H121" s="18" t="str">
        <f>IFERROR(MATCH(SMALL('Binder Data'!$M$2:$M$6251,116),'Binder Data'!$M$2:$M$6251,0)+1,"")</f>
        <v/>
      </c>
    </row>
    <row r="122" ht="15.75" customHeight="1">
      <c r="A122" s="16" t="b">
        <v>0</v>
      </c>
      <c r="B122" s="14" t="str">
        <f t="array" ref="B122">IF($H122="","",INDEX('Binder Data'!$A:$A,$H122))</f>
        <v/>
      </c>
      <c r="C122" s="14" t="str">
        <f t="array" ref="C122">IF($H122="","",INDEX('Binder Data'!$L:$L,$H122))</f>
        <v/>
      </c>
      <c r="D122" s="14" t="str">
        <f t="array" ref="D122">IF($H122="","",INDEX('Binder Data'!$I:$I,$H122))</f>
        <v/>
      </c>
      <c r="E122" s="17" t="str">
        <f t="array" ref="E122">IF($H122="","",INDEX('Binder Data'!$F:$F,$H122))</f>
        <v/>
      </c>
      <c r="F122" s="14" t="str">
        <f t="array" ref="F122">IF($H122="","",INDEX('Binder Data'!$Q:$Q,$H122))</f>
        <v/>
      </c>
      <c r="G122" s="14" t="str">
        <f t="array" ref="G122">IF(OR($H122="",$E$4&lt;&gt;TRUE()),"",IFERROR(IMAGE(INDEX('Binder Data'!$O:$O,$H122)),""))</f>
        <v/>
      </c>
      <c r="H122" s="18" t="str">
        <f>IFERROR(MATCH(SMALL('Binder Data'!$M$2:$M$6251,117),'Binder Data'!$M$2:$M$6251,0)+1,"")</f>
        <v/>
      </c>
    </row>
    <row r="123" ht="15.75" customHeight="1">
      <c r="A123" s="16" t="b">
        <v>0</v>
      </c>
      <c r="B123" s="14" t="str">
        <f t="array" ref="B123">IF($H123="","",INDEX('Binder Data'!$A:$A,$H123))</f>
        <v/>
      </c>
      <c r="C123" s="14" t="str">
        <f t="array" ref="C123">IF($H123="","",INDEX('Binder Data'!$L:$L,$H123))</f>
        <v/>
      </c>
      <c r="D123" s="14" t="str">
        <f t="array" ref="D123">IF($H123="","",INDEX('Binder Data'!$I:$I,$H123))</f>
        <v/>
      </c>
      <c r="E123" s="17" t="str">
        <f t="array" ref="E123">IF($H123="","",INDEX('Binder Data'!$F:$F,$H123))</f>
        <v/>
      </c>
      <c r="F123" s="14" t="str">
        <f t="array" ref="F123">IF($H123="","",INDEX('Binder Data'!$Q:$Q,$H123))</f>
        <v/>
      </c>
      <c r="G123" s="14" t="str">
        <f t="array" ref="G123">IF(OR($H123="",$E$4&lt;&gt;TRUE()),"",IFERROR(IMAGE(INDEX('Binder Data'!$O:$O,$H123)),""))</f>
        <v/>
      </c>
      <c r="H123" s="18" t="str">
        <f>IFERROR(MATCH(SMALL('Binder Data'!$M$2:$M$6251,118),'Binder Data'!$M$2:$M$6251,0)+1,"")</f>
        <v/>
      </c>
    </row>
    <row r="124" ht="15.75" customHeight="1">
      <c r="A124" s="16" t="b">
        <v>0</v>
      </c>
      <c r="B124" s="14" t="str">
        <f t="array" ref="B124">IF($H124="","",INDEX('Binder Data'!$A:$A,$H124))</f>
        <v/>
      </c>
      <c r="C124" s="14" t="str">
        <f t="array" ref="C124">IF($H124="","",INDEX('Binder Data'!$L:$L,$H124))</f>
        <v/>
      </c>
      <c r="D124" s="14" t="str">
        <f t="array" ref="D124">IF($H124="","",INDEX('Binder Data'!$I:$I,$H124))</f>
        <v/>
      </c>
      <c r="E124" s="17" t="str">
        <f t="array" ref="E124">IF($H124="","",INDEX('Binder Data'!$F:$F,$H124))</f>
        <v/>
      </c>
      <c r="F124" s="14" t="str">
        <f t="array" ref="F124">IF($H124="","",INDEX('Binder Data'!$Q:$Q,$H124))</f>
        <v/>
      </c>
      <c r="G124" s="14" t="str">
        <f t="array" ref="G124">IF(OR($H124="",$E$4&lt;&gt;TRUE()),"",IFERROR(IMAGE(INDEX('Binder Data'!$O:$O,$H124)),""))</f>
        <v/>
      </c>
      <c r="H124" s="18" t="str">
        <f>IFERROR(MATCH(SMALL('Binder Data'!$M$2:$M$6251,119),'Binder Data'!$M$2:$M$6251,0)+1,"")</f>
        <v/>
      </c>
    </row>
    <row r="125" ht="15.75" customHeight="1">
      <c r="A125" s="16" t="b">
        <v>0</v>
      </c>
      <c r="B125" s="14" t="str">
        <f t="array" ref="B125">IF($H125="","",INDEX('Binder Data'!$A:$A,$H125))</f>
        <v/>
      </c>
      <c r="C125" s="14" t="str">
        <f t="array" ref="C125">IF($H125="","",INDEX('Binder Data'!$L:$L,$H125))</f>
        <v/>
      </c>
      <c r="D125" s="14" t="str">
        <f t="array" ref="D125">IF($H125="","",INDEX('Binder Data'!$I:$I,$H125))</f>
        <v/>
      </c>
      <c r="E125" s="17" t="str">
        <f t="array" ref="E125">IF($H125="","",INDEX('Binder Data'!$F:$F,$H125))</f>
        <v/>
      </c>
      <c r="F125" s="14" t="str">
        <f t="array" ref="F125">IF($H125="","",INDEX('Binder Data'!$Q:$Q,$H125))</f>
        <v/>
      </c>
      <c r="G125" s="14" t="str">
        <f t="array" ref="G125">IF(OR($H125="",$E$4&lt;&gt;TRUE()),"",IFERROR(IMAGE(INDEX('Binder Data'!$O:$O,$H125)),""))</f>
        <v/>
      </c>
      <c r="H125" s="18" t="str">
        <f>IFERROR(MATCH(SMALL('Binder Data'!$M$2:$M$6251,120),'Binder Data'!$M$2:$M$6251,0)+1,"")</f>
        <v/>
      </c>
    </row>
    <row r="126" ht="15.75" customHeight="1">
      <c r="A126" s="16" t="b">
        <v>0</v>
      </c>
      <c r="B126" s="14" t="str">
        <f t="array" ref="B126">IF($H126="","",INDEX('Binder Data'!$A:$A,$H126))</f>
        <v/>
      </c>
      <c r="C126" s="14" t="str">
        <f t="array" ref="C126">IF($H126="","",INDEX('Binder Data'!$L:$L,$H126))</f>
        <v/>
      </c>
      <c r="D126" s="14" t="str">
        <f t="array" ref="D126">IF($H126="","",INDEX('Binder Data'!$I:$I,$H126))</f>
        <v/>
      </c>
      <c r="E126" s="17" t="str">
        <f t="array" ref="E126">IF($H126="","",INDEX('Binder Data'!$F:$F,$H126))</f>
        <v/>
      </c>
      <c r="F126" s="14" t="str">
        <f t="array" ref="F126">IF($H126="","",INDEX('Binder Data'!$Q:$Q,$H126))</f>
        <v/>
      </c>
      <c r="G126" s="14" t="str">
        <f t="array" ref="G126">IF(OR($H126="",$E$4&lt;&gt;TRUE()),"",IFERROR(IMAGE(INDEX('Binder Data'!$O:$O,$H126)),""))</f>
        <v/>
      </c>
      <c r="H126" s="18" t="str">
        <f>IFERROR(MATCH(SMALL('Binder Data'!$M$2:$M$6251,121),'Binder Data'!$M$2:$M$6251,0)+1,"")</f>
        <v/>
      </c>
    </row>
    <row r="127" ht="15.75" customHeight="1">
      <c r="A127" s="16" t="b">
        <v>0</v>
      </c>
      <c r="B127" s="14" t="str">
        <f t="array" ref="B127">IF($H127="","",INDEX('Binder Data'!$A:$A,$H127))</f>
        <v/>
      </c>
      <c r="C127" s="14" t="str">
        <f t="array" ref="C127">IF($H127="","",INDEX('Binder Data'!$L:$L,$H127))</f>
        <v/>
      </c>
      <c r="D127" s="14" t="str">
        <f t="array" ref="D127">IF($H127="","",INDEX('Binder Data'!$I:$I,$H127))</f>
        <v/>
      </c>
      <c r="E127" s="17" t="str">
        <f t="array" ref="E127">IF($H127="","",INDEX('Binder Data'!$F:$F,$H127))</f>
        <v/>
      </c>
      <c r="F127" s="14" t="str">
        <f t="array" ref="F127">IF($H127="","",INDEX('Binder Data'!$Q:$Q,$H127))</f>
        <v/>
      </c>
      <c r="G127" s="14" t="str">
        <f t="array" ref="G127">IF(OR($H127="",$E$4&lt;&gt;TRUE()),"",IFERROR(IMAGE(INDEX('Binder Data'!$O:$O,$H127)),""))</f>
        <v/>
      </c>
      <c r="H127" s="18" t="str">
        <f>IFERROR(MATCH(SMALL('Binder Data'!$M$2:$M$6251,122),'Binder Data'!$M$2:$M$6251,0)+1,"")</f>
        <v/>
      </c>
    </row>
    <row r="128" ht="15.75" customHeight="1">
      <c r="A128" s="16" t="b">
        <v>0</v>
      </c>
      <c r="B128" s="14" t="str">
        <f t="array" ref="B128">IF($H128="","",INDEX('Binder Data'!$A:$A,$H128))</f>
        <v/>
      </c>
      <c r="C128" s="14" t="str">
        <f t="array" ref="C128">IF($H128="","",INDEX('Binder Data'!$L:$L,$H128))</f>
        <v/>
      </c>
      <c r="D128" s="14" t="str">
        <f t="array" ref="D128">IF($H128="","",INDEX('Binder Data'!$I:$I,$H128))</f>
        <v/>
      </c>
      <c r="E128" s="17" t="str">
        <f t="array" ref="E128">IF($H128="","",INDEX('Binder Data'!$F:$F,$H128))</f>
        <v/>
      </c>
      <c r="F128" s="14" t="str">
        <f t="array" ref="F128">IF($H128="","",INDEX('Binder Data'!$Q:$Q,$H128))</f>
        <v/>
      </c>
      <c r="G128" s="14" t="str">
        <f t="array" ref="G128">IF(OR($H128="",$E$4&lt;&gt;TRUE()),"",IFERROR(IMAGE(INDEX('Binder Data'!$O:$O,$H128)),""))</f>
        <v/>
      </c>
      <c r="H128" s="18" t="str">
        <f>IFERROR(MATCH(SMALL('Binder Data'!$M$2:$M$6251,123),'Binder Data'!$M$2:$M$6251,0)+1,"")</f>
        <v/>
      </c>
    </row>
    <row r="129" ht="15.75" customHeight="1">
      <c r="A129" s="16" t="b">
        <v>0</v>
      </c>
      <c r="B129" s="14" t="str">
        <f t="array" ref="B129">IF($H129="","",INDEX('Binder Data'!$A:$A,$H129))</f>
        <v/>
      </c>
      <c r="C129" s="14" t="str">
        <f t="array" ref="C129">IF($H129="","",INDEX('Binder Data'!$L:$L,$H129))</f>
        <v/>
      </c>
      <c r="D129" s="14" t="str">
        <f t="array" ref="D129">IF($H129="","",INDEX('Binder Data'!$I:$I,$H129))</f>
        <v/>
      </c>
      <c r="E129" s="17" t="str">
        <f t="array" ref="E129">IF($H129="","",INDEX('Binder Data'!$F:$F,$H129))</f>
        <v/>
      </c>
      <c r="F129" s="14" t="str">
        <f t="array" ref="F129">IF($H129="","",INDEX('Binder Data'!$Q:$Q,$H129))</f>
        <v/>
      </c>
      <c r="G129" s="14" t="str">
        <f t="array" ref="G129">IF(OR($H129="",$E$4&lt;&gt;TRUE()),"",IFERROR(IMAGE(INDEX('Binder Data'!$O:$O,$H129)),""))</f>
        <v/>
      </c>
      <c r="H129" s="18" t="str">
        <f>IFERROR(MATCH(SMALL('Binder Data'!$M$2:$M$6251,124),'Binder Data'!$M$2:$M$6251,0)+1,"")</f>
        <v/>
      </c>
    </row>
    <row r="130" ht="15.75" customHeight="1">
      <c r="A130" s="16" t="b">
        <v>0</v>
      </c>
      <c r="B130" s="14" t="str">
        <f t="array" ref="B130">IF($H130="","",INDEX('Binder Data'!$A:$A,$H130))</f>
        <v/>
      </c>
      <c r="C130" s="14" t="str">
        <f t="array" ref="C130">IF($H130="","",INDEX('Binder Data'!$L:$L,$H130))</f>
        <v/>
      </c>
      <c r="D130" s="14" t="str">
        <f t="array" ref="D130">IF($H130="","",INDEX('Binder Data'!$I:$I,$H130))</f>
        <v/>
      </c>
      <c r="E130" s="17" t="str">
        <f t="array" ref="E130">IF($H130="","",INDEX('Binder Data'!$F:$F,$H130))</f>
        <v/>
      </c>
      <c r="F130" s="14" t="str">
        <f t="array" ref="F130">IF($H130="","",INDEX('Binder Data'!$Q:$Q,$H130))</f>
        <v/>
      </c>
      <c r="G130" s="14" t="str">
        <f t="array" ref="G130">IF(OR($H130="",$E$4&lt;&gt;TRUE()),"",IFERROR(IMAGE(INDEX('Binder Data'!$O:$O,$H130)),""))</f>
        <v/>
      </c>
      <c r="H130" s="18" t="str">
        <f>IFERROR(MATCH(SMALL('Binder Data'!$M$2:$M$6251,125),'Binder Data'!$M$2:$M$6251,0)+1,"")</f>
        <v/>
      </c>
    </row>
    <row r="131" ht="15.75" customHeight="1">
      <c r="A131" s="16" t="b">
        <v>0</v>
      </c>
      <c r="B131" s="14" t="str">
        <f t="array" ref="B131">IF($H131="","",INDEX('Binder Data'!$A:$A,$H131))</f>
        <v/>
      </c>
      <c r="C131" s="14" t="str">
        <f t="array" ref="C131">IF($H131="","",INDEX('Binder Data'!$L:$L,$H131))</f>
        <v/>
      </c>
      <c r="D131" s="14" t="str">
        <f t="array" ref="D131">IF($H131="","",INDEX('Binder Data'!$I:$I,$H131))</f>
        <v/>
      </c>
      <c r="E131" s="17" t="str">
        <f t="array" ref="E131">IF($H131="","",INDEX('Binder Data'!$F:$F,$H131))</f>
        <v/>
      </c>
      <c r="F131" s="14" t="str">
        <f t="array" ref="F131">IF($H131="","",INDEX('Binder Data'!$Q:$Q,$H131))</f>
        <v/>
      </c>
      <c r="G131" s="14" t="str">
        <f t="array" ref="G131">IF(OR($H131="",$E$4&lt;&gt;TRUE()),"",IFERROR(IMAGE(INDEX('Binder Data'!$O:$O,$H131)),""))</f>
        <v/>
      </c>
      <c r="H131" s="18" t="str">
        <f>IFERROR(MATCH(SMALL('Binder Data'!$M$2:$M$6251,126),'Binder Data'!$M$2:$M$6251,0)+1,"")</f>
        <v/>
      </c>
    </row>
    <row r="132" ht="15.75" customHeight="1">
      <c r="A132" s="16" t="b">
        <v>0</v>
      </c>
      <c r="B132" s="14" t="str">
        <f t="array" ref="B132">IF($H132="","",INDEX('Binder Data'!$A:$A,$H132))</f>
        <v/>
      </c>
      <c r="C132" s="14" t="str">
        <f t="array" ref="C132">IF($H132="","",INDEX('Binder Data'!$L:$L,$H132))</f>
        <v/>
      </c>
      <c r="D132" s="14" t="str">
        <f t="array" ref="D132">IF($H132="","",INDEX('Binder Data'!$I:$I,$H132))</f>
        <v/>
      </c>
      <c r="E132" s="17" t="str">
        <f t="array" ref="E132">IF($H132="","",INDEX('Binder Data'!$F:$F,$H132))</f>
        <v/>
      </c>
      <c r="F132" s="14" t="str">
        <f t="array" ref="F132">IF($H132="","",INDEX('Binder Data'!$Q:$Q,$H132))</f>
        <v/>
      </c>
      <c r="G132" s="14" t="str">
        <f t="array" ref="G132">IF(OR($H132="",$E$4&lt;&gt;TRUE()),"",IFERROR(IMAGE(INDEX('Binder Data'!$O:$O,$H132)),""))</f>
        <v/>
      </c>
      <c r="H132" s="18" t="str">
        <f>IFERROR(MATCH(SMALL('Binder Data'!$M$2:$M$6251,127),'Binder Data'!$M$2:$M$6251,0)+1,"")</f>
        <v/>
      </c>
    </row>
    <row r="133" ht="15.75" customHeight="1">
      <c r="A133" s="16" t="b">
        <v>0</v>
      </c>
      <c r="B133" s="14" t="str">
        <f t="array" ref="B133">IF($H133="","",INDEX('Binder Data'!$A:$A,$H133))</f>
        <v/>
      </c>
      <c r="C133" s="14" t="str">
        <f t="array" ref="C133">IF($H133="","",INDEX('Binder Data'!$L:$L,$H133))</f>
        <v/>
      </c>
      <c r="D133" s="14" t="str">
        <f t="array" ref="D133">IF($H133="","",INDEX('Binder Data'!$I:$I,$H133))</f>
        <v/>
      </c>
      <c r="E133" s="17" t="str">
        <f t="array" ref="E133">IF($H133="","",INDEX('Binder Data'!$F:$F,$H133))</f>
        <v/>
      </c>
      <c r="F133" s="14" t="str">
        <f t="array" ref="F133">IF($H133="","",INDEX('Binder Data'!$Q:$Q,$H133))</f>
        <v/>
      </c>
      <c r="G133" s="14" t="str">
        <f t="array" ref="G133">IF(OR($H133="",$E$4&lt;&gt;TRUE()),"",IFERROR(IMAGE(INDEX('Binder Data'!$O:$O,$H133)),""))</f>
        <v/>
      </c>
      <c r="H133" s="18" t="str">
        <f>IFERROR(MATCH(SMALL('Binder Data'!$M$2:$M$6251,128),'Binder Data'!$M$2:$M$6251,0)+1,"")</f>
        <v/>
      </c>
    </row>
    <row r="134" ht="15.75" customHeight="1">
      <c r="A134" s="16" t="b">
        <v>0</v>
      </c>
      <c r="B134" s="14" t="str">
        <f t="array" ref="B134">IF($H134="","",INDEX('Binder Data'!$A:$A,$H134))</f>
        <v/>
      </c>
      <c r="C134" s="14" t="str">
        <f t="array" ref="C134">IF($H134="","",INDEX('Binder Data'!$L:$L,$H134))</f>
        <v/>
      </c>
      <c r="D134" s="14" t="str">
        <f t="array" ref="D134">IF($H134="","",INDEX('Binder Data'!$I:$I,$H134))</f>
        <v/>
      </c>
      <c r="E134" s="17" t="str">
        <f t="array" ref="E134">IF($H134="","",INDEX('Binder Data'!$F:$F,$H134))</f>
        <v/>
      </c>
      <c r="F134" s="14" t="str">
        <f t="array" ref="F134">IF($H134="","",INDEX('Binder Data'!$Q:$Q,$H134))</f>
        <v/>
      </c>
      <c r="G134" s="14" t="str">
        <f t="array" ref="G134">IF(OR($H134="",$E$4&lt;&gt;TRUE()),"",IFERROR(IMAGE(INDEX('Binder Data'!$O:$O,$H134)),""))</f>
        <v/>
      </c>
      <c r="H134" s="18" t="str">
        <f>IFERROR(MATCH(SMALL('Binder Data'!$M$2:$M$6251,129),'Binder Data'!$M$2:$M$6251,0)+1,"")</f>
        <v/>
      </c>
    </row>
    <row r="135" ht="15.75" customHeight="1">
      <c r="A135" s="16" t="b">
        <v>0</v>
      </c>
      <c r="B135" s="14" t="str">
        <f t="array" ref="B135">IF($H135="","",INDEX('Binder Data'!$A:$A,$H135))</f>
        <v/>
      </c>
      <c r="C135" s="14" t="str">
        <f t="array" ref="C135">IF($H135="","",INDEX('Binder Data'!$L:$L,$H135))</f>
        <v/>
      </c>
      <c r="D135" s="14" t="str">
        <f t="array" ref="D135">IF($H135="","",INDEX('Binder Data'!$I:$I,$H135))</f>
        <v/>
      </c>
      <c r="E135" s="17" t="str">
        <f t="array" ref="E135">IF($H135="","",INDEX('Binder Data'!$F:$F,$H135))</f>
        <v/>
      </c>
      <c r="F135" s="14" t="str">
        <f t="array" ref="F135">IF($H135="","",INDEX('Binder Data'!$Q:$Q,$H135))</f>
        <v/>
      </c>
      <c r="G135" s="14" t="str">
        <f t="array" ref="G135">IF(OR($H135="",$E$4&lt;&gt;TRUE()),"",IFERROR(IMAGE(INDEX('Binder Data'!$O:$O,$H135)),""))</f>
        <v/>
      </c>
      <c r="H135" s="18" t="str">
        <f>IFERROR(MATCH(SMALL('Binder Data'!$M$2:$M$6251,130),'Binder Data'!$M$2:$M$6251,0)+1,"")</f>
        <v/>
      </c>
    </row>
    <row r="136" ht="15.75" customHeight="1">
      <c r="A136" s="16" t="b">
        <v>0</v>
      </c>
      <c r="B136" s="14" t="str">
        <f t="array" ref="B136">IF($H136="","",INDEX('Binder Data'!$A:$A,$H136))</f>
        <v/>
      </c>
      <c r="C136" s="14" t="str">
        <f t="array" ref="C136">IF($H136="","",INDEX('Binder Data'!$L:$L,$H136))</f>
        <v/>
      </c>
      <c r="D136" s="14" t="str">
        <f t="array" ref="D136">IF($H136="","",INDEX('Binder Data'!$I:$I,$H136))</f>
        <v/>
      </c>
      <c r="E136" s="17" t="str">
        <f t="array" ref="E136">IF($H136="","",INDEX('Binder Data'!$F:$F,$H136))</f>
        <v/>
      </c>
      <c r="F136" s="14" t="str">
        <f t="array" ref="F136">IF($H136="","",INDEX('Binder Data'!$Q:$Q,$H136))</f>
        <v/>
      </c>
      <c r="G136" s="14" t="str">
        <f t="array" ref="G136">IF(OR($H136="",$E$4&lt;&gt;TRUE()),"",IFERROR(IMAGE(INDEX('Binder Data'!$O:$O,$H136)),""))</f>
        <v/>
      </c>
      <c r="H136" s="18" t="str">
        <f>IFERROR(MATCH(SMALL('Binder Data'!$M$2:$M$6251,131),'Binder Data'!$M$2:$M$6251,0)+1,"")</f>
        <v/>
      </c>
    </row>
    <row r="137" ht="15.75" customHeight="1">
      <c r="A137" s="16" t="b">
        <v>0</v>
      </c>
      <c r="B137" s="14" t="str">
        <f t="array" ref="B137">IF($H137="","",INDEX('Binder Data'!$A:$A,$H137))</f>
        <v/>
      </c>
      <c r="C137" s="14" t="str">
        <f t="array" ref="C137">IF($H137="","",INDEX('Binder Data'!$L:$L,$H137))</f>
        <v/>
      </c>
      <c r="D137" s="14" t="str">
        <f t="array" ref="D137">IF($H137="","",INDEX('Binder Data'!$I:$I,$H137))</f>
        <v/>
      </c>
      <c r="E137" s="17" t="str">
        <f t="array" ref="E137">IF($H137="","",INDEX('Binder Data'!$F:$F,$H137))</f>
        <v/>
      </c>
      <c r="F137" s="14" t="str">
        <f t="array" ref="F137">IF($H137="","",INDEX('Binder Data'!$Q:$Q,$H137))</f>
        <v/>
      </c>
      <c r="G137" s="14" t="str">
        <f t="array" ref="G137">IF(OR($H137="",$E$4&lt;&gt;TRUE()),"",IFERROR(IMAGE(INDEX('Binder Data'!$O:$O,$H137)),""))</f>
        <v/>
      </c>
      <c r="H137" s="18" t="str">
        <f>IFERROR(MATCH(SMALL('Binder Data'!$M$2:$M$6251,132),'Binder Data'!$M$2:$M$6251,0)+1,"")</f>
        <v/>
      </c>
    </row>
    <row r="138" ht="15.75" customHeight="1">
      <c r="A138" s="16" t="b">
        <v>0</v>
      </c>
      <c r="B138" s="14" t="str">
        <f t="array" ref="B138">IF($H138="","",INDEX('Binder Data'!$A:$A,$H138))</f>
        <v/>
      </c>
      <c r="C138" s="14" t="str">
        <f t="array" ref="C138">IF($H138="","",INDEX('Binder Data'!$L:$L,$H138))</f>
        <v/>
      </c>
      <c r="D138" s="14" t="str">
        <f t="array" ref="D138">IF($H138="","",INDEX('Binder Data'!$I:$I,$H138))</f>
        <v/>
      </c>
      <c r="E138" s="17" t="str">
        <f t="array" ref="E138">IF($H138="","",INDEX('Binder Data'!$F:$F,$H138))</f>
        <v/>
      </c>
      <c r="F138" s="14" t="str">
        <f t="array" ref="F138">IF($H138="","",INDEX('Binder Data'!$Q:$Q,$H138))</f>
        <v/>
      </c>
      <c r="G138" s="14" t="str">
        <f t="array" ref="G138">IF(OR($H138="",$E$4&lt;&gt;TRUE()),"",IFERROR(IMAGE(INDEX('Binder Data'!$O:$O,$H138)),""))</f>
        <v/>
      </c>
      <c r="H138" s="18" t="str">
        <f>IFERROR(MATCH(SMALL('Binder Data'!$M$2:$M$6251,133),'Binder Data'!$M$2:$M$6251,0)+1,"")</f>
        <v/>
      </c>
    </row>
    <row r="139" ht="15.75" customHeight="1">
      <c r="A139" s="16" t="b">
        <v>0</v>
      </c>
      <c r="B139" s="14" t="str">
        <f t="array" ref="B139">IF($H139="","",INDEX('Binder Data'!$A:$A,$H139))</f>
        <v/>
      </c>
      <c r="C139" s="14" t="str">
        <f t="array" ref="C139">IF($H139="","",INDEX('Binder Data'!$L:$L,$H139))</f>
        <v/>
      </c>
      <c r="D139" s="14" t="str">
        <f t="array" ref="D139">IF($H139="","",INDEX('Binder Data'!$I:$I,$H139))</f>
        <v/>
      </c>
      <c r="E139" s="17" t="str">
        <f t="array" ref="E139">IF($H139="","",INDEX('Binder Data'!$F:$F,$H139))</f>
        <v/>
      </c>
      <c r="F139" s="14" t="str">
        <f t="array" ref="F139">IF($H139="","",INDEX('Binder Data'!$Q:$Q,$H139))</f>
        <v/>
      </c>
      <c r="G139" s="14" t="str">
        <f t="array" ref="G139">IF(OR($H139="",$E$4&lt;&gt;TRUE()),"",IFERROR(IMAGE(INDEX('Binder Data'!$O:$O,$H139)),""))</f>
        <v/>
      </c>
      <c r="H139" s="18" t="str">
        <f>IFERROR(MATCH(SMALL('Binder Data'!$M$2:$M$6251,134),'Binder Data'!$M$2:$M$6251,0)+1,"")</f>
        <v/>
      </c>
    </row>
    <row r="140" ht="15.75" customHeight="1">
      <c r="A140" s="16" t="b">
        <v>0</v>
      </c>
      <c r="B140" s="14" t="str">
        <f t="array" ref="B140">IF($H140="","",INDEX('Binder Data'!$A:$A,$H140))</f>
        <v/>
      </c>
      <c r="C140" s="14" t="str">
        <f t="array" ref="C140">IF($H140="","",INDEX('Binder Data'!$L:$L,$H140))</f>
        <v/>
      </c>
      <c r="D140" s="14" t="str">
        <f t="array" ref="D140">IF($H140="","",INDEX('Binder Data'!$I:$I,$H140))</f>
        <v/>
      </c>
      <c r="E140" s="17" t="str">
        <f t="array" ref="E140">IF($H140="","",INDEX('Binder Data'!$F:$F,$H140))</f>
        <v/>
      </c>
      <c r="F140" s="14" t="str">
        <f t="array" ref="F140">IF($H140="","",INDEX('Binder Data'!$Q:$Q,$H140))</f>
        <v/>
      </c>
      <c r="G140" s="14" t="str">
        <f t="array" ref="G140">IF(OR($H140="",$E$4&lt;&gt;TRUE()),"",IFERROR(IMAGE(INDEX('Binder Data'!$O:$O,$H140)),""))</f>
        <v/>
      </c>
      <c r="H140" s="18" t="str">
        <f>IFERROR(MATCH(SMALL('Binder Data'!$M$2:$M$6251,135),'Binder Data'!$M$2:$M$6251,0)+1,"")</f>
        <v/>
      </c>
    </row>
    <row r="141" ht="15.75" customHeight="1">
      <c r="A141" s="16" t="b">
        <v>0</v>
      </c>
      <c r="B141" s="14" t="str">
        <f t="array" ref="B141">IF($H141="","",INDEX('Binder Data'!$A:$A,$H141))</f>
        <v/>
      </c>
      <c r="C141" s="14" t="str">
        <f t="array" ref="C141">IF($H141="","",INDEX('Binder Data'!$L:$L,$H141))</f>
        <v/>
      </c>
      <c r="D141" s="14" t="str">
        <f t="array" ref="D141">IF($H141="","",INDEX('Binder Data'!$I:$I,$H141))</f>
        <v/>
      </c>
      <c r="E141" s="17" t="str">
        <f t="array" ref="E141">IF($H141="","",INDEX('Binder Data'!$F:$F,$H141))</f>
        <v/>
      </c>
      <c r="F141" s="14" t="str">
        <f t="array" ref="F141">IF($H141="","",INDEX('Binder Data'!$Q:$Q,$H141))</f>
        <v/>
      </c>
      <c r="G141" s="14" t="str">
        <f t="array" ref="G141">IF(OR($H141="",$E$4&lt;&gt;TRUE()),"",IFERROR(IMAGE(INDEX('Binder Data'!$O:$O,$H141)),""))</f>
        <v/>
      </c>
      <c r="H141" s="18" t="str">
        <f>IFERROR(MATCH(SMALL('Binder Data'!$M$2:$M$6251,136),'Binder Data'!$M$2:$M$6251,0)+1,"")</f>
        <v/>
      </c>
    </row>
    <row r="142" ht="15.75" customHeight="1">
      <c r="A142" s="16" t="b">
        <v>0</v>
      </c>
      <c r="B142" s="14" t="str">
        <f t="array" ref="B142">IF($H142="","",INDEX('Binder Data'!$A:$A,$H142))</f>
        <v/>
      </c>
      <c r="C142" s="14" t="str">
        <f t="array" ref="C142">IF($H142="","",INDEX('Binder Data'!$L:$L,$H142))</f>
        <v/>
      </c>
      <c r="D142" s="14" t="str">
        <f t="array" ref="D142">IF($H142="","",INDEX('Binder Data'!$I:$I,$H142))</f>
        <v/>
      </c>
      <c r="E142" s="17" t="str">
        <f t="array" ref="E142">IF($H142="","",INDEX('Binder Data'!$F:$F,$H142))</f>
        <v/>
      </c>
      <c r="F142" s="14" t="str">
        <f t="array" ref="F142">IF($H142="","",INDEX('Binder Data'!$Q:$Q,$H142))</f>
        <v/>
      </c>
      <c r="G142" s="14" t="str">
        <f t="array" ref="G142">IF(OR($H142="",$E$4&lt;&gt;TRUE()),"",IFERROR(IMAGE(INDEX('Binder Data'!$O:$O,$H142)),""))</f>
        <v/>
      </c>
      <c r="H142" s="18" t="str">
        <f>IFERROR(MATCH(SMALL('Binder Data'!$M$2:$M$6251,137),'Binder Data'!$M$2:$M$6251,0)+1,"")</f>
        <v/>
      </c>
    </row>
    <row r="143" ht="15.75" customHeight="1">
      <c r="A143" s="16" t="b">
        <v>0</v>
      </c>
      <c r="B143" s="14" t="str">
        <f t="array" ref="B143">IF($H143="","",INDEX('Binder Data'!$A:$A,$H143))</f>
        <v/>
      </c>
      <c r="C143" s="14" t="str">
        <f t="array" ref="C143">IF($H143="","",INDEX('Binder Data'!$L:$L,$H143))</f>
        <v/>
      </c>
      <c r="D143" s="14" t="str">
        <f t="array" ref="D143">IF($H143="","",INDEX('Binder Data'!$I:$I,$H143))</f>
        <v/>
      </c>
      <c r="E143" s="17" t="str">
        <f t="array" ref="E143">IF($H143="","",INDEX('Binder Data'!$F:$F,$H143))</f>
        <v/>
      </c>
      <c r="F143" s="14" t="str">
        <f t="array" ref="F143">IF($H143="","",INDEX('Binder Data'!$Q:$Q,$H143))</f>
        <v/>
      </c>
      <c r="G143" s="14" t="str">
        <f t="array" ref="G143">IF(OR($H143="",$E$4&lt;&gt;TRUE()),"",IFERROR(IMAGE(INDEX('Binder Data'!$O:$O,$H143)),""))</f>
        <v/>
      </c>
      <c r="H143" s="18" t="str">
        <f>IFERROR(MATCH(SMALL('Binder Data'!$M$2:$M$6251,138),'Binder Data'!$M$2:$M$6251,0)+1,"")</f>
        <v/>
      </c>
    </row>
    <row r="144" ht="15.75" customHeight="1">
      <c r="A144" s="16" t="b">
        <v>0</v>
      </c>
      <c r="B144" s="14" t="str">
        <f t="array" ref="B144">IF($H144="","",INDEX('Binder Data'!$A:$A,$H144))</f>
        <v/>
      </c>
      <c r="C144" s="14" t="str">
        <f t="array" ref="C144">IF($H144="","",INDEX('Binder Data'!$L:$L,$H144))</f>
        <v/>
      </c>
      <c r="D144" s="14" t="str">
        <f t="array" ref="D144">IF($H144="","",INDEX('Binder Data'!$I:$I,$H144))</f>
        <v/>
      </c>
      <c r="E144" s="17" t="str">
        <f t="array" ref="E144">IF($H144="","",INDEX('Binder Data'!$F:$F,$H144))</f>
        <v/>
      </c>
      <c r="F144" s="14" t="str">
        <f t="array" ref="F144">IF($H144="","",INDEX('Binder Data'!$Q:$Q,$H144))</f>
        <v/>
      </c>
      <c r="G144" s="14" t="str">
        <f t="array" ref="G144">IF(OR($H144="",$E$4&lt;&gt;TRUE()),"",IFERROR(IMAGE(INDEX('Binder Data'!$O:$O,$H144)),""))</f>
        <v/>
      </c>
      <c r="H144" s="18" t="str">
        <f>IFERROR(MATCH(SMALL('Binder Data'!$M$2:$M$6251,139),'Binder Data'!$M$2:$M$6251,0)+1,"")</f>
        <v/>
      </c>
    </row>
    <row r="145" ht="15.75" customHeight="1">
      <c r="A145" s="16" t="b">
        <v>0</v>
      </c>
      <c r="B145" s="14" t="str">
        <f t="array" ref="B145">IF($H145="","",INDEX('Binder Data'!$A:$A,$H145))</f>
        <v/>
      </c>
      <c r="C145" s="14" t="str">
        <f t="array" ref="C145">IF($H145="","",INDEX('Binder Data'!$L:$L,$H145))</f>
        <v/>
      </c>
      <c r="D145" s="14" t="str">
        <f t="array" ref="D145">IF($H145="","",INDEX('Binder Data'!$I:$I,$H145))</f>
        <v/>
      </c>
      <c r="E145" s="17" t="str">
        <f t="array" ref="E145">IF($H145="","",INDEX('Binder Data'!$F:$F,$H145))</f>
        <v/>
      </c>
      <c r="F145" s="14" t="str">
        <f t="array" ref="F145">IF($H145="","",INDEX('Binder Data'!$Q:$Q,$H145))</f>
        <v/>
      </c>
      <c r="G145" s="14" t="str">
        <f t="array" ref="G145">IF(OR($H145="",$E$4&lt;&gt;TRUE()),"",IFERROR(IMAGE(INDEX('Binder Data'!$O:$O,$H145)),""))</f>
        <v/>
      </c>
      <c r="H145" s="18" t="str">
        <f>IFERROR(MATCH(SMALL('Binder Data'!$M$2:$M$6251,140),'Binder Data'!$M$2:$M$6251,0)+1,"")</f>
        <v/>
      </c>
    </row>
    <row r="146" ht="15.75" customHeight="1">
      <c r="A146" s="16" t="b">
        <v>0</v>
      </c>
      <c r="B146" s="14" t="str">
        <f t="array" ref="B146">IF($H146="","",INDEX('Binder Data'!$A:$A,$H146))</f>
        <v/>
      </c>
      <c r="C146" s="14" t="str">
        <f t="array" ref="C146">IF($H146="","",INDEX('Binder Data'!$L:$L,$H146))</f>
        <v/>
      </c>
      <c r="D146" s="14" t="str">
        <f t="array" ref="D146">IF($H146="","",INDEX('Binder Data'!$I:$I,$H146))</f>
        <v/>
      </c>
      <c r="E146" s="17" t="str">
        <f t="array" ref="E146">IF($H146="","",INDEX('Binder Data'!$F:$F,$H146))</f>
        <v/>
      </c>
      <c r="F146" s="14" t="str">
        <f t="array" ref="F146">IF($H146="","",INDEX('Binder Data'!$Q:$Q,$H146))</f>
        <v/>
      </c>
      <c r="G146" s="14" t="str">
        <f t="array" ref="G146">IF(OR($H146="",$E$4&lt;&gt;TRUE()),"",IFERROR(IMAGE(INDEX('Binder Data'!$O:$O,$H146)),""))</f>
        <v/>
      </c>
      <c r="H146" s="18" t="str">
        <f>IFERROR(MATCH(SMALL('Binder Data'!$M$2:$M$6251,141),'Binder Data'!$M$2:$M$6251,0)+1,"")</f>
        <v/>
      </c>
    </row>
    <row r="147" ht="15.75" customHeight="1">
      <c r="A147" s="16" t="b">
        <v>0</v>
      </c>
      <c r="B147" s="14" t="str">
        <f t="array" ref="B147">IF($H147="","",INDEX('Binder Data'!$A:$A,$H147))</f>
        <v/>
      </c>
      <c r="C147" s="14" t="str">
        <f t="array" ref="C147">IF($H147="","",INDEX('Binder Data'!$L:$L,$H147))</f>
        <v/>
      </c>
      <c r="D147" s="14" t="str">
        <f t="array" ref="D147">IF($H147="","",INDEX('Binder Data'!$I:$I,$H147))</f>
        <v/>
      </c>
      <c r="E147" s="17" t="str">
        <f t="array" ref="E147">IF($H147="","",INDEX('Binder Data'!$F:$F,$H147))</f>
        <v/>
      </c>
      <c r="F147" s="14" t="str">
        <f t="array" ref="F147">IF($H147="","",INDEX('Binder Data'!$Q:$Q,$H147))</f>
        <v/>
      </c>
      <c r="G147" s="14" t="str">
        <f t="array" ref="G147">IF(OR($H147="",$E$4&lt;&gt;TRUE()),"",IFERROR(IMAGE(INDEX('Binder Data'!$O:$O,$H147)),""))</f>
        <v/>
      </c>
      <c r="H147" s="18" t="str">
        <f>IFERROR(MATCH(SMALL('Binder Data'!$M$2:$M$6251,142),'Binder Data'!$M$2:$M$6251,0)+1,"")</f>
        <v/>
      </c>
    </row>
    <row r="148" ht="15.75" customHeight="1">
      <c r="A148" s="16" t="b">
        <v>0</v>
      </c>
      <c r="B148" s="14" t="str">
        <f t="array" ref="B148">IF($H148="","",INDEX('Binder Data'!$A:$A,$H148))</f>
        <v/>
      </c>
      <c r="C148" s="14" t="str">
        <f t="array" ref="C148">IF($H148="","",INDEX('Binder Data'!$L:$L,$H148))</f>
        <v/>
      </c>
      <c r="D148" s="14" t="str">
        <f t="array" ref="D148">IF($H148="","",INDEX('Binder Data'!$I:$I,$H148))</f>
        <v/>
      </c>
      <c r="E148" s="17" t="str">
        <f t="array" ref="E148">IF($H148="","",INDEX('Binder Data'!$F:$F,$H148))</f>
        <v/>
      </c>
      <c r="F148" s="14" t="str">
        <f t="array" ref="F148">IF($H148="","",INDEX('Binder Data'!$Q:$Q,$H148))</f>
        <v/>
      </c>
      <c r="G148" s="14" t="str">
        <f t="array" ref="G148">IF(OR($H148="",$E$4&lt;&gt;TRUE()),"",IFERROR(IMAGE(INDEX('Binder Data'!$O:$O,$H148)),""))</f>
        <v/>
      </c>
      <c r="H148" s="18" t="str">
        <f>IFERROR(MATCH(SMALL('Binder Data'!$M$2:$M$6251,143),'Binder Data'!$M$2:$M$6251,0)+1,"")</f>
        <v/>
      </c>
    </row>
    <row r="149" ht="15.75" customHeight="1">
      <c r="A149" s="16" t="b">
        <v>0</v>
      </c>
      <c r="B149" s="14" t="str">
        <f t="array" ref="B149">IF($H149="","",INDEX('Binder Data'!$A:$A,$H149))</f>
        <v/>
      </c>
      <c r="C149" s="14" t="str">
        <f t="array" ref="C149">IF($H149="","",INDEX('Binder Data'!$L:$L,$H149))</f>
        <v/>
      </c>
      <c r="D149" s="14" t="str">
        <f t="array" ref="D149">IF($H149="","",INDEX('Binder Data'!$I:$I,$H149))</f>
        <v/>
      </c>
      <c r="E149" s="17" t="str">
        <f t="array" ref="E149">IF($H149="","",INDEX('Binder Data'!$F:$F,$H149))</f>
        <v/>
      </c>
      <c r="F149" s="14" t="str">
        <f t="array" ref="F149">IF($H149="","",INDEX('Binder Data'!$Q:$Q,$H149))</f>
        <v/>
      </c>
      <c r="G149" s="14" t="str">
        <f t="array" ref="G149">IF(OR($H149="",$E$4&lt;&gt;TRUE()),"",IFERROR(IMAGE(INDEX('Binder Data'!$O:$O,$H149)),""))</f>
        <v/>
      </c>
      <c r="H149" s="18" t="str">
        <f>IFERROR(MATCH(SMALL('Binder Data'!$M$2:$M$6251,144),'Binder Data'!$M$2:$M$6251,0)+1,"")</f>
        <v/>
      </c>
    </row>
    <row r="150" ht="15.75" customHeight="1">
      <c r="A150" s="16" t="b">
        <v>0</v>
      </c>
      <c r="B150" s="14" t="str">
        <f t="array" ref="B150">IF($H150="","",INDEX('Binder Data'!$A:$A,$H150))</f>
        <v/>
      </c>
      <c r="C150" s="14" t="str">
        <f t="array" ref="C150">IF($H150="","",INDEX('Binder Data'!$L:$L,$H150))</f>
        <v/>
      </c>
      <c r="D150" s="14" t="str">
        <f t="array" ref="D150">IF($H150="","",INDEX('Binder Data'!$I:$I,$H150))</f>
        <v/>
      </c>
      <c r="E150" s="17" t="str">
        <f t="array" ref="E150">IF($H150="","",INDEX('Binder Data'!$F:$F,$H150))</f>
        <v/>
      </c>
      <c r="F150" s="14" t="str">
        <f t="array" ref="F150">IF($H150="","",INDEX('Binder Data'!$Q:$Q,$H150))</f>
        <v/>
      </c>
      <c r="G150" s="14" t="str">
        <f t="array" ref="G150">IF(OR($H150="",$E$4&lt;&gt;TRUE()),"",IFERROR(IMAGE(INDEX('Binder Data'!$O:$O,$H150)),""))</f>
        <v/>
      </c>
      <c r="H150" s="18" t="str">
        <f>IFERROR(MATCH(SMALL('Binder Data'!$M$2:$M$6251,145),'Binder Data'!$M$2:$M$6251,0)+1,"")</f>
        <v/>
      </c>
    </row>
    <row r="151" ht="15.75" customHeight="1">
      <c r="A151" s="16" t="b">
        <v>0</v>
      </c>
      <c r="B151" s="14" t="str">
        <f t="array" ref="B151">IF($H151="","",INDEX('Binder Data'!$A:$A,$H151))</f>
        <v/>
      </c>
      <c r="C151" s="14" t="str">
        <f t="array" ref="C151">IF($H151="","",INDEX('Binder Data'!$L:$L,$H151))</f>
        <v/>
      </c>
      <c r="D151" s="14" t="str">
        <f t="array" ref="D151">IF($H151="","",INDEX('Binder Data'!$I:$I,$H151))</f>
        <v/>
      </c>
      <c r="E151" s="17" t="str">
        <f t="array" ref="E151">IF($H151="","",INDEX('Binder Data'!$F:$F,$H151))</f>
        <v/>
      </c>
      <c r="F151" s="14" t="str">
        <f t="array" ref="F151">IF($H151="","",INDEX('Binder Data'!$Q:$Q,$H151))</f>
        <v/>
      </c>
      <c r="G151" s="14" t="str">
        <f t="array" ref="G151">IF(OR($H151="",$E$4&lt;&gt;TRUE()),"",IFERROR(IMAGE(INDEX('Binder Data'!$O:$O,$H151)),""))</f>
        <v/>
      </c>
      <c r="H151" s="18" t="str">
        <f>IFERROR(MATCH(SMALL('Binder Data'!$M$2:$M$6251,146),'Binder Data'!$M$2:$M$6251,0)+1,"")</f>
        <v/>
      </c>
    </row>
    <row r="152" ht="15.75" customHeight="1">
      <c r="A152" s="16" t="b">
        <v>0</v>
      </c>
      <c r="B152" s="14" t="str">
        <f t="array" ref="B152">IF($H152="","",INDEX('Binder Data'!$A:$A,$H152))</f>
        <v/>
      </c>
      <c r="C152" s="14" t="str">
        <f t="array" ref="C152">IF($H152="","",INDEX('Binder Data'!$L:$L,$H152))</f>
        <v/>
      </c>
      <c r="D152" s="14" t="str">
        <f t="array" ref="D152">IF($H152="","",INDEX('Binder Data'!$I:$I,$H152))</f>
        <v/>
      </c>
      <c r="E152" s="17" t="str">
        <f t="array" ref="E152">IF($H152="","",INDEX('Binder Data'!$F:$F,$H152))</f>
        <v/>
      </c>
      <c r="F152" s="14" t="str">
        <f t="array" ref="F152">IF($H152="","",INDEX('Binder Data'!$Q:$Q,$H152))</f>
        <v/>
      </c>
      <c r="G152" s="14" t="str">
        <f t="array" ref="G152">IF(OR($H152="",$E$4&lt;&gt;TRUE()),"",IFERROR(IMAGE(INDEX('Binder Data'!$O:$O,$H152)),""))</f>
        <v/>
      </c>
      <c r="H152" s="18" t="str">
        <f>IFERROR(MATCH(SMALL('Binder Data'!$M$2:$M$6251,147),'Binder Data'!$M$2:$M$6251,0)+1,"")</f>
        <v/>
      </c>
    </row>
    <row r="153" ht="15.75" customHeight="1">
      <c r="A153" s="16" t="b">
        <v>0</v>
      </c>
      <c r="B153" s="14" t="str">
        <f t="array" ref="B153">IF($H153="","",INDEX('Binder Data'!$A:$A,$H153))</f>
        <v/>
      </c>
      <c r="C153" s="14" t="str">
        <f t="array" ref="C153">IF($H153="","",INDEX('Binder Data'!$L:$L,$H153))</f>
        <v/>
      </c>
      <c r="D153" s="14" t="str">
        <f t="array" ref="D153">IF($H153="","",INDEX('Binder Data'!$I:$I,$H153))</f>
        <v/>
      </c>
      <c r="E153" s="17" t="str">
        <f t="array" ref="E153">IF($H153="","",INDEX('Binder Data'!$F:$F,$H153))</f>
        <v/>
      </c>
      <c r="F153" s="14" t="str">
        <f t="array" ref="F153">IF($H153="","",INDEX('Binder Data'!$Q:$Q,$H153))</f>
        <v/>
      </c>
      <c r="G153" s="14" t="str">
        <f t="array" ref="G153">IF(OR($H153="",$E$4&lt;&gt;TRUE()),"",IFERROR(IMAGE(INDEX('Binder Data'!$O:$O,$H153)),""))</f>
        <v/>
      </c>
      <c r="H153" s="18" t="str">
        <f>IFERROR(MATCH(SMALL('Binder Data'!$M$2:$M$6251,148),'Binder Data'!$M$2:$M$6251,0)+1,"")</f>
        <v/>
      </c>
    </row>
    <row r="154" ht="15.75" customHeight="1">
      <c r="A154" s="16" t="b">
        <v>0</v>
      </c>
      <c r="B154" s="14" t="str">
        <f t="array" ref="B154">IF($H154="","",INDEX('Binder Data'!$A:$A,$H154))</f>
        <v/>
      </c>
      <c r="C154" s="14" t="str">
        <f t="array" ref="C154">IF($H154="","",INDEX('Binder Data'!$L:$L,$H154))</f>
        <v/>
      </c>
      <c r="D154" s="14" t="str">
        <f t="array" ref="D154">IF($H154="","",INDEX('Binder Data'!$I:$I,$H154))</f>
        <v/>
      </c>
      <c r="E154" s="17" t="str">
        <f t="array" ref="E154">IF($H154="","",INDEX('Binder Data'!$F:$F,$H154))</f>
        <v/>
      </c>
      <c r="F154" s="14" t="str">
        <f t="array" ref="F154">IF($H154="","",INDEX('Binder Data'!$Q:$Q,$H154))</f>
        <v/>
      </c>
      <c r="G154" s="14" t="str">
        <f t="array" ref="G154">IF(OR($H154="",$E$4&lt;&gt;TRUE()),"",IFERROR(IMAGE(INDEX('Binder Data'!$O:$O,$H154)),""))</f>
        <v/>
      </c>
      <c r="H154" s="18" t="str">
        <f>IFERROR(MATCH(SMALL('Binder Data'!$M$2:$M$6251,149),'Binder Data'!$M$2:$M$6251,0)+1,"")</f>
        <v/>
      </c>
    </row>
    <row r="155" ht="15.75" customHeight="1">
      <c r="A155" s="16" t="b">
        <v>0</v>
      </c>
      <c r="B155" s="14" t="str">
        <f t="array" ref="B155">IF($H155="","",INDEX('Binder Data'!$A:$A,$H155))</f>
        <v/>
      </c>
      <c r="C155" s="14" t="str">
        <f t="array" ref="C155">IF($H155="","",INDEX('Binder Data'!$L:$L,$H155))</f>
        <v/>
      </c>
      <c r="D155" s="14" t="str">
        <f t="array" ref="D155">IF($H155="","",INDEX('Binder Data'!$I:$I,$H155))</f>
        <v/>
      </c>
      <c r="E155" s="17" t="str">
        <f t="array" ref="E155">IF($H155="","",INDEX('Binder Data'!$F:$F,$H155))</f>
        <v/>
      </c>
      <c r="F155" s="14" t="str">
        <f t="array" ref="F155">IF($H155="","",INDEX('Binder Data'!$Q:$Q,$H155))</f>
        <v/>
      </c>
      <c r="G155" s="14" t="str">
        <f t="array" ref="G155">IF(OR($H155="",$E$4&lt;&gt;TRUE()),"",IFERROR(IMAGE(INDEX('Binder Data'!$O:$O,$H155)),""))</f>
        <v/>
      </c>
      <c r="H155" s="18" t="str">
        <f>IFERROR(MATCH(SMALL('Binder Data'!$M$2:$M$6251,150),'Binder Data'!$M$2:$M$6251,0)+1,"")</f>
        <v/>
      </c>
    </row>
    <row r="156" ht="15.75" customHeight="1">
      <c r="A156" s="16" t="b">
        <v>0</v>
      </c>
      <c r="B156" s="14" t="str">
        <f t="array" ref="B156">IF($H156="","",INDEX('Binder Data'!$A:$A,$H156))</f>
        <v/>
      </c>
      <c r="C156" s="14" t="str">
        <f t="array" ref="C156">IF($H156="","",INDEX('Binder Data'!$L:$L,$H156))</f>
        <v/>
      </c>
      <c r="D156" s="14" t="str">
        <f t="array" ref="D156">IF($H156="","",INDEX('Binder Data'!$I:$I,$H156))</f>
        <v/>
      </c>
      <c r="E156" s="17" t="str">
        <f t="array" ref="E156">IF($H156="","",INDEX('Binder Data'!$F:$F,$H156))</f>
        <v/>
      </c>
      <c r="F156" s="14" t="str">
        <f t="array" ref="F156">IF($H156="","",INDEX('Binder Data'!$Q:$Q,$H156))</f>
        <v/>
      </c>
      <c r="G156" s="14" t="str">
        <f t="array" ref="G156">IF(OR($H156="",$E$4&lt;&gt;TRUE()),"",IFERROR(IMAGE(INDEX('Binder Data'!$O:$O,$H156)),""))</f>
        <v/>
      </c>
      <c r="H156" s="18" t="str">
        <f>IFERROR(MATCH(SMALL('Binder Data'!$M$2:$M$6251,151),'Binder Data'!$M$2:$M$6251,0)+1,"")</f>
        <v/>
      </c>
    </row>
    <row r="157" ht="15.75" customHeight="1">
      <c r="A157" s="16" t="b">
        <v>0</v>
      </c>
      <c r="B157" s="14" t="str">
        <f t="array" ref="B157">IF($H157="","",INDEX('Binder Data'!$A:$A,$H157))</f>
        <v/>
      </c>
      <c r="C157" s="14" t="str">
        <f t="array" ref="C157">IF($H157="","",INDEX('Binder Data'!$L:$L,$H157))</f>
        <v/>
      </c>
      <c r="D157" s="14" t="str">
        <f t="array" ref="D157">IF($H157="","",INDEX('Binder Data'!$I:$I,$H157))</f>
        <v/>
      </c>
      <c r="E157" s="17" t="str">
        <f t="array" ref="E157">IF($H157="","",INDEX('Binder Data'!$F:$F,$H157))</f>
        <v/>
      </c>
      <c r="F157" s="14" t="str">
        <f t="array" ref="F157">IF($H157="","",INDEX('Binder Data'!$Q:$Q,$H157))</f>
        <v/>
      </c>
      <c r="G157" s="14" t="str">
        <f t="array" ref="G157">IF(OR($H157="",$E$4&lt;&gt;TRUE()),"",IFERROR(IMAGE(INDEX('Binder Data'!$O:$O,$H157)),""))</f>
        <v/>
      </c>
      <c r="H157" s="18" t="str">
        <f>IFERROR(MATCH(SMALL('Binder Data'!$M$2:$M$6251,152),'Binder Data'!$M$2:$M$6251,0)+1,"")</f>
        <v/>
      </c>
    </row>
    <row r="158" ht="15.75" customHeight="1">
      <c r="A158" s="16" t="b">
        <v>0</v>
      </c>
      <c r="B158" s="14" t="str">
        <f t="array" ref="B158">IF($H158="","",INDEX('Binder Data'!$A:$A,$H158))</f>
        <v/>
      </c>
      <c r="C158" s="14" t="str">
        <f t="array" ref="C158">IF($H158="","",INDEX('Binder Data'!$L:$L,$H158))</f>
        <v/>
      </c>
      <c r="D158" s="14" t="str">
        <f t="array" ref="D158">IF($H158="","",INDEX('Binder Data'!$I:$I,$H158))</f>
        <v/>
      </c>
      <c r="E158" s="17" t="str">
        <f t="array" ref="E158">IF($H158="","",INDEX('Binder Data'!$F:$F,$H158))</f>
        <v/>
      </c>
      <c r="F158" s="14" t="str">
        <f t="array" ref="F158">IF($H158="","",INDEX('Binder Data'!$Q:$Q,$H158))</f>
        <v/>
      </c>
      <c r="G158" s="14" t="str">
        <f t="array" ref="G158">IF(OR($H158="",$E$4&lt;&gt;TRUE()),"",IFERROR(IMAGE(INDEX('Binder Data'!$O:$O,$H158)),""))</f>
        <v/>
      </c>
      <c r="H158" s="18" t="str">
        <f>IFERROR(MATCH(SMALL('Binder Data'!$M$2:$M$6251,153),'Binder Data'!$M$2:$M$6251,0)+1,"")</f>
        <v/>
      </c>
    </row>
    <row r="159" ht="15.75" customHeight="1">
      <c r="A159" s="16" t="b">
        <v>0</v>
      </c>
      <c r="B159" s="14" t="str">
        <f t="array" ref="B159">IF($H159="","",INDEX('Binder Data'!$A:$A,$H159))</f>
        <v/>
      </c>
      <c r="C159" s="14" t="str">
        <f t="array" ref="C159">IF($H159="","",INDEX('Binder Data'!$L:$L,$H159))</f>
        <v/>
      </c>
      <c r="D159" s="14" t="str">
        <f t="array" ref="D159">IF($H159="","",INDEX('Binder Data'!$I:$I,$H159))</f>
        <v/>
      </c>
      <c r="E159" s="17" t="str">
        <f t="array" ref="E159">IF($H159="","",INDEX('Binder Data'!$F:$F,$H159))</f>
        <v/>
      </c>
      <c r="F159" s="14" t="str">
        <f t="array" ref="F159">IF($H159="","",INDEX('Binder Data'!$Q:$Q,$H159))</f>
        <v/>
      </c>
      <c r="G159" s="14" t="str">
        <f t="array" ref="G159">IF(OR($H159="",$E$4&lt;&gt;TRUE()),"",IFERROR(IMAGE(INDEX('Binder Data'!$O:$O,$H159)),""))</f>
        <v/>
      </c>
      <c r="H159" s="18" t="str">
        <f>IFERROR(MATCH(SMALL('Binder Data'!$M$2:$M$6251,154),'Binder Data'!$M$2:$M$6251,0)+1,"")</f>
        <v/>
      </c>
    </row>
    <row r="160" ht="15.75" customHeight="1">
      <c r="A160" s="16" t="b">
        <v>0</v>
      </c>
      <c r="B160" s="14" t="str">
        <f t="array" ref="B160">IF($H160="","",INDEX('Binder Data'!$A:$A,$H160))</f>
        <v/>
      </c>
      <c r="C160" s="14" t="str">
        <f t="array" ref="C160">IF($H160="","",INDEX('Binder Data'!$L:$L,$H160))</f>
        <v/>
      </c>
      <c r="D160" s="14" t="str">
        <f t="array" ref="D160">IF($H160="","",INDEX('Binder Data'!$I:$I,$H160))</f>
        <v/>
      </c>
      <c r="E160" s="17" t="str">
        <f t="array" ref="E160">IF($H160="","",INDEX('Binder Data'!$F:$F,$H160))</f>
        <v/>
      </c>
      <c r="F160" s="14" t="str">
        <f t="array" ref="F160">IF($H160="","",INDEX('Binder Data'!$Q:$Q,$H160))</f>
        <v/>
      </c>
      <c r="G160" s="14" t="str">
        <f t="array" ref="G160">IF(OR($H160="",$E$4&lt;&gt;TRUE()),"",IFERROR(IMAGE(INDEX('Binder Data'!$O:$O,$H160)),""))</f>
        <v/>
      </c>
      <c r="H160" s="18" t="str">
        <f>IFERROR(MATCH(SMALL('Binder Data'!$M$2:$M$6251,155),'Binder Data'!$M$2:$M$6251,0)+1,"")</f>
        <v/>
      </c>
    </row>
    <row r="161" ht="15.75" customHeight="1">
      <c r="A161" s="16" t="b">
        <v>0</v>
      </c>
      <c r="B161" s="14" t="str">
        <f t="array" ref="B161">IF($H161="","",INDEX('Binder Data'!$A:$A,$H161))</f>
        <v/>
      </c>
      <c r="C161" s="14" t="str">
        <f t="array" ref="C161">IF($H161="","",INDEX('Binder Data'!$L:$L,$H161))</f>
        <v/>
      </c>
      <c r="D161" s="14" t="str">
        <f t="array" ref="D161">IF($H161="","",INDEX('Binder Data'!$I:$I,$H161))</f>
        <v/>
      </c>
      <c r="E161" s="17" t="str">
        <f t="array" ref="E161">IF($H161="","",INDEX('Binder Data'!$F:$F,$H161))</f>
        <v/>
      </c>
      <c r="F161" s="14" t="str">
        <f t="array" ref="F161">IF($H161="","",INDEX('Binder Data'!$Q:$Q,$H161))</f>
        <v/>
      </c>
      <c r="G161" s="14" t="str">
        <f t="array" ref="G161">IF(OR($H161="",$E$4&lt;&gt;TRUE()),"",IFERROR(IMAGE(INDEX('Binder Data'!$O:$O,$H161)),""))</f>
        <v/>
      </c>
      <c r="H161" s="18" t="str">
        <f>IFERROR(MATCH(SMALL('Binder Data'!$M$2:$M$6251,156),'Binder Data'!$M$2:$M$6251,0)+1,"")</f>
        <v/>
      </c>
    </row>
    <row r="162" ht="15.75" customHeight="1">
      <c r="A162" s="16" t="b">
        <v>0</v>
      </c>
      <c r="B162" s="14" t="str">
        <f t="array" ref="B162">IF($H162="","",INDEX('Binder Data'!$A:$A,$H162))</f>
        <v/>
      </c>
      <c r="C162" s="14" t="str">
        <f t="array" ref="C162">IF($H162="","",INDEX('Binder Data'!$L:$L,$H162))</f>
        <v/>
      </c>
      <c r="D162" s="14" t="str">
        <f t="array" ref="D162">IF($H162="","",INDEX('Binder Data'!$I:$I,$H162))</f>
        <v/>
      </c>
      <c r="E162" s="17" t="str">
        <f t="array" ref="E162">IF($H162="","",INDEX('Binder Data'!$F:$F,$H162))</f>
        <v/>
      </c>
      <c r="F162" s="14" t="str">
        <f t="array" ref="F162">IF($H162="","",INDEX('Binder Data'!$Q:$Q,$H162))</f>
        <v/>
      </c>
      <c r="G162" s="14" t="str">
        <f t="array" ref="G162">IF(OR($H162="",$E$4&lt;&gt;TRUE()),"",IFERROR(IMAGE(INDEX('Binder Data'!$O:$O,$H162)),""))</f>
        <v/>
      </c>
      <c r="H162" s="18" t="str">
        <f>IFERROR(MATCH(SMALL('Binder Data'!$M$2:$M$6251,157),'Binder Data'!$M$2:$M$6251,0)+1,"")</f>
        <v/>
      </c>
    </row>
    <row r="163" ht="15.75" customHeight="1">
      <c r="A163" s="16" t="b">
        <v>0</v>
      </c>
      <c r="B163" s="14" t="str">
        <f t="array" ref="B163">IF($H163="","",INDEX('Binder Data'!$A:$A,$H163))</f>
        <v/>
      </c>
      <c r="C163" s="14" t="str">
        <f t="array" ref="C163">IF($H163="","",INDEX('Binder Data'!$L:$L,$H163))</f>
        <v/>
      </c>
      <c r="D163" s="14" t="str">
        <f t="array" ref="D163">IF($H163="","",INDEX('Binder Data'!$I:$I,$H163))</f>
        <v/>
      </c>
      <c r="E163" s="17" t="str">
        <f t="array" ref="E163">IF($H163="","",INDEX('Binder Data'!$F:$F,$H163))</f>
        <v/>
      </c>
      <c r="F163" s="14" t="str">
        <f t="array" ref="F163">IF($H163="","",INDEX('Binder Data'!$Q:$Q,$H163))</f>
        <v/>
      </c>
      <c r="G163" s="14" t="str">
        <f t="array" ref="G163">IF(OR($H163="",$E$4&lt;&gt;TRUE()),"",IFERROR(IMAGE(INDEX('Binder Data'!$O:$O,$H163)),""))</f>
        <v/>
      </c>
      <c r="H163" s="18" t="str">
        <f>IFERROR(MATCH(SMALL('Binder Data'!$M$2:$M$6251,158),'Binder Data'!$M$2:$M$6251,0)+1,"")</f>
        <v/>
      </c>
    </row>
    <row r="164" ht="15.75" customHeight="1">
      <c r="A164" s="16" t="b">
        <v>0</v>
      </c>
      <c r="B164" s="14" t="str">
        <f t="array" ref="B164">IF($H164="","",INDEX('Binder Data'!$A:$A,$H164))</f>
        <v/>
      </c>
      <c r="C164" s="14" t="str">
        <f t="array" ref="C164">IF($H164="","",INDEX('Binder Data'!$L:$L,$H164))</f>
        <v/>
      </c>
      <c r="D164" s="14" t="str">
        <f t="array" ref="D164">IF($H164="","",INDEX('Binder Data'!$I:$I,$H164))</f>
        <v/>
      </c>
      <c r="E164" s="17" t="str">
        <f t="array" ref="E164">IF($H164="","",INDEX('Binder Data'!$F:$F,$H164))</f>
        <v/>
      </c>
      <c r="F164" s="14" t="str">
        <f t="array" ref="F164">IF($H164="","",INDEX('Binder Data'!$Q:$Q,$H164))</f>
        <v/>
      </c>
      <c r="G164" s="14" t="str">
        <f t="array" ref="G164">IF(OR($H164="",$E$4&lt;&gt;TRUE()),"",IFERROR(IMAGE(INDEX('Binder Data'!$O:$O,$H164)),""))</f>
        <v/>
      </c>
      <c r="H164" s="18" t="str">
        <f>IFERROR(MATCH(SMALL('Binder Data'!$M$2:$M$6251,159),'Binder Data'!$M$2:$M$6251,0)+1,"")</f>
        <v/>
      </c>
    </row>
    <row r="165" ht="15.75" customHeight="1">
      <c r="A165" s="16" t="b">
        <v>0</v>
      </c>
      <c r="B165" s="14" t="str">
        <f t="array" ref="B165">IF($H165="","",INDEX('Binder Data'!$A:$A,$H165))</f>
        <v/>
      </c>
      <c r="C165" s="14" t="str">
        <f t="array" ref="C165">IF($H165="","",INDEX('Binder Data'!$L:$L,$H165))</f>
        <v/>
      </c>
      <c r="D165" s="14" t="str">
        <f t="array" ref="D165">IF($H165="","",INDEX('Binder Data'!$I:$I,$H165))</f>
        <v/>
      </c>
      <c r="E165" s="17" t="str">
        <f t="array" ref="E165">IF($H165="","",INDEX('Binder Data'!$F:$F,$H165))</f>
        <v/>
      </c>
      <c r="F165" s="14" t="str">
        <f t="array" ref="F165">IF($H165="","",INDEX('Binder Data'!$Q:$Q,$H165))</f>
        <v/>
      </c>
      <c r="G165" s="14" t="str">
        <f t="array" ref="G165">IF(OR($H165="",$E$4&lt;&gt;TRUE()),"",IFERROR(IMAGE(INDEX('Binder Data'!$O:$O,$H165)),""))</f>
        <v/>
      </c>
      <c r="H165" s="18" t="str">
        <f>IFERROR(MATCH(SMALL('Binder Data'!$M$2:$M$6251,160),'Binder Data'!$M$2:$M$6251,0)+1,"")</f>
        <v/>
      </c>
    </row>
    <row r="166" ht="15.75" customHeight="1">
      <c r="A166" s="16" t="b">
        <v>0</v>
      </c>
      <c r="B166" s="14" t="str">
        <f t="array" ref="B166">IF($H166="","",INDEX('Binder Data'!$A:$A,$H166))</f>
        <v/>
      </c>
      <c r="C166" s="14" t="str">
        <f t="array" ref="C166">IF($H166="","",INDEX('Binder Data'!$L:$L,$H166))</f>
        <v/>
      </c>
      <c r="D166" s="14" t="str">
        <f t="array" ref="D166">IF($H166="","",INDEX('Binder Data'!$I:$I,$H166))</f>
        <v/>
      </c>
      <c r="E166" s="17" t="str">
        <f t="array" ref="E166">IF($H166="","",INDEX('Binder Data'!$F:$F,$H166))</f>
        <v/>
      </c>
      <c r="F166" s="14" t="str">
        <f t="array" ref="F166">IF($H166="","",INDEX('Binder Data'!$Q:$Q,$H166))</f>
        <v/>
      </c>
      <c r="G166" s="14" t="str">
        <f t="array" ref="G166">IF(OR($H166="",$E$4&lt;&gt;TRUE()),"",IFERROR(IMAGE(INDEX('Binder Data'!$O:$O,$H166)),""))</f>
        <v/>
      </c>
      <c r="H166" s="18" t="str">
        <f>IFERROR(MATCH(SMALL('Binder Data'!$M$2:$M$6251,161),'Binder Data'!$M$2:$M$6251,0)+1,"")</f>
        <v/>
      </c>
    </row>
    <row r="167" ht="15.75" customHeight="1">
      <c r="A167" s="16" t="b">
        <v>0</v>
      </c>
      <c r="B167" s="14" t="str">
        <f t="array" ref="B167">IF($H167="","",INDEX('Binder Data'!$A:$A,$H167))</f>
        <v/>
      </c>
      <c r="C167" s="14" t="str">
        <f t="array" ref="C167">IF($H167="","",INDEX('Binder Data'!$L:$L,$H167))</f>
        <v/>
      </c>
      <c r="D167" s="14" t="str">
        <f t="array" ref="D167">IF($H167="","",INDEX('Binder Data'!$I:$I,$H167))</f>
        <v/>
      </c>
      <c r="E167" s="17" t="str">
        <f t="array" ref="E167">IF($H167="","",INDEX('Binder Data'!$F:$F,$H167))</f>
        <v/>
      </c>
      <c r="F167" s="14" t="str">
        <f t="array" ref="F167">IF($H167="","",INDEX('Binder Data'!$Q:$Q,$H167))</f>
        <v/>
      </c>
      <c r="G167" s="14" t="str">
        <f t="array" ref="G167">IF(OR($H167="",$E$4&lt;&gt;TRUE()),"",IFERROR(IMAGE(INDEX('Binder Data'!$O:$O,$H167)),""))</f>
        <v/>
      </c>
      <c r="H167" s="18" t="str">
        <f>IFERROR(MATCH(SMALL('Binder Data'!$M$2:$M$6251,162),'Binder Data'!$M$2:$M$6251,0)+1,"")</f>
        <v/>
      </c>
    </row>
    <row r="168" ht="15.75" customHeight="1">
      <c r="A168" s="16" t="b">
        <v>0</v>
      </c>
      <c r="B168" s="14" t="str">
        <f t="array" ref="B168">IF($H168="","",INDEX('Binder Data'!$A:$A,$H168))</f>
        <v/>
      </c>
      <c r="C168" s="14" t="str">
        <f t="array" ref="C168">IF($H168="","",INDEX('Binder Data'!$L:$L,$H168))</f>
        <v/>
      </c>
      <c r="D168" s="14" t="str">
        <f t="array" ref="D168">IF($H168="","",INDEX('Binder Data'!$I:$I,$H168))</f>
        <v/>
      </c>
      <c r="E168" s="17" t="str">
        <f t="array" ref="E168">IF($H168="","",INDEX('Binder Data'!$F:$F,$H168))</f>
        <v/>
      </c>
      <c r="F168" s="14" t="str">
        <f t="array" ref="F168">IF($H168="","",INDEX('Binder Data'!$Q:$Q,$H168))</f>
        <v/>
      </c>
      <c r="G168" s="14" t="str">
        <f t="array" ref="G168">IF(OR($H168="",$E$4&lt;&gt;TRUE()),"",IFERROR(IMAGE(INDEX('Binder Data'!$O:$O,$H168)),""))</f>
        <v/>
      </c>
      <c r="H168" s="18" t="str">
        <f>IFERROR(MATCH(SMALL('Binder Data'!$M$2:$M$6251,163),'Binder Data'!$M$2:$M$6251,0)+1,"")</f>
        <v/>
      </c>
    </row>
    <row r="169" ht="15.75" customHeight="1">
      <c r="A169" s="16" t="b">
        <v>0</v>
      </c>
      <c r="B169" s="14" t="str">
        <f t="array" ref="B169">IF($H169="","",INDEX('Binder Data'!$A:$A,$H169))</f>
        <v/>
      </c>
      <c r="C169" s="14" t="str">
        <f t="array" ref="C169">IF($H169="","",INDEX('Binder Data'!$L:$L,$H169))</f>
        <v/>
      </c>
      <c r="D169" s="14" t="str">
        <f t="array" ref="D169">IF($H169="","",INDEX('Binder Data'!$I:$I,$H169))</f>
        <v/>
      </c>
      <c r="E169" s="17" t="str">
        <f t="array" ref="E169">IF($H169="","",INDEX('Binder Data'!$F:$F,$H169))</f>
        <v/>
      </c>
      <c r="F169" s="14" t="str">
        <f t="array" ref="F169">IF($H169="","",INDEX('Binder Data'!$Q:$Q,$H169))</f>
        <v/>
      </c>
      <c r="G169" s="14" t="str">
        <f t="array" ref="G169">IF(OR($H169="",$E$4&lt;&gt;TRUE()),"",IFERROR(IMAGE(INDEX('Binder Data'!$O:$O,$H169)),""))</f>
        <v/>
      </c>
      <c r="H169" s="18" t="str">
        <f>IFERROR(MATCH(SMALL('Binder Data'!$M$2:$M$6251,164),'Binder Data'!$M$2:$M$6251,0)+1,"")</f>
        <v/>
      </c>
    </row>
    <row r="170" ht="15.75" customHeight="1">
      <c r="A170" s="16" t="b">
        <v>0</v>
      </c>
      <c r="B170" s="14" t="str">
        <f t="array" ref="B170">IF($H170="","",INDEX('Binder Data'!$A:$A,$H170))</f>
        <v/>
      </c>
      <c r="C170" s="14" t="str">
        <f t="array" ref="C170">IF($H170="","",INDEX('Binder Data'!$L:$L,$H170))</f>
        <v/>
      </c>
      <c r="D170" s="14" t="str">
        <f t="array" ref="D170">IF($H170="","",INDEX('Binder Data'!$I:$I,$H170))</f>
        <v/>
      </c>
      <c r="E170" s="17" t="str">
        <f t="array" ref="E170">IF($H170="","",INDEX('Binder Data'!$F:$F,$H170))</f>
        <v/>
      </c>
      <c r="F170" s="14" t="str">
        <f t="array" ref="F170">IF($H170="","",INDEX('Binder Data'!$Q:$Q,$H170))</f>
        <v/>
      </c>
      <c r="G170" s="14" t="str">
        <f t="array" ref="G170">IF(OR($H170="",$E$4&lt;&gt;TRUE()),"",IFERROR(IMAGE(INDEX('Binder Data'!$O:$O,$H170)),""))</f>
        <v/>
      </c>
      <c r="H170" s="18" t="str">
        <f>IFERROR(MATCH(SMALL('Binder Data'!$M$2:$M$6251,165),'Binder Data'!$M$2:$M$6251,0)+1,"")</f>
        <v/>
      </c>
    </row>
    <row r="171" ht="15.75" customHeight="1">
      <c r="A171" s="16" t="b">
        <v>0</v>
      </c>
      <c r="B171" s="14" t="str">
        <f t="array" ref="B171">IF($H171="","",INDEX('Binder Data'!$A:$A,$H171))</f>
        <v/>
      </c>
      <c r="C171" s="14" t="str">
        <f t="array" ref="C171">IF($H171="","",INDEX('Binder Data'!$L:$L,$H171))</f>
        <v/>
      </c>
      <c r="D171" s="14" t="str">
        <f t="array" ref="D171">IF($H171="","",INDEX('Binder Data'!$I:$I,$H171))</f>
        <v/>
      </c>
      <c r="E171" s="17" t="str">
        <f t="array" ref="E171">IF($H171="","",INDEX('Binder Data'!$F:$F,$H171))</f>
        <v/>
      </c>
      <c r="F171" s="14" t="str">
        <f t="array" ref="F171">IF($H171="","",INDEX('Binder Data'!$Q:$Q,$H171))</f>
        <v/>
      </c>
      <c r="G171" s="14" t="str">
        <f t="array" ref="G171">IF(OR($H171="",$E$4&lt;&gt;TRUE()),"",IFERROR(IMAGE(INDEX('Binder Data'!$O:$O,$H171)),""))</f>
        <v/>
      </c>
      <c r="H171" s="18" t="str">
        <f>IFERROR(MATCH(SMALL('Binder Data'!$M$2:$M$6251,166),'Binder Data'!$M$2:$M$6251,0)+1,"")</f>
        <v/>
      </c>
    </row>
    <row r="172" ht="15.75" customHeight="1">
      <c r="A172" s="16" t="b">
        <v>0</v>
      </c>
      <c r="B172" s="14" t="str">
        <f t="array" ref="B172">IF($H172="","",INDEX('Binder Data'!$A:$A,$H172))</f>
        <v/>
      </c>
      <c r="C172" s="14" t="str">
        <f t="array" ref="C172">IF($H172="","",INDEX('Binder Data'!$L:$L,$H172))</f>
        <v/>
      </c>
      <c r="D172" s="14" t="str">
        <f t="array" ref="D172">IF($H172="","",INDEX('Binder Data'!$I:$I,$H172))</f>
        <v/>
      </c>
      <c r="E172" s="17" t="str">
        <f t="array" ref="E172">IF($H172="","",INDEX('Binder Data'!$F:$F,$H172))</f>
        <v/>
      </c>
      <c r="F172" s="14" t="str">
        <f t="array" ref="F172">IF($H172="","",INDEX('Binder Data'!$Q:$Q,$H172))</f>
        <v/>
      </c>
      <c r="G172" s="14" t="str">
        <f t="array" ref="G172">IF(OR($H172="",$E$4&lt;&gt;TRUE()),"",IFERROR(IMAGE(INDEX('Binder Data'!$O:$O,$H172)),""))</f>
        <v/>
      </c>
      <c r="H172" s="18" t="str">
        <f>IFERROR(MATCH(SMALL('Binder Data'!$M$2:$M$6251,167),'Binder Data'!$M$2:$M$6251,0)+1,"")</f>
        <v/>
      </c>
    </row>
    <row r="173" ht="15.75" customHeight="1">
      <c r="A173" s="16" t="b">
        <v>0</v>
      </c>
      <c r="B173" s="14" t="str">
        <f t="array" ref="B173">IF($H173="","",INDEX('Binder Data'!$A:$A,$H173))</f>
        <v/>
      </c>
      <c r="C173" s="14" t="str">
        <f t="array" ref="C173">IF($H173="","",INDEX('Binder Data'!$L:$L,$H173))</f>
        <v/>
      </c>
      <c r="D173" s="14" t="str">
        <f t="array" ref="D173">IF($H173="","",INDEX('Binder Data'!$I:$I,$H173))</f>
        <v/>
      </c>
      <c r="E173" s="17" t="str">
        <f t="array" ref="E173">IF($H173="","",INDEX('Binder Data'!$F:$F,$H173))</f>
        <v/>
      </c>
      <c r="F173" s="14" t="str">
        <f t="array" ref="F173">IF($H173="","",INDEX('Binder Data'!$Q:$Q,$H173))</f>
        <v/>
      </c>
      <c r="G173" s="14" t="str">
        <f t="array" ref="G173">IF(OR($H173="",$E$4&lt;&gt;TRUE()),"",IFERROR(IMAGE(INDEX('Binder Data'!$O:$O,$H173)),""))</f>
        <v/>
      </c>
      <c r="H173" s="18" t="str">
        <f>IFERROR(MATCH(SMALL('Binder Data'!$M$2:$M$6251,168),'Binder Data'!$M$2:$M$6251,0)+1,"")</f>
        <v/>
      </c>
    </row>
    <row r="174" ht="15.75" customHeight="1">
      <c r="A174" s="16" t="b">
        <v>0</v>
      </c>
      <c r="B174" s="14" t="str">
        <f t="array" ref="B174">IF($H174="","",INDEX('Binder Data'!$A:$A,$H174))</f>
        <v/>
      </c>
      <c r="C174" s="14" t="str">
        <f t="array" ref="C174">IF($H174="","",INDEX('Binder Data'!$L:$L,$H174))</f>
        <v/>
      </c>
      <c r="D174" s="14" t="str">
        <f t="array" ref="D174">IF($H174="","",INDEX('Binder Data'!$I:$I,$H174))</f>
        <v/>
      </c>
      <c r="E174" s="17" t="str">
        <f t="array" ref="E174">IF($H174="","",INDEX('Binder Data'!$F:$F,$H174))</f>
        <v/>
      </c>
      <c r="F174" s="14" t="str">
        <f t="array" ref="F174">IF($H174="","",INDEX('Binder Data'!$Q:$Q,$H174))</f>
        <v/>
      </c>
      <c r="G174" s="14" t="str">
        <f t="array" ref="G174">IF(OR($H174="",$E$4&lt;&gt;TRUE()),"",IFERROR(IMAGE(INDEX('Binder Data'!$O:$O,$H174)),""))</f>
        <v/>
      </c>
      <c r="H174" s="18" t="str">
        <f>IFERROR(MATCH(SMALL('Binder Data'!$M$2:$M$6251,169),'Binder Data'!$M$2:$M$6251,0)+1,"")</f>
        <v/>
      </c>
    </row>
    <row r="175" ht="15.75" customHeight="1">
      <c r="A175" s="16" t="b">
        <v>0</v>
      </c>
      <c r="B175" s="14" t="str">
        <f t="array" ref="B175">IF($H175="","",INDEX('Binder Data'!$A:$A,$H175))</f>
        <v/>
      </c>
      <c r="C175" s="14" t="str">
        <f t="array" ref="C175">IF($H175="","",INDEX('Binder Data'!$L:$L,$H175))</f>
        <v/>
      </c>
      <c r="D175" s="14" t="str">
        <f t="array" ref="D175">IF($H175="","",INDEX('Binder Data'!$I:$I,$H175))</f>
        <v/>
      </c>
      <c r="E175" s="17" t="str">
        <f t="array" ref="E175">IF($H175="","",INDEX('Binder Data'!$F:$F,$H175))</f>
        <v/>
      </c>
      <c r="F175" s="14" t="str">
        <f t="array" ref="F175">IF($H175="","",INDEX('Binder Data'!$Q:$Q,$H175))</f>
        <v/>
      </c>
      <c r="G175" s="14" t="str">
        <f t="array" ref="G175">IF(OR($H175="",$E$4&lt;&gt;TRUE()),"",IFERROR(IMAGE(INDEX('Binder Data'!$O:$O,$H175)),""))</f>
        <v/>
      </c>
      <c r="H175" s="18" t="str">
        <f>IFERROR(MATCH(SMALL('Binder Data'!$M$2:$M$6251,170),'Binder Data'!$M$2:$M$6251,0)+1,"")</f>
        <v/>
      </c>
    </row>
    <row r="176" ht="15.75" customHeight="1">
      <c r="A176" s="16" t="b">
        <v>0</v>
      </c>
      <c r="B176" s="14" t="str">
        <f t="array" ref="B176">IF($H176="","",INDEX('Binder Data'!$A:$A,$H176))</f>
        <v/>
      </c>
      <c r="C176" s="14" t="str">
        <f t="array" ref="C176">IF($H176="","",INDEX('Binder Data'!$L:$L,$H176))</f>
        <v/>
      </c>
      <c r="D176" s="14" t="str">
        <f t="array" ref="D176">IF($H176="","",INDEX('Binder Data'!$I:$I,$H176))</f>
        <v/>
      </c>
      <c r="E176" s="17" t="str">
        <f t="array" ref="E176">IF($H176="","",INDEX('Binder Data'!$F:$F,$H176))</f>
        <v/>
      </c>
      <c r="F176" s="14" t="str">
        <f t="array" ref="F176">IF($H176="","",INDEX('Binder Data'!$Q:$Q,$H176))</f>
        <v/>
      </c>
      <c r="G176" s="14" t="str">
        <f t="array" ref="G176">IF(OR($H176="",$E$4&lt;&gt;TRUE()),"",IFERROR(IMAGE(INDEX('Binder Data'!$O:$O,$H176)),""))</f>
        <v/>
      </c>
      <c r="H176" s="18" t="str">
        <f>IFERROR(MATCH(SMALL('Binder Data'!$M$2:$M$6251,171),'Binder Data'!$M$2:$M$6251,0)+1,"")</f>
        <v/>
      </c>
    </row>
    <row r="177" ht="15.75" customHeight="1">
      <c r="A177" s="16" t="b">
        <v>0</v>
      </c>
      <c r="B177" s="14" t="str">
        <f t="array" ref="B177">IF($H177="","",INDEX('Binder Data'!$A:$A,$H177))</f>
        <v/>
      </c>
      <c r="C177" s="14" t="str">
        <f t="array" ref="C177">IF($H177="","",INDEX('Binder Data'!$L:$L,$H177))</f>
        <v/>
      </c>
      <c r="D177" s="14" t="str">
        <f t="array" ref="D177">IF($H177="","",INDEX('Binder Data'!$I:$I,$H177))</f>
        <v/>
      </c>
      <c r="E177" s="17" t="str">
        <f t="array" ref="E177">IF($H177="","",INDEX('Binder Data'!$F:$F,$H177))</f>
        <v/>
      </c>
      <c r="F177" s="14" t="str">
        <f t="array" ref="F177">IF($H177="","",INDEX('Binder Data'!$Q:$Q,$H177))</f>
        <v/>
      </c>
      <c r="G177" s="14" t="str">
        <f t="array" ref="G177">IF(OR($H177="",$E$4&lt;&gt;TRUE()),"",IFERROR(IMAGE(INDEX('Binder Data'!$O:$O,$H177)),""))</f>
        <v/>
      </c>
      <c r="H177" s="18" t="str">
        <f>IFERROR(MATCH(SMALL('Binder Data'!$M$2:$M$6251,172),'Binder Data'!$M$2:$M$6251,0)+1,"")</f>
        <v/>
      </c>
    </row>
    <row r="178" ht="15.75" customHeight="1">
      <c r="A178" s="16" t="b">
        <v>0</v>
      </c>
      <c r="B178" s="14" t="str">
        <f t="array" ref="B178">IF($H178="","",INDEX('Binder Data'!$A:$A,$H178))</f>
        <v/>
      </c>
      <c r="C178" s="14" t="str">
        <f t="array" ref="C178">IF($H178="","",INDEX('Binder Data'!$L:$L,$H178))</f>
        <v/>
      </c>
      <c r="D178" s="14" t="str">
        <f t="array" ref="D178">IF($H178="","",INDEX('Binder Data'!$I:$I,$H178))</f>
        <v/>
      </c>
      <c r="E178" s="17" t="str">
        <f t="array" ref="E178">IF($H178="","",INDEX('Binder Data'!$F:$F,$H178))</f>
        <v/>
      </c>
      <c r="F178" s="14" t="str">
        <f t="array" ref="F178">IF($H178="","",INDEX('Binder Data'!$Q:$Q,$H178))</f>
        <v/>
      </c>
      <c r="G178" s="14" t="str">
        <f t="array" ref="G178">IF(OR($H178="",$E$4&lt;&gt;TRUE()),"",IFERROR(IMAGE(INDEX('Binder Data'!$O:$O,$H178)),""))</f>
        <v/>
      </c>
      <c r="H178" s="18" t="str">
        <f>IFERROR(MATCH(SMALL('Binder Data'!$M$2:$M$6251,173),'Binder Data'!$M$2:$M$6251,0)+1,"")</f>
        <v/>
      </c>
    </row>
    <row r="179" ht="15.75" customHeight="1">
      <c r="A179" s="16" t="b">
        <v>0</v>
      </c>
      <c r="B179" s="14" t="str">
        <f t="array" ref="B179">IF($H179="","",INDEX('Binder Data'!$A:$A,$H179))</f>
        <v/>
      </c>
      <c r="C179" s="14" t="str">
        <f t="array" ref="C179">IF($H179="","",INDEX('Binder Data'!$L:$L,$H179))</f>
        <v/>
      </c>
      <c r="D179" s="14" t="str">
        <f t="array" ref="D179">IF($H179="","",INDEX('Binder Data'!$I:$I,$H179))</f>
        <v/>
      </c>
      <c r="E179" s="17" t="str">
        <f t="array" ref="E179">IF($H179="","",INDEX('Binder Data'!$F:$F,$H179))</f>
        <v/>
      </c>
      <c r="F179" s="14" t="str">
        <f t="array" ref="F179">IF($H179="","",INDEX('Binder Data'!$Q:$Q,$H179))</f>
        <v/>
      </c>
      <c r="G179" s="14" t="str">
        <f t="array" ref="G179">IF(OR($H179="",$E$4&lt;&gt;TRUE()),"",IFERROR(IMAGE(INDEX('Binder Data'!$O:$O,$H179)),""))</f>
        <v/>
      </c>
      <c r="H179" s="18" t="str">
        <f>IFERROR(MATCH(SMALL('Binder Data'!$M$2:$M$6251,174),'Binder Data'!$M$2:$M$6251,0)+1,"")</f>
        <v/>
      </c>
    </row>
    <row r="180" ht="15.75" customHeight="1">
      <c r="A180" s="16" t="b">
        <v>0</v>
      </c>
      <c r="B180" s="14" t="str">
        <f t="array" ref="B180">IF($H180="","",INDEX('Binder Data'!$A:$A,$H180))</f>
        <v/>
      </c>
      <c r="C180" s="14" t="str">
        <f t="array" ref="C180">IF($H180="","",INDEX('Binder Data'!$L:$L,$H180))</f>
        <v/>
      </c>
      <c r="D180" s="14" t="str">
        <f t="array" ref="D180">IF($H180="","",INDEX('Binder Data'!$I:$I,$H180))</f>
        <v/>
      </c>
      <c r="E180" s="17" t="str">
        <f t="array" ref="E180">IF($H180="","",INDEX('Binder Data'!$F:$F,$H180))</f>
        <v/>
      </c>
      <c r="F180" s="14" t="str">
        <f t="array" ref="F180">IF($H180="","",INDEX('Binder Data'!$Q:$Q,$H180))</f>
        <v/>
      </c>
      <c r="G180" s="14" t="str">
        <f t="array" ref="G180">IF(OR($H180="",$E$4&lt;&gt;TRUE()),"",IFERROR(IMAGE(INDEX('Binder Data'!$O:$O,$H180)),""))</f>
        <v/>
      </c>
      <c r="H180" s="18" t="str">
        <f>IFERROR(MATCH(SMALL('Binder Data'!$M$2:$M$6251,175),'Binder Data'!$M$2:$M$6251,0)+1,"")</f>
        <v/>
      </c>
    </row>
    <row r="181" ht="15.75" customHeight="1">
      <c r="A181" s="16" t="b">
        <v>0</v>
      </c>
      <c r="B181" s="14" t="str">
        <f t="array" ref="B181">IF($H181="","",INDEX('Binder Data'!$A:$A,$H181))</f>
        <v/>
      </c>
      <c r="C181" s="14" t="str">
        <f t="array" ref="C181">IF($H181="","",INDEX('Binder Data'!$L:$L,$H181))</f>
        <v/>
      </c>
      <c r="D181" s="14" t="str">
        <f t="array" ref="D181">IF($H181="","",INDEX('Binder Data'!$I:$I,$H181))</f>
        <v/>
      </c>
      <c r="E181" s="17" t="str">
        <f t="array" ref="E181">IF($H181="","",INDEX('Binder Data'!$F:$F,$H181))</f>
        <v/>
      </c>
      <c r="F181" s="14" t="str">
        <f t="array" ref="F181">IF($H181="","",INDEX('Binder Data'!$Q:$Q,$H181))</f>
        <v/>
      </c>
      <c r="G181" s="14" t="str">
        <f t="array" ref="G181">IF(OR($H181="",$E$4&lt;&gt;TRUE()),"",IFERROR(IMAGE(INDEX('Binder Data'!$O:$O,$H181)),""))</f>
        <v/>
      </c>
      <c r="H181" s="18" t="str">
        <f>IFERROR(MATCH(SMALL('Binder Data'!$M$2:$M$6251,176),'Binder Data'!$M$2:$M$6251,0)+1,"")</f>
        <v/>
      </c>
    </row>
    <row r="182" ht="15.75" customHeight="1">
      <c r="A182" s="16" t="b">
        <v>0</v>
      </c>
      <c r="B182" s="14" t="str">
        <f t="array" ref="B182">IF($H182="","",INDEX('Binder Data'!$A:$A,$H182))</f>
        <v/>
      </c>
      <c r="C182" s="14" t="str">
        <f t="array" ref="C182">IF($H182="","",INDEX('Binder Data'!$L:$L,$H182))</f>
        <v/>
      </c>
      <c r="D182" s="14" t="str">
        <f t="array" ref="D182">IF($H182="","",INDEX('Binder Data'!$I:$I,$H182))</f>
        <v/>
      </c>
      <c r="E182" s="17" t="str">
        <f t="array" ref="E182">IF($H182="","",INDEX('Binder Data'!$F:$F,$H182))</f>
        <v/>
      </c>
      <c r="F182" s="14" t="str">
        <f t="array" ref="F182">IF($H182="","",INDEX('Binder Data'!$Q:$Q,$H182))</f>
        <v/>
      </c>
      <c r="G182" s="14" t="str">
        <f t="array" ref="G182">IF(OR($H182="",$E$4&lt;&gt;TRUE()),"",IFERROR(IMAGE(INDEX('Binder Data'!$O:$O,$H182)),""))</f>
        <v/>
      </c>
      <c r="H182" s="18" t="str">
        <f>IFERROR(MATCH(SMALL('Binder Data'!$M$2:$M$6251,177),'Binder Data'!$M$2:$M$6251,0)+1,"")</f>
        <v/>
      </c>
    </row>
    <row r="183" ht="15.75" customHeight="1">
      <c r="A183" s="16" t="b">
        <v>0</v>
      </c>
      <c r="B183" s="14" t="str">
        <f t="array" ref="B183">IF($H183="","",INDEX('Binder Data'!$A:$A,$H183))</f>
        <v/>
      </c>
      <c r="C183" s="14" t="str">
        <f t="array" ref="C183">IF($H183="","",INDEX('Binder Data'!$L:$L,$H183))</f>
        <v/>
      </c>
      <c r="D183" s="14" t="str">
        <f t="array" ref="D183">IF($H183="","",INDEX('Binder Data'!$I:$I,$H183))</f>
        <v/>
      </c>
      <c r="E183" s="17" t="str">
        <f t="array" ref="E183">IF($H183="","",INDEX('Binder Data'!$F:$F,$H183))</f>
        <v/>
      </c>
      <c r="F183" s="14" t="str">
        <f t="array" ref="F183">IF($H183="","",INDEX('Binder Data'!$Q:$Q,$H183))</f>
        <v/>
      </c>
      <c r="G183" s="14" t="str">
        <f t="array" ref="G183">IF(OR($H183="",$E$4&lt;&gt;TRUE()),"",IFERROR(IMAGE(INDEX('Binder Data'!$O:$O,$H183)),""))</f>
        <v/>
      </c>
      <c r="H183" s="18" t="str">
        <f>IFERROR(MATCH(SMALL('Binder Data'!$M$2:$M$6251,178),'Binder Data'!$M$2:$M$6251,0)+1,"")</f>
        <v/>
      </c>
    </row>
    <row r="184" ht="15.75" customHeight="1">
      <c r="A184" s="16" t="b">
        <v>0</v>
      </c>
      <c r="B184" s="14" t="str">
        <f t="array" ref="B184">IF($H184="","",INDEX('Binder Data'!$A:$A,$H184))</f>
        <v/>
      </c>
      <c r="C184" s="14" t="str">
        <f t="array" ref="C184">IF($H184="","",INDEX('Binder Data'!$L:$L,$H184))</f>
        <v/>
      </c>
      <c r="D184" s="14" t="str">
        <f t="array" ref="D184">IF($H184="","",INDEX('Binder Data'!$I:$I,$H184))</f>
        <v/>
      </c>
      <c r="E184" s="17" t="str">
        <f t="array" ref="E184">IF($H184="","",INDEX('Binder Data'!$F:$F,$H184))</f>
        <v/>
      </c>
      <c r="F184" s="14" t="str">
        <f t="array" ref="F184">IF($H184="","",INDEX('Binder Data'!$Q:$Q,$H184))</f>
        <v/>
      </c>
      <c r="G184" s="14" t="str">
        <f t="array" ref="G184">IF(OR($H184="",$E$4&lt;&gt;TRUE()),"",IFERROR(IMAGE(INDEX('Binder Data'!$O:$O,$H184)),""))</f>
        <v/>
      </c>
      <c r="H184" s="18" t="str">
        <f>IFERROR(MATCH(SMALL('Binder Data'!$M$2:$M$6251,179),'Binder Data'!$M$2:$M$6251,0)+1,"")</f>
        <v/>
      </c>
    </row>
    <row r="185" ht="15.75" customHeight="1">
      <c r="A185" s="16" t="b">
        <v>0</v>
      </c>
      <c r="B185" s="14" t="str">
        <f t="array" ref="B185">IF($H185="","",INDEX('Binder Data'!$A:$A,$H185))</f>
        <v/>
      </c>
      <c r="C185" s="14" t="str">
        <f t="array" ref="C185">IF($H185="","",INDEX('Binder Data'!$L:$L,$H185))</f>
        <v/>
      </c>
      <c r="D185" s="14" t="str">
        <f t="array" ref="D185">IF($H185="","",INDEX('Binder Data'!$I:$I,$H185))</f>
        <v/>
      </c>
      <c r="E185" s="17" t="str">
        <f t="array" ref="E185">IF($H185="","",INDEX('Binder Data'!$F:$F,$H185))</f>
        <v/>
      </c>
      <c r="F185" s="14" t="str">
        <f t="array" ref="F185">IF($H185="","",INDEX('Binder Data'!$Q:$Q,$H185))</f>
        <v/>
      </c>
      <c r="G185" s="14" t="str">
        <f t="array" ref="G185">IF(OR($H185="",$E$4&lt;&gt;TRUE()),"",IFERROR(IMAGE(INDEX('Binder Data'!$O:$O,$H185)),""))</f>
        <v/>
      </c>
      <c r="H185" s="18" t="str">
        <f>IFERROR(MATCH(SMALL('Binder Data'!$M$2:$M$6251,180),'Binder Data'!$M$2:$M$6251,0)+1,"")</f>
        <v/>
      </c>
    </row>
    <row r="186" ht="15.75" customHeight="1">
      <c r="A186" s="16" t="b">
        <v>0</v>
      </c>
      <c r="B186" s="14" t="str">
        <f t="array" ref="B186">IF($H186="","",INDEX('Binder Data'!$A:$A,$H186))</f>
        <v/>
      </c>
      <c r="C186" s="14" t="str">
        <f t="array" ref="C186">IF($H186="","",INDEX('Binder Data'!$L:$L,$H186))</f>
        <v/>
      </c>
      <c r="D186" s="14" t="str">
        <f t="array" ref="D186">IF($H186="","",INDEX('Binder Data'!$I:$I,$H186))</f>
        <v/>
      </c>
      <c r="E186" s="17" t="str">
        <f t="array" ref="E186">IF($H186="","",INDEX('Binder Data'!$F:$F,$H186))</f>
        <v/>
      </c>
      <c r="F186" s="14" t="str">
        <f t="array" ref="F186">IF($H186="","",INDEX('Binder Data'!$Q:$Q,$H186))</f>
        <v/>
      </c>
      <c r="G186" s="14" t="str">
        <f t="array" ref="G186">IF(OR($H186="",$E$4&lt;&gt;TRUE()),"",IFERROR(IMAGE(INDEX('Binder Data'!$O:$O,$H186)),""))</f>
        <v/>
      </c>
      <c r="H186" s="18" t="str">
        <f>IFERROR(MATCH(SMALL('Binder Data'!$M$2:$M$6251,181),'Binder Data'!$M$2:$M$6251,0)+1,"")</f>
        <v/>
      </c>
    </row>
    <row r="187" ht="15.75" customHeight="1">
      <c r="A187" s="16" t="b">
        <v>0</v>
      </c>
      <c r="B187" s="14" t="str">
        <f t="array" ref="B187">IF($H187="","",INDEX('Binder Data'!$A:$A,$H187))</f>
        <v/>
      </c>
      <c r="C187" s="14" t="str">
        <f t="array" ref="C187">IF($H187="","",INDEX('Binder Data'!$L:$L,$H187))</f>
        <v/>
      </c>
      <c r="D187" s="14" t="str">
        <f t="array" ref="D187">IF($H187="","",INDEX('Binder Data'!$I:$I,$H187))</f>
        <v/>
      </c>
      <c r="E187" s="17" t="str">
        <f t="array" ref="E187">IF($H187="","",INDEX('Binder Data'!$F:$F,$H187))</f>
        <v/>
      </c>
      <c r="F187" s="14" t="str">
        <f t="array" ref="F187">IF($H187="","",INDEX('Binder Data'!$Q:$Q,$H187))</f>
        <v/>
      </c>
      <c r="G187" s="14" t="str">
        <f t="array" ref="G187">IF(OR($H187="",$E$4&lt;&gt;TRUE()),"",IFERROR(IMAGE(INDEX('Binder Data'!$O:$O,$H187)),""))</f>
        <v/>
      </c>
      <c r="H187" s="18" t="str">
        <f>IFERROR(MATCH(SMALL('Binder Data'!$M$2:$M$6251,182),'Binder Data'!$M$2:$M$6251,0)+1,"")</f>
        <v/>
      </c>
    </row>
    <row r="188" ht="15.75" customHeight="1">
      <c r="A188" s="16" t="b">
        <v>0</v>
      </c>
      <c r="B188" s="14" t="str">
        <f t="array" ref="B188">IF($H188="","",INDEX('Binder Data'!$A:$A,$H188))</f>
        <v/>
      </c>
      <c r="C188" s="14" t="str">
        <f t="array" ref="C188">IF($H188="","",INDEX('Binder Data'!$L:$L,$H188))</f>
        <v/>
      </c>
      <c r="D188" s="14" t="str">
        <f t="array" ref="D188">IF($H188="","",INDEX('Binder Data'!$I:$I,$H188))</f>
        <v/>
      </c>
      <c r="E188" s="17" t="str">
        <f t="array" ref="E188">IF($H188="","",INDEX('Binder Data'!$F:$F,$H188))</f>
        <v/>
      </c>
      <c r="F188" s="14" t="str">
        <f t="array" ref="F188">IF($H188="","",INDEX('Binder Data'!$Q:$Q,$H188))</f>
        <v/>
      </c>
      <c r="G188" s="14" t="str">
        <f t="array" ref="G188">IF(OR($H188="",$E$4&lt;&gt;TRUE()),"",IFERROR(IMAGE(INDEX('Binder Data'!$O:$O,$H188)),""))</f>
        <v/>
      </c>
      <c r="H188" s="18" t="str">
        <f>IFERROR(MATCH(SMALL('Binder Data'!$M$2:$M$6251,183),'Binder Data'!$M$2:$M$6251,0)+1,"")</f>
        <v/>
      </c>
    </row>
    <row r="189" ht="15.75" customHeight="1">
      <c r="A189" s="16" t="b">
        <v>0</v>
      </c>
      <c r="B189" s="14" t="str">
        <f t="array" ref="B189">IF($H189="","",INDEX('Binder Data'!$A:$A,$H189))</f>
        <v/>
      </c>
      <c r="C189" s="14" t="str">
        <f t="array" ref="C189">IF($H189="","",INDEX('Binder Data'!$L:$L,$H189))</f>
        <v/>
      </c>
      <c r="D189" s="14" t="str">
        <f t="array" ref="D189">IF($H189="","",INDEX('Binder Data'!$I:$I,$H189))</f>
        <v/>
      </c>
      <c r="E189" s="17" t="str">
        <f t="array" ref="E189">IF($H189="","",INDEX('Binder Data'!$F:$F,$H189))</f>
        <v/>
      </c>
      <c r="F189" s="14" t="str">
        <f t="array" ref="F189">IF($H189="","",INDEX('Binder Data'!$Q:$Q,$H189))</f>
        <v/>
      </c>
      <c r="G189" s="14" t="str">
        <f t="array" ref="G189">IF(OR($H189="",$E$4&lt;&gt;TRUE()),"",IFERROR(IMAGE(INDEX('Binder Data'!$O:$O,$H189)),""))</f>
        <v/>
      </c>
      <c r="H189" s="18" t="str">
        <f>IFERROR(MATCH(SMALL('Binder Data'!$M$2:$M$6251,184),'Binder Data'!$M$2:$M$6251,0)+1,"")</f>
        <v/>
      </c>
    </row>
    <row r="190" ht="15.75" customHeight="1">
      <c r="A190" s="16" t="b">
        <v>0</v>
      </c>
      <c r="B190" s="14" t="str">
        <f t="array" ref="B190">IF($H190="","",INDEX('Binder Data'!$A:$A,$H190))</f>
        <v/>
      </c>
      <c r="C190" s="14" t="str">
        <f t="array" ref="C190">IF($H190="","",INDEX('Binder Data'!$L:$L,$H190))</f>
        <v/>
      </c>
      <c r="D190" s="14" t="str">
        <f t="array" ref="D190">IF($H190="","",INDEX('Binder Data'!$I:$I,$H190))</f>
        <v/>
      </c>
      <c r="E190" s="17" t="str">
        <f t="array" ref="E190">IF($H190="","",INDEX('Binder Data'!$F:$F,$H190))</f>
        <v/>
      </c>
      <c r="F190" s="14" t="str">
        <f t="array" ref="F190">IF($H190="","",INDEX('Binder Data'!$Q:$Q,$H190))</f>
        <v/>
      </c>
      <c r="G190" s="14" t="str">
        <f t="array" ref="G190">IF(OR($H190="",$E$4&lt;&gt;TRUE()),"",IFERROR(IMAGE(INDEX('Binder Data'!$O:$O,$H190)),""))</f>
        <v/>
      </c>
      <c r="H190" s="18" t="str">
        <f>IFERROR(MATCH(SMALL('Binder Data'!$M$2:$M$6251,185),'Binder Data'!$M$2:$M$6251,0)+1,"")</f>
        <v/>
      </c>
    </row>
    <row r="191" ht="15.75" customHeight="1">
      <c r="A191" s="16" t="b">
        <v>0</v>
      </c>
      <c r="B191" s="14" t="str">
        <f t="array" ref="B191">IF($H191="","",INDEX('Binder Data'!$A:$A,$H191))</f>
        <v/>
      </c>
      <c r="C191" s="14" t="str">
        <f t="array" ref="C191">IF($H191="","",INDEX('Binder Data'!$L:$L,$H191))</f>
        <v/>
      </c>
      <c r="D191" s="14" t="str">
        <f t="array" ref="D191">IF($H191="","",INDEX('Binder Data'!$I:$I,$H191))</f>
        <v/>
      </c>
      <c r="E191" s="17" t="str">
        <f t="array" ref="E191">IF($H191="","",INDEX('Binder Data'!$F:$F,$H191))</f>
        <v/>
      </c>
      <c r="F191" s="14" t="str">
        <f t="array" ref="F191">IF($H191="","",INDEX('Binder Data'!$Q:$Q,$H191))</f>
        <v/>
      </c>
      <c r="G191" s="14" t="str">
        <f t="array" ref="G191">IF(OR($H191="",$E$4&lt;&gt;TRUE()),"",IFERROR(IMAGE(INDEX('Binder Data'!$O:$O,$H191)),""))</f>
        <v/>
      </c>
      <c r="H191" s="18" t="str">
        <f>IFERROR(MATCH(SMALL('Binder Data'!$M$2:$M$6251,186),'Binder Data'!$M$2:$M$6251,0)+1,"")</f>
        <v/>
      </c>
    </row>
    <row r="192" ht="15.75" customHeight="1">
      <c r="A192" s="16" t="b">
        <v>0</v>
      </c>
      <c r="B192" s="14" t="str">
        <f t="array" ref="B192">IF($H192="","",INDEX('Binder Data'!$A:$A,$H192))</f>
        <v/>
      </c>
      <c r="C192" s="14" t="str">
        <f t="array" ref="C192">IF($H192="","",INDEX('Binder Data'!$L:$L,$H192))</f>
        <v/>
      </c>
      <c r="D192" s="14" t="str">
        <f t="array" ref="D192">IF($H192="","",INDEX('Binder Data'!$I:$I,$H192))</f>
        <v/>
      </c>
      <c r="E192" s="17" t="str">
        <f t="array" ref="E192">IF($H192="","",INDEX('Binder Data'!$F:$F,$H192))</f>
        <v/>
      </c>
      <c r="F192" s="14" t="str">
        <f t="array" ref="F192">IF($H192="","",INDEX('Binder Data'!$Q:$Q,$H192))</f>
        <v/>
      </c>
      <c r="G192" s="14" t="str">
        <f t="array" ref="G192">IF(OR($H192="",$E$4&lt;&gt;TRUE()),"",IFERROR(IMAGE(INDEX('Binder Data'!$O:$O,$H192)),""))</f>
        <v/>
      </c>
      <c r="H192" s="18" t="str">
        <f>IFERROR(MATCH(SMALL('Binder Data'!$M$2:$M$6251,187),'Binder Data'!$M$2:$M$6251,0)+1,"")</f>
        <v/>
      </c>
    </row>
    <row r="193" ht="15.75" customHeight="1">
      <c r="A193" s="16" t="b">
        <v>0</v>
      </c>
      <c r="B193" s="14" t="str">
        <f t="array" ref="B193">IF($H193="","",INDEX('Binder Data'!$A:$A,$H193))</f>
        <v/>
      </c>
      <c r="C193" s="14" t="str">
        <f t="array" ref="C193">IF($H193="","",INDEX('Binder Data'!$L:$L,$H193))</f>
        <v/>
      </c>
      <c r="D193" s="14" t="str">
        <f t="array" ref="D193">IF($H193="","",INDEX('Binder Data'!$I:$I,$H193))</f>
        <v/>
      </c>
      <c r="E193" s="17" t="str">
        <f t="array" ref="E193">IF($H193="","",INDEX('Binder Data'!$F:$F,$H193))</f>
        <v/>
      </c>
      <c r="F193" s="14" t="str">
        <f t="array" ref="F193">IF($H193="","",INDEX('Binder Data'!$Q:$Q,$H193))</f>
        <v/>
      </c>
      <c r="G193" s="14" t="str">
        <f t="array" ref="G193">IF(OR($H193="",$E$4&lt;&gt;TRUE()),"",IFERROR(IMAGE(INDEX('Binder Data'!$O:$O,$H193)),""))</f>
        <v/>
      </c>
      <c r="H193" s="18" t="str">
        <f>IFERROR(MATCH(SMALL('Binder Data'!$M$2:$M$6251,188),'Binder Data'!$M$2:$M$6251,0)+1,"")</f>
        <v/>
      </c>
    </row>
    <row r="194" ht="15.75" customHeight="1">
      <c r="A194" s="16" t="b">
        <v>0</v>
      </c>
      <c r="B194" s="14" t="str">
        <f t="array" ref="B194">IF($H194="","",INDEX('Binder Data'!$A:$A,$H194))</f>
        <v/>
      </c>
      <c r="C194" s="14" t="str">
        <f t="array" ref="C194">IF($H194="","",INDEX('Binder Data'!$L:$L,$H194))</f>
        <v/>
      </c>
      <c r="D194" s="14" t="str">
        <f t="array" ref="D194">IF($H194="","",INDEX('Binder Data'!$I:$I,$H194))</f>
        <v/>
      </c>
      <c r="E194" s="17" t="str">
        <f t="array" ref="E194">IF($H194="","",INDEX('Binder Data'!$F:$F,$H194))</f>
        <v/>
      </c>
      <c r="F194" s="14" t="str">
        <f t="array" ref="F194">IF($H194="","",INDEX('Binder Data'!$Q:$Q,$H194))</f>
        <v/>
      </c>
      <c r="G194" s="14" t="str">
        <f t="array" ref="G194">IF(OR($H194="",$E$4&lt;&gt;TRUE()),"",IFERROR(IMAGE(INDEX('Binder Data'!$O:$O,$H194)),""))</f>
        <v/>
      </c>
      <c r="H194" s="18" t="str">
        <f>IFERROR(MATCH(SMALL('Binder Data'!$M$2:$M$6251,189),'Binder Data'!$M$2:$M$6251,0)+1,"")</f>
        <v/>
      </c>
    </row>
    <row r="195" ht="15.75" customHeight="1">
      <c r="A195" s="16" t="b">
        <v>0</v>
      </c>
      <c r="B195" s="14" t="str">
        <f t="array" ref="B195">IF($H195="","",INDEX('Binder Data'!$A:$A,$H195))</f>
        <v/>
      </c>
      <c r="C195" s="14" t="str">
        <f t="array" ref="C195">IF($H195="","",INDEX('Binder Data'!$L:$L,$H195))</f>
        <v/>
      </c>
      <c r="D195" s="14" t="str">
        <f t="array" ref="D195">IF($H195="","",INDEX('Binder Data'!$I:$I,$H195))</f>
        <v/>
      </c>
      <c r="E195" s="17" t="str">
        <f t="array" ref="E195">IF($H195="","",INDEX('Binder Data'!$F:$F,$H195))</f>
        <v/>
      </c>
      <c r="F195" s="14" t="str">
        <f t="array" ref="F195">IF($H195="","",INDEX('Binder Data'!$Q:$Q,$H195))</f>
        <v/>
      </c>
      <c r="G195" s="14" t="str">
        <f t="array" ref="G195">IF(OR($H195="",$E$4&lt;&gt;TRUE()),"",IFERROR(IMAGE(INDEX('Binder Data'!$O:$O,$H195)),""))</f>
        <v/>
      </c>
      <c r="H195" s="18" t="str">
        <f>IFERROR(MATCH(SMALL('Binder Data'!$M$2:$M$6251,190),'Binder Data'!$M$2:$M$6251,0)+1,"")</f>
        <v/>
      </c>
    </row>
    <row r="196" ht="15.75" customHeight="1">
      <c r="A196" s="16" t="b">
        <v>0</v>
      </c>
      <c r="B196" s="14" t="str">
        <f t="array" ref="B196">IF($H196="","",INDEX('Binder Data'!$A:$A,$H196))</f>
        <v/>
      </c>
      <c r="C196" s="14" t="str">
        <f t="array" ref="C196">IF($H196="","",INDEX('Binder Data'!$L:$L,$H196))</f>
        <v/>
      </c>
      <c r="D196" s="14" t="str">
        <f t="array" ref="D196">IF($H196="","",INDEX('Binder Data'!$I:$I,$H196))</f>
        <v/>
      </c>
      <c r="E196" s="17" t="str">
        <f t="array" ref="E196">IF($H196="","",INDEX('Binder Data'!$F:$F,$H196))</f>
        <v/>
      </c>
      <c r="F196" s="14" t="str">
        <f t="array" ref="F196">IF($H196="","",INDEX('Binder Data'!$Q:$Q,$H196))</f>
        <v/>
      </c>
      <c r="G196" s="14" t="str">
        <f t="array" ref="G196">IF(OR($H196="",$E$4&lt;&gt;TRUE()),"",IFERROR(IMAGE(INDEX('Binder Data'!$O:$O,$H196)),""))</f>
        <v/>
      </c>
      <c r="H196" s="18" t="str">
        <f>IFERROR(MATCH(SMALL('Binder Data'!$M$2:$M$6251,191),'Binder Data'!$M$2:$M$6251,0)+1,"")</f>
        <v/>
      </c>
    </row>
    <row r="197" ht="15.75" customHeight="1">
      <c r="A197" s="16" t="b">
        <v>0</v>
      </c>
      <c r="B197" s="14" t="str">
        <f t="array" ref="B197">IF($H197="","",INDEX('Binder Data'!$A:$A,$H197))</f>
        <v/>
      </c>
      <c r="C197" s="14" t="str">
        <f t="array" ref="C197">IF($H197="","",INDEX('Binder Data'!$L:$L,$H197))</f>
        <v/>
      </c>
      <c r="D197" s="14" t="str">
        <f t="array" ref="D197">IF($H197="","",INDEX('Binder Data'!$I:$I,$H197))</f>
        <v/>
      </c>
      <c r="E197" s="17" t="str">
        <f t="array" ref="E197">IF($H197="","",INDEX('Binder Data'!$F:$F,$H197))</f>
        <v/>
      </c>
      <c r="F197" s="14" t="str">
        <f t="array" ref="F197">IF($H197="","",INDEX('Binder Data'!$Q:$Q,$H197))</f>
        <v/>
      </c>
      <c r="G197" s="14" t="str">
        <f t="array" ref="G197">IF(OR($H197="",$E$4&lt;&gt;TRUE()),"",IFERROR(IMAGE(INDEX('Binder Data'!$O:$O,$H197)),""))</f>
        <v/>
      </c>
      <c r="H197" s="18" t="str">
        <f>IFERROR(MATCH(SMALL('Binder Data'!$M$2:$M$6251,192),'Binder Data'!$M$2:$M$6251,0)+1,"")</f>
        <v/>
      </c>
    </row>
    <row r="198" ht="15.75" customHeight="1">
      <c r="A198" s="16" t="b">
        <v>0</v>
      </c>
      <c r="B198" s="14" t="str">
        <f t="array" ref="B198">IF($H198="","",INDEX('Binder Data'!$A:$A,$H198))</f>
        <v/>
      </c>
      <c r="C198" s="14" t="str">
        <f t="array" ref="C198">IF($H198="","",INDEX('Binder Data'!$L:$L,$H198))</f>
        <v/>
      </c>
      <c r="D198" s="14" t="str">
        <f t="array" ref="D198">IF($H198="","",INDEX('Binder Data'!$I:$I,$H198))</f>
        <v/>
      </c>
      <c r="E198" s="17" t="str">
        <f t="array" ref="E198">IF($H198="","",INDEX('Binder Data'!$F:$F,$H198))</f>
        <v/>
      </c>
      <c r="F198" s="14" t="str">
        <f t="array" ref="F198">IF($H198="","",INDEX('Binder Data'!$Q:$Q,$H198))</f>
        <v/>
      </c>
      <c r="G198" s="14" t="str">
        <f t="array" ref="G198">IF(OR($H198="",$E$4&lt;&gt;TRUE()),"",IFERROR(IMAGE(INDEX('Binder Data'!$O:$O,$H198)),""))</f>
        <v/>
      </c>
      <c r="H198" s="18" t="str">
        <f>IFERROR(MATCH(SMALL('Binder Data'!$M$2:$M$6251,193),'Binder Data'!$M$2:$M$6251,0)+1,"")</f>
        <v/>
      </c>
    </row>
    <row r="199" ht="15.75" customHeight="1">
      <c r="A199" s="16" t="b">
        <v>0</v>
      </c>
      <c r="B199" s="14" t="str">
        <f t="array" ref="B199">IF($H199="","",INDEX('Binder Data'!$A:$A,$H199))</f>
        <v/>
      </c>
      <c r="C199" s="14" t="str">
        <f t="array" ref="C199">IF($H199="","",INDEX('Binder Data'!$L:$L,$H199))</f>
        <v/>
      </c>
      <c r="D199" s="14" t="str">
        <f t="array" ref="D199">IF($H199="","",INDEX('Binder Data'!$I:$I,$H199))</f>
        <v/>
      </c>
      <c r="E199" s="17" t="str">
        <f t="array" ref="E199">IF($H199="","",INDEX('Binder Data'!$F:$F,$H199))</f>
        <v/>
      </c>
      <c r="F199" s="14" t="str">
        <f t="array" ref="F199">IF($H199="","",INDEX('Binder Data'!$Q:$Q,$H199))</f>
        <v/>
      </c>
      <c r="G199" s="14" t="str">
        <f t="array" ref="G199">IF(OR($H199="",$E$4&lt;&gt;TRUE()),"",IFERROR(IMAGE(INDEX('Binder Data'!$O:$O,$H199)),""))</f>
        <v/>
      </c>
      <c r="H199" s="18" t="str">
        <f>IFERROR(MATCH(SMALL('Binder Data'!$M$2:$M$6251,194),'Binder Data'!$M$2:$M$6251,0)+1,"")</f>
        <v/>
      </c>
    </row>
    <row r="200" ht="15.75" customHeight="1">
      <c r="A200" s="16" t="b">
        <v>0</v>
      </c>
      <c r="B200" s="14" t="str">
        <f t="array" ref="B200">IF($H200="","",INDEX('Binder Data'!$A:$A,$H200))</f>
        <v/>
      </c>
      <c r="C200" s="14" t="str">
        <f t="array" ref="C200">IF($H200="","",INDEX('Binder Data'!$L:$L,$H200))</f>
        <v/>
      </c>
      <c r="D200" s="14" t="str">
        <f t="array" ref="D200">IF($H200="","",INDEX('Binder Data'!$I:$I,$H200))</f>
        <v/>
      </c>
      <c r="E200" s="17" t="str">
        <f t="array" ref="E200">IF($H200="","",INDEX('Binder Data'!$F:$F,$H200))</f>
        <v/>
      </c>
      <c r="F200" s="14" t="str">
        <f t="array" ref="F200">IF($H200="","",INDEX('Binder Data'!$Q:$Q,$H200))</f>
        <v/>
      </c>
      <c r="G200" s="14" t="str">
        <f t="array" ref="G200">IF(OR($H200="",$E$4&lt;&gt;TRUE()),"",IFERROR(IMAGE(INDEX('Binder Data'!$O:$O,$H200)),""))</f>
        <v/>
      </c>
      <c r="H200" s="18" t="str">
        <f>IFERROR(MATCH(SMALL('Binder Data'!$M$2:$M$6251,195),'Binder Data'!$M$2:$M$6251,0)+1,"")</f>
        <v/>
      </c>
    </row>
    <row r="201" ht="15.75" customHeight="1">
      <c r="A201" s="16" t="b">
        <v>0</v>
      </c>
      <c r="B201" s="14" t="str">
        <f t="array" ref="B201">IF($H201="","",INDEX('Binder Data'!$A:$A,$H201))</f>
        <v/>
      </c>
      <c r="C201" s="14" t="str">
        <f t="array" ref="C201">IF($H201="","",INDEX('Binder Data'!$L:$L,$H201))</f>
        <v/>
      </c>
      <c r="D201" s="14" t="str">
        <f t="array" ref="D201">IF($H201="","",INDEX('Binder Data'!$I:$I,$H201))</f>
        <v/>
      </c>
      <c r="E201" s="17" t="str">
        <f t="array" ref="E201">IF($H201="","",INDEX('Binder Data'!$F:$F,$H201))</f>
        <v/>
      </c>
      <c r="F201" s="14" t="str">
        <f t="array" ref="F201">IF($H201="","",INDEX('Binder Data'!$Q:$Q,$H201))</f>
        <v/>
      </c>
      <c r="G201" s="14" t="str">
        <f t="array" ref="G201">IF(OR($H201="",$E$4&lt;&gt;TRUE()),"",IFERROR(IMAGE(INDEX('Binder Data'!$O:$O,$H201)),""))</f>
        <v/>
      </c>
      <c r="H201" s="18" t="str">
        <f>IFERROR(MATCH(SMALL('Binder Data'!$M$2:$M$6251,196),'Binder Data'!$M$2:$M$6251,0)+1,"")</f>
        <v/>
      </c>
    </row>
    <row r="202" ht="15.75" customHeight="1">
      <c r="A202" s="16" t="b">
        <v>0</v>
      </c>
      <c r="B202" s="14" t="str">
        <f t="array" ref="B202">IF($H202="","",INDEX('Binder Data'!$A:$A,$H202))</f>
        <v/>
      </c>
      <c r="C202" s="14" t="str">
        <f t="array" ref="C202">IF($H202="","",INDEX('Binder Data'!$L:$L,$H202))</f>
        <v/>
      </c>
      <c r="D202" s="14" t="str">
        <f t="array" ref="D202">IF($H202="","",INDEX('Binder Data'!$I:$I,$H202))</f>
        <v/>
      </c>
      <c r="E202" s="17" t="str">
        <f t="array" ref="E202">IF($H202="","",INDEX('Binder Data'!$F:$F,$H202))</f>
        <v/>
      </c>
      <c r="F202" s="14" t="str">
        <f t="array" ref="F202">IF($H202="","",INDEX('Binder Data'!$Q:$Q,$H202))</f>
        <v/>
      </c>
      <c r="G202" s="14" t="str">
        <f t="array" ref="G202">IF(OR($H202="",$E$4&lt;&gt;TRUE()),"",IFERROR(IMAGE(INDEX('Binder Data'!$O:$O,$H202)),""))</f>
        <v/>
      </c>
      <c r="H202" s="18" t="str">
        <f>IFERROR(MATCH(SMALL('Binder Data'!$M$2:$M$6251,197),'Binder Data'!$M$2:$M$6251,0)+1,"")</f>
        <v/>
      </c>
    </row>
    <row r="203" ht="15.75" customHeight="1">
      <c r="A203" s="16" t="b">
        <v>0</v>
      </c>
      <c r="B203" s="14" t="str">
        <f t="array" ref="B203">IF($H203="","",INDEX('Binder Data'!$A:$A,$H203))</f>
        <v/>
      </c>
      <c r="C203" s="14" t="str">
        <f t="array" ref="C203">IF($H203="","",INDEX('Binder Data'!$L:$L,$H203))</f>
        <v/>
      </c>
      <c r="D203" s="14" t="str">
        <f t="array" ref="D203">IF($H203="","",INDEX('Binder Data'!$I:$I,$H203))</f>
        <v/>
      </c>
      <c r="E203" s="17" t="str">
        <f t="array" ref="E203">IF($H203="","",INDEX('Binder Data'!$F:$F,$H203))</f>
        <v/>
      </c>
      <c r="F203" s="14" t="str">
        <f t="array" ref="F203">IF($H203="","",INDEX('Binder Data'!$Q:$Q,$H203))</f>
        <v/>
      </c>
      <c r="G203" s="14" t="str">
        <f t="array" ref="G203">IF(OR($H203="",$E$4&lt;&gt;TRUE()),"",IFERROR(IMAGE(INDEX('Binder Data'!$O:$O,$H203)),""))</f>
        <v/>
      </c>
      <c r="H203" s="18" t="str">
        <f>IFERROR(MATCH(SMALL('Binder Data'!$M$2:$M$6251,198),'Binder Data'!$M$2:$M$6251,0)+1,"")</f>
        <v/>
      </c>
    </row>
    <row r="204" ht="15.75" customHeight="1">
      <c r="A204" s="16" t="b">
        <v>0</v>
      </c>
      <c r="B204" s="14" t="str">
        <f t="array" ref="B204">IF($H204="","",INDEX('Binder Data'!$A:$A,$H204))</f>
        <v/>
      </c>
      <c r="C204" s="14" t="str">
        <f t="array" ref="C204">IF($H204="","",INDEX('Binder Data'!$L:$L,$H204))</f>
        <v/>
      </c>
      <c r="D204" s="14" t="str">
        <f t="array" ref="D204">IF($H204="","",INDEX('Binder Data'!$I:$I,$H204))</f>
        <v/>
      </c>
      <c r="E204" s="17" t="str">
        <f t="array" ref="E204">IF($H204="","",INDEX('Binder Data'!$F:$F,$H204))</f>
        <v/>
      </c>
      <c r="F204" s="14" t="str">
        <f t="array" ref="F204">IF($H204="","",INDEX('Binder Data'!$Q:$Q,$H204))</f>
        <v/>
      </c>
      <c r="G204" s="14" t="str">
        <f t="array" ref="G204">IF(OR($H204="",$E$4&lt;&gt;TRUE()),"",IFERROR(IMAGE(INDEX('Binder Data'!$O:$O,$H204)),""))</f>
        <v/>
      </c>
      <c r="H204" s="18" t="str">
        <f>IFERROR(MATCH(SMALL('Binder Data'!$M$2:$M$6251,199),'Binder Data'!$M$2:$M$6251,0)+1,"")</f>
        <v/>
      </c>
    </row>
    <row r="205" ht="15.75" customHeight="1">
      <c r="A205" s="16" t="b">
        <v>0</v>
      </c>
      <c r="B205" s="14" t="str">
        <f t="array" ref="B205">IF($H205="","",INDEX('Binder Data'!$A:$A,$H205))</f>
        <v/>
      </c>
      <c r="C205" s="14" t="str">
        <f t="array" ref="C205">IF($H205="","",INDEX('Binder Data'!$L:$L,$H205))</f>
        <v/>
      </c>
      <c r="D205" s="14" t="str">
        <f t="array" ref="D205">IF($H205="","",INDEX('Binder Data'!$I:$I,$H205))</f>
        <v/>
      </c>
      <c r="E205" s="17" t="str">
        <f t="array" ref="E205">IF($H205="","",INDEX('Binder Data'!$F:$F,$H205))</f>
        <v/>
      </c>
      <c r="F205" s="14" t="str">
        <f t="array" ref="F205">IF($H205="","",INDEX('Binder Data'!$Q:$Q,$H205))</f>
        <v/>
      </c>
      <c r="G205" s="14" t="str">
        <f t="array" ref="G205">IF(OR($H205="",$E$4&lt;&gt;TRUE()),"",IFERROR(IMAGE(INDEX('Binder Data'!$O:$O,$H205)),""))</f>
        <v/>
      </c>
      <c r="H205" s="18" t="str">
        <f>IFERROR(MATCH(SMALL('Binder Data'!$M$2:$M$6251,200),'Binder Data'!$M$2:$M$6251,0)+1,"")</f>
        <v/>
      </c>
    </row>
    <row r="206" ht="15.75" customHeight="1">
      <c r="A206" s="2"/>
      <c r="B206" s="2"/>
      <c r="C206" s="2"/>
      <c r="D206" s="2"/>
      <c r="E206" s="2"/>
      <c r="F206" s="2"/>
      <c r="G206" s="2"/>
      <c r="H206" s="2"/>
    </row>
    <row r="207" ht="15.75" customHeight="1">
      <c r="A207" s="2"/>
      <c r="B207" s="2"/>
      <c r="C207" s="2"/>
      <c r="D207" s="2"/>
      <c r="E207" s="2"/>
      <c r="F207" s="2"/>
      <c r="G207" s="2"/>
      <c r="H207" s="2"/>
    </row>
    <row r="208" ht="15.75" customHeight="1">
      <c r="A208" s="2"/>
      <c r="B208" s="2"/>
      <c r="C208" s="2"/>
      <c r="D208" s="2"/>
      <c r="E208" s="2"/>
      <c r="F208" s="2"/>
      <c r="G208" s="2"/>
      <c r="H208" s="2"/>
    </row>
    <row r="209" ht="15.75" customHeight="1">
      <c r="A209" s="2"/>
      <c r="B209" s="2"/>
      <c r="C209" s="2"/>
      <c r="D209" s="2"/>
      <c r="E209" s="2"/>
      <c r="F209" s="2"/>
      <c r="G209" s="2"/>
      <c r="H209" s="2"/>
    </row>
    <row r="210" ht="15.75" customHeight="1">
      <c r="A210" s="2"/>
      <c r="B210" s="2"/>
      <c r="C210" s="2"/>
      <c r="D210" s="2"/>
      <c r="E210" s="2"/>
      <c r="F210" s="2"/>
      <c r="G210" s="2"/>
      <c r="H210" s="2"/>
    </row>
    <row r="211" ht="15.75" customHeight="1">
      <c r="A211" s="2"/>
      <c r="B211" s="2"/>
      <c r="C211" s="2"/>
      <c r="D211" s="2"/>
      <c r="E211" s="2"/>
      <c r="F211" s="2"/>
      <c r="G211" s="2"/>
      <c r="H211" s="2"/>
    </row>
    <row r="212" ht="15.75" customHeight="1">
      <c r="A212" s="2"/>
      <c r="B212" s="2"/>
      <c r="C212" s="2"/>
      <c r="D212" s="2"/>
      <c r="E212" s="2"/>
      <c r="F212" s="2"/>
      <c r="G212" s="2"/>
      <c r="H212" s="2"/>
    </row>
    <row r="213" ht="15.75" customHeight="1">
      <c r="A213" s="2"/>
      <c r="B213" s="2"/>
      <c r="C213" s="2"/>
      <c r="D213" s="2"/>
      <c r="E213" s="2"/>
      <c r="F213" s="2"/>
      <c r="G213" s="2"/>
      <c r="H213" s="2"/>
    </row>
    <row r="214" ht="15.75" customHeight="1">
      <c r="A214" s="2"/>
      <c r="B214" s="2"/>
      <c r="C214" s="2"/>
      <c r="D214" s="2"/>
      <c r="E214" s="2"/>
      <c r="F214" s="2"/>
      <c r="G214" s="2"/>
      <c r="H214" s="2"/>
    </row>
    <row r="215" ht="15.75" customHeight="1">
      <c r="A215" s="2"/>
      <c r="B215" s="2"/>
      <c r="C215" s="2"/>
      <c r="D215" s="2"/>
      <c r="E215" s="2"/>
      <c r="F215" s="2"/>
      <c r="G215" s="2"/>
      <c r="H215" s="2"/>
    </row>
    <row r="216" ht="15.75" customHeight="1">
      <c r="A216" s="2"/>
      <c r="B216" s="2"/>
      <c r="C216" s="2"/>
      <c r="D216" s="2"/>
      <c r="E216" s="2"/>
      <c r="F216" s="2"/>
      <c r="G216" s="2"/>
      <c r="H216" s="2"/>
    </row>
    <row r="217" ht="15.75" customHeight="1">
      <c r="A217" s="2"/>
      <c r="B217" s="2"/>
      <c r="C217" s="2"/>
      <c r="D217" s="2"/>
      <c r="E217" s="2"/>
      <c r="F217" s="2"/>
      <c r="G217" s="2"/>
      <c r="H217" s="2"/>
    </row>
    <row r="218" ht="15.75" customHeight="1">
      <c r="A218" s="2"/>
      <c r="B218" s="2"/>
      <c r="C218" s="2"/>
      <c r="D218" s="2"/>
      <c r="E218" s="2"/>
      <c r="F218" s="2"/>
      <c r="G218" s="2"/>
      <c r="H218" s="2"/>
    </row>
    <row r="219" ht="15.75" customHeight="1">
      <c r="A219" s="2"/>
      <c r="B219" s="2"/>
      <c r="C219" s="2"/>
      <c r="D219" s="2"/>
      <c r="E219" s="2"/>
      <c r="F219" s="2"/>
      <c r="G219" s="2"/>
      <c r="H219" s="2"/>
    </row>
    <row r="220" ht="15.75" customHeight="1">
      <c r="A220" s="2"/>
      <c r="B220" s="2"/>
      <c r="C220" s="2"/>
      <c r="D220" s="2"/>
      <c r="E220" s="2"/>
      <c r="F220" s="2"/>
      <c r="G220" s="2"/>
      <c r="H220" s="2"/>
    </row>
    <row r="221" ht="15.75" customHeight="1">
      <c r="A221" s="2"/>
      <c r="B221" s="2"/>
      <c r="C221" s="2"/>
      <c r="D221" s="2"/>
      <c r="E221" s="2"/>
      <c r="F221" s="2"/>
      <c r="G221" s="2"/>
      <c r="H221" s="2"/>
    </row>
    <row r="222" ht="15.75" customHeight="1">
      <c r="A222" s="2"/>
      <c r="B222" s="2"/>
      <c r="C222" s="2"/>
      <c r="D222" s="2"/>
      <c r="E222" s="2"/>
      <c r="F222" s="2"/>
      <c r="G222" s="2"/>
      <c r="H222" s="2"/>
    </row>
    <row r="223" ht="15.75" customHeight="1">
      <c r="A223" s="2"/>
      <c r="B223" s="2"/>
      <c r="C223" s="2"/>
      <c r="D223" s="2"/>
      <c r="E223" s="2"/>
      <c r="F223" s="2"/>
      <c r="G223" s="2"/>
      <c r="H223" s="2"/>
    </row>
    <row r="224" ht="15.75" customHeight="1">
      <c r="A224" s="2"/>
      <c r="B224" s="2"/>
      <c r="C224" s="2"/>
      <c r="D224" s="2"/>
      <c r="E224" s="2"/>
      <c r="F224" s="2"/>
      <c r="G224" s="2"/>
      <c r="H224" s="2"/>
    </row>
    <row r="225" ht="15.75" customHeight="1">
      <c r="A225" s="2"/>
      <c r="B225" s="2"/>
      <c r="C225" s="2"/>
      <c r="D225" s="2"/>
      <c r="E225" s="2"/>
      <c r="F225" s="2"/>
      <c r="G225" s="2"/>
      <c r="H225" s="2"/>
    </row>
    <row r="226" ht="15.75" customHeight="1">
      <c r="A226" s="2"/>
      <c r="B226" s="2"/>
      <c r="C226" s="2"/>
      <c r="D226" s="2"/>
      <c r="E226" s="2"/>
      <c r="F226" s="2"/>
      <c r="G226" s="2"/>
      <c r="H226" s="2"/>
    </row>
    <row r="227" ht="15.75" customHeight="1">
      <c r="A227" s="2"/>
      <c r="B227" s="2"/>
      <c r="C227" s="2"/>
      <c r="D227" s="2"/>
      <c r="E227" s="2"/>
      <c r="F227" s="2"/>
      <c r="G227" s="2"/>
      <c r="H227" s="2"/>
    </row>
    <row r="228" ht="15.75" customHeight="1">
      <c r="A228" s="2"/>
      <c r="B228" s="2"/>
      <c r="C228" s="2"/>
      <c r="D228" s="2"/>
      <c r="E228" s="2"/>
      <c r="F228" s="2"/>
      <c r="G228" s="2"/>
      <c r="H228" s="2"/>
    </row>
    <row r="229" ht="15.75" customHeight="1">
      <c r="A229" s="2"/>
      <c r="B229" s="2"/>
      <c r="C229" s="2"/>
      <c r="D229" s="2"/>
      <c r="E229" s="2"/>
      <c r="F229" s="2"/>
      <c r="G229" s="2"/>
      <c r="H229" s="2"/>
    </row>
    <row r="230" ht="15.75" customHeight="1">
      <c r="A230" s="2"/>
      <c r="B230" s="2"/>
      <c r="C230" s="2"/>
      <c r="D230" s="2"/>
      <c r="E230" s="2"/>
      <c r="F230" s="2"/>
      <c r="G230" s="2"/>
      <c r="H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sheetData>
  <mergeCells count="1">
    <mergeCell ref="A2:G2"/>
  </mergeCells>
  <dataValidations>
    <dataValidation type="list" allowBlank="1" sqref="B3">
      <formula1>Binders!$B$6:$B$155</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72C4"/>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8.0"/>
    <col customWidth="1" min="2" max="2" width="40.0"/>
    <col customWidth="1" min="3" max="3" width="70.0"/>
    <col customWidth="1" min="4" max="4" width="12.38"/>
    <col customWidth="1" min="5" max="5" width="17.63"/>
    <col customWidth="1" min="6" max="6" width="18.0"/>
    <col customWidth="1" min="7" max="7" width="14.5"/>
    <col customWidth="1" min="8" max="8" width="3.0"/>
    <col customWidth="1" min="9" max="9" width="19.88"/>
    <col customWidth="1" min="10" max="10" width="10.38"/>
    <col customWidth="1" min="11" max="11" width="16.0"/>
  </cols>
  <sheetData>
    <row r="1">
      <c r="A1" s="1" t="s">
        <v>71</v>
      </c>
      <c r="B1" s="19"/>
      <c r="C1" s="19"/>
      <c r="D1" s="19"/>
      <c r="E1" s="19"/>
      <c r="F1" s="19"/>
      <c r="G1" s="19"/>
      <c r="H1" s="19"/>
      <c r="I1" s="19"/>
      <c r="J1" s="19"/>
      <c r="K1" s="19"/>
      <c r="L1" s="19"/>
      <c r="M1" s="19"/>
      <c r="N1" s="19"/>
      <c r="O1" s="19"/>
      <c r="P1" s="19"/>
      <c r="Q1" s="19"/>
      <c r="R1" s="19"/>
      <c r="S1" s="19"/>
      <c r="T1" s="19"/>
      <c r="U1" s="19"/>
      <c r="V1" s="19"/>
      <c r="W1" s="19"/>
      <c r="X1" s="19"/>
      <c r="Y1" s="19"/>
      <c r="Z1" s="19"/>
    </row>
    <row r="2">
      <c r="A2" s="20" t="s">
        <v>72</v>
      </c>
      <c r="H2" s="19"/>
      <c r="I2" s="19"/>
      <c r="J2" s="19"/>
      <c r="K2" s="19"/>
      <c r="L2" s="19"/>
      <c r="M2" s="19"/>
      <c r="N2" s="19"/>
      <c r="O2" s="19"/>
      <c r="P2" s="19"/>
      <c r="Q2" s="19"/>
      <c r="R2" s="19"/>
      <c r="S2" s="19"/>
      <c r="T2" s="19"/>
      <c r="U2" s="19"/>
      <c r="V2" s="19"/>
      <c r="W2" s="19"/>
      <c r="X2" s="19"/>
      <c r="Y2" s="19"/>
      <c r="Z2" s="19"/>
    </row>
    <row r="3">
      <c r="A3" s="10" t="s">
        <v>73</v>
      </c>
      <c r="B3" s="19"/>
      <c r="C3" s="19"/>
      <c r="D3" s="21">
        <v>2.0</v>
      </c>
      <c r="E3" s="22">
        <v>1.0</v>
      </c>
      <c r="F3" s="23" t="s">
        <v>74</v>
      </c>
      <c r="G3" s="24" t="b">
        <v>0</v>
      </c>
      <c r="H3" s="19"/>
      <c r="I3" s="19"/>
      <c r="J3" s="19"/>
      <c r="K3" s="19"/>
      <c r="L3" s="19"/>
      <c r="M3" s="19"/>
      <c r="N3" s="19"/>
      <c r="O3" s="19"/>
      <c r="P3" s="19"/>
      <c r="Q3" s="19"/>
      <c r="R3" s="19"/>
      <c r="S3" s="19"/>
      <c r="T3" s="19"/>
      <c r="U3" s="19"/>
      <c r="V3" s="19"/>
      <c r="W3" s="19"/>
      <c r="X3" s="19"/>
      <c r="Y3" s="19"/>
      <c r="Z3" s="19"/>
    </row>
    <row r="4">
      <c r="A4" s="10" t="s">
        <v>75</v>
      </c>
      <c r="B4" s="21"/>
      <c r="C4" s="19"/>
      <c r="D4" s="19"/>
      <c r="E4" s="19"/>
      <c r="F4" s="19"/>
      <c r="G4" s="19"/>
      <c r="H4" s="19"/>
      <c r="I4" s="19"/>
      <c r="J4" s="19"/>
      <c r="K4" s="19"/>
      <c r="L4" s="19"/>
      <c r="M4" s="19"/>
      <c r="N4" s="19"/>
      <c r="O4" s="19"/>
      <c r="P4" s="19"/>
      <c r="Q4" s="19"/>
      <c r="R4" s="19"/>
      <c r="S4" s="19"/>
      <c r="T4" s="19"/>
      <c r="U4" s="19"/>
      <c r="V4" s="19"/>
      <c r="W4" s="19"/>
      <c r="X4" s="19"/>
      <c r="Y4" s="19"/>
      <c r="Z4" s="19"/>
    </row>
    <row r="5">
      <c r="A5" s="15" t="s">
        <v>76</v>
      </c>
      <c r="B5" s="15" t="s">
        <v>77</v>
      </c>
      <c r="C5" s="15" t="s">
        <v>78</v>
      </c>
      <c r="D5" s="15" t="s">
        <v>79</v>
      </c>
      <c r="E5" s="15" t="s">
        <v>80</v>
      </c>
      <c r="F5" s="15" t="s">
        <v>81</v>
      </c>
      <c r="G5" s="15" t="s">
        <v>82</v>
      </c>
      <c r="H5" s="19"/>
      <c r="I5" s="15" t="s">
        <v>68</v>
      </c>
      <c r="J5" s="15" t="s">
        <v>83</v>
      </c>
      <c r="K5" s="15" t="s">
        <v>84</v>
      </c>
      <c r="L5" s="19"/>
      <c r="M5" s="19"/>
      <c r="N5" s="19"/>
      <c r="O5" s="19"/>
      <c r="P5" s="19"/>
      <c r="Q5" s="19"/>
      <c r="R5" s="19"/>
      <c r="S5" s="19"/>
      <c r="T5" s="19"/>
      <c r="U5" s="19"/>
      <c r="V5" s="19"/>
      <c r="W5" s="19"/>
      <c r="X5" s="19"/>
      <c r="Y5" s="19"/>
    </row>
    <row r="6">
      <c r="A6" s="14">
        <f>IF(B6="","",1)</f>
        <v>1</v>
      </c>
      <c r="B6" s="8" t="str">
        <f t="array" ref="B6">IFERROR(INDEX('Binder Setup'!$B$2:$B$401,MATCH(1,'Binder Setup'!$G$2:$G$401,0)),"")</f>
        <v>Foundations</v>
      </c>
      <c r="C6" s="8" t="str">
        <f t="array" ref="C6">IF(B6="","",TEXTJOIN(", ",TRUE(),IF(('Binder Data'!$B$2:$B$6251=B6)*('Binder Data'!$E$2:$E$6251="Y"),'Binder Data'!$G$2:$G$6251,"")))</f>
        <v>Anim Pakal, Thousandth Moon [Deck 1], Arabella, Abandoned Doll [Deck 1], Blasphemous Act [Deck 1], Castle Embereth [Deck 1], Chief of the Foundry [Deck 1], Clifftop Retreat [Deck 1], Command Beacon [Deck 1], Command Tower [Deck 1], Dark-Dweller Oracle [Deck 1], Demolition Field [Deck 1], Exotic Orchard [Deck 1], Fountainport [Deck 1], Loyal Apprentice [Deck 1], Ornithopter of Paradise [Deck 1], Reckless Fireweaver [Deck 1], Sephara, Sky's Blade [Deck 1]</v>
      </c>
      <c r="D6" s="14">
        <f t="array" ref="D6">IF(B6="","",INDEX('Binder Setup'!$D$2:$D$401,MATCH(1,'Binder Setup'!$G$2:$G$401,0)))</f>
        <v>16</v>
      </c>
      <c r="E6" s="17">
        <f t="array" ref="E6">IF(B6="","",INDEX('Binder Setup'!$E$2:$E$401,MATCH(1,'Binder Setup'!$G$2:$G$401,0)))</f>
        <v>27.09</v>
      </c>
      <c r="F6" s="14" t="str">
        <f t="shared" ref="F6:F155" si="1">IF(B6="","",IF(OR(D6&gt;=$D$3,E6&gt;=$E$3),"Pull","Skip: buy elsewhere"))</f>
        <v>Pull</v>
      </c>
      <c r="G6" s="16" t="b">
        <v>0</v>
      </c>
      <c r="H6" s="19"/>
      <c r="I6" s="25" t="s">
        <v>85</v>
      </c>
      <c r="J6" s="25" t="b">
        <v>1</v>
      </c>
      <c r="K6" s="14">
        <f>IF(I6="","",COUNTIFS('Binder Data'!$Q$2:$Q$6251,I6,'Binder Data'!$D$2:$D$6251,"Needed"))</f>
        <v>0</v>
      </c>
      <c r="L6" s="19"/>
      <c r="M6" s="19"/>
      <c r="N6" s="19"/>
      <c r="O6" s="19"/>
      <c r="P6" s="19"/>
      <c r="Q6" s="19"/>
      <c r="R6" s="19"/>
      <c r="S6" s="19"/>
      <c r="T6" s="19"/>
      <c r="U6" s="19"/>
      <c r="V6" s="19"/>
      <c r="W6" s="19"/>
      <c r="X6" s="19"/>
      <c r="Y6" s="19"/>
    </row>
    <row r="7">
      <c r="A7" s="14">
        <f>IF(B7="","",2)</f>
        <v>2</v>
      </c>
      <c r="B7" s="8" t="str">
        <f t="array" ref="B7">IFERROR(INDEX('Binder Setup'!$B$2:$B$401,MATCH(2,'Binder Setup'!$G$2:$G$401,0)),"")</f>
        <v>Commander Box</v>
      </c>
      <c r="C7" s="8" t="str">
        <f t="array" ref="C7">IF(B7="","",TEXTJOIN(", ",TRUE(),IF(('Binder Data'!$B$2:$B$6251=B7)*('Binder Data'!$E$2:$E$6251="Y"),'Binder Data'!$G$2:$G$6251,"")))</f>
        <v>Rose, Cutthroat Raider [Deck 1], Scavenger Grounds [Deck 1], Sentinel Sarah Lyons [Deck 1], Spire of Industry [Deck 1], Steel Overseer [Deck 1], Sunscorched Divide [Deck 1], Talisman of Conviction [Deck 1], Wild Wasteland [Deck 1], Windbrisk Heights [Deck 1]</v>
      </c>
      <c r="D7" s="14">
        <f t="array" ref="D7">IF(B7="","",INDEX('Binder Setup'!$D$2:$D$401,MATCH(2,'Binder Setup'!$G$2:$G$401,0)))</f>
        <v>9</v>
      </c>
      <c r="E7" s="17">
        <f t="array" ref="E7">IF(B7="","",INDEX('Binder Setup'!$E$2:$E$401,MATCH(2,'Binder Setup'!$G$2:$G$401,0)))</f>
        <v>4.42</v>
      </c>
      <c r="F7" s="14" t="str">
        <f t="shared" si="1"/>
        <v>Pull</v>
      </c>
      <c r="G7" s="16" t="b">
        <v>0</v>
      </c>
      <c r="H7" s="19"/>
      <c r="I7" s="25" t="s">
        <v>86</v>
      </c>
      <c r="J7" s="25" t="b">
        <v>1</v>
      </c>
      <c r="K7" s="14">
        <f>IF(I7="","",COUNTIFS('Binder Data'!$Q$2:$Q$6251,I7,'Binder Data'!$D$2:$D$6251,"Needed"))</f>
        <v>68</v>
      </c>
      <c r="L7" s="19"/>
      <c r="M7" s="19"/>
      <c r="N7" s="19"/>
      <c r="O7" s="19"/>
      <c r="P7" s="19"/>
      <c r="Q7" s="19"/>
      <c r="R7" s="19"/>
      <c r="S7" s="19"/>
      <c r="T7" s="19"/>
      <c r="U7" s="19"/>
      <c r="V7" s="19"/>
      <c r="W7" s="19"/>
      <c r="X7" s="19"/>
      <c r="Y7" s="19"/>
    </row>
    <row r="8">
      <c r="A8" s="14">
        <f>IF(B8="","",3)</f>
        <v>3</v>
      </c>
      <c r="B8" s="8" t="str">
        <f t="array" ref="B8">IFERROR(INDEX('Binder Setup'!$B$2:$B$401,MATCH(3,'Binder Setup'!$G$2:$G$401,0)),"")</f>
        <v>Secret Lair Drop</v>
      </c>
      <c r="C8" s="8" t="str">
        <f t="array" ref="C8">IF(B8="","",TEXTJOIN(", ",TRUE(),IF(('Binder Data'!$B$2:$B$6251=B8)*('Binder Data'!$E$2:$E$6251="Y"),'Binder Data'!$G$2:$G$6251,"")))</f>
        <v>Battlefield Forge [Deck 1], Boros Signet [Deck 1], Chandra, Fire Artisan [Deck 1], Hex Magic [Deck 1], Patchwork Banner [Deck 1], Professional Face-Breaker [Deck 1]</v>
      </c>
      <c r="D8" s="14">
        <f t="array" ref="D8">IF(B8="","",INDEX('Binder Setup'!$D$2:$D$401,MATCH(3,'Binder Setup'!$G$2:$G$401,0)))</f>
        <v>6</v>
      </c>
      <c r="E8" s="17">
        <f t="array" ref="E8">IF(B8="","",INDEX('Binder Setup'!$E$2:$E$401,MATCH(3,'Binder Setup'!$G$2:$G$401,0)))</f>
        <v>116.87</v>
      </c>
      <c r="F8" s="14" t="str">
        <f t="shared" si="1"/>
        <v>Pull</v>
      </c>
      <c r="G8" s="16" t="b">
        <v>0</v>
      </c>
      <c r="H8" s="19"/>
      <c r="I8" s="25" t="s">
        <v>87</v>
      </c>
      <c r="J8" s="25" t="b">
        <v>1</v>
      </c>
      <c r="K8" s="14">
        <f>IF(I8="","",COUNTIFS('Binder Data'!$Q$2:$Q$6251,I8,'Binder Data'!$D$2:$D$6251,"Needed"))</f>
        <v>0</v>
      </c>
      <c r="L8" s="19"/>
      <c r="M8" s="19"/>
      <c r="N8" s="19"/>
      <c r="O8" s="19"/>
      <c r="P8" s="19"/>
      <c r="Q8" s="19"/>
      <c r="R8" s="19"/>
      <c r="S8" s="19"/>
      <c r="T8" s="19"/>
      <c r="U8" s="19"/>
      <c r="V8" s="19"/>
      <c r="W8" s="19"/>
      <c r="X8" s="19"/>
      <c r="Y8" s="19"/>
    </row>
    <row r="9">
      <c r="A9" s="14">
        <f>IF(B9="","",4)</f>
        <v>4</v>
      </c>
      <c r="B9" s="8" t="str">
        <f t="array" ref="B9">IFERROR(INDEX('Binder Setup'!$B$2:$B$401,MATCH(4,'Binder Setup'!$G$2:$G$401,0)),"")</f>
        <v>Commander Masters</v>
      </c>
      <c r="C9" s="8" t="str">
        <f t="array" ref="C9">IF(B9="","",TEXTJOIN(", ",TRUE(),IF(('Binder Data'!$B$2:$B$6251=B9)*('Binder Data'!$E$2:$E$6251="Y"),'Binder Data'!$G$2:$G$6251,"")))</f>
        <v>Chandra, Torch of Defiance [Deck 1], Furycalm Snarl [Deck 1], Losheel, Clockwork Scholar [Deck 1], Rugged Prairie [Deck 1]</v>
      </c>
      <c r="D9" s="14">
        <f t="array" ref="D9">IF(B9="","",INDEX('Binder Setup'!$D$2:$D$401,MATCH(4,'Binder Setup'!$G$2:$G$401,0)))</f>
        <v>4</v>
      </c>
      <c r="E9" s="17">
        <f t="array" ref="E9">IF(B9="","",INDEX('Binder Setup'!$E$2:$E$401,MATCH(4,'Binder Setup'!$G$2:$G$401,0)))</f>
        <v>6.97</v>
      </c>
      <c r="F9" s="14" t="str">
        <f t="shared" si="1"/>
        <v>Pull</v>
      </c>
      <c r="G9" s="16" t="b">
        <v>0</v>
      </c>
      <c r="H9" s="19"/>
      <c r="I9" s="25" t="s">
        <v>88</v>
      </c>
      <c r="J9" s="25" t="b">
        <v>1</v>
      </c>
      <c r="K9" s="14">
        <f>IF(I9="","",COUNTIFS('Binder Data'!$Q$2:$Q$6251,I9,'Binder Data'!$D$2:$D$6251,"Needed"))</f>
        <v>0</v>
      </c>
      <c r="L9" s="19"/>
      <c r="M9" s="19"/>
      <c r="N9" s="19"/>
      <c r="O9" s="19"/>
      <c r="P9" s="19"/>
      <c r="Q9" s="19"/>
      <c r="R9" s="19"/>
      <c r="S9" s="19"/>
      <c r="T9" s="19"/>
      <c r="U9" s="19"/>
      <c r="V9" s="19"/>
      <c r="W9" s="19"/>
      <c r="X9" s="19"/>
      <c r="Y9" s="19"/>
    </row>
    <row r="10">
      <c r="A10" s="14">
        <f>IF(B10="","",5)</f>
        <v>5</v>
      </c>
      <c r="B10" s="8" t="str">
        <f t="array" ref="B10">IFERROR(INDEX('Binder Setup'!$B$2:$B$401,MATCH(5,'Binder Setup'!$G$2:$G$401,0)),"")</f>
        <v>Tarkir: Dragonstorm Commander</v>
      </c>
      <c r="C10" s="8" t="str">
        <f t="array" ref="C10">IF(B10="","",TEXTJOIN(", ",TRUE(),IF(('Binder Data'!$B$2:$B$6251=B10)*('Binder Data'!$E$2:$E$6251="Y"),'Binder Data'!$G$2:$G$6251,"")))</f>
        <v>Welcoming Vampire [Deck 1]</v>
      </c>
      <c r="D10" s="14">
        <f t="array" ref="D10">IF(B10="","",INDEX('Binder Setup'!$D$2:$D$401,MATCH(5,'Binder Setup'!$G$2:$G$401,0)))</f>
        <v>1</v>
      </c>
      <c r="E10" s="17">
        <f t="array" ref="E10">IF(B10="","",INDEX('Binder Setup'!$E$2:$E$401,MATCH(5,'Binder Setup'!$G$2:$G$401,0)))</f>
        <v>3.22</v>
      </c>
      <c r="F10" s="14" t="str">
        <f t="shared" si="1"/>
        <v>Pull</v>
      </c>
      <c r="G10" s="16" t="b">
        <v>0</v>
      </c>
      <c r="H10" s="19"/>
      <c r="I10" s="25" t="s">
        <v>89</v>
      </c>
      <c r="J10" s="25" t="b">
        <v>1</v>
      </c>
      <c r="K10" s="14">
        <f>IF(I10="","",COUNTIFS('Binder Data'!$Q$2:$Q$6251,I10,'Binder Data'!$D$2:$D$6251,"Needed"))</f>
        <v>0</v>
      </c>
      <c r="L10" s="19"/>
      <c r="M10" s="19"/>
      <c r="N10" s="19"/>
      <c r="O10" s="19"/>
      <c r="P10" s="19"/>
      <c r="Q10" s="19"/>
      <c r="R10" s="19"/>
      <c r="S10" s="19"/>
      <c r="T10" s="19"/>
      <c r="U10" s="19"/>
      <c r="V10" s="19"/>
      <c r="W10" s="19"/>
      <c r="X10" s="19"/>
      <c r="Y10" s="19"/>
    </row>
    <row r="11">
      <c r="A11" s="14">
        <f>IF(B11="","",6)</f>
        <v>6</v>
      </c>
      <c r="B11" s="8" t="str">
        <f t="array" ref="B11">IFERROR(INDEX('Binder Setup'!$B$2:$B$401,MATCH(6,'Binder Setup'!$G$2:$G$401,0)),"")</f>
        <v>Secrets of Strixhaven Commander</v>
      </c>
      <c r="C11" s="8" t="str">
        <f t="array" ref="C11">IF(B11="","",TEXTJOIN(", ",TRUE(),IF(('Binder Data'!$B$2:$B$6251=B11)*('Binder Data'!$E$2:$E$6251="Y"),'Binder Data'!$G$2:$G$6251,"")))</f>
        <v>Laelia, the Blade Reforged [Deck 1], Radiant Summit [Deck 1]</v>
      </c>
      <c r="D11" s="14">
        <f t="array" ref="D11">IF(B11="","",INDEX('Binder Setup'!$D$2:$D$401,MATCH(6,'Binder Setup'!$G$2:$G$401,0)))</f>
        <v>2</v>
      </c>
      <c r="E11" s="17">
        <f t="array" ref="E11">IF(B11="","",INDEX('Binder Setup'!$E$2:$E$401,MATCH(6,'Binder Setup'!$G$2:$G$401,0)))</f>
        <v>0.77</v>
      </c>
      <c r="F11" s="14" t="str">
        <f t="shared" si="1"/>
        <v>Pull</v>
      </c>
      <c r="G11" s="16" t="b">
        <v>0</v>
      </c>
      <c r="H11" s="19"/>
      <c r="I11" s="25" t="s">
        <v>90</v>
      </c>
      <c r="J11" s="25" t="b">
        <v>1</v>
      </c>
      <c r="K11" s="14">
        <f>IF(I11="","",COUNTIFS('Binder Data'!$Q$2:$Q$6251,I11,'Binder Data'!$D$2:$D$6251,"Needed"))</f>
        <v>0</v>
      </c>
      <c r="L11" s="19"/>
      <c r="M11" s="19"/>
      <c r="N11" s="19"/>
      <c r="O11" s="19"/>
      <c r="P11" s="19"/>
      <c r="Q11" s="19"/>
      <c r="R11" s="19"/>
      <c r="S11" s="19"/>
      <c r="T11" s="19"/>
      <c r="U11" s="19"/>
      <c r="V11" s="19"/>
      <c r="W11" s="19"/>
      <c r="X11" s="19"/>
      <c r="Y11" s="19"/>
    </row>
    <row r="12">
      <c r="A12" s="14">
        <f>IF(B12="","",7)</f>
        <v>7</v>
      </c>
      <c r="B12" s="8" t="str">
        <f t="array" ref="B12">IFERROR(INDEX('Binder Setup'!$B$2:$B$401,MATCH(7,'Binder Setup'!$G$2:$G$401,0)),"")</f>
        <v>Commander 2021</v>
      </c>
      <c r="C12" s="8" t="str">
        <f t="array" ref="C12">IF(B12="","",TEXTJOIN(", ",TRUE(),IF(('Binder Data'!$B$2:$B$6251=B12)*('Binder Data'!$E$2:$E$6251="Y"),'Binder Data'!$G$2:$G$6251,"")))</f>
        <v>Jor Kadeen, the Prevailer [Deck 1], Pia Nalaar [Deck 1]</v>
      </c>
      <c r="D12" s="14">
        <f t="array" ref="D12">IF(B12="","",INDEX('Binder Setup'!$D$2:$D$401,MATCH(7,'Binder Setup'!$G$2:$G$401,0)))</f>
        <v>2</v>
      </c>
      <c r="E12" s="17">
        <f t="array" ref="E12">IF(B12="","",INDEX('Binder Setup'!$E$2:$E$401,MATCH(7,'Binder Setup'!$G$2:$G$401,0)))</f>
        <v>0.6</v>
      </c>
      <c r="F12" s="14" t="str">
        <f t="shared" si="1"/>
        <v>Pull</v>
      </c>
      <c r="G12" s="16" t="b">
        <v>0</v>
      </c>
      <c r="H12" s="19"/>
      <c r="I12" s="26"/>
      <c r="J12" s="25" t="b">
        <v>0</v>
      </c>
      <c r="K12" s="14" t="str">
        <f>IF(I12="","",COUNTIFS('Binder Data'!$Q$2:$Q$6251,I12,'Binder Data'!$D$2:$D$6251,"Needed"))</f>
        <v/>
      </c>
      <c r="L12" s="19"/>
      <c r="M12" s="19"/>
      <c r="N12" s="19"/>
      <c r="O12" s="19"/>
      <c r="P12" s="19"/>
      <c r="Q12" s="19"/>
      <c r="R12" s="19"/>
      <c r="S12" s="19"/>
      <c r="T12" s="19"/>
      <c r="U12" s="19"/>
      <c r="V12" s="19"/>
      <c r="W12" s="19"/>
      <c r="X12" s="19"/>
      <c r="Y12" s="19"/>
    </row>
    <row r="13">
      <c r="A13" s="14">
        <f>IF(B13="","",8)</f>
        <v>8</v>
      </c>
      <c r="B13" s="8" t="str">
        <f t="array" ref="B13">IFERROR(INDEX('Binder Setup'!$B$2:$B$401,MATCH(8,'Binder Setup'!$G$2:$G$401,0)),"")</f>
        <v>Edge of Eternities Commander</v>
      </c>
      <c r="C13" s="8" t="str">
        <f t="array" ref="C13">IF(B13="","",TEXTJOIN(", ",TRUE(),IF(('Binder Data'!$B$2:$B$6251=B13)*('Binder Data'!$E$2:$E$6251="Y"),'Binder Data'!$G$2:$G$6251,"")))</f>
        <v>Long-Range Sensor [Deck 1]</v>
      </c>
      <c r="D13" s="14">
        <f t="array" ref="D13">IF(B13="","",INDEX('Binder Setup'!$D$2:$D$401,MATCH(8,'Binder Setup'!$G$2:$G$401,0)))</f>
        <v>1</v>
      </c>
      <c r="E13" s="17">
        <f t="array" ref="E13">IF(B13="","",INDEX('Binder Setup'!$E$2:$E$401,MATCH(8,'Binder Setup'!$G$2:$G$401,0)))</f>
        <v>0.28</v>
      </c>
      <c r="F13" s="14" t="str">
        <f t="shared" si="1"/>
        <v>Skip: buy elsewhere</v>
      </c>
      <c r="G13" s="16" t="b">
        <v>0</v>
      </c>
      <c r="H13" s="19"/>
      <c r="I13" s="26"/>
      <c r="J13" s="25" t="b">
        <v>0</v>
      </c>
      <c r="K13" s="14" t="str">
        <f>IF(I13="","",COUNTIFS('Binder Data'!$Q$2:$Q$6251,I13,'Binder Data'!$D$2:$D$6251,"Needed"))</f>
        <v/>
      </c>
      <c r="L13" s="19"/>
      <c r="M13" s="19"/>
      <c r="N13" s="19"/>
      <c r="O13" s="19"/>
      <c r="P13" s="19"/>
      <c r="Q13" s="19"/>
      <c r="R13" s="19"/>
      <c r="S13" s="19"/>
      <c r="T13" s="19"/>
      <c r="U13" s="19"/>
      <c r="V13" s="19"/>
      <c r="W13" s="19"/>
      <c r="X13" s="19"/>
      <c r="Y13" s="19"/>
    </row>
    <row r="14">
      <c r="A14" s="14">
        <f>IF(B14="","",9)</f>
        <v>9</v>
      </c>
      <c r="B14" s="8" t="str">
        <f t="array" ref="B14">IFERROR(INDEX('Binder Setup'!$B$2:$B$401,MATCH(9,'Binder Setup'!$G$2:$G$401,0)),"")</f>
        <v>Phyrexia: All Will Be One Commander</v>
      </c>
      <c r="C14" s="8" t="str">
        <f t="array" ref="C14">IF(B14="","",TEXTJOIN(", ",TRUE(),IF(('Binder Data'!$B$2:$B$6251=B14)*('Binder Data'!$E$2:$E$6251="Y"),'Binder Data'!$G$2:$G$6251,"")))</f>
        <v>Neyali, Suns' Vanguard [Deck 1]</v>
      </c>
      <c r="D14" s="14">
        <f t="array" ref="D14">IF(B14="","",INDEX('Binder Setup'!$D$2:$D$401,MATCH(9,'Binder Setup'!$G$2:$G$401,0)))</f>
        <v>1</v>
      </c>
      <c r="E14" s="17">
        <f t="array" ref="E14">IF(B14="","",INDEX('Binder Setup'!$E$2:$E$401,MATCH(9,'Binder Setup'!$G$2:$G$401,0)))</f>
        <v>0.39</v>
      </c>
      <c r="F14" s="14" t="str">
        <f t="shared" si="1"/>
        <v>Skip: buy elsewhere</v>
      </c>
      <c r="G14" s="16" t="b">
        <v>0</v>
      </c>
      <c r="H14" s="19"/>
      <c r="I14" s="26"/>
      <c r="J14" s="25" t="b">
        <v>0</v>
      </c>
      <c r="K14" s="14" t="str">
        <f>IF(I14="","",COUNTIFS('Binder Data'!$Q$2:$Q$6251,I14,'Binder Data'!$D$2:$D$6251,"Needed"))</f>
        <v/>
      </c>
      <c r="L14" s="19"/>
      <c r="M14" s="19"/>
      <c r="N14" s="19"/>
      <c r="O14" s="19"/>
      <c r="P14" s="19"/>
      <c r="Q14" s="19"/>
      <c r="R14" s="19"/>
      <c r="S14" s="19"/>
      <c r="T14" s="19"/>
      <c r="U14" s="19"/>
      <c r="V14" s="19"/>
      <c r="W14" s="19"/>
      <c r="X14" s="19"/>
      <c r="Y14" s="19"/>
    </row>
    <row r="15">
      <c r="A15" s="14">
        <f>IF(B15="","",10)</f>
        <v>10</v>
      </c>
      <c r="B15" s="8" t="str">
        <f t="array" ref="B15">IFERROR(INDEX('Binder Setup'!$B$2:$B$401,MATCH(10,'Binder Setup'!$G$2:$G$401,0)),"")</f>
        <v>Aetherdrift Commander</v>
      </c>
      <c r="C15" s="8" t="str">
        <f t="array" ref="C15">IF(B15="","",TEXTJOIN(", ",TRUE(),IF(('Binder Data'!$B$2:$B$6251=B15)*('Binder Data'!$E$2:$E$6251="Y"),'Binder Data'!$G$2:$G$6251,"")))</f>
        <v>Retrofitter Foundry [Deck 1], Stridehangar Automaton [Deck 1]</v>
      </c>
      <c r="D15" s="14">
        <f t="array" ref="D15">IF(B15="","",INDEX('Binder Setup'!$D$2:$D$401,MATCH(10,'Binder Setup'!$G$2:$G$401,0)))</f>
        <v>2</v>
      </c>
      <c r="E15" s="17">
        <f t="array" ref="E15">IF(B15="","",INDEX('Binder Setup'!$E$2:$E$401,MATCH(10,'Binder Setup'!$G$2:$G$401,0)))</f>
        <v>2.55</v>
      </c>
      <c r="F15" s="14" t="str">
        <f t="shared" si="1"/>
        <v>Pull</v>
      </c>
      <c r="G15" s="16" t="b">
        <v>0</v>
      </c>
      <c r="H15" s="19"/>
      <c r="I15" s="26"/>
      <c r="J15" s="25" t="b">
        <v>0</v>
      </c>
      <c r="K15" s="14" t="str">
        <f>IF(I15="","",COUNTIFS('Binder Data'!$Q$2:$Q$6251,I15,'Binder Data'!$D$2:$D$6251,"Needed"))</f>
        <v/>
      </c>
      <c r="L15" s="19"/>
      <c r="M15" s="19"/>
      <c r="N15" s="19"/>
      <c r="O15" s="19"/>
      <c r="P15" s="19"/>
      <c r="Q15" s="19"/>
      <c r="R15" s="19"/>
      <c r="S15" s="19"/>
      <c r="T15" s="19"/>
      <c r="U15" s="19"/>
      <c r="V15" s="19"/>
      <c r="W15" s="19"/>
      <c r="X15" s="19"/>
      <c r="Y15" s="19"/>
    </row>
    <row r="16">
      <c r="A16" s="14">
        <f>IF(B16="","",11)</f>
        <v>11</v>
      </c>
      <c r="B16" s="8" t="str">
        <f t="array" ref="B16">IFERROR(INDEX('Binder Setup'!$B$2:$B$401,MATCH(11,'Binder Setup'!$G$2:$G$401,0)),"")</f>
        <v>Foundations Commander</v>
      </c>
      <c r="C16" s="8" t="str">
        <f t="array" ref="C16">IF(B16="","",TEXTJOIN(", ",TRUE(),IF(('Binder Data'!$B$2:$B$6251=B16)*('Binder Data'!$E$2:$E$6251="Y"),'Binder Data'!$G$2:$G$6251,"")))</f>
        <v>Count on Luck [Deck 1]</v>
      </c>
      <c r="D16" s="14">
        <f t="array" ref="D16">IF(B16="","",INDEX('Binder Setup'!$D$2:$D$401,MATCH(11,'Binder Setup'!$G$2:$G$401,0)))</f>
        <v>1</v>
      </c>
      <c r="E16" s="17">
        <f t="array" ref="E16">IF(B16="","",INDEX('Binder Setup'!$E$2:$E$401,MATCH(11,'Binder Setup'!$G$2:$G$401,0)))</f>
        <v>0.32</v>
      </c>
      <c r="F16" s="14" t="str">
        <f t="shared" si="1"/>
        <v>Skip: buy elsewhere</v>
      </c>
      <c r="G16" s="16" t="b">
        <v>0</v>
      </c>
      <c r="H16" s="19"/>
      <c r="I16" s="26"/>
      <c r="J16" s="25" t="b">
        <v>0</v>
      </c>
      <c r="K16" s="14" t="str">
        <f>IF(I16="","",COUNTIFS('Binder Data'!$Q$2:$Q$6251,I16,'Binder Data'!$D$2:$D$6251,"Needed"))</f>
        <v/>
      </c>
      <c r="L16" s="19"/>
      <c r="M16" s="19"/>
      <c r="N16" s="19"/>
      <c r="O16" s="19"/>
      <c r="P16" s="19"/>
      <c r="Q16" s="19"/>
      <c r="R16" s="19"/>
      <c r="S16" s="19"/>
      <c r="T16" s="19"/>
      <c r="U16" s="19"/>
      <c r="V16" s="19"/>
      <c r="W16" s="19"/>
      <c r="X16" s="19"/>
      <c r="Y16" s="19"/>
    </row>
    <row r="17">
      <c r="A17" s="14">
        <f>IF(B17="","",12)</f>
        <v>12</v>
      </c>
      <c r="B17" s="8" t="str">
        <f t="array" ref="B17">IFERROR(INDEX('Binder Setup'!$B$2:$B$401,MATCH(12,'Binder Setup'!$G$2:$G$401,0)),"")</f>
        <v>The Brothers' War Commander</v>
      </c>
      <c r="C17" s="8" t="str">
        <f t="array" ref="C17">IF(B17="","",TEXTJOIN(", ",TRUE(),IF(('Binder Data'!$B$2:$B$6251=B17)*('Binder Data'!$E$2:$E$6251="Y"),'Binder Data'!$G$2:$G$6251,"")))</f>
        <v>Thopter Shop [Deck 1]</v>
      </c>
      <c r="D17" s="14">
        <f t="array" ref="D17">IF(B17="","",INDEX('Binder Setup'!$D$2:$D$401,MATCH(12,'Binder Setup'!$G$2:$G$401,0)))</f>
        <v>1</v>
      </c>
      <c r="E17" s="17">
        <f t="array" ref="E17">IF(B17="","",INDEX('Binder Setup'!$E$2:$E$401,MATCH(12,'Binder Setup'!$G$2:$G$401,0)))</f>
        <v>0.47</v>
      </c>
      <c r="F17" s="14" t="str">
        <f t="shared" si="1"/>
        <v>Skip: buy elsewhere</v>
      </c>
      <c r="G17" s="16" t="b">
        <v>0</v>
      </c>
      <c r="H17" s="19"/>
      <c r="I17" s="26"/>
      <c r="J17" s="25" t="b">
        <v>0</v>
      </c>
      <c r="K17" s="14" t="str">
        <f>IF(I17="","",COUNTIFS('Binder Data'!$Q$2:$Q$6251,I17,'Binder Data'!$D$2:$D$6251,"Needed"))</f>
        <v/>
      </c>
      <c r="L17" s="19"/>
      <c r="M17" s="19"/>
      <c r="N17" s="19"/>
      <c r="O17" s="19"/>
      <c r="P17" s="19"/>
      <c r="Q17" s="19"/>
      <c r="R17" s="19"/>
      <c r="S17" s="19"/>
      <c r="T17" s="19"/>
      <c r="U17" s="19"/>
      <c r="V17" s="19"/>
      <c r="W17" s="19"/>
      <c r="X17" s="19"/>
      <c r="Y17" s="19"/>
    </row>
    <row r="18">
      <c r="A18" s="14">
        <f>IF(B18="","",13)</f>
        <v>13</v>
      </c>
      <c r="B18" s="8" t="str">
        <f t="array" ref="B18">IFERROR(INDEX('Binder Setup'!$B$2:$B$401,MATCH(13,'Binder Setup'!$G$2:$G$401,0)),"")</f>
        <v>Commander Legends: Battle for Baldur's Gate</v>
      </c>
      <c r="C18" s="8" t="str">
        <f t="array" ref="C18">IF(B18="","",TEXTJOIN(", ",TRUE(),IF(('Binder Data'!$B$2:$B$6251=B18)*('Binder Data'!$E$2:$E$6251="Y"),'Binder Data'!$G$2:$G$6251,"")))</f>
        <v>Ingenious Artillerist [Deck 1]</v>
      </c>
      <c r="D18" s="14">
        <f t="array" ref="D18">IF(B18="","",INDEX('Binder Setup'!$D$2:$D$401,MATCH(13,'Binder Setup'!$G$2:$G$401,0)))</f>
        <v>1</v>
      </c>
      <c r="E18" s="17">
        <f t="array" ref="E18">IF(B18="","",INDEX('Binder Setup'!$E$2:$E$401,MATCH(13,'Binder Setup'!$G$2:$G$401,0)))</f>
        <v>2.21</v>
      </c>
      <c r="F18" s="14" t="str">
        <f t="shared" si="1"/>
        <v>Pull</v>
      </c>
      <c r="G18" s="16" t="b">
        <v>0</v>
      </c>
      <c r="H18" s="19"/>
      <c r="I18" s="26"/>
      <c r="J18" s="25" t="b">
        <v>0</v>
      </c>
      <c r="K18" s="14" t="str">
        <f>IF(I18="","",COUNTIFS('Binder Data'!$Q$2:$Q$6251,I18,'Binder Data'!$D$2:$D$6251,"Needed"))</f>
        <v/>
      </c>
      <c r="L18" s="19"/>
      <c r="M18" s="19"/>
      <c r="N18" s="19"/>
      <c r="O18" s="19"/>
      <c r="P18" s="19"/>
      <c r="Q18" s="19"/>
      <c r="R18" s="19"/>
      <c r="S18" s="19"/>
      <c r="T18" s="19"/>
      <c r="U18" s="19"/>
      <c r="V18" s="19"/>
      <c r="W18" s="19"/>
      <c r="X18" s="19"/>
      <c r="Y18" s="19"/>
    </row>
    <row r="19">
      <c r="A19" s="14">
        <f>IF(B19="","",14)</f>
        <v>14</v>
      </c>
      <c r="B19" s="8" t="str">
        <f t="array" ref="B19">IFERROR(INDEX('Binder Setup'!$B$2:$B$401,MATCH(14,'Binder Setup'!$G$2:$G$401,0)),"")</f>
        <v>Doctor Who</v>
      </c>
      <c r="C19" s="8" t="str">
        <f t="array" ref="C19">IF(B19="","",TEXTJOIN(", ",TRUE(),IF(('Binder Data'!$B$2:$B$6251=B19)*('Binder Data'!$E$2:$E$6251="Y"),'Binder Data'!$G$2:$G$6251,"")))</f>
        <v>Sunbaked Canyon [Deck 1], Sundown Pass [Deck 1]</v>
      </c>
      <c r="D19" s="14">
        <f t="array" ref="D19">IF(B19="","",INDEX('Binder Setup'!$D$2:$D$401,MATCH(14,'Binder Setup'!$G$2:$G$401,0)))</f>
        <v>2</v>
      </c>
      <c r="E19" s="17">
        <f t="array" ref="E19">IF(B19="","",INDEX('Binder Setup'!$E$2:$E$401,MATCH(14,'Binder Setup'!$G$2:$G$401,0)))</f>
        <v>7.45</v>
      </c>
      <c r="F19" s="14" t="str">
        <f t="shared" si="1"/>
        <v>Pull</v>
      </c>
      <c r="G19" s="16" t="b">
        <v>0</v>
      </c>
      <c r="H19" s="19"/>
      <c r="I19" s="26"/>
      <c r="J19" s="25" t="b">
        <v>0</v>
      </c>
      <c r="K19" s="14" t="str">
        <f>IF(I19="","",COUNTIFS('Binder Data'!$Q$2:$Q$6251,I19,'Binder Data'!$D$2:$D$6251,"Needed"))</f>
        <v/>
      </c>
      <c r="L19" s="19"/>
      <c r="M19" s="19"/>
      <c r="N19" s="19"/>
      <c r="O19" s="19"/>
      <c r="P19" s="19"/>
      <c r="Q19" s="19"/>
      <c r="R19" s="19"/>
      <c r="S19" s="19"/>
      <c r="T19" s="19"/>
      <c r="U19" s="19"/>
      <c r="V19" s="19"/>
      <c r="W19" s="19"/>
      <c r="X19" s="19"/>
      <c r="Y19" s="19"/>
    </row>
    <row r="20">
      <c r="A20" s="14">
        <f>IF(B20="","",15)</f>
        <v>15</v>
      </c>
      <c r="B20" s="8" t="str">
        <f t="array" ref="B20">IFERROR(INDEX('Binder Setup'!$B$2:$B$401,MATCH(15,'Binder Setup'!$G$2:$G$401,0)),"")</f>
        <v>Kaladesh</v>
      </c>
      <c r="C20" s="8" t="str">
        <f t="array" ref="C20">IF(B20="","",TEXTJOIN(", ",TRUE(),IF(('Binder Data'!$B$2:$B$6251=B20)*('Binder Data'!$E$2:$E$6251="Y"),'Binder Data'!$G$2:$G$6251,"")))</f>
        <v>Master Trinketeer [Deck 1]</v>
      </c>
      <c r="D20" s="14">
        <f t="array" ref="D20">IF(B20="","",INDEX('Binder Setup'!$D$2:$D$401,MATCH(15,'Binder Setup'!$G$2:$G$401,0)))</f>
        <v>1</v>
      </c>
      <c r="E20" s="17">
        <f t="array" ref="E20">IF(B20="","",INDEX('Binder Setup'!$E$2:$E$401,MATCH(15,'Binder Setup'!$G$2:$G$401,0)))</f>
        <v>0.24</v>
      </c>
      <c r="F20" s="14" t="str">
        <f t="shared" si="1"/>
        <v>Skip: buy elsewhere</v>
      </c>
      <c r="G20" s="16" t="b">
        <v>0</v>
      </c>
      <c r="H20" s="19"/>
      <c r="I20" s="26"/>
      <c r="J20" s="25" t="b">
        <v>0</v>
      </c>
      <c r="K20" s="14" t="str">
        <f>IF(I20="","",COUNTIFS('Binder Data'!$Q$2:$Q$6251,I20,'Binder Data'!$D$2:$D$6251,"Needed"))</f>
        <v/>
      </c>
      <c r="L20" s="19"/>
      <c r="M20" s="19"/>
      <c r="N20" s="19"/>
      <c r="O20" s="19"/>
      <c r="P20" s="19"/>
      <c r="Q20" s="19"/>
      <c r="R20" s="19"/>
      <c r="S20" s="19"/>
      <c r="T20" s="19"/>
      <c r="U20" s="19"/>
      <c r="V20" s="19"/>
      <c r="W20" s="19"/>
      <c r="X20" s="19"/>
      <c r="Y20" s="19"/>
    </row>
    <row r="21" ht="15.75" customHeight="1">
      <c r="A21" s="14">
        <f>IF(B21="","",16)</f>
        <v>16</v>
      </c>
      <c r="B21" s="8" t="str">
        <f t="array" ref="B21">IFERROR(INDEX('Binder Setup'!$B$2:$B$401,MATCH(16,'Binder Setup'!$G$2:$G$401,0)),"")</f>
        <v>March of the Machine Commander</v>
      </c>
      <c r="C21" s="8" t="str">
        <f t="array" ref="C21">IF(B21="","",TEXTJOIN(", ",TRUE(),IF(('Binder Data'!$B$2:$B$6251=B21)*('Binder Data'!$E$2:$E$6251="Y"),'Binder Data'!$G$2:$G$6251,"")))</f>
        <v>Hedron Detonator [Deck 1]</v>
      </c>
      <c r="D21" s="14">
        <f t="array" ref="D21">IF(B21="","",INDEX('Binder Setup'!$D$2:$D$401,MATCH(16,'Binder Setup'!$G$2:$G$401,0)))</f>
        <v>1</v>
      </c>
      <c r="E21" s="17">
        <f t="array" ref="E21">IF(B21="","",INDEX('Binder Setup'!$E$2:$E$401,MATCH(16,'Binder Setup'!$G$2:$G$401,0)))</f>
        <v>7.65</v>
      </c>
      <c r="F21" s="14" t="str">
        <f t="shared" si="1"/>
        <v>Pull</v>
      </c>
      <c r="G21" s="16" t="b">
        <v>0</v>
      </c>
      <c r="H21" s="19"/>
      <c r="I21" s="26"/>
      <c r="J21" s="25" t="b">
        <v>0</v>
      </c>
      <c r="K21" s="14" t="str">
        <f>IF(I21="","",COUNTIFS('Binder Data'!$Q$2:$Q$6251,I21,'Binder Data'!$D$2:$D$6251,"Needed"))</f>
        <v/>
      </c>
      <c r="L21" s="19"/>
      <c r="M21" s="19"/>
      <c r="N21" s="19"/>
      <c r="O21" s="19"/>
      <c r="P21" s="19"/>
      <c r="Q21" s="19"/>
      <c r="R21" s="19"/>
      <c r="S21" s="19"/>
      <c r="T21" s="19"/>
      <c r="U21" s="19"/>
      <c r="V21" s="19"/>
      <c r="W21" s="19"/>
      <c r="X21" s="19"/>
      <c r="Y21" s="19"/>
    </row>
    <row r="22" ht="15.75" customHeight="1">
      <c r="A22" s="14">
        <f>IF(B22="","",17)</f>
        <v>17</v>
      </c>
      <c r="B22" s="8" t="str">
        <f t="array" ref="B22">IFERROR(INDEX('Binder Setup'!$B$2:$B$401,MATCH(17,'Binder Setup'!$G$2:$G$401,0)),"")</f>
        <v>Modern Horizons 3</v>
      </c>
      <c r="C22" s="8" t="str">
        <f t="array" ref="C22">IF(B22="","",TEXTJOIN(", ",TRUE(),IF(('Binder Data'!$B$2:$B$6251=B22)*('Binder Data'!$E$2:$E$6251="Y"),'Binder Data'!$G$2:$G$6251,"")))</f>
        <v>Molten Gatekeeper [Deck 1], Party Thrasher [Deck 1], Unstable Amulet [Deck 1]</v>
      </c>
      <c r="D22" s="14">
        <f t="array" ref="D22">IF(B22="","",INDEX('Binder Setup'!$D$2:$D$401,MATCH(17,'Binder Setup'!$G$2:$G$401,0)))</f>
        <v>3</v>
      </c>
      <c r="E22" s="17">
        <f t="array" ref="E22">IF(B22="","",INDEX('Binder Setup'!$E$2:$E$401,MATCH(17,'Binder Setup'!$G$2:$G$401,0)))</f>
        <v>1.02</v>
      </c>
      <c r="F22" s="14" t="str">
        <f t="shared" si="1"/>
        <v>Pull</v>
      </c>
      <c r="G22" s="16" t="b">
        <v>0</v>
      </c>
      <c r="H22" s="19"/>
      <c r="I22" s="26"/>
      <c r="J22" s="25" t="b">
        <v>0</v>
      </c>
      <c r="K22" s="14" t="str">
        <f>IF(I22="","",COUNTIFS('Binder Data'!$Q$2:$Q$6251,I22,'Binder Data'!$D$2:$D$6251,"Needed"))</f>
        <v/>
      </c>
      <c r="L22" s="19"/>
      <c r="M22" s="19"/>
      <c r="N22" s="19"/>
      <c r="O22" s="19"/>
      <c r="P22" s="19"/>
      <c r="Q22" s="19"/>
      <c r="R22" s="19"/>
      <c r="S22" s="19"/>
      <c r="T22" s="19"/>
      <c r="U22" s="19"/>
      <c r="V22" s="19"/>
      <c r="W22" s="19"/>
      <c r="X22" s="19"/>
      <c r="Y22" s="19"/>
    </row>
    <row r="23" ht="15.75" hidden="1" customHeight="1">
      <c r="A23" s="14">
        <f>IF(B23="","",18)</f>
        <v>18</v>
      </c>
      <c r="B23" s="8" t="str">
        <f t="array" ref="B23">IFERROR(INDEX('Binder Setup'!$B$2:$B$401,MATCH(18,'Binder Setup'!$G$2:$G$401,0)),"")</f>
        <v>Duskmourn: House of Horror</v>
      </c>
      <c r="C23" s="8" t="str">
        <f t="array" ref="C23">IF(B23="","",TEXTJOIN(", ",TRUE(),IF(('Binder Data'!$B$2:$B$6251=B23)*('Binder Data'!$E$2:$E$6251="Y"),'Binder Data'!$G$2:$G$6251,"")))</f>
        <v>Dollmaker's Shop // Porcelain Gallery [Deck 1]</v>
      </c>
      <c r="D23" s="14">
        <f t="array" ref="D23">IF(B23="","",INDEX('Binder Setup'!$D$2:$D$401,MATCH(18,'Binder Setup'!$G$2:$G$401,0)))</f>
        <v>1</v>
      </c>
      <c r="E23" s="17">
        <f t="array" ref="E23">IF(B23="","",INDEX('Binder Setup'!$E$2:$E$401,MATCH(18,'Binder Setup'!$G$2:$G$401,0)))</f>
        <v>5.99</v>
      </c>
      <c r="F23" s="14" t="str">
        <f t="shared" si="1"/>
        <v>Pull</v>
      </c>
      <c r="G23" s="16" t="b">
        <v>0</v>
      </c>
      <c r="H23" s="19"/>
      <c r="I23" s="26"/>
      <c r="J23" s="25" t="b">
        <v>0</v>
      </c>
      <c r="K23" s="14" t="str">
        <f>IF(I23="","",COUNTIFS('Binder Data'!$Q$2:$Q$6251,I23,'Binder Data'!$D$2:$D$6251,"Needed"))</f>
        <v/>
      </c>
      <c r="L23" s="19"/>
      <c r="M23" s="19"/>
      <c r="N23" s="19"/>
      <c r="O23" s="19"/>
      <c r="P23" s="19"/>
      <c r="Q23" s="19"/>
      <c r="R23" s="19"/>
      <c r="S23" s="19"/>
      <c r="T23" s="19"/>
      <c r="U23" s="19"/>
      <c r="V23" s="19"/>
      <c r="W23" s="19"/>
      <c r="X23" s="19"/>
      <c r="Y23" s="19"/>
    </row>
    <row r="24" ht="15.75" hidden="1" customHeight="1">
      <c r="A24" s="14">
        <f>IF(B24="","",19)</f>
        <v>19</v>
      </c>
      <c r="B24" s="8" t="str">
        <f t="array" ref="B24">IFERROR(INDEX('Binder Setup'!$B$2:$B$401,MATCH(19,'Binder Setup'!$G$2:$G$401,0)),"")</f>
        <v>Marvel's Spider-Man</v>
      </c>
      <c r="C24" s="8" t="str">
        <f t="array" ref="C24">IF(B24="","",TEXTJOIN(", ",TRUE(),IF(('Binder Data'!$B$2:$B$6251=B24)*('Binder Data'!$E$2:$E$6251="Y"),'Binder Data'!$G$2:$G$6251,"")))</f>
        <v>Interdimensional Web Watch [Deck 1], Shadow of the Goblin [Deck 1]</v>
      </c>
      <c r="D24" s="14">
        <f t="array" ref="D24">IF(B24="","",INDEX('Binder Setup'!$D$2:$D$401,MATCH(19,'Binder Setup'!$G$2:$G$401,0)))</f>
        <v>2</v>
      </c>
      <c r="E24" s="17">
        <f t="array" ref="E24">IF(B24="","",INDEX('Binder Setup'!$E$2:$E$401,MATCH(19,'Binder Setup'!$G$2:$G$401,0)))</f>
        <v>1.03</v>
      </c>
      <c r="F24" s="14" t="str">
        <f t="shared" si="1"/>
        <v>Pull</v>
      </c>
      <c r="G24" s="16" t="b">
        <v>0</v>
      </c>
      <c r="H24" s="19"/>
      <c r="I24" s="26"/>
      <c r="J24" s="25" t="b">
        <v>0</v>
      </c>
      <c r="K24" s="14" t="str">
        <f>IF(I24="","",COUNTIFS('Binder Data'!$Q$2:$Q$6251,I24,'Binder Data'!$D$2:$D$6251,"Needed"))</f>
        <v/>
      </c>
      <c r="L24" s="19"/>
      <c r="M24" s="19"/>
      <c r="N24" s="19"/>
      <c r="O24" s="19"/>
      <c r="P24" s="19"/>
      <c r="Q24" s="19"/>
      <c r="R24" s="19"/>
      <c r="S24" s="19"/>
      <c r="T24" s="19"/>
      <c r="U24" s="19"/>
      <c r="V24" s="19"/>
      <c r="W24" s="19"/>
      <c r="X24" s="19"/>
      <c r="Y24" s="19"/>
    </row>
    <row r="25" ht="15.75" hidden="1" customHeight="1">
      <c r="A25" s="14">
        <f>IF(B25="","",20)</f>
        <v>20</v>
      </c>
      <c r="B25" s="8" t="str">
        <f t="array" ref="B25">IFERROR(INDEX('Binder Setup'!$B$2:$B$401,MATCH(20,'Binder Setup'!$G$2:$G$401,0)),"")</f>
        <v>Modern Horizons 2</v>
      </c>
      <c r="C25" s="8" t="str">
        <f t="array" ref="C25">IF(B25="","",TEXTJOIN(", ",TRUE(),IF(('Binder Data'!$B$2:$B$6251=B25)*('Binder Data'!$E$2:$E$6251="Y"),'Binder Data'!$G$2:$G$6251,"")))</f>
        <v>Breya's Apprentice [Deck 1]</v>
      </c>
      <c r="D25" s="14">
        <f t="array" ref="D25">IF(B25="","",INDEX('Binder Setup'!$D$2:$D$401,MATCH(20,'Binder Setup'!$G$2:$G$401,0)))</f>
        <v>1</v>
      </c>
      <c r="E25" s="17">
        <f t="array" ref="E25">IF(B25="","",INDEX('Binder Setup'!$E$2:$E$401,MATCH(20,'Binder Setup'!$G$2:$G$401,0)))</f>
        <v>0.36</v>
      </c>
      <c r="F25" s="14" t="str">
        <f t="shared" si="1"/>
        <v>Skip: buy elsewhere</v>
      </c>
      <c r="G25" s="16" t="b">
        <v>0</v>
      </c>
      <c r="H25" s="19"/>
      <c r="I25" s="26"/>
      <c r="J25" s="25" t="b">
        <v>0</v>
      </c>
      <c r="K25" s="14" t="str">
        <f>IF(I25="","",COUNTIFS('Binder Data'!$Q$2:$Q$6251,I25,'Binder Data'!$D$2:$D$6251,"Needed"))</f>
        <v/>
      </c>
      <c r="L25" s="19"/>
      <c r="M25" s="19"/>
      <c r="N25" s="19"/>
      <c r="O25" s="19"/>
      <c r="P25" s="19"/>
      <c r="Q25" s="19"/>
      <c r="R25" s="19"/>
      <c r="S25" s="19"/>
      <c r="T25" s="19"/>
      <c r="U25" s="19"/>
      <c r="V25" s="19"/>
      <c r="W25" s="19"/>
      <c r="X25" s="19"/>
      <c r="Y25" s="19"/>
    </row>
    <row r="26" ht="15.75" hidden="1" customHeight="1">
      <c r="A26" s="14">
        <f>IF(B26="","",21)</f>
        <v>21</v>
      </c>
      <c r="B26" s="8" t="str">
        <f t="array" ref="B26">IFERROR(INDEX('Binder Setup'!$B$2:$B$401,MATCH(21,'Binder Setup'!$G$2:$G$401,0)),"")</f>
        <v>Secrets of Strixhaven</v>
      </c>
      <c r="C26" s="8" t="str">
        <f t="array" ref="C26">IF(B26="","",TEXTJOIN(", ",TRUE(),IF(('Binder Data'!$B$2:$B$6251=B26)*('Binder Data'!$E$2:$E$6251="Y"),'Binder Data'!$G$2:$G$6251,"")))</f>
        <v>Improvisation Capstone [Deck 1]</v>
      </c>
      <c r="D26" s="14">
        <f t="array" ref="D26">IF(B26="","",INDEX('Binder Setup'!$D$2:$D$401,MATCH(21,'Binder Setup'!$G$2:$G$401,0)))</f>
        <v>1</v>
      </c>
      <c r="E26" s="17">
        <f t="array" ref="E26">IF(B26="","",INDEX('Binder Setup'!$E$2:$E$401,MATCH(21,'Binder Setup'!$G$2:$G$401,0)))</f>
        <v>9.83</v>
      </c>
      <c r="F26" s="14" t="str">
        <f t="shared" si="1"/>
        <v>Pull</v>
      </c>
      <c r="G26" s="16" t="b">
        <v>0</v>
      </c>
      <c r="H26" s="19"/>
      <c r="I26" s="26"/>
      <c r="J26" s="25" t="b">
        <v>0</v>
      </c>
      <c r="K26" s="14" t="str">
        <f>IF(I26="","",COUNTIFS('Binder Data'!$Q$2:$Q$6251,I26,'Binder Data'!$D$2:$D$6251,"Needed"))</f>
        <v/>
      </c>
      <c r="L26" s="19"/>
      <c r="M26" s="19"/>
      <c r="N26" s="19"/>
      <c r="O26" s="19"/>
      <c r="P26" s="19"/>
      <c r="Q26" s="19"/>
      <c r="R26" s="19"/>
      <c r="S26" s="19"/>
      <c r="T26" s="19"/>
      <c r="U26" s="19"/>
      <c r="V26" s="19"/>
      <c r="W26" s="19"/>
      <c r="X26" s="19"/>
      <c r="Y26" s="19"/>
    </row>
    <row r="27" ht="15.75" hidden="1" customHeight="1">
      <c r="A27" s="14">
        <f>IF(B27="","",22)</f>
        <v>22</v>
      </c>
      <c r="B27" s="8" t="str">
        <f t="array" ref="B27">IFERROR(INDEX('Binder Setup'!$B$2:$B$401,MATCH(22,'Binder Setup'!$G$2:$G$401,0)),"")</f>
        <v>Streets of New Capenna</v>
      </c>
      <c r="C27" s="8" t="str">
        <f t="array" ref="C27">IF(B27="","",TEXTJOIN(", ",TRUE(),IF(('Binder Data'!$B$2:$B$6251=B27)*('Binder Data'!$E$2:$E$6251="Y"),'Binder Data'!$G$2:$G$6251,"")))</f>
        <v>Witty Roastmaster [Deck 1]</v>
      </c>
      <c r="D27" s="14">
        <f t="array" ref="D27">IF(B27="","",INDEX('Binder Setup'!$D$2:$D$401,MATCH(22,'Binder Setup'!$G$2:$G$401,0)))</f>
        <v>1</v>
      </c>
      <c r="E27" s="17">
        <f t="array" ref="E27">IF(B27="","",INDEX('Binder Setup'!$E$2:$E$401,MATCH(22,'Binder Setup'!$G$2:$G$401,0)))</f>
        <v>0.93</v>
      </c>
      <c r="F27" s="14" t="str">
        <f t="shared" si="1"/>
        <v>Skip: buy elsewhere</v>
      </c>
      <c r="G27" s="16" t="b">
        <v>0</v>
      </c>
      <c r="H27" s="19"/>
      <c r="I27" s="26"/>
      <c r="J27" s="25" t="b">
        <v>0</v>
      </c>
      <c r="K27" s="14" t="str">
        <f>IF(I27="","",COUNTIFS('Binder Data'!$Q$2:$Q$6251,I27,'Binder Data'!$D$2:$D$6251,"Needed"))</f>
        <v/>
      </c>
      <c r="L27" s="19"/>
      <c r="M27" s="19"/>
      <c r="N27" s="19"/>
      <c r="O27" s="19"/>
      <c r="P27" s="19"/>
      <c r="Q27" s="19"/>
      <c r="R27" s="19"/>
      <c r="S27" s="19"/>
      <c r="T27" s="19"/>
      <c r="U27" s="19"/>
      <c r="V27" s="19"/>
      <c r="W27" s="19"/>
      <c r="X27" s="19"/>
      <c r="Y27" s="19"/>
    </row>
    <row r="28" ht="15.75" hidden="1" customHeight="1">
      <c r="A28" s="14">
        <f>IF(B28="","",23)</f>
        <v>23</v>
      </c>
      <c r="B28" s="8" t="str">
        <f t="array" ref="B28">IFERROR(INDEX('Binder Setup'!$B$2:$B$401,MATCH(23,'Binder Setup'!$G$2:$G$401,0)),"")</f>
        <v>The Lost Caverns of Ixalan</v>
      </c>
      <c r="C28" s="8" t="str">
        <f t="array" ref="C28">IF(B28="","",TEXTJOIN(", ",TRUE(),IF(('Binder Data'!$B$2:$B$6251=B28)*('Binder Data'!$E$2:$E$6251="Y"),'Binder Data'!$G$2:$G$6251,"")))</f>
        <v>Bonehoard Dracosaur [Deck 1]</v>
      </c>
      <c r="D28" s="14">
        <f t="array" ref="D28">IF(B28="","",INDEX('Binder Setup'!$D$2:$D$401,MATCH(23,'Binder Setup'!$G$2:$G$401,0)))</f>
        <v>1</v>
      </c>
      <c r="E28" s="17">
        <f t="array" ref="E28">IF(B28="","",INDEX('Binder Setup'!$E$2:$E$401,MATCH(23,'Binder Setup'!$G$2:$G$401,0)))</f>
        <v>14.99</v>
      </c>
      <c r="F28" s="14" t="str">
        <f t="shared" si="1"/>
        <v>Pull</v>
      </c>
      <c r="G28" s="16" t="b">
        <v>0</v>
      </c>
      <c r="H28" s="19"/>
      <c r="I28" s="26"/>
      <c r="J28" s="25" t="b">
        <v>0</v>
      </c>
      <c r="K28" s="14" t="str">
        <f>IF(I28="","",COUNTIFS('Binder Data'!$Q$2:$Q$6251,I28,'Binder Data'!$D$2:$D$6251,"Needed"))</f>
        <v/>
      </c>
      <c r="L28" s="19"/>
      <c r="M28" s="19"/>
      <c r="N28" s="19"/>
      <c r="O28" s="19"/>
      <c r="P28" s="19"/>
      <c r="Q28" s="19"/>
      <c r="R28" s="19"/>
      <c r="S28" s="19"/>
      <c r="T28" s="19"/>
      <c r="U28" s="19"/>
      <c r="V28" s="19"/>
      <c r="W28" s="19"/>
      <c r="X28" s="19"/>
      <c r="Y28" s="19"/>
    </row>
    <row r="29" ht="15.75" hidden="1" customHeight="1">
      <c r="A29" s="14">
        <f>IF(B29="","",24)</f>
        <v>24</v>
      </c>
      <c r="B29" s="8" t="str">
        <f t="array" ref="B29">IFERROR(INDEX('Binder Setup'!$B$2:$B$401,MATCH(24,'Binder Setup'!$G$2:$G$401,0)),"")</f>
        <v>Edge of Eternities</v>
      </c>
      <c r="C29" s="8" t="str">
        <f t="array" ref="C29">IF(B29="","",TEXTJOIN(", ",TRUE(),IF(('Binder Data'!$B$2:$B$6251=B29)*('Binder Data'!$E$2:$E$6251="Y"),'Binder Data'!$G$2:$G$6251,"")))</f>
        <v>Weftstalker Ardent [Deck 1]</v>
      </c>
      <c r="D29" s="14">
        <f t="array" ref="D29">IF(B29="","",INDEX('Binder Setup'!$D$2:$D$401,MATCH(24,'Binder Setup'!$G$2:$G$401,0)))</f>
        <v>1</v>
      </c>
      <c r="E29" s="17">
        <f t="array" ref="E29">IF(B29="","",INDEX('Binder Setup'!$E$2:$E$401,MATCH(24,'Binder Setup'!$G$2:$G$401,0)))</f>
        <v>2.69</v>
      </c>
      <c r="F29" s="14" t="str">
        <f t="shared" si="1"/>
        <v>Pull</v>
      </c>
      <c r="G29" s="16" t="b">
        <v>0</v>
      </c>
      <c r="H29" s="19"/>
      <c r="I29" s="26"/>
      <c r="J29" s="25" t="b">
        <v>0</v>
      </c>
      <c r="K29" s="14" t="str">
        <f>IF(I29="","",COUNTIFS('Binder Data'!$Q$2:$Q$6251,I29,'Binder Data'!$D$2:$D$6251,"Needed"))</f>
        <v/>
      </c>
      <c r="L29" s="19"/>
      <c r="M29" s="19"/>
      <c r="N29" s="19"/>
      <c r="O29" s="19"/>
      <c r="P29" s="19"/>
      <c r="Q29" s="19"/>
      <c r="R29" s="19"/>
      <c r="S29" s="19"/>
      <c r="T29" s="19"/>
      <c r="U29" s="19"/>
      <c r="V29" s="19"/>
      <c r="W29" s="19"/>
      <c r="X29" s="19"/>
      <c r="Y29" s="19"/>
    </row>
    <row r="30" ht="15.75" hidden="1" customHeight="1">
      <c r="A30" s="14">
        <f>IF(B30="","",25)</f>
        <v>25</v>
      </c>
      <c r="B30" s="8" t="str">
        <f t="array" ref="B30">IFERROR(INDEX('Binder Setup'!$B$2:$B$401,MATCH(25,'Binder Setup'!$G$2:$G$401,0)),"")</f>
        <v>March of the Machine</v>
      </c>
      <c r="C30" s="8" t="str">
        <f t="array" ref="C30">IF(B30="","",TEXTJOIN(", ",TRUE(),IF(('Binder Data'!$B$2:$B$6251=B30)*('Binder Data'!$E$2:$E$6251="Y"),'Binder Data'!$G$2:$G$6251,"")))</f>
        <v>Invasion of Kaldheim // Pyre of the World Tree [Deck 1]</v>
      </c>
      <c r="D30" s="14">
        <f t="array" ref="D30">IF(B30="","",INDEX('Binder Setup'!$D$2:$D$401,MATCH(25,'Binder Setup'!$G$2:$G$401,0)))</f>
        <v>1</v>
      </c>
      <c r="E30" s="17">
        <f t="array" ref="E30">IF(B30="","",INDEX('Binder Setup'!$E$2:$E$401,MATCH(25,'Binder Setup'!$G$2:$G$401,0)))</f>
        <v>0.39</v>
      </c>
      <c r="F30" s="14" t="str">
        <f t="shared" si="1"/>
        <v>Skip: buy elsewhere</v>
      </c>
      <c r="G30" s="16" t="b">
        <v>0</v>
      </c>
      <c r="H30" s="19"/>
      <c r="I30" s="26"/>
      <c r="J30" s="25" t="b">
        <v>0</v>
      </c>
      <c r="K30" s="14" t="str">
        <f>IF(I30="","",COUNTIFS('Binder Data'!$Q$2:$Q$6251,I30,'Binder Data'!$D$2:$D$6251,"Needed"))</f>
        <v/>
      </c>
      <c r="L30" s="19"/>
      <c r="M30" s="19"/>
      <c r="N30" s="19"/>
      <c r="O30" s="19"/>
      <c r="P30" s="19"/>
      <c r="Q30" s="19"/>
      <c r="R30" s="19"/>
      <c r="S30" s="19"/>
      <c r="T30" s="19"/>
      <c r="U30" s="19"/>
      <c r="V30" s="19"/>
      <c r="W30" s="19"/>
      <c r="X30" s="19"/>
      <c r="Y30" s="19"/>
    </row>
    <row r="31" ht="15.75" hidden="1" customHeight="1">
      <c r="A31" s="14">
        <f>IF(B31="","",26)</f>
        <v>26</v>
      </c>
      <c r="B31" s="8" t="str">
        <f t="array" ref="B31">IFERROR(INDEX('Binder Setup'!$B$2:$B$401,MATCH(26,'Binder Setup'!$G$2:$G$401,0)),"")</f>
        <v>March of the Machine: The Aftermath</v>
      </c>
      <c r="C31" s="8" t="str">
        <f t="array" ref="C31">IF(B31="","",TEXTJOIN(", ",TRUE(),IF(('Binder Data'!$B$2:$B$6251=B31)*('Binder Data'!$E$2:$E$6251="Y"),'Binder Data'!$G$2:$G$6251,"")))</f>
        <v>Pia Nalaar, Consul of Revival [Deck 1]</v>
      </c>
      <c r="D31" s="14">
        <f t="array" ref="D31">IF(B31="","",INDEX('Binder Setup'!$D$2:$D$401,MATCH(26,'Binder Setup'!$G$2:$G$401,0)))</f>
        <v>1</v>
      </c>
      <c r="E31" s="17">
        <f t="array" ref="E31">IF(B31="","",INDEX('Binder Setup'!$E$2:$E$401,MATCH(26,'Binder Setup'!$G$2:$G$401,0)))</f>
        <v>0.52</v>
      </c>
      <c r="F31" s="14" t="str">
        <f t="shared" si="1"/>
        <v>Skip: buy elsewhere</v>
      </c>
      <c r="G31" s="16" t="b">
        <v>0</v>
      </c>
      <c r="H31" s="19"/>
      <c r="I31" s="19"/>
      <c r="J31" s="19"/>
      <c r="K31" s="19"/>
      <c r="L31" s="19"/>
      <c r="M31" s="19"/>
      <c r="N31" s="19"/>
      <c r="O31" s="19"/>
      <c r="P31" s="19"/>
      <c r="Q31" s="19"/>
      <c r="R31" s="19"/>
      <c r="S31" s="19"/>
      <c r="T31" s="19"/>
      <c r="U31" s="19"/>
      <c r="V31" s="19"/>
      <c r="W31" s="19"/>
      <c r="X31" s="19"/>
      <c r="Y31" s="19"/>
    </row>
    <row r="32" ht="15.75" hidden="1" customHeight="1">
      <c r="A32" s="14">
        <f>IF(B32="","",27)</f>
        <v>27</v>
      </c>
      <c r="B32" s="8" t="str">
        <f t="array" ref="B32">IFERROR(INDEX('Binder Setup'!$B$2:$B$401,MATCH(27,'Binder Setup'!$G$2:$G$401,0)),"")</f>
        <v>Tarkir: Dragonstorm</v>
      </c>
      <c r="C32" s="8" t="str">
        <f t="array" ref="C32">IF(B32="","",TEXTJOIN(", ",TRUE(),IF(('Binder Data'!$B$2:$B$6251=B32)*('Binder Data'!$E$2:$E$6251="Y"),'Binder Data'!$G$2:$G$6251,"")))</f>
        <v>Cori Mountain Monastery [Deck 1]</v>
      </c>
      <c r="D32" s="14">
        <f t="array" ref="D32">IF(B32="","",INDEX('Binder Setup'!$D$2:$D$401,MATCH(27,'Binder Setup'!$G$2:$G$401,0)))</f>
        <v>1</v>
      </c>
      <c r="E32" s="17">
        <f t="array" ref="E32">IF(B32="","",INDEX('Binder Setup'!$E$2:$E$401,MATCH(27,'Binder Setup'!$G$2:$G$401,0)))</f>
        <v>1.16</v>
      </c>
      <c r="F32" s="14" t="str">
        <f t="shared" si="1"/>
        <v>Pull</v>
      </c>
      <c r="G32" s="16" t="b">
        <v>0</v>
      </c>
      <c r="H32" s="19"/>
      <c r="I32" s="27" t="s">
        <v>91</v>
      </c>
      <c r="L32" s="19"/>
      <c r="M32" s="19"/>
      <c r="N32" s="19"/>
      <c r="O32" s="19"/>
      <c r="P32" s="19"/>
      <c r="Q32" s="19"/>
      <c r="R32" s="19"/>
      <c r="S32" s="19"/>
      <c r="T32" s="19"/>
      <c r="U32" s="19"/>
      <c r="V32" s="19"/>
      <c r="W32" s="19"/>
      <c r="X32" s="19"/>
      <c r="Y32" s="19"/>
    </row>
    <row r="33" ht="15.75" hidden="1" customHeight="1">
      <c r="A33" s="14">
        <f>IF(B33="","",28)</f>
        <v>28</v>
      </c>
      <c r="B33" s="8" t="str">
        <f t="array" ref="B33">IFERROR(INDEX('Binder Setup'!$B$2:$B$401,MATCH(28,'Binder Setup'!$G$2:$G$401,0)),"")</f>
        <v>The Hobbit</v>
      </c>
      <c r="C33" s="8" t="str">
        <f t="array" ref="C33">IF(B33="","",TEXTJOIN(", ",TRUE(),IF(('Binder Data'!$B$2:$B$6251=B33)*('Binder Data'!$E$2:$E$6251="Y"),'Binder Data'!$G$2:$G$6251,"")))</f>
        <v>Belladonna Took [Deck 1]</v>
      </c>
      <c r="D33" s="14">
        <f t="array" ref="D33">IF(B33="","",INDEX('Binder Setup'!$D$2:$D$401,MATCH(28,'Binder Setup'!$G$2:$G$401,0)))</f>
        <v>1</v>
      </c>
      <c r="E33" s="17">
        <f t="array" ref="E33">IF(B33="","",INDEX('Binder Setup'!$E$2:$E$401,MATCH(28,'Binder Setup'!$G$2:$G$401,0)))</f>
        <v>2.43</v>
      </c>
      <c r="F33" s="14" t="str">
        <f t="shared" si="1"/>
        <v>Pull</v>
      </c>
      <c r="G33" s="16" t="b">
        <v>0</v>
      </c>
      <c r="H33" s="19"/>
      <c r="L33" s="19"/>
      <c r="M33" s="19"/>
      <c r="N33" s="19"/>
      <c r="O33" s="19"/>
      <c r="P33" s="19"/>
      <c r="Q33" s="19"/>
      <c r="R33" s="19"/>
      <c r="S33" s="19"/>
      <c r="T33" s="19"/>
      <c r="U33" s="19"/>
      <c r="V33" s="19"/>
      <c r="W33" s="19"/>
      <c r="X33" s="19"/>
      <c r="Y33" s="19"/>
    </row>
    <row r="34" ht="15.75" hidden="1" customHeight="1">
      <c r="A34" s="14" t="str">
        <f>IF(B34="","",29)</f>
        <v/>
      </c>
      <c r="B34" s="8" t="str">
        <f t="array" ref="B34">IFERROR(INDEX('Binder Setup'!$B$2:$B$401,MATCH(29,'Binder Setup'!$G$2:$G$401,0)),"")</f>
        <v/>
      </c>
      <c r="C34" s="8" t="str">
        <f t="array" ref="C34">IF(B34="","",TEXTJOIN(", ",TRUE(),IF(('Binder Data'!$B$2:$B$6251=B34)*('Binder Data'!$E$2:$E$6251="Y"),'Binder Data'!$G$2:$G$6251,"")))</f>
        <v/>
      </c>
      <c r="D34" s="14" t="str">
        <f t="array" ref="D34">IF(B34="","",INDEX('Binder Setup'!$D$2:$D$401,MATCH(29,'Binder Setup'!$G$2:$G$401,0)))</f>
        <v/>
      </c>
      <c r="E34" s="17" t="str">
        <f t="array" ref="E34">IF(B34="","",INDEX('Binder Setup'!$E$2:$E$401,MATCH(29,'Binder Setup'!$G$2:$G$401,0)))</f>
        <v/>
      </c>
      <c r="F34" s="14" t="str">
        <f t="shared" si="1"/>
        <v/>
      </c>
      <c r="G34" s="16" t="b">
        <v>0</v>
      </c>
      <c r="H34" s="19"/>
      <c r="L34" s="19"/>
      <c r="M34" s="19"/>
      <c r="N34" s="19"/>
      <c r="O34" s="19"/>
      <c r="P34" s="19"/>
      <c r="Q34" s="19"/>
      <c r="R34" s="19"/>
      <c r="S34" s="19"/>
      <c r="T34" s="19"/>
      <c r="U34" s="19"/>
      <c r="V34" s="19"/>
      <c r="W34" s="19"/>
      <c r="X34" s="19"/>
      <c r="Y34" s="19"/>
    </row>
    <row r="35" ht="15.75" hidden="1" customHeight="1">
      <c r="A35" s="14" t="str">
        <f>IF(B35="","",30)</f>
        <v/>
      </c>
      <c r="B35" s="8" t="str">
        <f t="array" ref="B35">IFERROR(INDEX('Binder Setup'!$B$2:$B$401,MATCH(30,'Binder Setup'!$G$2:$G$401,0)),"")</f>
        <v/>
      </c>
      <c r="C35" s="8" t="str">
        <f t="array" ref="C35">IF(B35="","",TEXTJOIN(", ",TRUE(),IF(('Binder Data'!$B$2:$B$6251=B35)*('Binder Data'!$E$2:$E$6251="Y"),'Binder Data'!$G$2:$G$6251,"")))</f>
        <v/>
      </c>
      <c r="D35" s="14" t="str">
        <f t="array" ref="D35">IF(B35="","",INDEX('Binder Setup'!$D$2:$D$401,MATCH(30,'Binder Setup'!$G$2:$G$401,0)))</f>
        <v/>
      </c>
      <c r="E35" s="17" t="str">
        <f t="array" ref="E35">IF(B35="","",INDEX('Binder Setup'!$E$2:$E$401,MATCH(30,'Binder Setup'!$G$2:$G$401,0)))</f>
        <v/>
      </c>
      <c r="F35" s="14" t="str">
        <f t="shared" si="1"/>
        <v/>
      </c>
      <c r="G35" s="16" t="b">
        <v>0</v>
      </c>
      <c r="H35" s="19"/>
      <c r="L35" s="19"/>
      <c r="M35" s="19"/>
      <c r="N35" s="19"/>
      <c r="O35" s="19"/>
      <c r="P35" s="19"/>
      <c r="Q35" s="19"/>
      <c r="R35" s="19"/>
      <c r="S35" s="19"/>
      <c r="T35" s="19"/>
      <c r="U35" s="19"/>
      <c r="V35" s="19"/>
      <c r="W35" s="19"/>
      <c r="X35" s="19"/>
      <c r="Y35" s="19"/>
    </row>
    <row r="36" ht="15.75" hidden="1" customHeight="1">
      <c r="A36" s="14" t="str">
        <f>IF(B36="","",31)</f>
        <v/>
      </c>
      <c r="B36" s="8" t="str">
        <f t="array" ref="B36">IFERROR(INDEX('Binder Setup'!$B$2:$B$401,MATCH(31,'Binder Setup'!$G$2:$G$401,0)),"")</f>
        <v/>
      </c>
      <c r="C36" s="8" t="str">
        <f t="array" ref="C36">IF(B36="","",TEXTJOIN(", ",TRUE(),IF(('Binder Data'!$B$2:$B$6251=B36)*('Binder Data'!$E$2:$E$6251="Y"),'Binder Data'!$G$2:$G$6251,"")))</f>
        <v/>
      </c>
      <c r="D36" s="14" t="str">
        <f t="array" ref="D36">IF(B36="","",INDEX('Binder Setup'!$D$2:$D$401,MATCH(31,'Binder Setup'!$G$2:$G$401,0)))</f>
        <v/>
      </c>
      <c r="E36" s="17" t="str">
        <f t="array" ref="E36">IF(B36="","",INDEX('Binder Setup'!$E$2:$E$401,MATCH(31,'Binder Setup'!$G$2:$G$401,0)))</f>
        <v/>
      </c>
      <c r="F36" s="14" t="str">
        <f t="shared" si="1"/>
        <v/>
      </c>
      <c r="G36" s="16" t="b">
        <v>0</v>
      </c>
      <c r="H36" s="19"/>
      <c r="L36" s="19"/>
      <c r="M36" s="19"/>
      <c r="N36" s="19"/>
      <c r="O36" s="19"/>
      <c r="P36" s="19"/>
      <c r="Q36" s="19"/>
      <c r="R36" s="19"/>
      <c r="S36" s="19"/>
      <c r="T36" s="19"/>
      <c r="U36" s="19"/>
      <c r="V36" s="19"/>
      <c r="W36" s="19"/>
      <c r="X36" s="19"/>
      <c r="Y36" s="19"/>
    </row>
    <row r="37" ht="15.75" hidden="1" customHeight="1">
      <c r="A37" s="14" t="str">
        <f>IF(B37="","",32)</f>
        <v/>
      </c>
      <c r="B37" s="8" t="str">
        <f t="array" ref="B37">IFERROR(INDEX('Binder Setup'!$B$2:$B$401,MATCH(32,'Binder Setup'!$G$2:$G$401,0)),"")</f>
        <v/>
      </c>
      <c r="C37" s="8" t="str">
        <f t="array" ref="C37">IF(B37="","",TEXTJOIN(", ",TRUE(),IF(('Binder Data'!$B$2:$B$6251=B37)*('Binder Data'!$E$2:$E$6251="Y"),'Binder Data'!$G$2:$G$6251,"")))</f>
        <v/>
      </c>
      <c r="D37" s="14" t="str">
        <f t="array" ref="D37">IF(B37="","",INDEX('Binder Setup'!$D$2:$D$401,MATCH(32,'Binder Setup'!$G$2:$G$401,0)))</f>
        <v/>
      </c>
      <c r="E37" s="17" t="str">
        <f t="array" ref="E37">IF(B37="","",INDEX('Binder Setup'!$E$2:$E$401,MATCH(32,'Binder Setup'!$G$2:$G$401,0)))</f>
        <v/>
      </c>
      <c r="F37" s="14" t="str">
        <f t="shared" si="1"/>
        <v/>
      </c>
      <c r="G37" s="16" t="b">
        <v>0</v>
      </c>
      <c r="H37" s="19"/>
      <c r="L37" s="19"/>
      <c r="M37" s="19"/>
      <c r="N37" s="19"/>
      <c r="O37" s="19"/>
      <c r="P37" s="19"/>
      <c r="Q37" s="19"/>
      <c r="R37" s="19"/>
      <c r="S37" s="19"/>
      <c r="T37" s="19"/>
      <c r="U37" s="19"/>
      <c r="V37" s="19"/>
      <c r="W37" s="19"/>
      <c r="X37" s="19"/>
      <c r="Y37" s="19"/>
    </row>
    <row r="38" ht="15.75" hidden="1" customHeight="1">
      <c r="A38" s="14" t="str">
        <f>IF(B38="","",33)</f>
        <v/>
      </c>
      <c r="B38" s="8" t="str">
        <f t="array" ref="B38">IFERROR(INDEX('Binder Setup'!$B$2:$B$401,MATCH(33,'Binder Setup'!$G$2:$G$401,0)),"")</f>
        <v/>
      </c>
      <c r="C38" s="8" t="str">
        <f t="array" ref="C38">IF(B38="","",TEXTJOIN(", ",TRUE(),IF(('Binder Data'!$B$2:$B$6251=B38)*('Binder Data'!$E$2:$E$6251="Y"),'Binder Data'!$G$2:$G$6251,"")))</f>
        <v/>
      </c>
      <c r="D38" s="14" t="str">
        <f t="array" ref="D38">IF(B38="","",INDEX('Binder Setup'!$D$2:$D$401,MATCH(33,'Binder Setup'!$G$2:$G$401,0)))</f>
        <v/>
      </c>
      <c r="E38" s="17" t="str">
        <f t="array" ref="E38">IF(B38="","",INDEX('Binder Setup'!$E$2:$E$401,MATCH(33,'Binder Setup'!$G$2:$G$401,0)))</f>
        <v/>
      </c>
      <c r="F38" s="14" t="str">
        <f t="shared" si="1"/>
        <v/>
      </c>
      <c r="G38" s="16" t="b">
        <v>0</v>
      </c>
      <c r="H38" s="19"/>
      <c r="I38" s="9"/>
      <c r="J38" s="9"/>
      <c r="K38" s="9"/>
      <c r="L38" s="19"/>
      <c r="M38" s="19"/>
      <c r="N38" s="19"/>
      <c r="O38" s="19"/>
      <c r="P38" s="19"/>
      <c r="Q38" s="19"/>
      <c r="R38" s="19"/>
      <c r="S38" s="19"/>
      <c r="T38" s="19"/>
      <c r="U38" s="19"/>
      <c r="V38" s="19"/>
      <c r="W38" s="19"/>
      <c r="X38" s="19"/>
      <c r="Y38" s="19"/>
    </row>
    <row r="39" ht="15.75" hidden="1" customHeight="1">
      <c r="A39" s="14" t="str">
        <f>IF(B39="","",34)</f>
        <v/>
      </c>
      <c r="B39" s="8" t="str">
        <f t="array" ref="B39">IFERROR(INDEX('Binder Setup'!$B$2:$B$401,MATCH(34,'Binder Setup'!$G$2:$G$401,0)),"")</f>
        <v/>
      </c>
      <c r="C39" s="8" t="str">
        <f t="array" ref="C39">IF(B39="","",TEXTJOIN(", ",TRUE(),IF(('Binder Data'!$B$2:$B$6251=B39)*('Binder Data'!$E$2:$E$6251="Y"),'Binder Data'!$G$2:$G$6251,"")))</f>
        <v/>
      </c>
      <c r="D39" s="14" t="str">
        <f t="array" ref="D39">IF(B39="","",INDEX('Binder Setup'!$D$2:$D$401,MATCH(34,'Binder Setup'!$G$2:$G$401,0)))</f>
        <v/>
      </c>
      <c r="E39" s="17" t="str">
        <f t="array" ref="E39">IF(B39="","",INDEX('Binder Setup'!$E$2:$E$401,MATCH(34,'Binder Setup'!$G$2:$G$401,0)))</f>
        <v/>
      </c>
      <c r="F39" s="14" t="str">
        <f t="shared" si="1"/>
        <v/>
      </c>
      <c r="G39" s="16" t="b">
        <v>0</v>
      </c>
      <c r="H39" s="19"/>
      <c r="I39" s="19"/>
      <c r="J39" s="19"/>
      <c r="K39" s="19"/>
      <c r="L39" s="19"/>
      <c r="M39" s="19"/>
      <c r="N39" s="19"/>
      <c r="O39" s="19"/>
      <c r="P39" s="19"/>
      <c r="Q39" s="19"/>
      <c r="R39" s="19"/>
      <c r="S39" s="19"/>
      <c r="T39" s="19"/>
      <c r="U39" s="19"/>
      <c r="V39" s="19"/>
      <c r="W39" s="19"/>
      <c r="X39" s="19"/>
      <c r="Y39" s="19"/>
    </row>
    <row r="40" ht="15.75" hidden="1" customHeight="1">
      <c r="A40" s="14" t="str">
        <f>IF(B40="","",35)</f>
        <v/>
      </c>
      <c r="B40" s="8" t="str">
        <f t="array" ref="B40">IFERROR(INDEX('Binder Setup'!$B$2:$B$401,MATCH(35,'Binder Setup'!$G$2:$G$401,0)),"")</f>
        <v/>
      </c>
      <c r="C40" s="8" t="str">
        <f t="array" ref="C40">IF(B40="","",TEXTJOIN(", ",TRUE(),IF(('Binder Data'!$B$2:$B$6251=B40)*('Binder Data'!$E$2:$E$6251="Y"),'Binder Data'!$G$2:$G$6251,"")))</f>
        <v/>
      </c>
      <c r="D40" s="14" t="str">
        <f t="array" ref="D40">IF(B40="","",INDEX('Binder Setup'!$D$2:$D$401,MATCH(35,'Binder Setup'!$G$2:$G$401,0)))</f>
        <v/>
      </c>
      <c r="E40" s="17" t="str">
        <f t="array" ref="E40">IF(B40="","",INDEX('Binder Setup'!$E$2:$E$401,MATCH(35,'Binder Setup'!$G$2:$G$401,0)))</f>
        <v/>
      </c>
      <c r="F40" s="14" t="str">
        <f t="shared" si="1"/>
        <v/>
      </c>
      <c r="G40" s="16" t="b">
        <v>0</v>
      </c>
      <c r="H40" s="19"/>
      <c r="I40" s="19"/>
      <c r="J40" s="19"/>
      <c r="K40" s="19"/>
      <c r="L40" s="19"/>
      <c r="M40" s="19"/>
      <c r="N40" s="19"/>
      <c r="O40" s="19"/>
      <c r="P40" s="19"/>
      <c r="Q40" s="19"/>
      <c r="R40" s="19"/>
      <c r="S40" s="19"/>
      <c r="T40" s="19"/>
      <c r="U40" s="19"/>
      <c r="V40" s="19"/>
      <c r="W40" s="19"/>
      <c r="X40" s="19"/>
      <c r="Y40" s="19"/>
    </row>
    <row r="41" ht="15.75" hidden="1" customHeight="1">
      <c r="A41" s="14" t="str">
        <f>IF(B41="","",36)</f>
        <v/>
      </c>
      <c r="B41" s="8" t="str">
        <f t="array" ref="B41">IFERROR(INDEX('Binder Setup'!$B$2:$B$401,MATCH(36,'Binder Setup'!$G$2:$G$401,0)),"")</f>
        <v/>
      </c>
      <c r="C41" s="8" t="str">
        <f t="array" ref="C41">IF(B41="","",TEXTJOIN(", ",TRUE(),IF(('Binder Data'!$B$2:$B$6251=B41)*('Binder Data'!$E$2:$E$6251="Y"),'Binder Data'!$G$2:$G$6251,"")))</f>
        <v/>
      </c>
      <c r="D41" s="14" t="str">
        <f t="array" ref="D41">IF(B41="","",INDEX('Binder Setup'!$D$2:$D$401,MATCH(36,'Binder Setup'!$G$2:$G$401,0)))</f>
        <v/>
      </c>
      <c r="E41" s="17" t="str">
        <f t="array" ref="E41">IF(B41="","",INDEX('Binder Setup'!$E$2:$E$401,MATCH(36,'Binder Setup'!$G$2:$G$401,0)))</f>
        <v/>
      </c>
      <c r="F41" s="14" t="str">
        <f t="shared" si="1"/>
        <v/>
      </c>
      <c r="G41" s="16" t="b">
        <v>0</v>
      </c>
      <c r="H41" s="19"/>
      <c r="I41" s="19"/>
      <c r="J41" s="19"/>
      <c r="K41" s="19"/>
      <c r="L41" s="19"/>
      <c r="M41" s="19"/>
      <c r="N41" s="19"/>
      <c r="O41" s="19"/>
      <c r="P41" s="19"/>
      <c r="Q41" s="19"/>
      <c r="R41" s="19"/>
      <c r="S41" s="19"/>
      <c r="T41" s="19"/>
      <c r="U41" s="19"/>
      <c r="V41" s="19"/>
      <c r="W41" s="19"/>
      <c r="X41" s="19"/>
      <c r="Y41" s="19"/>
    </row>
    <row r="42" ht="15.75" hidden="1" customHeight="1">
      <c r="A42" s="14" t="str">
        <f>IF(B42="","",37)</f>
        <v/>
      </c>
      <c r="B42" s="8" t="str">
        <f t="array" ref="B42">IFERROR(INDEX('Binder Setup'!$B$2:$B$401,MATCH(37,'Binder Setup'!$G$2:$G$401,0)),"")</f>
        <v/>
      </c>
      <c r="C42" s="8" t="str">
        <f t="array" ref="C42">IF(B42="","",TEXTJOIN(", ",TRUE(),IF(('Binder Data'!$B$2:$B$6251=B42)*('Binder Data'!$E$2:$E$6251="Y"),'Binder Data'!$G$2:$G$6251,"")))</f>
        <v/>
      </c>
      <c r="D42" s="14" t="str">
        <f t="array" ref="D42">IF(B42="","",INDEX('Binder Setup'!$D$2:$D$401,MATCH(37,'Binder Setup'!$G$2:$G$401,0)))</f>
        <v/>
      </c>
      <c r="E42" s="17" t="str">
        <f t="array" ref="E42">IF(B42="","",INDEX('Binder Setup'!$E$2:$E$401,MATCH(37,'Binder Setup'!$G$2:$G$401,0)))</f>
        <v/>
      </c>
      <c r="F42" s="14" t="str">
        <f t="shared" si="1"/>
        <v/>
      </c>
      <c r="G42" s="16" t="b">
        <v>0</v>
      </c>
      <c r="H42" s="19"/>
      <c r="I42" s="19"/>
      <c r="J42" s="19"/>
      <c r="K42" s="19"/>
      <c r="L42" s="19"/>
      <c r="M42" s="19"/>
      <c r="N42" s="19"/>
      <c r="O42" s="19"/>
      <c r="P42" s="19"/>
      <c r="Q42" s="19"/>
      <c r="R42" s="19"/>
      <c r="S42" s="19"/>
      <c r="T42" s="19"/>
      <c r="U42" s="19"/>
      <c r="V42" s="19"/>
      <c r="W42" s="19"/>
      <c r="X42" s="19"/>
      <c r="Y42" s="19"/>
    </row>
    <row r="43" ht="15.75" hidden="1" customHeight="1">
      <c r="A43" s="14" t="str">
        <f>IF(B43="","",38)</f>
        <v/>
      </c>
      <c r="B43" s="8" t="str">
        <f t="array" ref="B43">IFERROR(INDEX('Binder Setup'!$B$2:$B$401,MATCH(38,'Binder Setup'!$G$2:$G$401,0)),"")</f>
        <v/>
      </c>
      <c r="C43" s="8" t="str">
        <f t="array" ref="C43">IF(B43="","",TEXTJOIN(", ",TRUE(),IF(('Binder Data'!$B$2:$B$6251=B43)*('Binder Data'!$E$2:$E$6251="Y"),'Binder Data'!$G$2:$G$6251,"")))</f>
        <v/>
      </c>
      <c r="D43" s="14" t="str">
        <f t="array" ref="D43">IF(B43="","",INDEX('Binder Setup'!$D$2:$D$401,MATCH(38,'Binder Setup'!$G$2:$G$401,0)))</f>
        <v/>
      </c>
      <c r="E43" s="17" t="str">
        <f t="array" ref="E43">IF(B43="","",INDEX('Binder Setup'!$E$2:$E$401,MATCH(38,'Binder Setup'!$G$2:$G$401,0)))</f>
        <v/>
      </c>
      <c r="F43" s="14" t="str">
        <f t="shared" si="1"/>
        <v/>
      </c>
      <c r="G43" s="16" t="b">
        <v>0</v>
      </c>
      <c r="H43" s="19"/>
      <c r="I43" s="19"/>
      <c r="J43" s="19"/>
      <c r="K43" s="19"/>
      <c r="L43" s="19"/>
      <c r="M43" s="19"/>
      <c r="N43" s="19"/>
      <c r="O43" s="19"/>
      <c r="P43" s="19"/>
      <c r="Q43" s="19"/>
      <c r="R43" s="19"/>
      <c r="S43" s="19"/>
      <c r="T43" s="19"/>
      <c r="U43" s="19"/>
      <c r="V43" s="19"/>
      <c r="W43" s="19"/>
      <c r="X43" s="19"/>
      <c r="Y43" s="19"/>
    </row>
    <row r="44" ht="15.75" hidden="1" customHeight="1">
      <c r="A44" s="14" t="str">
        <f>IF(B44="","",39)</f>
        <v/>
      </c>
      <c r="B44" s="8" t="str">
        <f t="array" ref="B44">IFERROR(INDEX('Binder Setup'!$B$2:$B$401,MATCH(39,'Binder Setup'!$G$2:$G$401,0)),"")</f>
        <v/>
      </c>
      <c r="C44" s="8" t="str">
        <f t="array" ref="C44">IF(B44="","",TEXTJOIN(", ",TRUE(),IF(('Binder Data'!$B$2:$B$6251=B44)*('Binder Data'!$E$2:$E$6251="Y"),'Binder Data'!$G$2:$G$6251,"")))</f>
        <v/>
      </c>
      <c r="D44" s="14" t="str">
        <f t="array" ref="D44">IF(B44="","",INDEX('Binder Setup'!$D$2:$D$401,MATCH(39,'Binder Setup'!$G$2:$G$401,0)))</f>
        <v/>
      </c>
      <c r="E44" s="17" t="str">
        <f t="array" ref="E44">IF(B44="","",INDEX('Binder Setup'!$E$2:$E$401,MATCH(39,'Binder Setup'!$G$2:$G$401,0)))</f>
        <v/>
      </c>
      <c r="F44" s="14" t="str">
        <f t="shared" si="1"/>
        <v/>
      </c>
      <c r="G44" s="16" t="b">
        <v>0</v>
      </c>
      <c r="H44" s="19"/>
      <c r="I44" s="19"/>
      <c r="J44" s="19"/>
      <c r="K44" s="19"/>
      <c r="L44" s="19"/>
      <c r="M44" s="19"/>
      <c r="N44" s="19"/>
      <c r="O44" s="19"/>
      <c r="P44" s="19"/>
      <c r="Q44" s="19"/>
      <c r="R44" s="19"/>
      <c r="S44" s="19"/>
      <c r="T44" s="19"/>
      <c r="U44" s="19"/>
      <c r="V44" s="19"/>
      <c r="W44" s="19"/>
      <c r="X44" s="19"/>
      <c r="Y44" s="19"/>
      <c r="Z44" s="19"/>
    </row>
    <row r="45" ht="15.75" hidden="1" customHeight="1">
      <c r="A45" s="14" t="str">
        <f>IF(B45="","",40)</f>
        <v/>
      </c>
      <c r="B45" s="8" t="str">
        <f t="array" ref="B45">IFERROR(INDEX('Binder Setup'!$B$2:$B$401,MATCH(40,'Binder Setup'!$G$2:$G$401,0)),"")</f>
        <v/>
      </c>
      <c r="C45" s="8" t="str">
        <f t="array" ref="C45">IF(B45="","",TEXTJOIN(", ",TRUE(),IF(('Binder Data'!$B$2:$B$6251=B45)*('Binder Data'!$E$2:$E$6251="Y"),'Binder Data'!$G$2:$G$6251,"")))</f>
        <v/>
      </c>
      <c r="D45" s="14" t="str">
        <f t="array" ref="D45">IF(B45="","",INDEX('Binder Setup'!$D$2:$D$401,MATCH(40,'Binder Setup'!$G$2:$G$401,0)))</f>
        <v/>
      </c>
      <c r="E45" s="17" t="str">
        <f t="array" ref="E45">IF(B45="","",INDEX('Binder Setup'!$E$2:$E$401,MATCH(40,'Binder Setup'!$G$2:$G$401,0)))</f>
        <v/>
      </c>
      <c r="F45" s="14" t="str">
        <f t="shared" si="1"/>
        <v/>
      </c>
      <c r="G45" s="16" t="b">
        <v>0</v>
      </c>
      <c r="H45" s="19"/>
      <c r="I45" s="19"/>
      <c r="J45" s="19"/>
      <c r="K45" s="19"/>
      <c r="L45" s="19"/>
      <c r="M45" s="19"/>
      <c r="N45" s="19"/>
      <c r="O45" s="19"/>
      <c r="P45" s="19"/>
      <c r="Q45" s="19"/>
      <c r="R45" s="19"/>
      <c r="S45" s="19"/>
      <c r="T45" s="19"/>
      <c r="U45" s="19"/>
      <c r="V45" s="19"/>
      <c r="W45" s="19"/>
      <c r="X45" s="19"/>
      <c r="Y45" s="19"/>
      <c r="Z45" s="19"/>
    </row>
    <row r="46" ht="15.75" hidden="1" customHeight="1">
      <c r="A46" s="14" t="str">
        <f>IF(B46="","",41)</f>
        <v/>
      </c>
      <c r="B46" s="8" t="str">
        <f t="array" ref="B46">IFERROR(INDEX('Binder Setup'!$B$2:$B$401,MATCH(41,'Binder Setup'!$G$2:$G$401,0)),"")</f>
        <v/>
      </c>
      <c r="C46" s="8" t="str">
        <f t="array" ref="C46">IF(B46="","",TEXTJOIN(", ",TRUE(),IF(('Binder Data'!$B$2:$B$6251=B46)*('Binder Data'!$E$2:$E$6251="Y"),'Binder Data'!$G$2:$G$6251,"")))</f>
        <v/>
      </c>
      <c r="D46" s="14" t="str">
        <f t="array" ref="D46">IF(B46="","",INDEX('Binder Setup'!$D$2:$D$401,MATCH(41,'Binder Setup'!$G$2:$G$401,0)))</f>
        <v/>
      </c>
      <c r="E46" s="17" t="str">
        <f t="array" ref="E46">IF(B46="","",INDEX('Binder Setup'!$E$2:$E$401,MATCH(41,'Binder Setup'!$G$2:$G$401,0)))</f>
        <v/>
      </c>
      <c r="F46" s="14" t="str">
        <f t="shared" si="1"/>
        <v/>
      </c>
      <c r="G46" s="16" t="b">
        <v>0</v>
      </c>
      <c r="H46" s="19"/>
      <c r="I46" s="19"/>
      <c r="J46" s="19"/>
      <c r="K46" s="19"/>
      <c r="L46" s="19"/>
      <c r="M46" s="19"/>
      <c r="N46" s="19"/>
      <c r="O46" s="19"/>
      <c r="P46" s="19"/>
      <c r="Q46" s="19"/>
      <c r="R46" s="19"/>
      <c r="S46" s="19"/>
      <c r="T46" s="19"/>
      <c r="U46" s="19"/>
      <c r="V46" s="19"/>
      <c r="W46" s="19"/>
      <c r="X46" s="19"/>
      <c r="Y46" s="19"/>
      <c r="Z46" s="19"/>
    </row>
    <row r="47" ht="15.75" hidden="1" customHeight="1">
      <c r="A47" s="14" t="str">
        <f>IF(B47="","",42)</f>
        <v/>
      </c>
      <c r="B47" s="8" t="str">
        <f t="array" ref="B47">IFERROR(INDEX('Binder Setup'!$B$2:$B$401,MATCH(42,'Binder Setup'!$G$2:$G$401,0)),"")</f>
        <v/>
      </c>
      <c r="C47" s="8" t="str">
        <f t="array" ref="C47">IF(B47="","",TEXTJOIN(", ",TRUE(),IF(('Binder Data'!$B$2:$B$6251=B47)*('Binder Data'!$E$2:$E$6251="Y"),'Binder Data'!$G$2:$G$6251,"")))</f>
        <v/>
      </c>
      <c r="D47" s="14" t="str">
        <f t="array" ref="D47">IF(B47="","",INDEX('Binder Setup'!$D$2:$D$401,MATCH(42,'Binder Setup'!$G$2:$G$401,0)))</f>
        <v/>
      </c>
      <c r="E47" s="17" t="str">
        <f t="array" ref="E47">IF(B47="","",INDEX('Binder Setup'!$E$2:$E$401,MATCH(42,'Binder Setup'!$G$2:$G$401,0)))</f>
        <v/>
      </c>
      <c r="F47" s="14" t="str">
        <f t="shared" si="1"/>
        <v/>
      </c>
      <c r="G47" s="16" t="b">
        <v>0</v>
      </c>
      <c r="H47" s="19"/>
      <c r="I47" s="19"/>
      <c r="J47" s="19"/>
      <c r="K47" s="19"/>
      <c r="L47" s="19"/>
      <c r="M47" s="19"/>
      <c r="N47" s="19"/>
      <c r="O47" s="19"/>
      <c r="P47" s="19"/>
      <c r="Q47" s="19"/>
      <c r="R47" s="19"/>
      <c r="S47" s="19"/>
      <c r="T47" s="19"/>
      <c r="U47" s="19"/>
      <c r="V47" s="19"/>
      <c r="W47" s="19"/>
      <c r="X47" s="19"/>
      <c r="Y47" s="19"/>
      <c r="Z47" s="19"/>
    </row>
    <row r="48" ht="15.75" hidden="1" customHeight="1">
      <c r="A48" s="14" t="str">
        <f>IF(B48="","",43)</f>
        <v/>
      </c>
      <c r="B48" s="8" t="str">
        <f t="array" ref="B48">IFERROR(INDEX('Binder Setup'!$B$2:$B$401,MATCH(43,'Binder Setup'!$G$2:$G$401,0)),"")</f>
        <v/>
      </c>
      <c r="C48" s="8" t="str">
        <f t="array" ref="C48">IF(B48="","",TEXTJOIN(", ",TRUE(),IF(('Binder Data'!$B$2:$B$6251=B48)*('Binder Data'!$E$2:$E$6251="Y"),'Binder Data'!$G$2:$G$6251,"")))</f>
        <v/>
      </c>
      <c r="D48" s="14" t="str">
        <f t="array" ref="D48">IF(B48="","",INDEX('Binder Setup'!$D$2:$D$401,MATCH(43,'Binder Setup'!$G$2:$G$401,0)))</f>
        <v/>
      </c>
      <c r="E48" s="17" t="str">
        <f t="array" ref="E48">IF(B48="","",INDEX('Binder Setup'!$E$2:$E$401,MATCH(43,'Binder Setup'!$G$2:$G$401,0)))</f>
        <v/>
      </c>
      <c r="F48" s="14" t="str">
        <f t="shared" si="1"/>
        <v/>
      </c>
      <c r="G48" s="16" t="b">
        <v>0</v>
      </c>
      <c r="H48" s="19"/>
      <c r="I48" s="19"/>
      <c r="J48" s="19"/>
      <c r="K48" s="19"/>
      <c r="L48" s="19"/>
      <c r="M48" s="19"/>
      <c r="N48" s="19"/>
      <c r="O48" s="19"/>
      <c r="P48" s="19"/>
      <c r="Q48" s="19"/>
      <c r="R48" s="19"/>
      <c r="S48" s="19"/>
      <c r="T48" s="19"/>
      <c r="U48" s="19"/>
      <c r="V48" s="19"/>
      <c r="W48" s="19"/>
      <c r="X48" s="19"/>
      <c r="Y48" s="19"/>
      <c r="Z48" s="19"/>
    </row>
    <row r="49" ht="15.75" hidden="1" customHeight="1">
      <c r="A49" s="14" t="str">
        <f>IF(B49="","",44)</f>
        <v/>
      </c>
      <c r="B49" s="8" t="str">
        <f t="array" ref="B49">IFERROR(INDEX('Binder Setup'!$B$2:$B$401,MATCH(44,'Binder Setup'!$G$2:$G$401,0)),"")</f>
        <v/>
      </c>
      <c r="C49" s="8" t="str">
        <f t="array" ref="C49">IF(B49="","",TEXTJOIN(", ",TRUE(),IF(('Binder Data'!$B$2:$B$6251=B49)*('Binder Data'!$E$2:$E$6251="Y"),'Binder Data'!$G$2:$G$6251,"")))</f>
        <v/>
      </c>
      <c r="D49" s="14" t="str">
        <f t="array" ref="D49">IF(B49="","",INDEX('Binder Setup'!$D$2:$D$401,MATCH(44,'Binder Setup'!$G$2:$G$401,0)))</f>
        <v/>
      </c>
      <c r="E49" s="17" t="str">
        <f t="array" ref="E49">IF(B49="","",INDEX('Binder Setup'!$E$2:$E$401,MATCH(44,'Binder Setup'!$G$2:$G$401,0)))</f>
        <v/>
      </c>
      <c r="F49" s="14" t="str">
        <f t="shared" si="1"/>
        <v/>
      </c>
      <c r="G49" s="16" t="b">
        <v>0</v>
      </c>
      <c r="H49" s="19"/>
      <c r="I49" s="19"/>
      <c r="J49" s="19"/>
      <c r="K49" s="19"/>
      <c r="L49" s="19"/>
      <c r="M49" s="19"/>
      <c r="N49" s="19"/>
      <c r="O49" s="19"/>
      <c r="P49" s="19"/>
      <c r="Q49" s="19"/>
      <c r="R49" s="19"/>
      <c r="S49" s="19"/>
      <c r="T49" s="19"/>
      <c r="U49" s="19"/>
      <c r="V49" s="19"/>
      <c r="W49" s="19"/>
      <c r="X49" s="19"/>
      <c r="Y49" s="19"/>
      <c r="Z49" s="19"/>
    </row>
    <row r="50" ht="15.75" hidden="1" customHeight="1">
      <c r="A50" s="14" t="str">
        <f>IF(B50="","",45)</f>
        <v/>
      </c>
      <c r="B50" s="8" t="str">
        <f t="array" ref="B50">IFERROR(INDEX('Binder Setup'!$B$2:$B$401,MATCH(45,'Binder Setup'!$G$2:$G$401,0)),"")</f>
        <v/>
      </c>
      <c r="C50" s="8" t="str">
        <f t="array" ref="C50">IF(B50="","",TEXTJOIN(", ",TRUE(),IF(('Binder Data'!$B$2:$B$6251=B50)*('Binder Data'!$E$2:$E$6251="Y"),'Binder Data'!$G$2:$G$6251,"")))</f>
        <v/>
      </c>
      <c r="D50" s="14" t="str">
        <f t="array" ref="D50">IF(B50="","",INDEX('Binder Setup'!$D$2:$D$401,MATCH(45,'Binder Setup'!$G$2:$G$401,0)))</f>
        <v/>
      </c>
      <c r="E50" s="17" t="str">
        <f t="array" ref="E50">IF(B50="","",INDEX('Binder Setup'!$E$2:$E$401,MATCH(45,'Binder Setup'!$G$2:$G$401,0)))</f>
        <v/>
      </c>
      <c r="F50" s="14" t="str">
        <f t="shared" si="1"/>
        <v/>
      </c>
      <c r="G50" s="16" t="b">
        <v>0</v>
      </c>
      <c r="H50" s="19"/>
      <c r="I50" s="19"/>
      <c r="J50" s="19"/>
      <c r="K50" s="19"/>
      <c r="L50" s="19"/>
      <c r="M50" s="19"/>
      <c r="N50" s="19"/>
      <c r="O50" s="19"/>
      <c r="P50" s="19"/>
      <c r="Q50" s="19"/>
      <c r="R50" s="19"/>
      <c r="S50" s="19"/>
      <c r="T50" s="19"/>
      <c r="U50" s="19"/>
      <c r="V50" s="19"/>
      <c r="W50" s="19"/>
      <c r="X50" s="19"/>
      <c r="Y50" s="19"/>
      <c r="Z50" s="19"/>
    </row>
    <row r="51" ht="15.75" hidden="1" customHeight="1">
      <c r="A51" s="14" t="str">
        <f>IF(B51="","",46)</f>
        <v/>
      </c>
      <c r="B51" s="8" t="str">
        <f t="array" ref="B51">IFERROR(INDEX('Binder Setup'!$B$2:$B$401,MATCH(46,'Binder Setup'!$G$2:$G$401,0)),"")</f>
        <v/>
      </c>
      <c r="C51" s="8" t="str">
        <f t="array" ref="C51">IF(B51="","",TEXTJOIN(", ",TRUE(),IF(('Binder Data'!$B$2:$B$6251=B51)*('Binder Data'!$E$2:$E$6251="Y"),'Binder Data'!$G$2:$G$6251,"")))</f>
        <v/>
      </c>
      <c r="D51" s="14" t="str">
        <f t="array" ref="D51">IF(B51="","",INDEX('Binder Setup'!$D$2:$D$401,MATCH(46,'Binder Setup'!$G$2:$G$401,0)))</f>
        <v/>
      </c>
      <c r="E51" s="17" t="str">
        <f t="array" ref="E51">IF(B51="","",INDEX('Binder Setup'!$E$2:$E$401,MATCH(46,'Binder Setup'!$G$2:$G$401,0)))</f>
        <v/>
      </c>
      <c r="F51" s="14" t="str">
        <f t="shared" si="1"/>
        <v/>
      </c>
      <c r="G51" s="16" t="b">
        <v>0</v>
      </c>
      <c r="H51" s="19"/>
      <c r="I51" s="19"/>
      <c r="J51" s="19"/>
      <c r="K51" s="19"/>
      <c r="L51" s="19"/>
      <c r="M51" s="19"/>
      <c r="N51" s="19"/>
      <c r="O51" s="19"/>
      <c r="P51" s="19"/>
      <c r="Q51" s="19"/>
      <c r="R51" s="19"/>
      <c r="S51" s="19"/>
      <c r="T51" s="19"/>
      <c r="U51" s="19"/>
      <c r="V51" s="19"/>
      <c r="W51" s="19"/>
      <c r="X51" s="19"/>
      <c r="Y51" s="19"/>
      <c r="Z51" s="19"/>
    </row>
    <row r="52" ht="15.75" hidden="1" customHeight="1">
      <c r="A52" s="14" t="str">
        <f>IF(B52="","",47)</f>
        <v/>
      </c>
      <c r="B52" s="8" t="str">
        <f t="array" ref="B52">IFERROR(INDEX('Binder Setup'!$B$2:$B$401,MATCH(47,'Binder Setup'!$G$2:$G$401,0)),"")</f>
        <v/>
      </c>
      <c r="C52" s="8" t="str">
        <f t="array" ref="C52">IF(B52="","",TEXTJOIN(", ",TRUE(),IF(('Binder Data'!$B$2:$B$6251=B52)*('Binder Data'!$E$2:$E$6251="Y"),'Binder Data'!$G$2:$G$6251,"")))</f>
        <v/>
      </c>
      <c r="D52" s="14" t="str">
        <f t="array" ref="D52">IF(B52="","",INDEX('Binder Setup'!$D$2:$D$401,MATCH(47,'Binder Setup'!$G$2:$G$401,0)))</f>
        <v/>
      </c>
      <c r="E52" s="17" t="str">
        <f t="array" ref="E52">IF(B52="","",INDEX('Binder Setup'!$E$2:$E$401,MATCH(47,'Binder Setup'!$G$2:$G$401,0)))</f>
        <v/>
      </c>
      <c r="F52" s="14" t="str">
        <f t="shared" si="1"/>
        <v/>
      </c>
      <c r="G52" s="16" t="b">
        <v>0</v>
      </c>
      <c r="H52" s="19"/>
      <c r="I52" s="19"/>
      <c r="J52" s="19"/>
      <c r="K52" s="19"/>
      <c r="L52" s="19"/>
      <c r="M52" s="19"/>
      <c r="N52" s="19"/>
      <c r="O52" s="19"/>
      <c r="P52" s="19"/>
      <c r="Q52" s="19"/>
      <c r="R52" s="19"/>
      <c r="S52" s="19"/>
      <c r="T52" s="19"/>
      <c r="U52" s="19"/>
      <c r="V52" s="19"/>
      <c r="W52" s="19"/>
      <c r="X52" s="19"/>
      <c r="Y52" s="19"/>
      <c r="Z52" s="19"/>
    </row>
    <row r="53" ht="15.75" hidden="1" customHeight="1">
      <c r="A53" s="14" t="str">
        <f>IF(B53="","",48)</f>
        <v/>
      </c>
      <c r="B53" s="8" t="str">
        <f t="array" ref="B53">IFERROR(INDEX('Binder Setup'!$B$2:$B$401,MATCH(48,'Binder Setup'!$G$2:$G$401,0)),"")</f>
        <v/>
      </c>
      <c r="C53" s="8" t="str">
        <f t="array" ref="C53">IF(B53="","",TEXTJOIN(", ",TRUE(),IF(('Binder Data'!$B$2:$B$6251=B53)*('Binder Data'!$E$2:$E$6251="Y"),'Binder Data'!$G$2:$G$6251,"")))</f>
        <v/>
      </c>
      <c r="D53" s="14" t="str">
        <f t="array" ref="D53">IF(B53="","",INDEX('Binder Setup'!$D$2:$D$401,MATCH(48,'Binder Setup'!$G$2:$G$401,0)))</f>
        <v/>
      </c>
      <c r="E53" s="17" t="str">
        <f t="array" ref="E53">IF(B53="","",INDEX('Binder Setup'!$E$2:$E$401,MATCH(48,'Binder Setup'!$G$2:$G$401,0)))</f>
        <v/>
      </c>
      <c r="F53" s="14" t="str">
        <f t="shared" si="1"/>
        <v/>
      </c>
      <c r="G53" s="16" t="b">
        <v>0</v>
      </c>
      <c r="H53" s="19"/>
      <c r="I53" s="19"/>
      <c r="J53" s="19"/>
      <c r="K53" s="19"/>
      <c r="L53" s="19"/>
      <c r="M53" s="19"/>
      <c r="N53" s="19"/>
      <c r="O53" s="19"/>
      <c r="P53" s="19"/>
      <c r="Q53" s="19"/>
      <c r="R53" s="19"/>
      <c r="S53" s="19"/>
      <c r="T53" s="19"/>
      <c r="U53" s="19"/>
      <c r="V53" s="19"/>
      <c r="W53" s="19"/>
      <c r="X53" s="19"/>
      <c r="Y53" s="19"/>
      <c r="Z53" s="19"/>
    </row>
    <row r="54" ht="15.75" hidden="1" customHeight="1">
      <c r="A54" s="14" t="str">
        <f>IF(B54="","",49)</f>
        <v/>
      </c>
      <c r="B54" s="8" t="str">
        <f t="array" ref="B54">IFERROR(INDEX('Binder Setup'!$B$2:$B$401,MATCH(49,'Binder Setup'!$G$2:$G$401,0)),"")</f>
        <v/>
      </c>
      <c r="C54" s="8" t="str">
        <f t="array" ref="C54">IF(B54="","",TEXTJOIN(", ",TRUE(),IF(('Binder Data'!$B$2:$B$6251=B54)*('Binder Data'!$E$2:$E$6251="Y"),'Binder Data'!$G$2:$G$6251,"")))</f>
        <v/>
      </c>
      <c r="D54" s="14" t="str">
        <f t="array" ref="D54">IF(B54="","",INDEX('Binder Setup'!$D$2:$D$401,MATCH(49,'Binder Setup'!$G$2:$G$401,0)))</f>
        <v/>
      </c>
      <c r="E54" s="17" t="str">
        <f t="array" ref="E54">IF(B54="","",INDEX('Binder Setup'!$E$2:$E$401,MATCH(49,'Binder Setup'!$G$2:$G$401,0)))</f>
        <v/>
      </c>
      <c r="F54" s="14" t="str">
        <f t="shared" si="1"/>
        <v/>
      </c>
      <c r="G54" s="16" t="b">
        <v>0</v>
      </c>
      <c r="H54" s="19"/>
      <c r="I54" s="19"/>
      <c r="J54" s="19"/>
      <c r="K54" s="19"/>
      <c r="L54" s="19"/>
      <c r="M54" s="19"/>
      <c r="N54" s="19"/>
      <c r="O54" s="19"/>
      <c r="P54" s="19"/>
      <c r="Q54" s="19"/>
      <c r="R54" s="19"/>
      <c r="S54" s="19"/>
      <c r="T54" s="19"/>
      <c r="U54" s="19"/>
      <c r="V54" s="19"/>
      <c r="W54" s="19"/>
      <c r="X54" s="19"/>
      <c r="Y54" s="19"/>
      <c r="Z54" s="19"/>
    </row>
    <row r="55" ht="15.75" hidden="1" customHeight="1">
      <c r="A55" s="14" t="str">
        <f>IF(B55="","",50)</f>
        <v/>
      </c>
      <c r="B55" s="8" t="str">
        <f t="array" ref="B55">IFERROR(INDEX('Binder Setup'!$B$2:$B$401,MATCH(50,'Binder Setup'!$G$2:$G$401,0)),"")</f>
        <v/>
      </c>
      <c r="C55" s="8" t="str">
        <f t="array" ref="C55">IF(B55="","",TEXTJOIN(", ",TRUE(),IF(('Binder Data'!$B$2:$B$6251=B55)*('Binder Data'!$E$2:$E$6251="Y"),'Binder Data'!$G$2:$G$6251,"")))</f>
        <v/>
      </c>
      <c r="D55" s="14" t="str">
        <f t="array" ref="D55">IF(B55="","",INDEX('Binder Setup'!$D$2:$D$401,MATCH(50,'Binder Setup'!$G$2:$G$401,0)))</f>
        <v/>
      </c>
      <c r="E55" s="17" t="str">
        <f t="array" ref="E55">IF(B55="","",INDEX('Binder Setup'!$E$2:$E$401,MATCH(50,'Binder Setup'!$G$2:$G$401,0)))</f>
        <v/>
      </c>
      <c r="F55" s="14" t="str">
        <f t="shared" si="1"/>
        <v/>
      </c>
      <c r="G55" s="16" t="b">
        <v>0</v>
      </c>
      <c r="H55" s="19"/>
      <c r="I55" s="19"/>
      <c r="J55" s="19"/>
      <c r="K55" s="19"/>
      <c r="L55" s="19"/>
      <c r="M55" s="19"/>
      <c r="N55" s="19"/>
      <c r="O55" s="19"/>
      <c r="P55" s="19"/>
      <c r="Q55" s="19"/>
      <c r="R55" s="19"/>
      <c r="S55" s="19"/>
      <c r="T55" s="19"/>
      <c r="U55" s="19"/>
      <c r="V55" s="19"/>
      <c r="W55" s="19"/>
      <c r="X55" s="19"/>
      <c r="Y55" s="19"/>
      <c r="Z55" s="19"/>
    </row>
    <row r="56" ht="15.75" hidden="1" customHeight="1">
      <c r="A56" s="14" t="str">
        <f>IF(B56="","",51)</f>
        <v/>
      </c>
      <c r="B56" s="8" t="str">
        <f t="array" ref="B56">IFERROR(INDEX('Binder Setup'!$B$2:$B$401,MATCH(51,'Binder Setup'!$G$2:$G$401,0)),"")</f>
        <v/>
      </c>
      <c r="C56" s="8" t="str">
        <f t="array" ref="C56">IF(B56="","",TEXTJOIN(", ",TRUE(),IF(('Binder Data'!$B$2:$B$6251=B56)*('Binder Data'!$E$2:$E$6251="Y"),'Binder Data'!$G$2:$G$6251,"")))</f>
        <v/>
      </c>
      <c r="D56" s="14" t="str">
        <f t="array" ref="D56">IF(B56="","",INDEX('Binder Setup'!$D$2:$D$401,MATCH(51,'Binder Setup'!$G$2:$G$401,0)))</f>
        <v/>
      </c>
      <c r="E56" s="17" t="str">
        <f t="array" ref="E56">IF(B56="","",INDEX('Binder Setup'!$E$2:$E$401,MATCH(51,'Binder Setup'!$G$2:$G$401,0)))</f>
        <v/>
      </c>
      <c r="F56" s="14" t="str">
        <f t="shared" si="1"/>
        <v/>
      </c>
      <c r="G56" s="16" t="b">
        <v>0</v>
      </c>
      <c r="H56" s="19"/>
      <c r="I56" s="19"/>
      <c r="J56" s="19"/>
      <c r="K56" s="19"/>
      <c r="L56" s="19"/>
      <c r="M56" s="19"/>
      <c r="N56" s="19"/>
      <c r="O56" s="19"/>
      <c r="P56" s="19"/>
      <c r="Q56" s="19"/>
      <c r="R56" s="19"/>
      <c r="S56" s="19"/>
      <c r="T56" s="19"/>
      <c r="U56" s="19"/>
      <c r="V56" s="19"/>
      <c r="W56" s="19"/>
      <c r="X56" s="19"/>
      <c r="Y56" s="19"/>
      <c r="Z56" s="19"/>
    </row>
    <row r="57" ht="15.75" hidden="1" customHeight="1">
      <c r="A57" s="14" t="str">
        <f>IF(B57="","",52)</f>
        <v/>
      </c>
      <c r="B57" s="8" t="str">
        <f t="array" ref="B57">IFERROR(INDEX('Binder Setup'!$B$2:$B$401,MATCH(52,'Binder Setup'!$G$2:$G$401,0)),"")</f>
        <v/>
      </c>
      <c r="C57" s="8" t="str">
        <f t="array" ref="C57">IF(B57="","",TEXTJOIN(", ",TRUE(),IF(('Binder Data'!$B$2:$B$6251=B57)*('Binder Data'!$E$2:$E$6251="Y"),'Binder Data'!$G$2:$G$6251,"")))</f>
        <v/>
      </c>
      <c r="D57" s="14" t="str">
        <f t="array" ref="D57">IF(B57="","",INDEX('Binder Setup'!$D$2:$D$401,MATCH(52,'Binder Setup'!$G$2:$G$401,0)))</f>
        <v/>
      </c>
      <c r="E57" s="17" t="str">
        <f t="array" ref="E57">IF(B57="","",INDEX('Binder Setup'!$E$2:$E$401,MATCH(52,'Binder Setup'!$G$2:$G$401,0)))</f>
        <v/>
      </c>
      <c r="F57" s="14" t="str">
        <f t="shared" si="1"/>
        <v/>
      </c>
      <c r="G57" s="16" t="b">
        <v>0</v>
      </c>
      <c r="H57" s="19"/>
      <c r="I57" s="19"/>
      <c r="J57" s="19"/>
      <c r="K57" s="19"/>
      <c r="L57" s="19"/>
      <c r="M57" s="19"/>
      <c r="N57" s="19"/>
      <c r="O57" s="19"/>
      <c r="P57" s="19"/>
      <c r="Q57" s="19"/>
      <c r="R57" s="19"/>
      <c r="S57" s="19"/>
      <c r="T57" s="19"/>
      <c r="U57" s="19"/>
      <c r="V57" s="19"/>
      <c r="W57" s="19"/>
      <c r="X57" s="19"/>
      <c r="Y57" s="19"/>
      <c r="Z57" s="19"/>
    </row>
    <row r="58" ht="15.75" hidden="1" customHeight="1">
      <c r="A58" s="14" t="str">
        <f>IF(B58="","",53)</f>
        <v/>
      </c>
      <c r="B58" s="8" t="str">
        <f t="array" ref="B58">IFERROR(INDEX('Binder Setup'!$B$2:$B$401,MATCH(53,'Binder Setup'!$G$2:$G$401,0)),"")</f>
        <v/>
      </c>
      <c r="C58" s="8" t="str">
        <f t="array" ref="C58">IF(B58="","",TEXTJOIN(", ",TRUE(),IF(('Binder Data'!$B$2:$B$6251=B58)*('Binder Data'!$E$2:$E$6251="Y"),'Binder Data'!$G$2:$G$6251,"")))</f>
        <v/>
      </c>
      <c r="D58" s="14" t="str">
        <f t="array" ref="D58">IF(B58="","",INDEX('Binder Setup'!$D$2:$D$401,MATCH(53,'Binder Setup'!$G$2:$G$401,0)))</f>
        <v/>
      </c>
      <c r="E58" s="17" t="str">
        <f t="array" ref="E58">IF(B58="","",INDEX('Binder Setup'!$E$2:$E$401,MATCH(53,'Binder Setup'!$G$2:$G$401,0)))</f>
        <v/>
      </c>
      <c r="F58" s="14" t="str">
        <f t="shared" si="1"/>
        <v/>
      </c>
      <c r="G58" s="16" t="b">
        <v>0</v>
      </c>
      <c r="H58" s="19"/>
      <c r="I58" s="19"/>
      <c r="J58" s="19"/>
      <c r="K58" s="19"/>
      <c r="L58" s="19"/>
      <c r="M58" s="19"/>
      <c r="N58" s="19"/>
      <c r="O58" s="19"/>
      <c r="P58" s="19"/>
      <c r="Q58" s="19"/>
      <c r="R58" s="19"/>
      <c r="S58" s="19"/>
      <c r="T58" s="19"/>
      <c r="U58" s="19"/>
      <c r="V58" s="19"/>
      <c r="W58" s="19"/>
      <c r="X58" s="19"/>
      <c r="Y58" s="19"/>
      <c r="Z58" s="19"/>
    </row>
    <row r="59" ht="15.75" hidden="1" customHeight="1">
      <c r="A59" s="14" t="str">
        <f>IF(B59="","",54)</f>
        <v/>
      </c>
      <c r="B59" s="8" t="str">
        <f t="array" ref="B59">IFERROR(INDEX('Binder Setup'!$B$2:$B$401,MATCH(54,'Binder Setup'!$G$2:$G$401,0)),"")</f>
        <v/>
      </c>
      <c r="C59" s="8" t="str">
        <f t="array" ref="C59">IF(B59="","",TEXTJOIN(", ",TRUE(),IF(('Binder Data'!$B$2:$B$6251=B59)*('Binder Data'!$E$2:$E$6251="Y"),'Binder Data'!$G$2:$G$6251,"")))</f>
        <v/>
      </c>
      <c r="D59" s="14" t="str">
        <f t="array" ref="D59">IF(B59="","",INDEX('Binder Setup'!$D$2:$D$401,MATCH(54,'Binder Setup'!$G$2:$G$401,0)))</f>
        <v/>
      </c>
      <c r="E59" s="17" t="str">
        <f t="array" ref="E59">IF(B59="","",INDEX('Binder Setup'!$E$2:$E$401,MATCH(54,'Binder Setup'!$G$2:$G$401,0)))</f>
        <v/>
      </c>
      <c r="F59" s="14" t="str">
        <f t="shared" si="1"/>
        <v/>
      </c>
      <c r="G59" s="16" t="b">
        <v>0</v>
      </c>
      <c r="H59" s="19"/>
      <c r="I59" s="19"/>
      <c r="J59" s="19"/>
      <c r="K59" s="19"/>
      <c r="L59" s="19"/>
      <c r="M59" s="19"/>
      <c r="N59" s="19"/>
      <c r="O59" s="19"/>
      <c r="P59" s="19"/>
      <c r="Q59" s="19"/>
      <c r="R59" s="19"/>
      <c r="S59" s="19"/>
      <c r="T59" s="19"/>
      <c r="U59" s="19"/>
      <c r="V59" s="19"/>
      <c r="W59" s="19"/>
      <c r="X59" s="19"/>
      <c r="Y59" s="19"/>
      <c r="Z59" s="19"/>
    </row>
    <row r="60" ht="15.75" hidden="1" customHeight="1">
      <c r="A60" s="14" t="str">
        <f>IF(B60="","",55)</f>
        <v/>
      </c>
      <c r="B60" s="8" t="str">
        <f t="array" ref="B60">IFERROR(INDEX('Binder Setup'!$B$2:$B$401,MATCH(55,'Binder Setup'!$G$2:$G$401,0)),"")</f>
        <v/>
      </c>
      <c r="C60" s="8" t="str">
        <f t="array" ref="C60">IF(B60="","",TEXTJOIN(", ",TRUE(),IF(('Binder Data'!$B$2:$B$6251=B60)*('Binder Data'!$E$2:$E$6251="Y"),'Binder Data'!$G$2:$G$6251,"")))</f>
        <v/>
      </c>
      <c r="D60" s="14" t="str">
        <f t="array" ref="D60">IF(B60="","",INDEX('Binder Setup'!$D$2:$D$401,MATCH(55,'Binder Setup'!$G$2:$G$401,0)))</f>
        <v/>
      </c>
      <c r="E60" s="17" t="str">
        <f t="array" ref="E60">IF(B60="","",INDEX('Binder Setup'!$E$2:$E$401,MATCH(55,'Binder Setup'!$G$2:$G$401,0)))</f>
        <v/>
      </c>
      <c r="F60" s="14" t="str">
        <f t="shared" si="1"/>
        <v/>
      </c>
      <c r="G60" s="16" t="b">
        <v>0</v>
      </c>
      <c r="H60" s="19"/>
      <c r="I60" s="19"/>
      <c r="J60" s="19"/>
      <c r="K60" s="19"/>
      <c r="L60" s="19"/>
      <c r="M60" s="19"/>
      <c r="N60" s="19"/>
      <c r="O60" s="19"/>
      <c r="P60" s="19"/>
      <c r="Q60" s="19"/>
      <c r="R60" s="19"/>
      <c r="S60" s="19"/>
      <c r="T60" s="19"/>
      <c r="U60" s="19"/>
      <c r="V60" s="19"/>
      <c r="W60" s="19"/>
      <c r="X60" s="19"/>
      <c r="Y60" s="19"/>
      <c r="Z60" s="19"/>
    </row>
    <row r="61" ht="15.75" hidden="1" customHeight="1">
      <c r="A61" s="14" t="str">
        <f>IF(B61="","",56)</f>
        <v/>
      </c>
      <c r="B61" s="8" t="str">
        <f t="array" ref="B61">IFERROR(INDEX('Binder Setup'!$B$2:$B$401,MATCH(56,'Binder Setup'!$G$2:$G$401,0)),"")</f>
        <v/>
      </c>
      <c r="C61" s="8" t="str">
        <f t="array" ref="C61">IF(B61="","",TEXTJOIN(", ",TRUE(),IF(('Binder Data'!$B$2:$B$6251=B61)*('Binder Data'!$E$2:$E$6251="Y"),'Binder Data'!$G$2:$G$6251,"")))</f>
        <v/>
      </c>
      <c r="D61" s="14" t="str">
        <f t="array" ref="D61">IF(B61="","",INDEX('Binder Setup'!$D$2:$D$401,MATCH(56,'Binder Setup'!$G$2:$G$401,0)))</f>
        <v/>
      </c>
      <c r="E61" s="17" t="str">
        <f t="array" ref="E61">IF(B61="","",INDEX('Binder Setup'!$E$2:$E$401,MATCH(56,'Binder Setup'!$G$2:$G$401,0)))</f>
        <v/>
      </c>
      <c r="F61" s="14" t="str">
        <f t="shared" si="1"/>
        <v/>
      </c>
      <c r="G61" s="16" t="b">
        <v>0</v>
      </c>
      <c r="H61" s="19"/>
      <c r="I61" s="19"/>
      <c r="J61" s="19"/>
      <c r="K61" s="19"/>
      <c r="L61" s="19"/>
      <c r="M61" s="19"/>
      <c r="N61" s="19"/>
      <c r="O61" s="19"/>
      <c r="P61" s="19"/>
      <c r="Q61" s="19"/>
      <c r="R61" s="19"/>
      <c r="S61" s="19"/>
      <c r="T61" s="19"/>
      <c r="U61" s="19"/>
      <c r="V61" s="19"/>
      <c r="W61" s="19"/>
      <c r="X61" s="19"/>
      <c r="Y61" s="19"/>
      <c r="Z61" s="19"/>
    </row>
    <row r="62" ht="15.75" hidden="1" customHeight="1">
      <c r="A62" s="14" t="str">
        <f>IF(B62="","",57)</f>
        <v/>
      </c>
      <c r="B62" s="8" t="str">
        <f t="array" ref="B62">IFERROR(INDEX('Binder Setup'!$B$2:$B$401,MATCH(57,'Binder Setup'!$G$2:$G$401,0)),"")</f>
        <v/>
      </c>
      <c r="C62" s="8" t="str">
        <f t="array" ref="C62">IF(B62="","",TEXTJOIN(", ",TRUE(),IF(('Binder Data'!$B$2:$B$6251=B62)*('Binder Data'!$E$2:$E$6251="Y"),'Binder Data'!$G$2:$G$6251,"")))</f>
        <v/>
      </c>
      <c r="D62" s="14" t="str">
        <f t="array" ref="D62">IF(B62="","",INDEX('Binder Setup'!$D$2:$D$401,MATCH(57,'Binder Setup'!$G$2:$G$401,0)))</f>
        <v/>
      </c>
      <c r="E62" s="17" t="str">
        <f t="array" ref="E62">IF(B62="","",INDEX('Binder Setup'!$E$2:$E$401,MATCH(57,'Binder Setup'!$G$2:$G$401,0)))</f>
        <v/>
      </c>
      <c r="F62" s="14" t="str">
        <f t="shared" si="1"/>
        <v/>
      </c>
      <c r="G62" s="16" t="b">
        <v>0</v>
      </c>
      <c r="H62" s="19"/>
      <c r="I62" s="19"/>
      <c r="J62" s="19"/>
      <c r="K62" s="19"/>
      <c r="L62" s="19"/>
      <c r="M62" s="19"/>
      <c r="N62" s="19"/>
      <c r="O62" s="19"/>
      <c r="P62" s="19"/>
      <c r="Q62" s="19"/>
      <c r="R62" s="19"/>
      <c r="S62" s="19"/>
      <c r="T62" s="19"/>
      <c r="U62" s="19"/>
      <c r="V62" s="19"/>
      <c r="W62" s="19"/>
      <c r="X62" s="19"/>
      <c r="Y62" s="19"/>
      <c r="Z62" s="19"/>
    </row>
    <row r="63" ht="15.75" hidden="1" customHeight="1">
      <c r="A63" s="14" t="str">
        <f>IF(B63="","",58)</f>
        <v/>
      </c>
      <c r="B63" s="8" t="str">
        <f t="array" ref="B63">IFERROR(INDEX('Binder Setup'!$B$2:$B$401,MATCH(58,'Binder Setup'!$G$2:$G$401,0)),"")</f>
        <v/>
      </c>
      <c r="C63" s="8" t="str">
        <f t="array" ref="C63">IF(B63="","",TEXTJOIN(", ",TRUE(),IF(('Binder Data'!$B$2:$B$6251=B63)*('Binder Data'!$E$2:$E$6251="Y"),'Binder Data'!$G$2:$G$6251,"")))</f>
        <v/>
      </c>
      <c r="D63" s="14" t="str">
        <f t="array" ref="D63">IF(B63="","",INDEX('Binder Setup'!$D$2:$D$401,MATCH(58,'Binder Setup'!$G$2:$G$401,0)))</f>
        <v/>
      </c>
      <c r="E63" s="17" t="str">
        <f t="array" ref="E63">IF(B63="","",INDEX('Binder Setup'!$E$2:$E$401,MATCH(58,'Binder Setup'!$G$2:$G$401,0)))</f>
        <v/>
      </c>
      <c r="F63" s="14" t="str">
        <f t="shared" si="1"/>
        <v/>
      </c>
      <c r="G63" s="16" t="b">
        <v>0</v>
      </c>
      <c r="H63" s="19"/>
      <c r="I63" s="19"/>
      <c r="J63" s="19"/>
      <c r="K63" s="19"/>
      <c r="L63" s="19"/>
      <c r="M63" s="19"/>
      <c r="N63" s="19"/>
      <c r="O63" s="19"/>
      <c r="P63" s="19"/>
      <c r="Q63" s="19"/>
      <c r="R63" s="19"/>
      <c r="S63" s="19"/>
      <c r="T63" s="19"/>
      <c r="U63" s="19"/>
      <c r="V63" s="19"/>
      <c r="W63" s="19"/>
      <c r="X63" s="19"/>
      <c r="Y63" s="19"/>
      <c r="Z63" s="19"/>
    </row>
    <row r="64" ht="15.75" hidden="1" customHeight="1">
      <c r="A64" s="14" t="str">
        <f>IF(B64="","",59)</f>
        <v/>
      </c>
      <c r="B64" s="8" t="str">
        <f t="array" ref="B64">IFERROR(INDEX('Binder Setup'!$B$2:$B$401,MATCH(59,'Binder Setup'!$G$2:$G$401,0)),"")</f>
        <v/>
      </c>
      <c r="C64" s="8" t="str">
        <f t="array" ref="C64">IF(B64="","",TEXTJOIN(", ",TRUE(),IF(('Binder Data'!$B$2:$B$6251=B64)*('Binder Data'!$E$2:$E$6251="Y"),'Binder Data'!$G$2:$G$6251,"")))</f>
        <v/>
      </c>
      <c r="D64" s="14" t="str">
        <f t="array" ref="D64">IF(B64="","",INDEX('Binder Setup'!$D$2:$D$401,MATCH(59,'Binder Setup'!$G$2:$G$401,0)))</f>
        <v/>
      </c>
      <c r="E64" s="17" t="str">
        <f t="array" ref="E64">IF(B64="","",INDEX('Binder Setup'!$E$2:$E$401,MATCH(59,'Binder Setup'!$G$2:$G$401,0)))</f>
        <v/>
      </c>
      <c r="F64" s="14" t="str">
        <f t="shared" si="1"/>
        <v/>
      </c>
      <c r="G64" s="16" t="b">
        <v>0</v>
      </c>
      <c r="H64" s="19"/>
      <c r="I64" s="19"/>
      <c r="J64" s="19"/>
      <c r="K64" s="19"/>
      <c r="L64" s="19"/>
      <c r="M64" s="19"/>
      <c r="N64" s="19"/>
      <c r="O64" s="19"/>
      <c r="P64" s="19"/>
      <c r="Q64" s="19"/>
      <c r="R64" s="19"/>
      <c r="S64" s="19"/>
      <c r="T64" s="19"/>
      <c r="U64" s="19"/>
      <c r="V64" s="19"/>
      <c r="W64" s="19"/>
      <c r="X64" s="19"/>
      <c r="Y64" s="19"/>
      <c r="Z64" s="19"/>
    </row>
    <row r="65" ht="15.75" hidden="1" customHeight="1">
      <c r="A65" s="14" t="str">
        <f>IF(B65="","",60)</f>
        <v/>
      </c>
      <c r="B65" s="8" t="str">
        <f t="array" ref="B65">IFERROR(INDEX('Binder Setup'!$B$2:$B$401,MATCH(60,'Binder Setup'!$G$2:$G$401,0)),"")</f>
        <v/>
      </c>
      <c r="C65" s="8" t="str">
        <f t="array" ref="C65">IF(B65="","",TEXTJOIN(", ",TRUE(),IF(('Binder Data'!$B$2:$B$6251=B65)*('Binder Data'!$E$2:$E$6251="Y"),'Binder Data'!$G$2:$G$6251,"")))</f>
        <v/>
      </c>
      <c r="D65" s="14" t="str">
        <f t="array" ref="D65">IF(B65="","",INDEX('Binder Setup'!$D$2:$D$401,MATCH(60,'Binder Setup'!$G$2:$G$401,0)))</f>
        <v/>
      </c>
      <c r="E65" s="17" t="str">
        <f t="array" ref="E65">IF(B65="","",INDEX('Binder Setup'!$E$2:$E$401,MATCH(60,'Binder Setup'!$G$2:$G$401,0)))</f>
        <v/>
      </c>
      <c r="F65" s="14" t="str">
        <f t="shared" si="1"/>
        <v/>
      </c>
      <c r="G65" s="16" t="b">
        <v>0</v>
      </c>
      <c r="H65" s="19"/>
      <c r="I65" s="19"/>
      <c r="J65" s="19"/>
      <c r="K65" s="19"/>
      <c r="L65" s="19"/>
      <c r="M65" s="19"/>
      <c r="N65" s="19"/>
      <c r="O65" s="19"/>
      <c r="P65" s="19"/>
      <c r="Q65" s="19"/>
      <c r="R65" s="19"/>
      <c r="S65" s="19"/>
      <c r="T65" s="19"/>
      <c r="U65" s="19"/>
      <c r="V65" s="19"/>
      <c r="W65" s="19"/>
      <c r="X65" s="19"/>
      <c r="Y65" s="19"/>
      <c r="Z65" s="19"/>
    </row>
    <row r="66" ht="15.75" customHeight="1">
      <c r="A66" s="14" t="str">
        <f>IF(B66="","",61)</f>
        <v/>
      </c>
      <c r="B66" s="8" t="str">
        <f t="array" ref="B66">IFERROR(INDEX('Binder Setup'!$B$2:$B$401,MATCH(61,'Binder Setup'!$G$2:$G$401,0)),"")</f>
        <v/>
      </c>
      <c r="C66" s="8" t="str">
        <f t="array" ref="C66">IF(B66="","",TEXTJOIN(", ",TRUE(),IF(('Binder Data'!$B$2:$B$6251=B66)*('Binder Data'!$E$2:$E$6251="Y"),'Binder Data'!$G$2:$G$6251,"")))</f>
        <v/>
      </c>
      <c r="D66" s="14" t="str">
        <f t="array" ref="D66">IF(B66="","",INDEX('Binder Setup'!$D$2:$D$401,MATCH(61,'Binder Setup'!$G$2:$G$401,0)))</f>
        <v/>
      </c>
      <c r="E66" s="17" t="str">
        <f t="array" ref="E66">IF(B66="","",INDEX('Binder Setup'!$E$2:$E$401,MATCH(61,'Binder Setup'!$G$2:$G$401,0)))</f>
        <v/>
      </c>
      <c r="F66" s="14" t="str">
        <f t="shared" si="1"/>
        <v/>
      </c>
      <c r="G66" s="16" t="b">
        <v>0</v>
      </c>
      <c r="H66" s="19"/>
      <c r="I66" s="19"/>
      <c r="J66" s="19"/>
      <c r="K66" s="19"/>
      <c r="L66" s="19"/>
      <c r="M66" s="19"/>
      <c r="N66" s="19"/>
      <c r="O66" s="19"/>
      <c r="P66" s="19"/>
      <c r="Q66" s="19"/>
      <c r="R66" s="19"/>
      <c r="S66" s="19"/>
      <c r="T66" s="19"/>
      <c r="U66" s="19"/>
      <c r="V66" s="19"/>
      <c r="W66" s="19"/>
      <c r="X66" s="19"/>
      <c r="Y66" s="19"/>
      <c r="Z66" s="19"/>
    </row>
    <row r="67" ht="15.75" customHeight="1">
      <c r="A67" s="14" t="str">
        <f>IF(B67="","",62)</f>
        <v/>
      </c>
      <c r="B67" s="8" t="str">
        <f t="array" ref="B67">IFERROR(INDEX('Binder Setup'!$B$2:$B$401,MATCH(62,'Binder Setup'!$G$2:$G$401,0)),"")</f>
        <v/>
      </c>
      <c r="C67" s="8" t="str">
        <f t="array" ref="C67">IF(B67="","",TEXTJOIN(", ",TRUE(),IF(('Binder Data'!$B$2:$B$6251=B67)*('Binder Data'!$E$2:$E$6251="Y"),'Binder Data'!$G$2:$G$6251,"")))</f>
        <v/>
      </c>
      <c r="D67" s="14" t="str">
        <f t="array" ref="D67">IF(B67="","",INDEX('Binder Setup'!$D$2:$D$401,MATCH(62,'Binder Setup'!$G$2:$G$401,0)))</f>
        <v/>
      </c>
      <c r="E67" s="17" t="str">
        <f t="array" ref="E67">IF(B67="","",INDEX('Binder Setup'!$E$2:$E$401,MATCH(62,'Binder Setup'!$G$2:$G$401,0)))</f>
        <v/>
      </c>
      <c r="F67" s="14" t="str">
        <f t="shared" si="1"/>
        <v/>
      </c>
      <c r="G67" s="16" t="b">
        <v>0</v>
      </c>
      <c r="H67" s="19"/>
      <c r="I67" s="19"/>
      <c r="J67" s="19"/>
      <c r="K67" s="19"/>
      <c r="L67" s="19"/>
      <c r="M67" s="19"/>
      <c r="N67" s="19"/>
      <c r="O67" s="19"/>
      <c r="P67" s="19"/>
      <c r="Q67" s="19"/>
      <c r="R67" s="19"/>
      <c r="S67" s="19"/>
      <c r="T67" s="19"/>
      <c r="U67" s="19"/>
      <c r="V67" s="19"/>
      <c r="W67" s="19"/>
      <c r="X67" s="19"/>
      <c r="Y67" s="19"/>
      <c r="Z67" s="19"/>
    </row>
    <row r="68" ht="15.75" customHeight="1">
      <c r="A68" s="14" t="str">
        <f>IF(B68="","",63)</f>
        <v/>
      </c>
      <c r="B68" s="8" t="str">
        <f t="array" ref="B68">IFERROR(INDEX('Binder Setup'!$B$2:$B$401,MATCH(63,'Binder Setup'!$G$2:$G$401,0)),"")</f>
        <v/>
      </c>
      <c r="C68" s="8" t="str">
        <f t="array" ref="C68">IF(B68="","",TEXTJOIN(", ",TRUE(),IF(('Binder Data'!$B$2:$B$6251=B68)*('Binder Data'!$E$2:$E$6251="Y"),'Binder Data'!$G$2:$G$6251,"")))</f>
        <v/>
      </c>
      <c r="D68" s="14" t="str">
        <f t="array" ref="D68">IF(B68="","",INDEX('Binder Setup'!$D$2:$D$401,MATCH(63,'Binder Setup'!$G$2:$G$401,0)))</f>
        <v/>
      </c>
      <c r="E68" s="17" t="str">
        <f t="array" ref="E68">IF(B68="","",INDEX('Binder Setup'!$E$2:$E$401,MATCH(63,'Binder Setup'!$G$2:$G$401,0)))</f>
        <v/>
      </c>
      <c r="F68" s="14" t="str">
        <f t="shared" si="1"/>
        <v/>
      </c>
      <c r="G68" s="16" t="b">
        <v>0</v>
      </c>
      <c r="H68" s="19"/>
      <c r="I68" s="19"/>
      <c r="J68" s="19"/>
      <c r="K68" s="19"/>
      <c r="L68" s="19"/>
      <c r="M68" s="19"/>
      <c r="N68" s="19"/>
      <c r="O68" s="19"/>
      <c r="P68" s="19"/>
      <c r="Q68" s="19"/>
      <c r="R68" s="19"/>
      <c r="S68" s="19"/>
      <c r="T68" s="19"/>
      <c r="U68" s="19"/>
      <c r="V68" s="19"/>
      <c r="W68" s="19"/>
      <c r="X68" s="19"/>
      <c r="Y68" s="19"/>
      <c r="Z68" s="19"/>
    </row>
    <row r="69" ht="15.75" customHeight="1">
      <c r="A69" s="14" t="str">
        <f>IF(B69="","",64)</f>
        <v/>
      </c>
      <c r="B69" s="8" t="str">
        <f t="array" ref="B69">IFERROR(INDEX('Binder Setup'!$B$2:$B$401,MATCH(64,'Binder Setup'!$G$2:$G$401,0)),"")</f>
        <v/>
      </c>
      <c r="C69" s="8" t="str">
        <f t="array" ref="C69">IF(B69="","",TEXTJOIN(", ",TRUE(),IF(('Binder Data'!$B$2:$B$6251=B69)*('Binder Data'!$E$2:$E$6251="Y"),'Binder Data'!$G$2:$G$6251,"")))</f>
        <v/>
      </c>
      <c r="D69" s="14" t="str">
        <f t="array" ref="D69">IF(B69="","",INDEX('Binder Setup'!$D$2:$D$401,MATCH(64,'Binder Setup'!$G$2:$G$401,0)))</f>
        <v/>
      </c>
      <c r="E69" s="17" t="str">
        <f t="array" ref="E69">IF(B69="","",INDEX('Binder Setup'!$E$2:$E$401,MATCH(64,'Binder Setup'!$G$2:$G$401,0)))</f>
        <v/>
      </c>
      <c r="F69" s="14" t="str">
        <f t="shared" si="1"/>
        <v/>
      </c>
      <c r="G69" s="16" t="b">
        <v>0</v>
      </c>
      <c r="H69" s="19"/>
      <c r="I69" s="19"/>
      <c r="J69" s="19"/>
      <c r="K69" s="19"/>
      <c r="L69" s="19"/>
      <c r="M69" s="19"/>
      <c r="N69" s="19"/>
      <c r="O69" s="19"/>
      <c r="P69" s="19"/>
      <c r="Q69" s="19"/>
      <c r="R69" s="19"/>
      <c r="S69" s="19"/>
      <c r="T69" s="19"/>
      <c r="U69" s="19"/>
      <c r="V69" s="19"/>
      <c r="W69" s="19"/>
      <c r="X69" s="19"/>
      <c r="Y69" s="19"/>
      <c r="Z69" s="19"/>
    </row>
    <row r="70" ht="15.75" customHeight="1">
      <c r="A70" s="14" t="str">
        <f>IF(B70="","",65)</f>
        <v/>
      </c>
      <c r="B70" s="8" t="str">
        <f t="array" ref="B70">IFERROR(INDEX('Binder Setup'!$B$2:$B$401,MATCH(65,'Binder Setup'!$G$2:$G$401,0)),"")</f>
        <v/>
      </c>
      <c r="C70" s="8" t="str">
        <f t="array" ref="C70">IF(B70="","",TEXTJOIN(", ",TRUE(),IF(('Binder Data'!$B$2:$B$6251=B70)*('Binder Data'!$E$2:$E$6251="Y"),'Binder Data'!$G$2:$G$6251,"")))</f>
        <v/>
      </c>
      <c r="D70" s="14" t="str">
        <f t="array" ref="D70">IF(B70="","",INDEX('Binder Setup'!$D$2:$D$401,MATCH(65,'Binder Setup'!$G$2:$G$401,0)))</f>
        <v/>
      </c>
      <c r="E70" s="17" t="str">
        <f t="array" ref="E70">IF(B70="","",INDEX('Binder Setup'!$E$2:$E$401,MATCH(65,'Binder Setup'!$G$2:$G$401,0)))</f>
        <v/>
      </c>
      <c r="F70" s="14" t="str">
        <f t="shared" si="1"/>
        <v/>
      </c>
      <c r="G70" s="16" t="b">
        <v>0</v>
      </c>
      <c r="H70" s="19"/>
      <c r="I70" s="19"/>
      <c r="J70" s="19"/>
      <c r="K70" s="19"/>
      <c r="L70" s="19"/>
      <c r="M70" s="19"/>
      <c r="N70" s="19"/>
      <c r="O70" s="19"/>
      <c r="P70" s="19"/>
      <c r="Q70" s="19"/>
      <c r="R70" s="19"/>
      <c r="S70" s="19"/>
      <c r="T70" s="19"/>
      <c r="U70" s="19"/>
      <c r="V70" s="19"/>
      <c r="W70" s="19"/>
      <c r="X70" s="19"/>
      <c r="Y70" s="19"/>
      <c r="Z70" s="19"/>
    </row>
    <row r="71" ht="15.75" customHeight="1">
      <c r="A71" s="14" t="str">
        <f>IF(B71="","",66)</f>
        <v/>
      </c>
      <c r="B71" s="8" t="str">
        <f t="array" ref="B71">IFERROR(INDEX('Binder Setup'!$B$2:$B$401,MATCH(66,'Binder Setup'!$G$2:$G$401,0)),"")</f>
        <v/>
      </c>
      <c r="C71" s="8" t="str">
        <f t="array" ref="C71">IF(B71="","",TEXTJOIN(", ",TRUE(),IF(('Binder Data'!$B$2:$B$6251=B71)*('Binder Data'!$E$2:$E$6251="Y"),'Binder Data'!$G$2:$G$6251,"")))</f>
        <v/>
      </c>
      <c r="D71" s="14" t="str">
        <f t="array" ref="D71">IF(B71="","",INDEX('Binder Setup'!$D$2:$D$401,MATCH(66,'Binder Setup'!$G$2:$G$401,0)))</f>
        <v/>
      </c>
      <c r="E71" s="17" t="str">
        <f t="array" ref="E71">IF(B71="","",INDEX('Binder Setup'!$E$2:$E$401,MATCH(66,'Binder Setup'!$G$2:$G$401,0)))</f>
        <v/>
      </c>
      <c r="F71" s="14" t="str">
        <f t="shared" si="1"/>
        <v/>
      </c>
      <c r="G71" s="16" t="b">
        <v>0</v>
      </c>
      <c r="H71" s="19"/>
      <c r="I71" s="19"/>
      <c r="J71" s="19"/>
      <c r="K71" s="19"/>
      <c r="L71" s="19"/>
      <c r="M71" s="19"/>
      <c r="N71" s="19"/>
      <c r="O71" s="19"/>
      <c r="P71" s="19"/>
      <c r="Q71" s="19"/>
      <c r="R71" s="19"/>
      <c r="S71" s="19"/>
      <c r="T71" s="19"/>
      <c r="U71" s="19"/>
      <c r="V71" s="19"/>
      <c r="W71" s="19"/>
      <c r="X71" s="19"/>
      <c r="Y71" s="19"/>
      <c r="Z71" s="19"/>
    </row>
    <row r="72" ht="15.75" customHeight="1">
      <c r="A72" s="14" t="str">
        <f>IF(B72="","",67)</f>
        <v/>
      </c>
      <c r="B72" s="8" t="str">
        <f t="array" ref="B72">IFERROR(INDEX('Binder Setup'!$B$2:$B$401,MATCH(67,'Binder Setup'!$G$2:$G$401,0)),"")</f>
        <v/>
      </c>
      <c r="C72" s="8" t="str">
        <f t="array" ref="C72">IF(B72="","",TEXTJOIN(", ",TRUE(),IF(('Binder Data'!$B$2:$B$6251=B72)*('Binder Data'!$E$2:$E$6251="Y"),'Binder Data'!$G$2:$G$6251,"")))</f>
        <v/>
      </c>
      <c r="D72" s="14" t="str">
        <f t="array" ref="D72">IF(B72="","",INDEX('Binder Setup'!$D$2:$D$401,MATCH(67,'Binder Setup'!$G$2:$G$401,0)))</f>
        <v/>
      </c>
      <c r="E72" s="17" t="str">
        <f t="array" ref="E72">IF(B72="","",INDEX('Binder Setup'!$E$2:$E$401,MATCH(67,'Binder Setup'!$G$2:$G$401,0)))</f>
        <v/>
      </c>
      <c r="F72" s="14" t="str">
        <f t="shared" si="1"/>
        <v/>
      </c>
      <c r="G72" s="16" t="b">
        <v>0</v>
      </c>
      <c r="H72" s="19"/>
      <c r="I72" s="19"/>
      <c r="J72" s="19"/>
      <c r="K72" s="19"/>
      <c r="L72" s="19"/>
      <c r="M72" s="19"/>
      <c r="N72" s="19"/>
      <c r="O72" s="19"/>
      <c r="P72" s="19"/>
      <c r="Q72" s="19"/>
      <c r="R72" s="19"/>
      <c r="S72" s="19"/>
      <c r="T72" s="19"/>
      <c r="U72" s="19"/>
      <c r="V72" s="19"/>
      <c r="W72" s="19"/>
      <c r="X72" s="19"/>
      <c r="Y72" s="19"/>
      <c r="Z72" s="19"/>
    </row>
    <row r="73" ht="15.75" customHeight="1">
      <c r="A73" s="14" t="str">
        <f>IF(B73="","",68)</f>
        <v/>
      </c>
      <c r="B73" s="8" t="str">
        <f t="array" ref="B73">IFERROR(INDEX('Binder Setup'!$B$2:$B$401,MATCH(68,'Binder Setup'!$G$2:$G$401,0)),"")</f>
        <v/>
      </c>
      <c r="C73" s="8" t="str">
        <f t="array" ref="C73">IF(B73="","",TEXTJOIN(", ",TRUE(),IF(('Binder Data'!$B$2:$B$6251=B73)*('Binder Data'!$E$2:$E$6251="Y"),'Binder Data'!$G$2:$G$6251,"")))</f>
        <v/>
      </c>
      <c r="D73" s="14" t="str">
        <f t="array" ref="D73">IF(B73="","",INDEX('Binder Setup'!$D$2:$D$401,MATCH(68,'Binder Setup'!$G$2:$G$401,0)))</f>
        <v/>
      </c>
      <c r="E73" s="17" t="str">
        <f t="array" ref="E73">IF(B73="","",INDEX('Binder Setup'!$E$2:$E$401,MATCH(68,'Binder Setup'!$G$2:$G$401,0)))</f>
        <v/>
      </c>
      <c r="F73" s="14" t="str">
        <f t="shared" si="1"/>
        <v/>
      </c>
      <c r="G73" s="16" t="b">
        <v>0</v>
      </c>
      <c r="H73" s="19"/>
      <c r="I73" s="19"/>
      <c r="J73" s="19"/>
      <c r="K73" s="19"/>
      <c r="L73" s="19"/>
      <c r="M73" s="19"/>
      <c r="N73" s="19"/>
      <c r="O73" s="19"/>
      <c r="P73" s="19"/>
      <c r="Q73" s="19"/>
      <c r="R73" s="19"/>
      <c r="S73" s="19"/>
      <c r="T73" s="19"/>
      <c r="U73" s="19"/>
      <c r="V73" s="19"/>
      <c r="W73" s="19"/>
      <c r="X73" s="19"/>
      <c r="Y73" s="19"/>
      <c r="Z73" s="19"/>
    </row>
    <row r="74" ht="15.75" customHeight="1">
      <c r="A74" s="14" t="str">
        <f>IF(B74="","",69)</f>
        <v/>
      </c>
      <c r="B74" s="8" t="str">
        <f t="array" ref="B74">IFERROR(INDEX('Binder Setup'!$B$2:$B$401,MATCH(69,'Binder Setup'!$G$2:$G$401,0)),"")</f>
        <v/>
      </c>
      <c r="C74" s="8" t="str">
        <f t="array" ref="C74">IF(B74="","",TEXTJOIN(", ",TRUE(),IF(('Binder Data'!$B$2:$B$6251=B74)*('Binder Data'!$E$2:$E$6251="Y"),'Binder Data'!$G$2:$G$6251,"")))</f>
        <v/>
      </c>
      <c r="D74" s="14" t="str">
        <f t="array" ref="D74">IF(B74="","",INDEX('Binder Setup'!$D$2:$D$401,MATCH(69,'Binder Setup'!$G$2:$G$401,0)))</f>
        <v/>
      </c>
      <c r="E74" s="17" t="str">
        <f t="array" ref="E74">IF(B74="","",INDEX('Binder Setup'!$E$2:$E$401,MATCH(69,'Binder Setup'!$G$2:$G$401,0)))</f>
        <v/>
      </c>
      <c r="F74" s="14" t="str">
        <f t="shared" si="1"/>
        <v/>
      </c>
      <c r="G74" s="16" t="b">
        <v>0</v>
      </c>
      <c r="H74" s="19"/>
      <c r="I74" s="19"/>
      <c r="J74" s="19"/>
      <c r="K74" s="19"/>
      <c r="L74" s="19"/>
      <c r="M74" s="19"/>
      <c r="N74" s="19"/>
      <c r="O74" s="19"/>
      <c r="P74" s="19"/>
      <c r="Q74" s="19"/>
      <c r="R74" s="19"/>
      <c r="S74" s="19"/>
      <c r="T74" s="19"/>
      <c r="U74" s="19"/>
      <c r="V74" s="19"/>
      <c r="W74" s="19"/>
      <c r="X74" s="19"/>
      <c r="Y74" s="19"/>
      <c r="Z74" s="19"/>
    </row>
    <row r="75" ht="15.75" customHeight="1">
      <c r="A75" s="14" t="str">
        <f>IF(B75="","",70)</f>
        <v/>
      </c>
      <c r="B75" s="8" t="str">
        <f t="array" ref="B75">IFERROR(INDEX('Binder Setup'!$B$2:$B$401,MATCH(70,'Binder Setup'!$G$2:$G$401,0)),"")</f>
        <v/>
      </c>
      <c r="C75" s="8" t="str">
        <f t="array" ref="C75">IF(B75="","",TEXTJOIN(", ",TRUE(),IF(('Binder Data'!$B$2:$B$6251=B75)*('Binder Data'!$E$2:$E$6251="Y"),'Binder Data'!$G$2:$G$6251,"")))</f>
        <v/>
      </c>
      <c r="D75" s="14" t="str">
        <f t="array" ref="D75">IF(B75="","",INDEX('Binder Setup'!$D$2:$D$401,MATCH(70,'Binder Setup'!$G$2:$G$401,0)))</f>
        <v/>
      </c>
      <c r="E75" s="17" t="str">
        <f t="array" ref="E75">IF(B75="","",INDEX('Binder Setup'!$E$2:$E$401,MATCH(70,'Binder Setup'!$G$2:$G$401,0)))</f>
        <v/>
      </c>
      <c r="F75" s="14" t="str">
        <f t="shared" si="1"/>
        <v/>
      </c>
      <c r="G75" s="16" t="b">
        <v>0</v>
      </c>
      <c r="H75" s="19"/>
      <c r="I75" s="19"/>
      <c r="J75" s="19"/>
      <c r="K75" s="19"/>
      <c r="L75" s="19"/>
      <c r="M75" s="19"/>
      <c r="N75" s="19"/>
      <c r="O75" s="19"/>
      <c r="P75" s="19"/>
      <c r="Q75" s="19"/>
      <c r="R75" s="19"/>
      <c r="S75" s="19"/>
      <c r="T75" s="19"/>
      <c r="U75" s="19"/>
      <c r="V75" s="19"/>
      <c r="W75" s="19"/>
      <c r="X75" s="19"/>
      <c r="Y75" s="19"/>
      <c r="Z75" s="19"/>
    </row>
    <row r="76" ht="15.75" customHeight="1">
      <c r="A76" s="14" t="str">
        <f>IF(B76="","",71)</f>
        <v/>
      </c>
      <c r="B76" s="8" t="str">
        <f t="array" ref="B76">IFERROR(INDEX('Binder Setup'!$B$2:$B$401,MATCH(71,'Binder Setup'!$G$2:$G$401,0)),"")</f>
        <v/>
      </c>
      <c r="C76" s="8" t="str">
        <f t="array" ref="C76">IF(B76="","",TEXTJOIN(", ",TRUE(),IF(('Binder Data'!$B$2:$B$6251=B76)*('Binder Data'!$E$2:$E$6251="Y"),'Binder Data'!$G$2:$G$6251,"")))</f>
        <v/>
      </c>
      <c r="D76" s="14" t="str">
        <f t="array" ref="D76">IF(B76="","",INDEX('Binder Setup'!$D$2:$D$401,MATCH(71,'Binder Setup'!$G$2:$G$401,0)))</f>
        <v/>
      </c>
      <c r="E76" s="17" t="str">
        <f t="array" ref="E76">IF(B76="","",INDEX('Binder Setup'!$E$2:$E$401,MATCH(71,'Binder Setup'!$G$2:$G$401,0)))</f>
        <v/>
      </c>
      <c r="F76" s="14" t="str">
        <f t="shared" si="1"/>
        <v/>
      </c>
      <c r="G76" s="16" t="b">
        <v>0</v>
      </c>
      <c r="H76" s="19"/>
      <c r="I76" s="19"/>
      <c r="J76" s="19"/>
      <c r="K76" s="19"/>
      <c r="L76" s="19"/>
      <c r="M76" s="19"/>
      <c r="N76" s="19"/>
      <c r="O76" s="19"/>
      <c r="P76" s="19"/>
      <c r="Q76" s="19"/>
      <c r="R76" s="19"/>
      <c r="S76" s="19"/>
      <c r="T76" s="19"/>
      <c r="U76" s="19"/>
      <c r="V76" s="19"/>
      <c r="W76" s="19"/>
      <c r="X76" s="19"/>
      <c r="Y76" s="19"/>
      <c r="Z76" s="19"/>
    </row>
    <row r="77" ht="15.75" customHeight="1">
      <c r="A77" s="14" t="str">
        <f>IF(B77="","",72)</f>
        <v/>
      </c>
      <c r="B77" s="8" t="str">
        <f t="array" ref="B77">IFERROR(INDEX('Binder Setup'!$B$2:$B$401,MATCH(72,'Binder Setup'!$G$2:$G$401,0)),"")</f>
        <v/>
      </c>
      <c r="C77" s="8" t="str">
        <f t="array" ref="C77">IF(B77="","",TEXTJOIN(", ",TRUE(),IF(('Binder Data'!$B$2:$B$6251=B77)*('Binder Data'!$E$2:$E$6251="Y"),'Binder Data'!$G$2:$G$6251,"")))</f>
        <v/>
      </c>
      <c r="D77" s="14" t="str">
        <f t="array" ref="D77">IF(B77="","",INDEX('Binder Setup'!$D$2:$D$401,MATCH(72,'Binder Setup'!$G$2:$G$401,0)))</f>
        <v/>
      </c>
      <c r="E77" s="17" t="str">
        <f t="array" ref="E77">IF(B77="","",INDEX('Binder Setup'!$E$2:$E$401,MATCH(72,'Binder Setup'!$G$2:$G$401,0)))</f>
        <v/>
      </c>
      <c r="F77" s="14" t="str">
        <f t="shared" si="1"/>
        <v/>
      </c>
      <c r="G77" s="16" t="b">
        <v>0</v>
      </c>
      <c r="H77" s="19"/>
      <c r="I77" s="19"/>
      <c r="J77" s="19"/>
      <c r="K77" s="19"/>
      <c r="L77" s="19"/>
      <c r="M77" s="19"/>
      <c r="N77" s="19"/>
      <c r="O77" s="19"/>
      <c r="P77" s="19"/>
      <c r="Q77" s="19"/>
      <c r="R77" s="19"/>
      <c r="S77" s="19"/>
      <c r="T77" s="19"/>
      <c r="U77" s="19"/>
      <c r="V77" s="19"/>
      <c r="W77" s="19"/>
      <c r="X77" s="19"/>
      <c r="Y77" s="19"/>
      <c r="Z77" s="19"/>
    </row>
    <row r="78" ht="15.75" customHeight="1">
      <c r="A78" s="14" t="str">
        <f>IF(B78="","",73)</f>
        <v/>
      </c>
      <c r="B78" s="8" t="str">
        <f t="array" ref="B78">IFERROR(INDEX('Binder Setup'!$B$2:$B$401,MATCH(73,'Binder Setup'!$G$2:$G$401,0)),"")</f>
        <v/>
      </c>
      <c r="C78" s="8" t="str">
        <f t="array" ref="C78">IF(B78="","",TEXTJOIN(", ",TRUE(),IF(('Binder Data'!$B$2:$B$6251=B78)*('Binder Data'!$E$2:$E$6251="Y"),'Binder Data'!$G$2:$G$6251,"")))</f>
        <v/>
      </c>
      <c r="D78" s="14" t="str">
        <f t="array" ref="D78">IF(B78="","",INDEX('Binder Setup'!$D$2:$D$401,MATCH(73,'Binder Setup'!$G$2:$G$401,0)))</f>
        <v/>
      </c>
      <c r="E78" s="17" t="str">
        <f t="array" ref="E78">IF(B78="","",INDEX('Binder Setup'!$E$2:$E$401,MATCH(73,'Binder Setup'!$G$2:$G$401,0)))</f>
        <v/>
      </c>
      <c r="F78" s="14" t="str">
        <f t="shared" si="1"/>
        <v/>
      </c>
      <c r="G78" s="16" t="b">
        <v>0</v>
      </c>
      <c r="H78" s="19"/>
      <c r="I78" s="19"/>
      <c r="J78" s="19"/>
      <c r="K78" s="19"/>
      <c r="L78" s="19"/>
      <c r="M78" s="19"/>
      <c r="N78" s="19"/>
      <c r="O78" s="19"/>
      <c r="P78" s="19"/>
      <c r="Q78" s="19"/>
      <c r="R78" s="19"/>
      <c r="S78" s="19"/>
      <c r="T78" s="19"/>
      <c r="U78" s="19"/>
      <c r="V78" s="19"/>
      <c r="W78" s="19"/>
      <c r="X78" s="19"/>
      <c r="Y78" s="19"/>
      <c r="Z78" s="19"/>
    </row>
    <row r="79" ht="15.75" customHeight="1">
      <c r="A79" s="14" t="str">
        <f>IF(B79="","",74)</f>
        <v/>
      </c>
      <c r="B79" s="8" t="str">
        <f t="array" ref="B79">IFERROR(INDEX('Binder Setup'!$B$2:$B$401,MATCH(74,'Binder Setup'!$G$2:$G$401,0)),"")</f>
        <v/>
      </c>
      <c r="C79" s="8" t="str">
        <f t="array" ref="C79">IF(B79="","",TEXTJOIN(", ",TRUE(),IF(('Binder Data'!$B$2:$B$6251=B79)*('Binder Data'!$E$2:$E$6251="Y"),'Binder Data'!$G$2:$G$6251,"")))</f>
        <v/>
      </c>
      <c r="D79" s="14" t="str">
        <f t="array" ref="D79">IF(B79="","",INDEX('Binder Setup'!$D$2:$D$401,MATCH(74,'Binder Setup'!$G$2:$G$401,0)))</f>
        <v/>
      </c>
      <c r="E79" s="17" t="str">
        <f t="array" ref="E79">IF(B79="","",INDEX('Binder Setup'!$E$2:$E$401,MATCH(74,'Binder Setup'!$G$2:$G$401,0)))</f>
        <v/>
      </c>
      <c r="F79" s="14" t="str">
        <f t="shared" si="1"/>
        <v/>
      </c>
      <c r="G79" s="16" t="b">
        <v>0</v>
      </c>
      <c r="H79" s="19"/>
      <c r="I79" s="19"/>
      <c r="J79" s="19"/>
      <c r="K79" s="19"/>
      <c r="L79" s="19"/>
      <c r="M79" s="19"/>
      <c r="N79" s="19"/>
      <c r="O79" s="19"/>
      <c r="P79" s="19"/>
      <c r="Q79" s="19"/>
      <c r="R79" s="19"/>
      <c r="S79" s="19"/>
      <c r="T79" s="19"/>
      <c r="U79" s="19"/>
      <c r="V79" s="19"/>
      <c r="W79" s="19"/>
      <c r="X79" s="19"/>
      <c r="Y79" s="19"/>
      <c r="Z79" s="19"/>
    </row>
    <row r="80" ht="15.75" customHeight="1">
      <c r="A80" s="14" t="str">
        <f>IF(B80="","",75)</f>
        <v/>
      </c>
      <c r="B80" s="8" t="str">
        <f t="array" ref="B80">IFERROR(INDEX('Binder Setup'!$B$2:$B$401,MATCH(75,'Binder Setup'!$G$2:$G$401,0)),"")</f>
        <v/>
      </c>
      <c r="C80" s="8" t="str">
        <f t="array" ref="C80">IF(B80="","",TEXTJOIN(", ",TRUE(),IF(('Binder Data'!$B$2:$B$6251=B80)*('Binder Data'!$E$2:$E$6251="Y"),'Binder Data'!$G$2:$G$6251,"")))</f>
        <v/>
      </c>
      <c r="D80" s="14" t="str">
        <f t="array" ref="D80">IF(B80="","",INDEX('Binder Setup'!$D$2:$D$401,MATCH(75,'Binder Setup'!$G$2:$G$401,0)))</f>
        <v/>
      </c>
      <c r="E80" s="17" t="str">
        <f t="array" ref="E80">IF(B80="","",INDEX('Binder Setup'!$E$2:$E$401,MATCH(75,'Binder Setup'!$G$2:$G$401,0)))</f>
        <v/>
      </c>
      <c r="F80" s="14" t="str">
        <f t="shared" si="1"/>
        <v/>
      </c>
      <c r="G80" s="16" t="b">
        <v>0</v>
      </c>
      <c r="H80" s="19"/>
      <c r="I80" s="19"/>
      <c r="J80" s="19"/>
      <c r="K80" s="19"/>
      <c r="L80" s="19"/>
      <c r="M80" s="19"/>
      <c r="N80" s="19"/>
      <c r="O80" s="19"/>
      <c r="P80" s="19"/>
      <c r="Q80" s="19"/>
      <c r="R80" s="19"/>
      <c r="S80" s="19"/>
      <c r="T80" s="19"/>
      <c r="U80" s="19"/>
      <c r="V80" s="19"/>
      <c r="W80" s="19"/>
      <c r="X80" s="19"/>
      <c r="Y80" s="19"/>
      <c r="Z80" s="19"/>
    </row>
    <row r="81" ht="15.75" customHeight="1">
      <c r="A81" s="14" t="str">
        <f>IF(B81="","",76)</f>
        <v/>
      </c>
      <c r="B81" s="8" t="str">
        <f t="array" ref="B81">IFERROR(INDEX('Binder Setup'!$B$2:$B$401,MATCH(76,'Binder Setup'!$G$2:$G$401,0)),"")</f>
        <v/>
      </c>
      <c r="C81" s="8" t="str">
        <f t="array" ref="C81">IF(B81="","",TEXTJOIN(", ",TRUE(),IF(('Binder Data'!$B$2:$B$6251=B81)*('Binder Data'!$E$2:$E$6251="Y"),'Binder Data'!$G$2:$G$6251,"")))</f>
        <v/>
      </c>
      <c r="D81" s="14" t="str">
        <f t="array" ref="D81">IF(B81="","",INDEX('Binder Setup'!$D$2:$D$401,MATCH(76,'Binder Setup'!$G$2:$G$401,0)))</f>
        <v/>
      </c>
      <c r="E81" s="17" t="str">
        <f t="array" ref="E81">IF(B81="","",INDEX('Binder Setup'!$E$2:$E$401,MATCH(76,'Binder Setup'!$G$2:$G$401,0)))</f>
        <v/>
      </c>
      <c r="F81" s="14" t="str">
        <f t="shared" si="1"/>
        <v/>
      </c>
      <c r="G81" s="16" t="b">
        <v>0</v>
      </c>
      <c r="H81" s="19"/>
      <c r="I81" s="19"/>
      <c r="J81" s="19"/>
      <c r="K81" s="19"/>
      <c r="L81" s="19"/>
      <c r="M81" s="19"/>
      <c r="N81" s="19"/>
      <c r="O81" s="19"/>
      <c r="P81" s="19"/>
      <c r="Q81" s="19"/>
      <c r="R81" s="19"/>
      <c r="S81" s="19"/>
      <c r="T81" s="19"/>
      <c r="U81" s="19"/>
      <c r="V81" s="19"/>
      <c r="W81" s="19"/>
      <c r="X81" s="19"/>
      <c r="Y81" s="19"/>
      <c r="Z81" s="19"/>
    </row>
    <row r="82" ht="15.75" customHeight="1">
      <c r="A82" s="14" t="str">
        <f>IF(B82="","",77)</f>
        <v/>
      </c>
      <c r="B82" s="8" t="str">
        <f t="array" ref="B82">IFERROR(INDEX('Binder Setup'!$B$2:$B$401,MATCH(77,'Binder Setup'!$G$2:$G$401,0)),"")</f>
        <v/>
      </c>
      <c r="C82" s="8" t="str">
        <f t="array" ref="C82">IF(B82="","",TEXTJOIN(", ",TRUE(),IF(('Binder Data'!$B$2:$B$6251=B82)*('Binder Data'!$E$2:$E$6251="Y"),'Binder Data'!$G$2:$G$6251,"")))</f>
        <v/>
      </c>
      <c r="D82" s="14" t="str">
        <f t="array" ref="D82">IF(B82="","",INDEX('Binder Setup'!$D$2:$D$401,MATCH(77,'Binder Setup'!$G$2:$G$401,0)))</f>
        <v/>
      </c>
      <c r="E82" s="17" t="str">
        <f t="array" ref="E82">IF(B82="","",INDEX('Binder Setup'!$E$2:$E$401,MATCH(77,'Binder Setup'!$G$2:$G$401,0)))</f>
        <v/>
      </c>
      <c r="F82" s="14" t="str">
        <f t="shared" si="1"/>
        <v/>
      </c>
      <c r="G82" s="16" t="b">
        <v>0</v>
      </c>
      <c r="H82" s="19"/>
      <c r="I82" s="19"/>
      <c r="J82" s="19"/>
      <c r="K82" s="19"/>
      <c r="L82" s="19"/>
      <c r="M82" s="19"/>
      <c r="N82" s="19"/>
      <c r="O82" s="19"/>
      <c r="P82" s="19"/>
      <c r="Q82" s="19"/>
      <c r="R82" s="19"/>
      <c r="S82" s="19"/>
      <c r="T82" s="19"/>
      <c r="U82" s="19"/>
      <c r="V82" s="19"/>
      <c r="W82" s="19"/>
      <c r="X82" s="19"/>
      <c r="Y82" s="19"/>
      <c r="Z82" s="19"/>
    </row>
    <row r="83" ht="15.75" customHeight="1">
      <c r="A83" s="14" t="str">
        <f>IF(B83="","",78)</f>
        <v/>
      </c>
      <c r="B83" s="8" t="str">
        <f t="array" ref="B83">IFERROR(INDEX('Binder Setup'!$B$2:$B$401,MATCH(78,'Binder Setup'!$G$2:$G$401,0)),"")</f>
        <v/>
      </c>
      <c r="C83" s="8" t="str">
        <f t="array" ref="C83">IF(B83="","",TEXTJOIN(", ",TRUE(),IF(('Binder Data'!$B$2:$B$6251=B83)*('Binder Data'!$E$2:$E$6251="Y"),'Binder Data'!$G$2:$G$6251,"")))</f>
        <v/>
      </c>
      <c r="D83" s="14" t="str">
        <f t="array" ref="D83">IF(B83="","",INDEX('Binder Setup'!$D$2:$D$401,MATCH(78,'Binder Setup'!$G$2:$G$401,0)))</f>
        <v/>
      </c>
      <c r="E83" s="17" t="str">
        <f t="array" ref="E83">IF(B83="","",INDEX('Binder Setup'!$E$2:$E$401,MATCH(78,'Binder Setup'!$G$2:$G$401,0)))</f>
        <v/>
      </c>
      <c r="F83" s="14" t="str">
        <f t="shared" si="1"/>
        <v/>
      </c>
      <c r="G83" s="16" t="b">
        <v>0</v>
      </c>
      <c r="H83" s="19"/>
      <c r="I83" s="19"/>
      <c r="J83" s="19"/>
      <c r="K83" s="19"/>
      <c r="L83" s="19"/>
      <c r="M83" s="19"/>
      <c r="N83" s="19"/>
      <c r="O83" s="19"/>
      <c r="P83" s="19"/>
      <c r="Q83" s="19"/>
      <c r="R83" s="19"/>
      <c r="S83" s="19"/>
      <c r="T83" s="19"/>
      <c r="U83" s="19"/>
      <c r="V83" s="19"/>
      <c r="W83" s="19"/>
      <c r="X83" s="19"/>
      <c r="Y83" s="19"/>
      <c r="Z83" s="19"/>
    </row>
    <row r="84" ht="15.75" customHeight="1">
      <c r="A84" s="14" t="str">
        <f>IF(B84="","",79)</f>
        <v/>
      </c>
      <c r="B84" s="8" t="str">
        <f t="array" ref="B84">IFERROR(INDEX('Binder Setup'!$B$2:$B$401,MATCH(79,'Binder Setup'!$G$2:$G$401,0)),"")</f>
        <v/>
      </c>
      <c r="C84" s="8" t="str">
        <f t="array" ref="C84">IF(B84="","",TEXTJOIN(", ",TRUE(),IF(('Binder Data'!$B$2:$B$6251=B84)*('Binder Data'!$E$2:$E$6251="Y"),'Binder Data'!$G$2:$G$6251,"")))</f>
        <v/>
      </c>
      <c r="D84" s="14" t="str">
        <f t="array" ref="D84">IF(B84="","",INDEX('Binder Setup'!$D$2:$D$401,MATCH(79,'Binder Setup'!$G$2:$G$401,0)))</f>
        <v/>
      </c>
      <c r="E84" s="17" t="str">
        <f t="array" ref="E84">IF(B84="","",INDEX('Binder Setup'!$E$2:$E$401,MATCH(79,'Binder Setup'!$G$2:$G$401,0)))</f>
        <v/>
      </c>
      <c r="F84" s="14" t="str">
        <f t="shared" si="1"/>
        <v/>
      </c>
      <c r="G84" s="16" t="b">
        <v>0</v>
      </c>
      <c r="H84" s="19"/>
      <c r="I84" s="19"/>
      <c r="J84" s="19"/>
      <c r="K84" s="19"/>
      <c r="L84" s="19"/>
      <c r="M84" s="19"/>
      <c r="N84" s="19"/>
      <c r="O84" s="19"/>
      <c r="P84" s="19"/>
      <c r="Q84" s="19"/>
      <c r="R84" s="19"/>
      <c r="S84" s="19"/>
      <c r="T84" s="19"/>
      <c r="U84" s="19"/>
      <c r="V84" s="19"/>
      <c r="W84" s="19"/>
      <c r="X84" s="19"/>
      <c r="Y84" s="19"/>
      <c r="Z84" s="19"/>
    </row>
    <row r="85" ht="15.75" customHeight="1">
      <c r="A85" s="14" t="str">
        <f>IF(B85="","",80)</f>
        <v/>
      </c>
      <c r="B85" s="8" t="str">
        <f t="array" ref="B85">IFERROR(INDEX('Binder Setup'!$B$2:$B$401,MATCH(80,'Binder Setup'!$G$2:$G$401,0)),"")</f>
        <v/>
      </c>
      <c r="C85" s="8" t="str">
        <f t="array" ref="C85">IF(B85="","",TEXTJOIN(", ",TRUE(),IF(('Binder Data'!$B$2:$B$6251=B85)*('Binder Data'!$E$2:$E$6251="Y"),'Binder Data'!$G$2:$G$6251,"")))</f>
        <v/>
      </c>
      <c r="D85" s="14" t="str">
        <f t="array" ref="D85">IF(B85="","",INDEX('Binder Setup'!$D$2:$D$401,MATCH(80,'Binder Setup'!$G$2:$G$401,0)))</f>
        <v/>
      </c>
      <c r="E85" s="17" t="str">
        <f t="array" ref="E85">IF(B85="","",INDEX('Binder Setup'!$E$2:$E$401,MATCH(80,'Binder Setup'!$G$2:$G$401,0)))</f>
        <v/>
      </c>
      <c r="F85" s="14" t="str">
        <f t="shared" si="1"/>
        <v/>
      </c>
      <c r="G85" s="16" t="b">
        <v>0</v>
      </c>
      <c r="H85" s="19"/>
      <c r="I85" s="19"/>
      <c r="J85" s="19"/>
      <c r="K85" s="19"/>
      <c r="L85" s="19"/>
      <c r="M85" s="19"/>
      <c r="N85" s="19"/>
      <c r="O85" s="19"/>
      <c r="P85" s="19"/>
      <c r="Q85" s="19"/>
      <c r="R85" s="19"/>
      <c r="S85" s="19"/>
      <c r="T85" s="19"/>
      <c r="U85" s="19"/>
      <c r="V85" s="19"/>
      <c r="W85" s="19"/>
      <c r="X85" s="19"/>
      <c r="Y85" s="19"/>
      <c r="Z85" s="19"/>
    </row>
    <row r="86" ht="15.75" customHeight="1">
      <c r="A86" s="14" t="str">
        <f>IF(B86="","",81)</f>
        <v/>
      </c>
      <c r="B86" s="8" t="str">
        <f t="array" ref="B86">IFERROR(INDEX('Binder Setup'!$B$2:$B$401,MATCH(81,'Binder Setup'!$G$2:$G$401,0)),"")</f>
        <v/>
      </c>
      <c r="C86" s="8" t="str">
        <f t="array" ref="C86">IF(B86="","",TEXTJOIN(", ",TRUE(),IF(('Binder Data'!$B$2:$B$6251=B86)*('Binder Data'!$E$2:$E$6251="Y"),'Binder Data'!$G$2:$G$6251,"")))</f>
        <v/>
      </c>
      <c r="D86" s="14" t="str">
        <f t="array" ref="D86">IF(B86="","",INDEX('Binder Setup'!$D$2:$D$401,MATCH(81,'Binder Setup'!$G$2:$G$401,0)))</f>
        <v/>
      </c>
      <c r="E86" s="17" t="str">
        <f t="array" ref="E86">IF(B86="","",INDEX('Binder Setup'!$E$2:$E$401,MATCH(81,'Binder Setup'!$G$2:$G$401,0)))</f>
        <v/>
      </c>
      <c r="F86" s="14" t="str">
        <f t="shared" si="1"/>
        <v/>
      </c>
      <c r="G86" s="16" t="b">
        <v>0</v>
      </c>
      <c r="H86" s="19"/>
      <c r="I86" s="19"/>
      <c r="J86" s="19"/>
      <c r="K86" s="19"/>
      <c r="L86" s="19"/>
      <c r="M86" s="19"/>
      <c r="N86" s="19"/>
      <c r="O86" s="19"/>
      <c r="P86" s="19"/>
      <c r="Q86" s="19"/>
      <c r="R86" s="19"/>
      <c r="S86" s="19"/>
      <c r="T86" s="19"/>
      <c r="U86" s="19"/>
      <c r="V86" s="19"/>
      <c r="W86" s="19"/>
      <c r="X86" s="19"/>
      <c r="Y86" s="19"/>
      <c r="Z86" s="19"/>
    </row>
    <row r="87" ht="15.75" customHeight="1">
      <c r="A87" s="14" t="str">
        <f>IF(B87="","",82)</f>
        <v/>
      </c>
      <c r="B87" s="8" t="str">
        <f t="array" ref="B87">IFERROR(INDEX('Binder Setup'!$B$2:$B$401,MATCH(82,'Binder Setup'!$G$2:$G$401,0)),"")</f>
        <v/>
      </c>
      <c r="C87" s="8" t="str">
        <f t="array" ref="C87">IF(B87="","",TEXTJOIN(", ",TRUE(),IF(('Binder Data'!$B$2:$B$6251=B87)*('Binder Data'!$E$2:$E$6251="Y"),'Binder Data'!$G$2:$G$6251,"")))</f>
        <v/>
      </c>
      <c r="D87" s="14" t="str">
        <f t="array" ref="D87">IF(B87="","",INDEX('Binder Setup'!$D$2:$D$401,MATCH(82,'Binder Setup'!$G$2:$G$401,0)))</f>
        <v/>
      </c>
      <c r="E87" s="17" t="str">
        <f t="array" ref="E87">IF(B87="","",INDEX('Binder Setup'!$E$2:$E$401,MATCH(82,'Binder Setup'!$G$2:$G$401,0)))</f>
        <v/>
      </c>
      <c r="F87" s="14" t="str">
        <f t="shared" si="1"/>
        <v/>
      </c>
      <c r="G87" s="16" t="b">
        <v>0</v>
      </c>
      <c r="H87" s="19"/>
      <c r="I87" s="19"/>
      <c r="J87" s="19"/>
      <c r="K87" s="19"/>
      <c r="L87" s="19"/>
      <c r="M87" s="19"/>
      <c r="N87" s="19"/>
      <c r="O87" s="19"/>
      <c r="P87" s="19"/>
      <c r="Q87" s="19"/>
      <c r="R87" s="19"/>
      <c r="S87" s="19"/>
      <c r="T87" s="19"/>
      <c r="U87" s="19"/>
      <c r="V87" s="19"/>
      <c r="W87" s="19"/>
      <c r="X87" s="19"/>
      <c r="Y87" s="19"/>
      <c r="Z87" s="19"/>
    </row>
    <row r="88" ht="15.75" customHeight="1">
      <c r="A88" s="14" t="str">
        <f>IF(B88="","",83)</f>
        <v/>
      </c>
      <c r="B88" s="8" t="str">
        <f t="array" ref="B88">IFERROR(INDEX('Binder Setup'!$B$2:$B$401,MATCH(83,'Binder Setup'!$G$2:$G$401,0)),"")</f>
        <v/>
      </c>
      <c r="C88" s="8" t="str">
        <f t="array" ref="C88">IF(B88="","",TEXTJOIN(", ",TRUE(),IF(('Binder Data'!$B$2:$B$6251=B88)*('Binder Data'!$E$2:$E$6251="Y"),'Binder Data'!$G$2:$G$6251,"")))</f>
        <v/>
      </c>
      <c r="D88" s="14" t="str">
        <f t="array" ref="D88">IF(B88="","",INDEX('Binder Setup'!$D$2:$D$401,MATCH(83,'Binder Setup'!$G$2:$G$401,0)))</f>
        <v/>
      </c>
      <c r="E88" s="17" t="str">
        <f t="array" ref="E88">IF(B88="","",INDEX('Binder Setup'!$E$2:$E$401,MATCH(83,'Binder Setup'!$G$2:$G$401,0)))</f>
        <v/>
      </c>
      <c r="F88" s="14" t="str">
        <f t="shared" si="1"/>
        <v/>
      </c>
      <c r="G88" s="16" t="b">
        <v>0</v>
      </c>
      <c r="H88" s="19"/>
      <c r="I88" s="19"/>
      <c r="J88" s="19"/>
      <c r="K88" s="19"/>
      <c r="L88" s="19"/>
      <c r="M88" s="19"/>
      <c r="N88" s="19"/>
      <c r="O88" s="19"/>
      <c r="P88" s="19"/>
      <c r="Q88" s="19"/>
      <c r="R88" s="19"/>
      <c r="S88" s="19"/>
      <c r="T88" s="19"/>
      <c r="U88" s="19"/>
      <c r="V88" s="19"/>
      <c r="W88" s="19"/>
      <c r="X88" s="19"/>
      <c r="Y88" s="19"/>
      <c r="Z88" s="19"/>
    </row>
    <row r="89" ht="15.75" customHeight="1">
      <c r="A89" s="14" t="str">
        <f>IF(B89="","",84)</f>
        <v/>
      </c>
      <c r="B89" s="8" t="str">
        <f t="array" ref="B89">IFERROR(INDEX('Binder Setup'!$B$2:$B$401,MATCH(84,'Binder Setup'!$G$2:$G$401,0)),"")</f>
        <v/>
      </c>
      <c r="C89" s="8" t="str">
        <f t="array" ref="C89">IF(B89="","",TEXTJOIN(", ",TRUE(),IF(('Binder Data'!$B$2:$B$6251=B89)*('Binder Data'!$E$2:$E$6251="Y"),'Binder Data'!$G$2:$G$6251,"")))</f>
        <v/>
      </c>
      <c r="D89" s="14" t="str">
        <f t="array" ref="D89">IF(B89="","",INDEX('Binder Setup'!$D$2:$D$401,MATCH(84,'Binder Setup'!$G$2:$G$401,0)))</f>
        <v/>
      </c>
      <c r="E89" s="17" t="str">
        <f t="array" ref="E89">IF(B89="","",INDEX('Binder Setup'!$E$2:$E$401,MATCH(84,'Binder Setup'!$G$2:$G$401,0)))</f>
        <v/>
      </c>
      <c r="F89" s="14" t="str">
        <f t="shared" si="1"/>
        <v/>
      </c>
      <c r="G89" s="16" t="b">
        <v>0</v>
      </c>
      <c r="H89" s="19"/>
      <c r="I89" s="19"/>
      <c r="J89" s="19"/>
      <c r="K89" s="19"/>
      <c r="L89" s="19"/>
      <c r="M89" s="19"/>
      <c r="N89" s="19"/>
      <c r="O89" s="19"/>
      <c r="P89" s="19"/>
      <c r="Q89" s="19"/>
      <c r="R89" s="19"/>
      <c r="S89" s="19"/>
      <c r="T89" s="19"/>
      <c r="U89" s="19"/>
      <c r="V89" s="19"/>
      <c r="W89" s="19"/>
      <c r="X89" s="19"/>
      <c r="Y89" s="19"/>
      <c r="Z89" s="19"/>
    </row>
    <row r="90" ht="15.75" customHeight="1">
      <c r="A90" s="14" t="str">
        <f>IF(B90="","",85)</f>
        <v/>
      </c>
      <c r="B90" s="8" t="str">
        <f t="array" ref="B90">IFERROR(INDEX('Binder Setup'!$B$2:$B$401,MATCH(85,'Binder Setup'!$G$2:$G$401,0)),"")</f>
        <v/>
      </c>
      <c r="C90" s="8" t="str">
        <f t="array" ref="C90">IF(B90="","",TEXTJOIN(", ",TRUE(),IF(('Binder Data'!$B$2:$B$6251=B90)*('Binder Data'!$E$2:$E$6251="Y"),'Binder Data'!$G$2:$G$6251,"")))</f>
        <v/>
      </c>
      <c r="D90" s="14" t="str">
        <f t="array" ref="D90">IF(B90="","",INDEX('Binder Setup'!$D$2:$D$401,MATCH(85,'Binder Setup'!$G$2:$G$401,0)))</f>
        <v/>
      </c>
      <c r="E90" s="17" t="str">
        <f t="array" ref="E90">IF(B90="","",INDEX('Binder Setup'!$E$2:$E$401,MATCH(85,'Binder Setup'!$G$2:$G$401,0)))</f>
        <v/>
      </c>
      <c r="F90" s="14" t="str">
        <f t="shared" si="1"/>
        <v/>
      </c>
      <c r="G90" s="16" t="b">
        <v>0</v>
      </c>
      <c r="H90" s="19"/>
      <c r="I90" s="19"/>
      <c r="J90" s="19"/>
      <c r="K90" s="19"/>
      <c r="L90" s="19"/>
      <c r="M90" s="19"/>
      <c r="N90" s="19"/>
      <c r="O90" s="19"/>
      <c r="P90" s="19"/>
      <c r="Q90" s="19"/>
      <c r="R90" s="19"/>
      <c r="S90" s="19"/>
      <c r="T90" s="19"/>
      <c r="U90" s="19"/>
      <c r="V90" s="19"/>
      <c r="W90" s="19"/>
      <c r="X90" s="19"/>
      <c r="Y90" s="19"/>
      <c r="Z90" s="19"/>
    </row>
    <row r="91" ht="15.75" customHeight="1">
      <c r="A91" s="14" t="str">
        <f>IF(B91="","",86)</f>
        <v/>
      </c>
      <c r="B91" s="8" t="str">
        <f t="array" ref="B91">IFERROR(INDEX('Binder Setup'!$B$2:$B$401,MATCH(86,'Binder Setup'!$G$2:$G$401,0)),"")</f>
        <v/>
      </c>
      <c r="C91" s="8" t="str">
        <f t="array" ref="C91">IF(B91="","",TEXTJOIN(", ",TRUE(),IF(('Binder Data'!$B$2:$B$6251=B91)*('Binder Data'!$E$2:$E$6251="Y"),'Binder Data'!$G$2:$G$6251,"")))</f>
        <v/>
      </c>
      <c r="D91" s="14" t="str">
        <f t="array" ref="D91">IF(B91="","",INDEX('Binder Setup'!$D$2:$D$401,MATCH(86,'Binder Setup'!$G$2:$G$401,0)))</f>
        <v/>
      </c>
      <c r="E91" s="17" t="str">
        <f t="array" ref="E91">IF(B91="","",INDEX('Binder Setup'!$E$2:$E$401,MATCH(86,'Binder Setup'!$G$2:$G$401,0)))</f>
        <v/>
      </c>
      <c r="F91" s="14" t="str">
        <f t="shared" si="1"/>
        <v/>
      </c>
      <c r="G91" s="16" t="b">
        <v>0</v>
      </c>
      <c r="H91" s="19"/>
      <c r="I91" s="19"/>
      <c r="J91" s="19"/>
      <c r="K91" s="19"/>
      <c r="L91" s="19"/>
      <c r="M91" s="19"/>
      <c r="N91" s="19"/>
      <c r="O91" s="19"/>
      <c r="P91" s="19"/>
      <c r="Q91" s="19"/>
      <c r="R91" s="19"/>
      <c r="S91" s="19"/>
      <c r="T91" s="19"/>
      <c r="U91" s="19"/>
      <c r="V91" s="19"/>
      <c r="W91" s="19"/>
      <c r="X91" s="19"/>
      <c r="Y91" s="19"/>
      <c r="Z91" s="19"/>
    </row>
    <row r="92" ht="15.75" customHeight="1">
      <c r="A92" s="14" t="str">
        <f>IF(B92="","",87)</f>
        <v/>
      </c>
      <c r="B92" s="8" t="str">
        <f t="array" ref="B92">IFERROR(INDEX('Binder Setup'!$B$2:$B$401,MATCH(87,'Binder Setup'!$G$2:$G$401,0)),"")</f>
        <v/>
      </c>
      <c r="C92" s="8" t="str">
        <f t="array" ref="C92">IF(B92="","",TEXTJOIN(", ",TRUE(),IF(('Binder Data'!$B$2:$B$6251=B92)*('Binder Data'!$E$2:$E$6251="Y"),'Binder Data'!$G$2:$G$6251,"")))</f>
        <v/>
      </c>
      <c r="D92" s="14" t="str">
        <f t="array" ref="D92">IF(B92="","",INDEX('Binder Setup'!$D$2:$D$401,MATCH(87,'Binder Setup'!$G$2:$G$401,0)))</f>
        <v/>
      </c>
      <c r="E92" s="17" t="str">
        <f t="array" ref="E92">IF(B92="","",INDEX('Binder Setup'!$E$2:$E$401,MATCH(87,'Binder Setup'!$G$2:$G$401,0)))</f>
        <v/>
      </c>
      <c r="F92" s="14" t="str">
        <f t="shared" si="1"/>
        <v/>
      </c>
      <c r="G92" s="16" t="b">
        <v>0</v>
      </c>
      <c r="H92" s="19"/>
      <c r="I92" s="19"/>
      <c r="J92" s="19"/>
      <c r="K92" s="19"/>
      <c r="L92" s="19"/>
      <c r="M92" s="19"/>
      <c r="N92" s="19"/>
      <c r="O92" s="19"/>
      <c r="P92" s="19"/>
      <c r="Q92" s="19"/>
      <c r="R92" s="19"/>
      <c r="S92" s="19"/>
      <c r="T92" s="19"/>
      <c r="U92" s="19"/>
      <c r="V92" s="19"/>
      <c r="W92" s="19"/>
      <c r="X92" s="19"/>
      <c r="Y92" s="19"/>
      <c r="Z92" s="19"/>
    </row>
    <row r="93" ht="15.75" customHeight="1">
      <c r="A93" s="14" t="str">
        <f>IF(B93="","",88)</f>
        <v/>
      </c>
      <c r="B93" s="8" t="str">
        <f t="array" ref="B93">IFERROR(INDEX('Binder Setup'!$B$2:$B$401,MATCH(88,'Binder Setup'!$G$2:$G$401,0)),"")</f>
        <v/>
      </c>
      <c r="C93" s="8" t="str">
        <f t="array" ref="C93">IF(B93="","",TEXTJOIN(", ",TRUE(),IF(('Binder Data'!$B$2:$B$6251=B93)*('Binder Data'!$E$2:$E$6251="Y"),'Binder Data'!$G$2:$G$6251,"")))</f>
        <v/>
      </c>
      <c r="D93" s="14" t="str">
        <f t="array" ref="D93">IF(B93="","",INDEX('Binder Setup'!$D$2:$D$401,MATCH(88,'Binder Setup'!$G$2:$G$401,0)))</f>
        <v/>
      </c>
      <c r="E93" s="17" t="str">
        <f t="array" ref="E93">IF(B93="","",INDEX('Binder Setup'!$E$2:$E$401,MATCH(88,'Binder Setup'!$G$2:$G$401,0)))</f>
        <v/>
      </c>
      <c r="F93" s="14" t="str">
        <f t="shared" si="1"/>
        <v/>
      </c>
      <c r="G93" s="16" t="b">
        <v>0</v>
      </c>
      <c r="H93" s="19"/>
      <c r="I93" s="19"/>
      <c r="J93" s="19"/>
      <c r="K93" s="19"/>
      <c r="L93" s="19"/>
      <c r="M93" s="19"/>
      <c r="N93" s="19"/>
      <c r="O93" s="19"/>
      <c r="P93" s="19"/>
      <c r="Q93" s="19"/>
      <c r="R93" s="19"/>
      <c r="S93" s="19"/>
      <c r="T93" s="19"/>
      <c r="U93" s="19"/>
      <c r="V93" s="19"/>
      <c r="W93" s="19"/>
      <c r="X93" s="19"/>
      <c r="Y93" s="19"/>
      <c r="Z93" s="19"/>
    </row>
    <row r="94" ht="15.75" customHeight="1">
      <c r="A94" s="14" t="str">
        <f>IF(B94="","",89)</f>
        <v/>
      </c>
      <c r="B94" s="8" t="str">
        <f t="array" ref="B94">IFERROR(INDEX('Binder Setup'!$B$2:$B$401,MATCH(89,'Binder Setup'!$G$2:$G$401,0)),"")</f>
        <v/>
      </c>
      <c r="C94" s="8" t="str">
        <f t="array" ref="C94">IF(B94="","",TEXTJOIN(", ",TRUE(),IF(('Binder Data'!$B$2:$B$6251=B94)*('Binder Data'!$E$2:$E$6251="Y"),'Binder Data'!$G$2:$G$6251,"")))</f>
        <v/>
      </c>
      <c r="D94" s="14" t="str">
        <f t="array" ref="D94">IF(B94="","",INDEX('Binder Setup'!$D$2:$D$401,MATCH(89,'Binder Setup'!$G$2:$G$401,0)))</f>
        <v/>
      </c>
      <c r="E94" s="17" t="str">
        <f t="array" ref="E94">IF(B94="","",INDEX('Binder Setup'!$E$2:$E$401,MATCH(89,'Binder Setup'!$G$2:$G$401,0)))</f>
        <v/>
      </c>
      <c r="F94" s="14" t="str">
        <f t="shared" si="1"/>
        <v/>
      </c>
      <c r="G94" s="16" t="b">
        <v>0</v>
      </c>
      <c r="H94" s="19"/>
      <c r="I94" s="19"/>
      <c r="J94" s="19"/>
      <c r="K94" s="19"/>
      <c r="L94" s="19"/>
      <c r="M94" s="19"/>
      <c r="N94" s="19"/>
      <c r="O94" s="19"/>
      <c r="P94" s="19"/>
      <c r="Q94" s="19"/>
      <c r="R94" s="19"/>
      <c r="S94" s="19"/>
      <c r="T94" s="19"/>
      <c r="U94" s="19"/>
      <c r="V94" s="19"/>
      <c r="W94" s="19"/>
      <c r="X94" s="19"/>
      <c r="Y94" s="19"/>
      <c r="Z94" s="19"/>
    </row>
    <row r="95" ht="15.75" customHeight="1">
      <c r="A95" s="14" t="str">
        <f>IF(B95="","",90)</f>
        <v/>
      </c>
      <c r="B95" s="8" t="str">
        <f t="array" ref="B95">IFERROR(INDEX('Binder Setup'!$B$2:$B$401,MATCH(90,'Binder Setup'!$G$2:$G$401,0)),"")</f>
        <v/>
      </c>
      <c r="C95" s="8" t="str">
        <f t="array" ref="C95">IF(B95="","",TEXTJOIN(", ",TRUE(),IF(('Binder Data'!$B$2:$B$6251=B95)*('Binder Data'!$E$2:$E$6251="Y"),'Binder Data'!$G$2:$G$6251,"")))</f>
        <v/>
      </c>
      <c r="D95" s="14" t="str">
        <f t="array" ref="D95">IF(B95="","",INDEX('Binder Setup'!$D$2:$D$401,MATCH(90,'Binder Setup'!$G$2:$G$401,0)))</f>
        <v/>
      </c>
      <c r="E95" s="17" t="str">
        <f t="array" ref="E95">IF(B95="","",INDEX('Binder Setup'!$E$2:$E$401,MATCH(90,'Binder Setup'!$G$2:$G$401,0)))</f>
        <v/>
      </c>
      <c r="F95" s="14" t="str">
        <f t="shared" si="1"/>
        <v/>
      </c>
      <c r="G95" s="16" t="b">
        <v>0</v>
      </c>
      <c r="H95" s="19"/>
      <c r="I95" s="19"/>
      <c r="J95" s="19"/>
      <c r="K95" s="19"/>
      <c r="L95" s="19"/>
      <c r="M95" s="19"/>
      <c r="N95" s="19"/>
      <c r="O95" s="19"/>
      <c r="P95" s="19"/>
      <c r="Q95" s="19"/>
      <c r="R95" s="19"/>
      <c r="S95" s="19"/>
      <c r="T95" s="19"/>
      <c r="U95" s="19"/>
      <c r="V95" s="19"/>
      <c r="W95" s="19"/>
      <c r="X95" s="19"/>
      <c r="Y95" s="19"/>
      <c r="Z95" s="19"/>
    </row>
    <row r="96" ht="15.75" customHeight="1">
      <c r="A96" s="14" t="str">
        <f>IF(B96="","",91)</f>
        <v/>
      </c>
      <c r="B96" s="8" t="str">
        <f t="array" ref="B96">IFERROR(INDEX('Binder Setup'!$B$2:$B$401,MATCH(91,'Binder Setup'!$G$2:$G$401,0)),"")</f>
        <v/>
      </c>
      <c r="C96" s="8" t="str">
        <f t="array" ref="C96">IF(B96="","",TEXTJOIN(", ",TRUE(),IF(('Binder Data'!$B$2:$B$6251=B96)*('Binder Data'!$E$2:$E$6251="Y"),'Binder Data'!$G$2:$G$6251,"")))</f>
        <v/>
      </c>
      <c r="D96" s="14" t="str">
        <f t="array" ref="D96">IF(B96="","",INDEX('Binder Setup'!$D$2:$D$401,MATCH(91,'Binder Setup'!$G$2:$G$401,0)))</f>
        <v/>
      </c>
      <c r="E96" s="17" t="str">
        <f t="array" ref="E96">IF(B96="","",INDEX('Binder Setup'!$E$2:$E$401,MATCH(91,'Binder Setup'!$G$2:$G$401,0)))</f>
        <v/>
      </c>
      <c r="F96" s="14" t="str">
        <f t="shared" si="1"/>
        <v/>
      </c>
      <c r="G96" s="16" t="b">
        <v>0</v>
      </c>
      <c r="H96" s="19"/>
      <c r="I96" s="19"/>
      <c r="J96" s="19"/>
      <c r="K96" s="19"/>
      <c r="L96" s="19"/>
      <c r="M96" s="19"/>
      <c r="N96" s="19"/>
      <c r="O96" s="19"/>
      <c r="P96" s="19"/>
      <c r="Q96" s="19"/>
      <c r="R96" s="19"/>
      <c r="S96" s="19"/>
      <c r="T96" s="19"/>
      <c r="U96" s="19"/>
      <c r="V96" s="19"/>
      <c r="W96" s="19"/>
      <c r="X96" s="19"/>
      <c r="Y96" s="19"/>
      <c r="Z96" s="19"/>
    </row>
    <row r="97" ht="15.75" customHeight="1">
      <c r="A97" s="14" t="str">
        <f>IF(B97="","",92)</f>
        <v/>
      </c>
      <c r="B97" s="8" t="str">
        <f t="array" ref="B97">IFERROR(INDEX('Binder Setup'!$B$2:$B$401,MATCH(92,'Binder Setup'!$G$2:$G$401,0)),"")</f>
        <v/>
      </c>
      <c r="C97" s="8" t="str">
        <f t="array" ref="C97">IF(B97="","",TEXTJOIN(", ",TRUE(),IF(('Binder Data'!$B$2:$B$6251=B97)*('Binder Data'!$E$2:$E$6251="Y"),'Binder Data'!$G$2:$G$6251,"")))</f>
        <v/>
      </c>
      <c r="D97" s="14" t="str">
        <f t="array" ref="D97">IF(B97="","",INDEX('Binder Setup'!$D$2:$D$401,MATCH(92,'Binder Setup'!$G$2:$G$401,0)))</f>
        <v/>
      </c>
      <c r="E97" s="17" t="str">
        <f t="array" ref="E97">IF(B97="","",INDEX('Binder Setup'!$E$2:$E$401,MATCH(92,'Binder Setup'!$G$2:$G$401,0)))</f>
        <v/>
      </c>
      <c r="F97" s="14" t="str">
        <f t="shared" si="1"/>
        <v/>
      </c>
      <c r="G97" s="16" t="b">
        <v>0</v>
      </c>
      <c r="H97" s="19"/>
      <c r="I97" s="19"/>
      <c r="J97" s="19"/>
      <c r="K97" s="19"/>
      <c r="L97" s="19"/>
      <c r="M97" s="19"/>
      <c r="N97" s="19"/>
      <c r="O97" s="19"/>
      <c r="P97" s="19"/>
      <c r="Q97" s="19"/>
      <c r="R97" s="19"/>
      <c r="S97" s="19"/>
      <c r="T97" s="19"/>
      <c r="U97" s="19"/>
      <c r="V97" s="19"/>
      <c r="W97" s="19"/>
      <c r="X97" s="19"/>
      <c r="Y97" s="19"/>
      <c r="Z97" s="19"/>
    </row>
    <row r="98" ht="15.75" customHeight="1">
      <c r="A98" s="14" t="str">
        <f>IF(B98="","",93)</f>
        <v/>
      </c>
      <c r="B98" s="8" t="str">
        <f t="array" ref="B98">IFERROR(INDEX('Binder Setup'!$B$2:$B$401,MATCH(93,'Binder Setup'!$G$2:$G$401,0)),"")</f>
        <v/>
      </c>
      <c r="C98" s="8" t="str">
        <f t="array" ref="C98">IF(B98="","",TEXTJOIN(", ",TRUE(),IF(('Binder Data'!$B$2:$B$6251=B98)*('Binder Data'!$E$2:$E$6251="Y"),'Binder Data'!$G$2:$G$6251,"")))</f>
        <v/>
      </c>
      <c r="D98" s="14" t="str">
        <f t="array" ref="D98">IF(B98="","",INDEX('Binder Setup'!$D$2:$D$401,MATCH(93,'Binder Setup'!$G$2:$G$401,0)))</f>
        <v/>
      </c>
      <c r="E98" s="17" t="str">
        <f t="array" ref="E98">IF(B98="","",INDEX('Binder Setup'!$E$2:$E$401,MATCH(93,'Binder Setup'!$G$2:$G$401,0)))</f>
        <v/>
      </c>
      <c r="F98" s="14" t="str">
        <f t="shared" si="1"/>
        <v/>
      </c>
      <c r="G98" s="16" t="b">
        <v>0</v>
      </c>
      <c r="H98" s="19"/>
      <c r="I98" s="19"/>
      <c r="J98" s="19"/>
      <c r="K98" s="19"/>
      <c r="L98" s="19"/>
      <c r="M98" s="19"/>
      <c r="N98" s="19"/>
      <c r="O98" s="19"/>
      <c r="P98" s="19"/>
      <c r="Q98" s="19"/>
      <c r="R98" s="19"/>
      <c r="S98" s="19"/>
      <c r="T98" s="19"/>
      <c r="U98" s="19"/>
      <c r="V98" s="19"/>
      <c r="W98" s="19"/>
      <c r="X98" s="19"/>
      <c r="Y98" s="19"/>
      <c r="Z98" s="19"/>
    </row>
    <row r="99" ht="15.75" customHeight="1">
      <c r="A99" s="14" t="str">
        <f>IF(B99="","",94)</f>
        <v/>
      </c>
      <c r="B99" s="8" t="str">
        <f t="array" ref="B99">IFERROR(INDEX('Binder Setup'!$B$2:$B$401,MATCH(94,'Binder Setup'!$G$2:$G$401,0)),"")</f>
        <v/>
      </c>
      <c r="C99" s="8" t="str">
        <f t="array" ref="C99">IF(B99="","",TEXTJOIN(", ",TRUE(),IF(('Binder Data'!$B$2:$B$6251=B99)*('Binder Data'!$E$2:$E$6251="Y"),'Binder Data'!$G$2:$G$6251,"")))</f>
        <v/>
      </c>
      <c r="D99" s="14" t="str">
        <f t="array" ref="D99">IF(B99="","",INDEX('Binder Setup'!$D$2:$D$401,MATCH(94,'Binder Setup'!$G$2:$G$401,0)))</f>
        <v/>
      </c>
      <c r="E99" s="17" t="str">
        <f t="array" ref="E99">IF(B99="","",INDEX('Binder Setup'!$E$2:$E$401,MATCH(94,'Binder Setup'!$G$2:$G$401,0)))</f>
        <v/>
      </c>
      <c r="F99" s="14" t="str">
        <f t="shared" si="1"/>
        <v/>
      </c>
      <c r="G99" s="16" t="b">
        <v>0</v>
      </c>
      <c r="H99" s="19"/>
      <c r="I99" s="19"/>
      <c r="J99" s="19"/>
      <c r="K99" s="19"/>
      <c r="L99" s="19"/>
      <c r="M99" s="19"/>
      <c r="N99" s="19"/>
      <c r="O99" s="19"/>
      <c r="P99" s="19"/>
      <c r="Q99" s="19"/>
      <c r="R99" s="19"/>
      <c r="S99" s="19"/>
      <c r="T99" s="19"/>
      <c r="U99" s="19"/>
      <c r="V99" s="19"/>
      <c r="W99" s="19"/>
      <c r="X99" s="19"/>
      <c r="Y99" s="19"/>
      <c r="Z99" s="19"/>
    </row>
    <row r="100" ht="15.75" customHeight="1">
      <c r="A100" s="14" t="str">
        <f>IF(B100="","",95)</f>
        <v/>
      </c>
      <c r="B100" s="8" t="str">
        <f t="array" ref="B100">IFERROR(INDEX('Binder Setup'!$B$2:$B$401,MATCH(95,'Binder Setup'!$G$2:$G$401,0)),"")</f>
        <v/>
      </c>
      <c r="C100" s="8" t="str">
        <f t="array" ref="C100">IF(B100="","",TEXTJOIN(", ",TRUE(),IF(('Binder Data'!$B$2:$B$6251=B100)*('Binder Data'!$E$2:$E$6251="Y"),'Binder Data'!$G$2:$G$6251,"")))</f>
        <v/>
      </c>
      <c r="D100" s="14" t="str">
        <f t="array" ref="D100">IF(B100="","",INDEX('Binder Setup'!$D$2:$D$401,MATCH(95,'Binder Setup'!$G$2:$G$401,0)))</f>
        <v/>
      </c>
      <c r="E100" s="17" t="str">
        <f t="array" ref="E100">IF(B100="","",INDEX('Binder Setup'!$E$2:$E$401,MATCH(95,'Binder Setup'!$G$2:$G$401,0)))</f>
        <v/>
      </c>
      <c r="F100" s="14" t="str">
        <f t="shared" si="1"/>
        <v/>
      </c>
      <c r="G100" s="16" t="b">
        <v>0</v>
      </c>
      <c r="H100" s="19"/>
      <c r="I100" s="19"/>
      <c r="J100" s="19"/>
      <c r="K100" s="19"/>
      <c r="L100" s="19"/>
      <c r="M100" s="19"/>
      <c r="N100" s="19"/>
      <c r="O100" s="19"/>
      <c r="P100" s="19"/>
      <c r="Q100" s="19"/>
      <c r="R100" s="19"/>
      <c r="S100" s="19"/>
      <c r="T100" s="19"/>
      <c r="U100" s="19"/>
      <c r="V100" s="19"/>
      <c r="W100" s="19"/>
      <c r="X100" s="19"/>
      <c r="Y100" s="19"/>
      <c r="Z100" s="19"/>
    </row>
    <row r="101" ht="15.75" customHeight="1">
      <c r="A101" s="14" t="str">
        <f>IF(B101="","",96)</f>
        <v/>
      </c>
      <c r="B101" s="8" t="str">
        <f t="array" ref="B101">IFERROR(INDEX('Binder Setup'!$B$2:$B$401,MATCH(96,'Binder Setup'!$G$2:$G$401,0)),"")</f>
        <v/>
      </c>
      <c r="C101" s="8" t="str">
        <f t="array" ref="C101">IF(B101="","",TEXTJOIN(", ",TRUE(),IF(('Binder Data'!$B$2:$B$6251=B101)*('Binder Data'!$E$2:$E$6251="Y"),'Binder Data'!$G$2:$G$6251,"")))</f>
        <v/>
      </c>
      <c r="D101" s="14" t="str">
        <f t="array" ref="D101">IF(B101="","",INDEX('Binder Setup'!$D$2:$D$401,MATCH(96,'Binder Setup'!$G$2:$G$401,0)))</f>
        <v/>
      </c>
      <c r="E101" s="17" t="str">
        <f t="array" ref="E101">IF(B101="","",INDEX('Binder Setup'!$E$2:$E$401,MATCH(96,'Binder Setup'!$G$2:$G$401,0)))</f>
        <v/>
      </c>
      <c r="F101" s="14" t="str">
        <f t="shared" si="1"/>
        <v/>
      </c>
      <c r="G101" s="16" t="b">
        <v>0</v>
      </c>
      <c r="H101" s="19"/>
      <c r="I101" s="19"/>
      <c r="J101" s="19"/>
      <c r="K101" s="19"/>
      <c r="L101" s="19"/>
      <c r="M101" s="19"/>
      <c r="N101" s="19"/>
      <c r="O101" s="19"/>
      <c r="P101" s="19"/>
      <c r="Q101" s="19"/>
      <c r="R101" s="19"/>
      <c r="S101" s="19"/>
      <c r="T101" s="19"/>
      <c r="U101" s="19"/>
      <c r="V101" s="19"/>
      <c r="W101" s="19"/>
      <c r="X101" s="19"/>
      <c r="Y101" s="19"/>
      <c r="Z101" s="19"/>
    </row>
    <row r="102" ht="15.75" customHeight="1">
      <c r="A102" s="14" t="str">
        <f>IF(B102="","",97)</f>
        <v/>
      </c>
      <c r="B102" s="8" t="str">
        <f t="array" ref="B102">IFERROR(INDEX('Binder Setup'!$B$2:$B$401,MATCH(97,'Binder Setup'!$G$2:$G$401,0)),"")</f>
        <v/>
      </c>
      <c r="C102" s="8" t="str">
        <f t="array" ref="C102">IF(B102="","",TEXTJOIN(", ",TRUE(),IF(('Binder Data'!$B$2:$B$6251=B102)*('Binder Data'!$E$2:$E$6251="Y"),'Binder Data'!$G$2:$G$6251,"")))</f>
        <v/>
      </c>
      <c r="D102" s="14" t="str">
        <f t="array" ref="D102">IF(B102="","",INDEX('Binder Setup'!$D$2:$D$401,MATCH(97,'Binder Setup'!$G$2:$G$401,0)))</f>
        <v/>
      </c>
      <c r="E102" s="17" t="str">
        <f t="array" ref="E102">IF(B102="","",INDEX('Binder Setup'!$E$2:$E$401,MATCH(97,'Binder Setup'!$G$2:$G$401,0)))</f>
        <v/>
      </c>
      <c r="F102" s="14" t="str">
        <f t="shared" si="1"/>
        <v/>
      </c>
      <c r="G102" s="16" t="b">
        <v>0</v>
      </c>
      <c r="H102" s="19"/>
      <c r="I102" s="19"/>
      <c r="J102" s="19"/>
      <c r="K102" s="19"/>
      <c r="L102" s="19"/>
      <c r="M102" s="19"/>
      <c r="N102" s="19"/>
      <c r="O102" s="19"/>
      <c r="P102" s="19"/>
      <c r="Q102" s="19"/>
      <c r="R102" s="19"/>
      <c r="S102" s="19"/>
      <c r="T102" s="19"/>
      <c r="U102" s="19"/>
      <c r="V102" s="19"/>
      <c r="W102" s="19"/>
      <c r="X102" s="19"/>
      <c r="Y102" s="19"/>
      <c r="Z102" s="19"/>
    </row>
    <row r="103" ht="15.75" customHeight="1">
      <c r="A103" s="14" t="str">
        <f>IF(B103="","",98)</f>
        <v/>
      </c>
      <c r="B103" s="8" t="str">
        <f t="array" ref="B103">IFERROR(INDEX('Binder Setup'!$B$2:$B$401,MATCH(98,'Binder Setup'!$G$2:$G$401,0)),"")</f>
        <v/>
      </c>
      <c r="C103" s="8" t="str">
        <f t="array" ref="C103">IF(B103="","",TEXTJOIN(", ",TRUE(),IF(('Binder Data'!$B$2:$B$6251=B103)*('Binder Data'!$E$2:$E$6251="Y"),'Binder Data'!$G$2:$G$6251,"")))</f>
        <v/>
      </c>
      <c r="D103" s="14" t="str">
        <f t="array" ref="D103">IF(B103="","",INDEX('Binder Setup'!$D$2:$D$401,MATCH(98,'Binder Setup'!$G$2:$G$401,0)))</f>
        <v/>
      </c>
      <c r="E103" s="17" t="str">
        <f t="array" ref="E103">IF(B103="","",INDEX('Binder Setup'!$E$2:$E$401,MATCH(98,'Binder Setup'!$G$2:$G$401,0)))</f>
        <v/>
      </c>
      <c r="F103" s="14" t="str">
        <f t="shared" si="1"/>
        <v/>
      </c>
      <c r="G103" s="16" t="b">
        <v>0</v>
      </c>
      <c r="H103" s="19"/>
      <c r="I103" s="19"/>
      <c r="J103" s="19"/>
      <c r="K103" s="19"/>
      <c r="L103" s="19"/>
      <c r="M103" s="19"/>
      <c r="N103" s="19"/>
      <c r="O103" s="19"/>
      <c r="P103" s="19"/>
      <c r="Q103" s="19"/>
      <c r="R103" s="19"/>
      <c r="S103" s="19"/>
      <c r="T103" s="19"/>
      <c r="U103" s="19"/>
      <c r="V103" s="19"/>
      <c r="W103" s="19"/>
      <c r="X103" s="19"/>
      <c r="Y103" s="19"/>
      <c r="Z103" s="19"/>
    </row>
    <row r="104" ht="15.75" customHeight="1">
      <c r="A104" s="14" t="str">
        <f>IF(B104="","",99)</f>
        <v/>
      </c>
      <c r="B104" s="8" t="str">
        <f t="array" ref="B104">IFERROR(INDEX('Binder Setup'!$B$2:$B$401,MATCH(99,'Binder Setup'!$G$2:$G$401,0)),"")</f>
        <v/>
      </c>
      <c r="C104" s="8" t="str">
        <f t="array" ref="C104">IF(B104="","",TEXTJOIN(", ",TRUE(),IF(('Binder Data'!$B$2:$B$6251=B104)*('Binder Data'!$E$2:$E$6251="Y"),'Binder Data'!$G$2:$G$6251,"")))</f>
        <v/>
      </c>
      <c r="D104" s="14" t="str">
        <f t="array" ref="D104">IF(B104="","",INDEX('Binder Setup'!$D$2:$D$401,MATCH(99,'Binder Setup'!$G$2:$G$401,0)))</f>
        <v/>
      </c>
      <c r="E104" s="17" t="str">
        <f t="array" ref="E104">IF(B104="","",INDEX('Binder Setup'!$E$2:$E$401,MATCH(99,'Binder Setup'!$G$2:$G$401,0)))</f>
        <v/>
      </c>
      <c r="F104" s="14" t="str">
        <f t="shared" si="1"/>
        <v/>
      </c>
      <c r="G104" s="16" t="b">
        <v>0</v>
      </c>
      <c r="H104" s="19"/>
      <c r="I104" s="19"/>
      <c r="J104" s="19"/>
      <c r="K104" s="19"/>
      <c r="L104" s="19"/>
      <c r="M104" s="19"/>
      <c r="N104" s="19"/>
      <c r="O104" s="19"/>
      <c r="P104" s="19"/>
      <c r="Q104" s="19"/>
      <c r="R104" s="19"/>
      <c r="S104" s="19"/>
      <c r="T104" s="19"/>
      <c r="U104" s="19"/>
      <c r="V104" s="19"/>
      <c r="W104" s="19"/>
      <c r="X104" s="19"/>
      <c r="Y104" s="19"/>
      <c r="Z104" s="19"/>
    </row>
    <row r="105" ht="15.75" customHeight="1">
      <c r="A105" s="14" t="str">
        <f>IF(B105="","",100)</f>
        <v/>
      </c>
      <c r="B105" s="8" t="str">
        <f t="array" ref="B105">IFERROR(INDEX('Binder Setup'!$B$2:$B$401,MATCH(100,'Binder Setup'!$G$2:$G$401,0)),"")</f>
        <v/>
      </c>
      <c r="C105" s="8" t="str">
        <f t="array" ref="C105">IF(B105="","",TEXTJOIN(", ",TRUE(),IF(('Binder Data'!$B$2:$B$6251=B105)*('Binder Data'!$E$2:$E$6251="Y"),'Binder Data'!$G$2:$G$6251,"")))</f>
        <v/>
      </c>
      <c r="D105" s="14" t="str">
        <f t="array" ref="D105">IF(B105="","",INDEX('Binder Setup'!$D$2:$D$401,MATCH(100,'Binder Setup'!$G$2:$G$401,0)))</f>
        <v/>
      </c>
      <c r="E105" s="17" t="str">
        <f t="array" ref="E105">IF(B105="","",INDEX('Binder Setup'!$E$2:$E$401,MATCH(100,'Binder Setup'!$G$2:$G$401,0)))</f>
        <v/>
      </c>
      <c r="F105" s="14" t="str">
        <f t="shared" si="1"/>
        <v/>
      </c>
      <c r="G105" s="16" t="b">
        <v>0</v>
      </c>
      <c r="H105" s="19"/>
      <c r="I105" s="19"/>
      <c r="J105" s="19"/>
      <c r="K105" s="19"/>
      <c r="L105" s="19"/>
      <c r="M105" s="19"/>
      <c r="N105" s="19"/>
      <c r="O105" s="19"/>
      <c r="P105" s="19"/>
      <c r="Q105" s="19"/>
      <c r="R105" s="19"/>
      <c r="S105" s="19"/>
      <c r="T105" s="19"/>
      <c r="U105" s="19"/>
      <c r="V105" s="19"/>
      <c r="W105" s="19"/>
      <c r="X105" s="19"/>
      <c r="Y105" s="19"/>
      <c r="Z105" s="19"/>
    </row>
    <row r="106" ht="15.75" customHeight="1">
      <c r="A106" s="14" t="str">
        <f>IF(B106="","",101)</f>
        <v/>
      </c>
      <c r="B106" s="8" t="str">
        <f t="array" ref="B106">IFERROR(INDEX('Binder Setup'!$B$2:$B$401,MATCH(101,'Binder Setup'!$G$2:$G$401,0)),"")</f>
        <v/>
      </c>
      <c r="C106" s="8" t="str">
        <f t="array" ref="C106">IF(B106="","",TEXTJOIN(", ",TRUE(),IF(('Binder Data'!$B$2:$B$6251=B106)*('Binder Data'!$E$2:$E$6251="Y"),'Binder Data'!$G$2:$G$6251,"")))</f>
        <v/>
      </c>
      <c r="D106" s="14" t="str">
        <f t="array" ref="D106">IF(B106="","",INDEX('Binder Setup'!$D$2:$D$401,MATCH(101,'Binder Setup'!$G$2:$G$401,0)))</f>
        <v/>
      </c>
      <c r="E106" s="17" t="str">
        <f t="array" ref="E106">IF(B106="","",INDEX('Binder Setup'!$E$2:$E$401,MATCH(101,'Binder Setup'!$G$2:$G$401,0)))</f>
        <v/>
      </c>
      <c r="F106" s="14" t="str">
        <f t="shared" si="1"/>
        <v/>
      </c>
      <c r="G106" s="16" t="b">
        <v>0</v>
      </c>
      <c r="H106" s="19"/>
      <c r="I106" s="19"/>
      <c r="J106" s="19"/>
      <c r="K106" s="19"/>
      <c r="L106" s="19"/>
      <c r="M106" s="19"/>
      <c r="N106" s="19"/>
      <c r="O106" s="19"/>
      <c r="P106" s="19"/>
      <c r="Q106" s="19"/>
      <c r="R106" s="19"/>
      <c r="S106" s="19"/>
      <c r="T106" s="19"/>
      <c r="U106" s="19"/>
      <c r="V106" s="19"/>
      <c r="W106" s="19"/>
      <c r="X106" s="19"/>
      <c r="Y106" s="19"/>
      <c r="Z106" s="19"/>
    </row>
    <row r="107" ht="15.75" customHeight="1">
      <c r="A107" s="14" t="str">
        <f>IF(B107="","",102)</f>
        <v/>
      </c>
      <c r="B107" s="8" t="str">
        <f t="array" ref="B107">IFERROR(INDEX('Binder Setup'!$B$2:$B$401,MATCH(102,'Binder Setup'!$G$2:$G$401,0)),"")</f>
        <v/>
      </c>
      <c r="C107" s="8" t="str">
        <f t="array" ref="C107">IF(B107="","",TEXTJOIN(", ",TRUE(),IF(('Binder Data'!$B$2:$B$6251=B107)*('Binder Data'!$E$2:$E$6251="Y"),'Binder Data'!$G$2:$G$6251,"")))</f>
        <v/>
      </c>
      <c r="D107" s="14" t="str">
        <f t="array" ref="D107">IF(B107="","",INDEX('Binder Setup'!$D$2:$D$401,MATCH(102,'Binder Setup'!$G$2:$G$401,0)))</f>
        <v/>
      </c>
      <c r="E107" s="17" t="str">
        <f t="array" ref="E107">IF(B107="","",INDEX('Binder Setup'!$E$2:$E$401,MATCH(102,'Binder Setup'!$G$2:$G$401,0)))</f>
        <v/>
      </c>
      <c r="F107" s="14" t="str">
        <f t="shared" si="1"/>
        <v/>
      </c>
      <c r="G107" s="16" t="b">
        <v>0</v>
      </c>
      <c r="H107" s="19"/>
      <c r="I107" s="19"/>
      <c r="J107" s="19"/>
      <c r="K107" s="19"/>
      <c r="L107" s="19"/>
      <c r="M107" s="19"/>
      <c r="N107" s="19"/>
      <c r="O107" s="19"/>
      <c r="P107" s="19"/>
      <c r="Q107" s="19"/>
      <c r="R107" s="19"/>
      <c r="S107" s="19"/>
      <c r="T107" s="19"/>
      <c r="U107" s="19"/>
      <c r="V107" s="19"/>
      <c r="W107" s="19"/>
      <c r="X107" s="19"/>
      <c r="Y107" s="19"/>
      <c r="Z107" s="19"/>
    </row>
    <row r="108" ht="15.75" customHeight="1">
      <c r="A108" s="14" t="str">
        <f>IF(B108="","",103)</f>
        <v/>
      </c>
      <c r="B108" s="8" t="str">
        <f t="array" ref="B108">IFERROR(INDEX('Binder Setup'!$B$2:$B$401,MATCH(103,'Binder Setup'!$G$2:$G$401,0)),"")</f>
        <v/>
      </c>
      <c r="C108" s="8" t="str">
        <f t="array" ref="C108">IF(B108="","",TEXTJOIN(", ",TRUE(),IF(('Binder Data'!$B$2:$B$6251=B108)*('Binder Data'!$E$2:$E$6251="Y"),'Binder Data'!$G$2:$G$6251,"")))</f>
        <v/>
      </c>
      <c r="D108" s="14" t="str">
        <f t="array" ref="D108">IF(B108="","",INDEX('Binder Setup'!$D$2:$D$401,MATCH(103,'Binder Setup'!$G$2:$G$401,0)))</f>
        <v/>
      </c>
      <c r="E108" s="17" t="str">
        <f t="array" ref="E108">IF(B108="","",INDEX('Binder Setup'!$E$2:$E$401,MATCH(103,'Binder Setup'!$G$2:$G$401,0)))</f>
        <v/>
      </c>
      <c r="F108" s="14" t="str">
        <f t="shared" si="1"/>
        <v/>
      </c>
      <c r="G108" s="16" t="b">
        <v>0</v>
      </c>
      <c r="H108" s="19"/>
      <c r="I108" s="19"/>
      <c r="J108" s="19"/>
      <c r="K108" s="19"/>
      <c r="L108" s="19"/>
      <c r="M108" s="19"/>
      <c r="N108" s="19"/>
      <c r="O108" s="19"/>
      <c r="P108" s="19"/>
      <c r="Q108" s="19"/>
      <c r="R108" s="19"/>
      <c r="S108" s="19"/>
      <c r="T108" s="19"/>
      <c r="U108" s="19"/>
      <c r="V108" s="19"/>
      <c r="W108" s="19"/>
      <c r="X108" s="19"/>
      <c r="Y108" s="19"/>
      <c r="Z108" s="19"/>
    </row>
    <row r="109" ht="15.75" customHeight="1">
      <c r="A109" s="14" t="str">
        <f>IF(B109="","",104)</f>
        <v/>
      </c>
      <c r="B109" s="8" t="str">
        <f t="array" ref="B109">IFERROR(INDEX('Binder Setup'!$B$2:$B$401,MATCH(104,'Binder Setup'!$G$2:$G$401,0)),"")</f>
        <v/>
      </c>
      <c r="C109" s="8" t="str">
        <f t="array" ref="C109">IF(B109="","",TEXTJOIN(", ",TRUE(),IF(('Binder Data'!$B$2:$B$6251=B109)*('Binder Data'!$E$2:$E$6251="Y"),'Binder Data'!$G$2:$G$6251,"")))</f>
        <v/>
      </c>
      <c r="D109" s="14" t="str">
        <f t="array" ref="D109">IF(B109="","",INDEX('Binder Setup'!$D$2:$D$401,MATCH(104,'Binder Setup'!$G$2:$G$401,0)))</f>
        <v/>
      </c>
      <c r="E109" s="17" t="str">
        <f t="array" ref="E109">IF(B109="","",INDEX('Binder Setup'!$E$2:$E$401,MATCH(104,'Binder Setup'!$G$2:$G$401,0)))</f>
        <v/>
      </c>
      <c r="F109" s="14" t="str">
        <f t="shared" si="1"/>
        <v/>
      </c>
      <c r="G109" s="16" t="b">
        <v>0</v>
      </c>
      <c r="H109" s="19"/>
      <c r="I109" s="19"/>
      <c r="J109" s="19"/>
      <c r="K109" s="19"/>
      <c r="L109" s="19"/>
      <c r="M109" s="19"/>
      <c r="N109" s="19"/>
      <c r="O109" s="19"/>
      <c r="P109" s="19"/>
      <c r="Q109" s="19"/>
      <c r="R109" s="19"/>
      <c r="S109" s="19"/>
      <c r="T109" s="19"/>
      <c r="U109" s="19"/>
      <c r="V109" s="19"/>
      <c r="W109" s="19"/>
      <c r="X109" s="19"/>
      <c r="Y109" s="19"/>
      <c r="Z109" s="19"/>
    </row>
    <row r="110" ht="15.75" customHeight="1">
      <c r="A110" s="14" t="str">
        <f>IF(B110="","",105)</f>
        <v/>
      </c>
      <c r="B110" s="8" t="str">
        <f t="array" ref="B110">IFERROR(INDEX('Binder Setup'!$B$2:$B$401,MATCH(105,'Binder Setup'!$G$2:$G$401,0)),"")</f>
        <v/>
      </c>
      <c r="C110" s="8" t="str">
        <f t="array" ref="C110">IF(B110="","",TEXTJOIN(", ",TRUE(),IF(('Binder Data'!$B$2:$B$6251=B110)*('Binder Data'!$E$2:$E$6251="Y"),'Binder Data'!$G$2:$G$6251,"")))</f>
        <v/>
      </c>
      <c r="D110" s="14" t="str">
        <f t="array" ref="D110">IF(B110="","",INDEX('Binder Setup'!$D$2:$D$401,MATCH(105,'Binder Setup'!$G$2:$G$401,0)))</f>
        <v/>
      </c>
      <c r="E110" s="17" t="str">
        <f t="array" ref="E110">IF(B110="","",INDEX('Binder Setup'!$E$2:$E$401,MATCH(105,'Binder Setup'!$G$2:$G$401,0)))</f>
        <v/>
      </c>
      <c r="F110" s="14" t="str">
        <f t="shared" si="1"/>
        <v/>
      </c>
      <c r="G110" s="16" t="b">
        <v>0</v>
      </c>
      <c r="H110" s="19"/>
      <c r="I110" s="19"/>
      <c r="J110" s="19"/>
      <c r="K110" s="19"/>
      <c r="L110" s="19"/>
      <c r="M110" s="19"/>
      <c r="N110" s="19"/>
      <c r="O110" s="19"/>
      <c r="P110" s="19"/>
      <c r="Q110" s="19"/>
      <c r="R110" s="19"/>
      <c r="S110" s="19"/>
      <c r="T110" s="19"/>
      <c r="U110" s="19"/>
      <c r="V110" s="19"/>
      <c r="W110" s="19"/>
      <c r="X110" s="19"/>
      <c r="Y110" s="19"/>
      <c r="Z110" s="19"/>
    </row>
    <row r="111" ht="15.75" customHeight="1">
      <c r="A111" s="14" t="str">
        <f>IF(B111="","",106)</f>
        <v/>
      </c>
      <c r="B111" s="8" t="str">
        <f t="array" ref="B111">IFERROR(INDEX('Binder Setup'!$B$2:$B$401,MATCH(106,'Binder Setup'!$G$2:$G$401,0)),"")</f>
        <v/>
      </c>
      <c r="C111" s="8" t="str">
        <f t="array" ref="C111">IF(B111="","",TEXTJOIN(", ",TRUE(),IF(('Binder Data'!$B$2:$B$6251=B111)*('Binder Data'!$E$2:$E$6251="Y"),'Binder Data'!$G$2:$G$6251,"")))</f>
        <v/>
      </c>
      <c r="D111" s="14" t="str">
        <f t="array" ref="D111">IF(B111="","",INDEX('Binder Setup'!$D$2:$D$401,MATCH(106,'Binder Setup'!$G$2:$G$401,0)))</f>
        <v/>
      </c>
      <c r="E111" s="17" t="str">
        <f t="array" ref="E111">IF(B111="","",INDEX('Binder Setup'!$E$2:$E$401,MATCH(106,'Binder Setup'!$G$2:$G$401,0)))</f>
        <v/>
      </c>
      <c r="F111" s="14" t="str">
        <f t="shared" si="1"/>
        <v/>
      </c>
      <c r="G111" s="16" t="b">
        <v>0</v>
      </c>
      <c r="H111" s="19"/>
      <c r="I111" s="19"/>
      <c r="J111" s="19"/>
      <c r="K111" s="19"/>
      <c r="L111" s="19"/>
      <c r="M111" s="19"/>
      <c r="N111" s="19"/>
      <c r="O111" s="19"/>
      <c r="P111" s="19"/>
      <c r="Q111" s="19"/>
      <c r="R111" s="19"/>
      <c r="S111" s="19"/>
      <c r="T111" s="19"/>
      <c r="U111" s="19"/>
      <c r="V111" s="19"/>
      <c r="W111" s="19"/>
      <c r="X111" s="19"/>
      <c r="Y111" s="19"/>
      <c r="Z111" s="19"/>
    </row>
    <row r="112" ht="15.75" customHeight="1">
      <c r="A112" s="14" t="str">
        <f>IF(B112="","",107)</f>
        <v/>
      </c>
      <c r="B112" s="8" t="str">
        <f t="array" ref="B112">IFERROR(INDEX('Binder Setup'!$B$2:$B$401,MATCH(107,'Binder Setup'!$G$2:$G$401,0)),"")</f>
        <v/>
      </c>
      <c r="C112" s="8" t="str">
        <f t="array" ref="C112">IF(B112="","",TEXTJOIN(", ",TRUE(),IF(('Binder Data'!$B$2:$B$6251=B112)*('Binder Data'!$E$2:$E$6251="Y"),'Binder Data'!$G$2:$G$6251,"")))</f>
        <v/>
      </c>
      <c r="D112" s="14" t="str">
        <f t="array" ref="D112">IF(B112="","",INDEX('Binder Setup'!$D$2:$D$401,MATCH(107,'Binder Setup'!$G$2:$G$401,0)))</f>
        <v/>
      </c>
      <c r="E112" s="17" t="str">
        <f t="array" ref="E112">IF(B112="","",INDEX('Binder Setup'!$E$2:$E$401,MATCH(107,'Binder Setup'!$G$2:$G$401,0)))</f>
        <v/>
      </c>
      <c r="F112" s="14" t="str">
        <f t="shared" si="1"/>
        <v/>
      </c>
      <c r="G112" s="16" t="b">
        <v>0</v>
      </c>
      <c r="H112" s="19"/>
      <c r="I112" s="19"/>
      <c r="J112" s="19"/>
      <c r="K112" s="19"/>
      <c r="L112" s="19"/>
      <c r="M112" s="19"/>
      <c r="N112" s="19"/>
      <c r="O112" s="19"/>
      <c r="P112" s="19"/>
      <c r="Q112" s="19"/>
      <c r="R112" s="19"/>
      <c r="S112" s="19"/>
      <c r="T112" s="19"/>
      <c r="U112" s="19"/>
      <c r="V112" s="19"/>
      <c r="W112" s="19"/>
      <c r="X112" s="19"/>
      <c r="Y112" s="19"/>
      <c r="Z112" s="19"/>
    </row>
    <row r="113" ht="15.75" customHeight="1">
      <c r="A113" s="14" t="str">
        <f>IF(B113="","",108)</f>
        <v/>
      </c>
      <c r="B113" s="8" t="str">
        <f t="array" ref="B113">IFERROR(INDEX('Binder Setup'!$B$2:$B$401,MATCH(108,'Binder Setup'!$G$2:$G$401,0)),"")</f>
        <v/>
      </c>
      <c r="C113" s="8" t="str">
        <f t="array" ref="C113">IF(B113="","",TEXTJOIN(", ",TRUE(),IF(('Binder Data'!$B$2:$B$6251=B113)*('Binder Data'!$E$2:$E$6251="Y"),'Binder Data'!$G$2:$G$6251,"")))</f>
        <v/>
      </c>
      <c r="D113" s="14" t="str">
        <f t="array" ref="D113">IF(B113="","",INDEX('Binder Setup'!$D$2:$D$401,MATCH(108,'Binder Setup'!$G$2:$G$401,0)))</f>
        <v/>
      </c>
      <c r="E113" s="17" t="str">
        <f t="array" ref="E113">IF(B113="","",INDEX('Binder Setup'!$E$2:$E$401,MATCH(108,'Binder Setup'!$G$2:$G$401,0)))</f>
        <v/>
      </c>
      <c r="F113" s="14" t="str">
        <f t="shared" si="1"/>
        <v/>
      </c>
      <c r="G113" s="16" t="b">
        <v>0</v>
      </c>
      <c r="H113" s="19"/>
      <c r="I113" s="19"/>
      <c r="J113" s="19"/>
      <c r="K113" s="19"/>
      <c r="L113" s="19"/>
      <c r="M113" s="19"/>
      <c r="N113" s="19"/>
      <c r="O113" s="19"/>
      <c r="P113" s="19"/>
      <c r="Q113" s="19"/>
      <c r="R113" s="19"/>
      <c r="S113" s="19"/>
      <c r="T113" s="19"/>
      <c r="U113" s="19"/>
      <c r="V113" s="19"/>
      <c r="W113" s="19"/>
      <c r="X113" s="19"/>
      <c r="Y113" s="19"/>
      <c r="Z113" s="19"/>
    </row>
    <row r="114" ht="15.75" customHeight="1">
      <c r="A114" s="14" t="str">
        <f>IF(B114="","",109)</f>
        <v/>
      </c>
      <c r="B114" s="8" t="str">
        <f t="array" ref="B114">IFERROR(INDEX('Binder Setup'!$B$2:$B$401,MATCH(109,'Binder Setup'!$G$2:$G$401,0)),"")</f>
        <v/>
      </c>
      <c r="C114" s="8" t="str">
        <f t="array" ref="C114">IF(B114="","",TEXTJOIN(", ",TRUE(),IF(('Binder Data'!$B$2:$B$6251=B114)*('Binder Data'!$E$2:$E$6251="Y"),'Binder Data'!$G$2:$G$6251,"")))</f>
        <v/>
      </c>
      <c r="D114" s="14" t="str">
        <f t="array" ref="D114">IF(B114="","",INDEX('Binder Setup'!$D$2:$D$401,MATCH(109,'Binder Setup'!$G$2:$G$401,0)))</f>
        <v/>
      </c>
      <c r="E114" s="17" t="str">
        <f t="array" ref="E114">IF(B114="","",INDEX('Binder Setup'!$E$2:$E$401,MATCH(109,'Binder Setup'!$G$2:$G$401,0)))</f>
        <v/>
      </c>
      <c r="F114" s="14" t="str">
        <f t="shared" si="1"/>
        <v/>
      </c>
      <c r="G114" s="16" t="b">
        <v>0</v>
      </c>
      <c r="H114" s="19"/>
      <c r="I114" s="19"/>
      <c r="J114" s="19"/>
      <c r="K114" s="19"/>
      <c r="L114" s="19"/>
      <c r="M114" s="19"/>
      <c r="N114" s="19"/>
      <c r="O114" s="19"/>
      <c r="P114" s="19"/>
      <c r="Q114" s="19"/>
      <c r="R114" s="19"/>
      <c r="S114" s="19"/>
      <c r="T114" s="19"/>
      <c r="U114" s="19"/>
      <c r="V114" s="19"/>
      <c r="W114" s="19"/>
      <c r="X114" s="19"/>
      <c r="Y114" s="19"/>
      <c r="Z114" s="19"/>
    </row>
    <row r="115" ht="15.75" customHeight="1">
      <c r="A115" s="14" t="str">
        <f>IF(B115="","",110)</f>
        <v/>
      </c>
      <c r="B115" s="8" t="str">
        <f t="array" ref="B115">IFERROR(INDEX('Binder Setup'!$B$2:$B$401,MATCH(110,'Binder Setup'!$G$2:$G$401,0)),"")</f>
        <v/>
      </c>
      <c r="C115" s="8" t="str">
        <f t="array" ref="C115">IF(B115="","",TEXTJOIN(", ",TRUE(),IF(('Binder Data'!$B$2:$B$6251=B115)*('Binder Data'!$E$2:$E$6251="Y"),'Binder Data'!$G$2:$G$6251,"")))</f>
        <v/>
      </c>
      <c r="D115" s="14" t="str">
        <f t="array" ref="D115">IF(B115="","",INDEX('Binder Setup'!$D$2:$D$401,MATCH(110,'Binder Setup'!$G$2:$G$401,0)))</f>
        <v/>
      </c>
      <c r="E115" s="17" t="str">
        <f t="array" ref="E115">IF(B115="","",INDEX('Binder Setup'!$E$2:$E$401,MATCH(110,'Binder Setup'!$G$2:$G$401,0)))</f>
        <v/>
      </c>
      <c r="F115" s="14" t="str">
        <f t="shared" si="1"/>
        <v/>
      </c>
      <c r="G115" s="16" t="b">
        <v>0</v>
      </c>
      <c r="H115" s="19"/>
      <c r="I115" s="19"/>
      <c r="J115" s="19"/>
      <c r="K115" s="19"/>
      <c r="L115" s="19"/>
      <c r="M115" s="19"/>
      <c r="N115" s="19"/>
      <c r="O115" s="19"/>
      <c r="P115" s="19"/>
      <c r="Q115" s="19"/>
      <c r="R115" s="19"/>
      <c r="S115" s="19"/>
      <c r="T115" s="19"/>
      <c r="U115" s="19"/>
      <c r="V115" s="19"/>
      <c r="W115" s="19"/>
      <c r="X115" s="19"/>
      <c r="Y115" s="19"/>
      <c r="Z115" s="19"/>
    </row>
    <row r="116" ht="15.75" customHeight="1">
      <c r="A116" s="14" t="str">
        <f>IF(B116="","",111)</f>
        <v/>
      </c>
      <c r="B116" s="8" t="str">
        <f t="array" ref="B116">IFERROR(INDEX('Binder Setup'!$B$2:$B$401,MATCH(111,'Binder Setup'!$G$2:$G$401,0)),"")</f>
        <v/>
      </c>
      <c r="C116" s="8" t="str">
        <f t="array" ref="C116">IF(B116="","",TEXTJOIN(", ",TRUE(),IF(('Binder Data'!$B$2:$B$6251=B116)*('Binder Data'!$E$2:$E$6251="Y"),'Binder Data'!$G$2:$G$6251,"")))</f>
        <v/>
      </c>
      <c r="D116" s="14" t="str">
        <f t="array" ref="D116">IF(B116="","",INDEX('Binder Setup'!$D$2:$D$401,MATCH(111,'Binder Setup'!$G$2:$G$401,0)))</f>
        <v/>
      </c>
      <c r="E116" s="17" t="str">
        <f t="array" ref="E116">IF(B116="","",INDEX('Binder Setup'!$E$2:$E$401,MATCH(111,'Binder Setup'!$G$2:$G$401,0)))</f>
        <v/>
      </c>
      <c r="F116" s="14" t="str">
        <f t="shared" si="1"/>
        <v/>
      </c>
      <c r="G116" s="16" t="b">
        <v>0</v>
      </c>
      <c r="H116" s="19"/>
      <c r="I116" s="19"/>
      <c r="J116" s="19"/>
      <c r="K116" s="19"/>
      <c r="L116" s="19"/>
      <c r="M116" s="19"/>
      <c r="N116" s="19"/>
      <c r="O116" s="19"/>
      <c r="P116" s="19"/>
      <c r="Q116" s="19"/>
      <c r="R116" s="19"/>
      <c r="S116" s="19"/>
      <c r="T116" s="19"/>
      <c r="U116" s="19"/>
      <c r="V116" s="19"/>
      <c r="W116" s="19"/>
      <c r="X116" s="19"/>
      <c r="Y116" s="19"/>
      <c r="Z116" s="19"/>
    </row>
    <row r="117" ht="15.75" customHeight="1">
      <c r="A117" s="14" t="str">
        <f>IF(B117="","",112)</f>
        <v/>
      </c>
      <c r="B117" s="8" t="str">
        <f t="array" ref="B117">IFERROR(INDEX('Binder Setup'!$B$2:$B$401,MATCH(112,'Binder Setup'!$G$2:$G$401,0)),"")</f>
        <v/>
      </c>
      <c r="C117" s="8" t="str">
        <f t="array" ref="C117">IF(B117="","",TEXTJOIN(", ",TRUE(),IF(('Binder Data'!$B$2:$B$6251=B117)*('Binder Data'!$E$2:$E$6251="Y"),'Binder Data'!$G$2:$G$6251,"")))</f>
        <v/>
      </c>
      <c r="D117" s="14" t="str">
        <f t="array" ref="D117">IF(B117="","",INDEX('Binder Setup'!$D$2:$D$401,MATCH(112,'Binder Setup'!$G$2:$G$401,0)))</f>
        <v/>
      </c>
      <c r="E117" s="17" t="str">
        <f t="array" ref="E117">IF(B117="","",INDEX('Binder Setup'!$E$2:$E$401,MATCH(112,'Binder Setup'!$G$2:$G$401,0)))</f>
        <v/>
      </c>
      <c r="F117" s="14" t="str">
        <f t="shared" si="1"/>
        <v/>
      </c>
      <c r="G117" s="16" t="b">
        <v>0</v>
      </c>
      <c r="H117" s="19"/>
      <c r="I117" s="19"/>
      <c r="J117" s="19"/>
      <c r="K117" s="19"/>
      <c r="L117" s="19"/>
      <c r="M117" s="19"/>
      <c r="N117" s="19"/>
      <c r="O117" s="19"/>
      <c r="P117" s="19"/>
      <c r="Q117" s="19"/>
      <c r="R117" s="19"/>
      <c r="S117" s="19"/>
      <c r="T117" s="19"/>
      <c r="U117" s="19"/>
      <c r="V117" s="19"/>
      <c r="W117" s="19"/>
      <c r="X117" s="19"/>
      <c r="Y117" s="19"/>
      <c r="Z117" s="19"/>
    </row>
    <row r="118" ht="15.75" customHeight="1">
      <c r="A118" s="14" t="str">
        <f>IF(B118="","",113)</f>
        <v/>
      </c>
      <c r="B118" s="8" t="str">
        <f t="array" ref="B118">IFERROR(INDEX('Binder Setup'!$B$2:$B$401,MATCH(113,'Binder Setup'!$G$2:$G$401,0)),"")</f>
        <v/>
      </c>
      <c r="C118" s="8" t="str">
        <f t="array" ref="C118">IF(B118="","",TEXTJOIN(", ",TRUE(),IF(('Binder Data'!$B$2:$B$6251=B118)*('Binder Data'!$E$2:$E$6251="Y"),'Binder Data'!$G$2:$G$6251,"")))</f>
        <v/>
      </c>
      <c r="D118" s="14" t="str">
        <f t="array" ref="D118">IF(B118="","",INDEX('Binder Setup'!$D$2:$D$401,MATCH(113,'Binder Setup'!$G$2:$G$401,0)))</f>
        <v/>
      </c>
      <c r="E118" s="17" t="str">
        <f t="array" ref="E118">IF(B118="","",INDEX('Binder Setup'!$E$2:$E$401,MATCH(113,'Binder Setup'!$G$2:$G$401,0)))</f>
        <v/>
      </c>
      <c r="F118" s="14" t="str">
        <f t="shared" si="1"/>
        <v/>
      </c>
      <c r="G118" s="16" t="b">
        <v>0</v>
      </c>
      <c r="H118" s="19"/>
      <c r="I118" s="19"/>
      <c r="J118" s="19"/>
      <c r="K118" s="19"/>
      <c r="L118" s="19"/>
      <c r="M118" s="19"/>
      <c r="N118" s="19"/>
      <c r="O118" s="19"/>
      <c r="P118" s="19"/>
      <c r="Q118" s="19"/>
      <c r="R118" s="19"/>
      <c r="S118" s="19"/>
      <c r="T118" s="19"/>
      <c r="U118" s="19"/>
      <c r="V118" s="19"/>
      <c r="W118" s="19"/>
      <c r="X118" s="19"/>
      <c r="Y118" s="19"/>
      <c r="Z118" s="19"/>
    </row>
    <row r="119" ht="15.75" customHeight="1">
      <c r="A119" s="14" t="str">
        <f>IF(B119="","",114)</f>
        <v/>
      </c>
      <c r="B119" s="8" t="str">
        <f t="array" ref="B119">IFERROR(INDEX('Binder Setup'!$B$2:$B$401,MATCH(114,'Binder Setup'!$G$2:$G$401,0)),"")</f>
        <v/>
      </c>
      <c r="C119" s="8" t="str">
        <f t="array" ref="C119">IF(B119="","",TEXTJOIN(", ",TRUE(),IF(('Binder Data'!$B$2:$B$6251=B119)*('Binder Data'!$E$2:$E$6251="Y"),'Binder Data'!$G$2:$G$6251,"")))</f>
        <v/>
      </c>
      <c r="D119" s="14" t="str">
        <f t="array" ref="D119">IF(B119="","",INDEX('Binder Setup'!$D$2:$D$401,MATCH(114,'Binder Setup'!$G$2:$G$401,0)))</f>
        <v/>
      </c>
      <c r="E119" s="17" t="str">
        <f t="array" ref="E119">IF(B119="","",INDEX('Binder Setup'!$E$2:$E$401,MATCH(114,'Binder Setup'!$G$2:$G$401,0)))</f>
        <v/>
      </c>
      <c r="F119" s="14" t="str">
        <f t="shared" si="1"/>
        <v/>
      </c>
      <c r="G119" s="16" t="b">
        <v>0</v>
      </c>
      <c r="H119" s="19"/>
      <c r="I119" s="19"/>
      <c r="J119" s="19"/>
      <c r="K119" s="19"/>
      <c r="L119" s="19"/>
      <c r="M119" s="19"/>
      <c r="N119" s="19"/>
      <c r="O119" s="19"/>
      <c r="P119" s="19"/>
      <c r="Q119" s="19"/>
      <c r="R119" s="19"/>
      <c r="S119" s="19"/>
      <c r="T119" s="19"/>
      <c r="U119" s="19"/>
      <c r="V119" s="19"/>
      <c r="W119" s="19"/>
      <c r="X119" s="19"/>
      <c r="Y119" s="19"/>
      <c r="Z119" s="19"/>
    </row>
    <row r="120" ht="15.75" customHeight="1">
      <c r="A120" s="14" t="str">
        <f>IF(B120="","",115)</f>
        <v/>
      </c>
      <c r="B120" s="8" t="str">
        <f t="array" ref="B120">IFERROR(INDEX('Binder Setup'!$B$2:$B$401,MATCH(115,'Binder Setup'!$G$2:$G$401,0)),"")</f>
        <v/>
      </c>
      <c r="C120" s="8" t="str">
        <f t="array" ref="C120">IF(B120="","",TEXTJOIN(", ",TRUE(),IF(('Binder Data'!$B$2:$B$6251=B120)*('Binder Data'!$E$2:$E$6251="Y"),'Binder Data'!$G$2:$G$6251,"")))</f>
        <v/>
      </c>
      <c r="D120" s="14" t="str">
        <f t="array" ref="D120">IF(B120="","",INDEX('Binder Setup'!$D$2:$D$401,MATCH(115,'Binder Setup'!$G$2:$G$401,0)))</f>
        <v/>
      </c>
      <c r="E120" s="17" t="str">
        <f t="array" ref="E120">IF(B120="","",INDEX('Binder Setup'!$E$2:$E$401,MATCH(115,'Binder Setup'!$G$2:$G$401,0)))</f>
        <v/>
      </c>
      <c r="F120" s="14" t="str">
        <f t="shared" si="1"/>
        <v/>
      </c>
      <c r="G120" s="16" t="b">
        <v>0</v>
      </c>
      <c r="H120" s="19"/>
      <c r="I120" s="19"/>
      <c r="J120" s="19"/>
      <c r="K120" s="19"/>
      <c r="L120" s="19"/>
      <c r="M120" s="19"/>
      <c r="N120" s="19"/>
      <c r="O120" s="19"/>
      <c r="P120" s="19"/>
      <c r="Q120" s="19"/>
      <c r="R120" s="19"/>
      <c r="S120" s="19"/>
      <c r="T120" s="19"/>
      <c r="U120" s="19"/>
      <c r="V120" s="19"/>
      <c r="W120" s="19"/>
      <c r="X120" s="19"/>
      <c r="Y120" s="19"/>
      <c r="Z120" s="19"/>
    </row>
    <row r="121" ht="15.75" customHeight="1">
      <c r="A121" s="14" t="str">
        <f>IF(B121="","",116)</f>
        <v/>
      </c>
      <c r="B121" s="8" t="str">
        <f t="array" ref="B121">IFERROR(INDEX('Binder Setup'!$B$2:$B$401,MATCH(116,'Binder Setup'!$G$2:$G$401,0)),"")</f>
        <v/>
      </c>
      <c r="C121" s="8" t="str">
        <f t="array" ref="C121">IF(B121="","",TEXTJOIN(", ",TRUE(),IF(('Binder Data'!$B$2:$B$6251=B121)*('Binder Data'!$E$2:$E$6251="Y"),'Binder Data'!$G$2:$G$6251,"")))</f>
        <v/>
      </c>
      <c r="D121" s="14" t="str">
        <f t="array" ref="D121">IF(B121="","",INDEX('Binder Setup'!$D$2:$D$401,MATCH(116,'Binder Setup'!$G$2:$G$401,0)))</f>
        <v/>
      </c>
      <c r="E121" s="17" t="str">
        <f t="array" ref="E121">IF(B121="","",INDEX('Binder Setup'!$E$2:$E$401,MATCH(116,'Binder Setup'!$G$2:$G$401,0)))</f>
        <v/>
      </c>
      <c r="F121" s="14" t="str">
        <f t="shared" si="1"/>
        <v/>
      </c>
      <c r="G121" s="16" t="b">
        <v>0</v>
      </c>
      <c r="H121" s="19"/>
      <c r="I121" s="19"/>
      <c r="J121" s="19"/>
      <c r="K121" s="19"/>
      <c r="L121" s="19"/>
      <c r="M121" s="19"/>
      <c r="N121" s="19"/>
      <c r="O121" s="19"/>
      <c r="P121" s="19"/>
      <c r="Q121" s="19"/>
      <c r="R121" s="19"/>
      <c r="S121" s="19"/>
      <c r="T121" s="19"/>
      <c r="U121" s="19"/>
      <c r="V121" s="19"/>
      <c r="W121" s="19"/>
      <c r="X121" s="19"/>
      <c r="Y121" s="19"/>
      <c r="Z121" s="19"/>
    </row>
    <row r="122" ht="15.75" customHeight="1">
      <c r="A122" s="14" t="str">
        <f>IF(B122="","",117)</f>
        <v/>
      </c>
      <c r="B122" s="8" t="str">
        <f t="array" ref="B122">IFERROR(INDEX('Binder Setup'!$B$2:$B$401,MATCH(117,'Binder Setup'!$G$2:$G$401,0)),"")</f>
        <v/>
      </c>
      <c r="C122" s="8" t="str">
        <f t="array" ref="C122">IF(B122="","",TEXTJOIN(", ",TRUE(),IF(('Binder Data'!$B$2:$B$6251=B122)*('Binder Data'!$E$2:$E$6251="Y"),'Binder Data'!$G$2:$G$6251,"")))</f>
        <v/>
      </c>
      <c r="D122" s="14" t="str">
        <f t="array" ref="D122">IF(B122="","",INDEX('Binder Setup'!$D$2:$D$401,MATCH(117,'Binder Setup'!$G$2:$G$401,0)))</f>
        <v/>
      </c>
      <c r="E122" s="17" t="str">
        <f t="array" ref="E122">IF(B122="","",INDEX('Binder Setup'!$E$2:$E$401,MATCH(117,'Binder Setup'!$G$2:$G$401,0)))</f>
        <v/>
      </c>
      <c r="F122" s="14" t="str">
        <f t="shared" si="1"/>
        <v/>
      </c>
      <c r="G122" s="16" t="b">
        <v>0</v>
      </c>
      <c r="H122" s="19"/>
      <c r="I122" s="19"/>
      <c r="J122" s="19"/>
      <c r="K122" s="19"/>
      <c r="L122" s="19"/>
      <c r="M122" s="19"/>
      <c r="N122" s="19"/>
      <c r="O122" s="19"/>
      <c r="P122" s="19"/>
      <c r="Q122" s="19"/>
      <c r="R122" s="19"/>
      <c r="S122" s="19"/>
      <c r="T122" s="19"/>
      <c r="U122" s="19"/>
      <c r="V122" s="19"/>
      <c r="W122" s="19"/>
      <c r="X122" s="19"/>
      <c r="Y122" s="19"/>
      <c r="Z122" s="19"/>
    </row>
    <row r="123" ht="15.75" customHeight="1">
      <c r="A123" s="14" t="str">
        <f>IF(B123="","",118)</f>
        <v/>
      </c>
      <c r="B123" s="8" t="str">
        <f t="array" ref="B123">IFERROR(INDEX('Binder Setup'!$B$2:$B$401,MATCH(118,'Binder Setup'!$G$2:$G$401,0)),"")</f>
        <v/>
      </c>
      <c r="C123" s="8" t="str">
        <f t="array" ref="C123">IF(B123="","",TEXTJOIN(", ",TRUE(),IF(('Binder Data'!$B$2:$B$6251=B123)*('Binder Data'!$E$2:$E$6251="Y"),'Binder Data'!$G$2:$G$6251,"")))</f>
        <v/>
      </c>
      <c r="D123" s="14" t="str">
        <f t="array" ref="D123">IF(B123="","",INDEX('Binder Setup'!$D$2:$D$401,MATCH(118,'Binder Setup'!$G$2:$G$401,0)))</f>
        <v/>
      </c>
      <c r="E123" s="17" t="str">
        <f t="array" ref="E123">IF(B123="","",INDEX('Binder Setup'!$E$2:$E$401,MATCH(118,'Binder Setup'!$G$2:$G$401,0)))</f>
        <v/>
      </c>
      <c r="F123" s="14" t="str">
        <f t="shared" si="1"/>
        <v/>
      </c>
      <c r="G123" s="16" t="b">
        <v>0</v>
      </c>
      <c r="H123" s="19"/>
      <c r="I123" s="19"/>
      <c r="J123" s="19"/>
      <c r="K123" s="19"/>
      <c r="L123" s="19"/>
      <c r="M123" s="19"/>
      <c r="N123" s="19"/>
      <c r="O123" s="19"/>
      <c r="P123" s="19"/>
      <c r="Q123" s="19"/>
      <c r="R123" s="19"/>
      <c r="S123" s="19"/>
      <c r="T123" s="19"/>
      <c r="U123" s="19"/>
      <c r="V123" s="19"/>
      <c r="W123" s="19"/>
      <c r="X123" s="19"/>
      <c r="Y123" s="19"/>
      <c r="Z123" s="19"/>
    </row>
    <row r="124" ht="15.75" customHeight="1">
      <c r="A124" s="14" t="str">
        <f>IF(B124="","",119)</f>
        <v/>
      </c>
      <c r="B124" s="8" t="str">
        <f t="array" ref="B124">IFERROR(INDEX('Binder Setup'!$B$2:$B$401,MATCH(119,'Binder Setup'!$G$2:$G$401,0)),"")</f>
        <v/>
      </c>
      <c r="C124" s="8" t="str">
        <f t="array" ref="C124">IF(B124="","",TEXTJOIN(", ",TRUE(),IF(('Binder Data'!$B$2:$B$6251=B124)*('Binder Data'!$E$2:$E$6251="Y"),'Binder Data'!$G$2:$G$6251,"")))</f>
        <v/>
      </c>
      <c r="D124" s="14" t="str">
        <f t="array" ref="D124">IF(B124="","",INDEX('Binder Setup'!$D$2:$D$401,MATCH(119,'Binder Setup'!$G$2:$G$401,0)))</f>
        <v/>
      </c>
      <c r="E124" s="17" t="str">
        <f t="array" ref="E124">IF(B124="","",INDEX('Binder Setup'!$E$2:$E$401,MATCH(119,'Binder Setup'!$G$2:$G$401,0)))</f>
        <v/>
      </c>
      <c r="F124" s="14" t="str">
        <f t="shared" si="1"/>
        <v/>
      </c>
      <c r="G124" s="16" t="b">
        <v>0</v>
      </c>
      <c r="H124" s="19"/>
      <c r="I124" s="19"/>
      <c r="J124" s="19"/>
      <c r="K124" s="19"/>
      <c r="L124" s="19"/>
      <c r="M124" s="19"/>
      <c r="N124" s="19"/>
      <c r="O124" s="19"/>
      <c r="P124" s="19"/>
      <c r="Q124" s="19"/>
      <c r="R124" s="19"/>
      <c r="S124" s="19"/>
      <c r="T124" s="19"/>
      <c r="U124" s="19"/>
      <c r="V124" s="19"/>
      <c r="W124" s="19"/>
      <c r="X124" s="19"/>
      <c r="Y124" s="19"/>
      <c r="Z124" s="19"/>
    </row>
    <row r="125" ht="15.75" customHeight="1">
      <c r="A125" s="14" t="str">
        <f>IF(B125="","",120)</f>
        <v/>
      </c>
      <c r="B125" s="8" t="str">
        <f t="array" ref="B125">IFERROR(INDEX('Binder Setup'!$B$2:$B$401,MATCH(120,'Binder Setup'!$G$2:$G$401,0)),"")</f>
        <v/>
      </c>
      <c r="C125" s="8" t="str">
        <f t="array" ref="C125">IF(B125="","",TEXTJOIN(", ",TRUE(),IF(('Binder Data'!$B$2:$B$6251=B125)*('Binder Data'!$E$2:$E$6251="Y"),'Binder Data'!$G$2:$G$6251,"")))</f>
        <v/>
      </c>
      <c r="D125" s="14" t="str">
        <f t="array" ref="D125">IF(B125="","",INDEX('Binder Setup'!$D$2:$D$401,MATCH(120,'Binder Setup'!$G$2:$G$401,0)))</f>
        <v/>
      </c>
      <c r="E125" s="17" t="str">
        <f t="array" ref="E125">IF(B125="","",INDEX('Binder Setup'!$E$2:$E$401,MATCH(120,'Binder Setup'!$G$2:$G$401,0)))</f>
        <v/>
      </c>
      <c r="F125" s="14" t="str">
        <f t="shared" si="1"/>
        <v/>
      </c>
      <c r="G125" s="16" t="b">
        <v>0</v>
      </c>
      <c r="H125" s="19"/>
      <c r="I125" s="19"/>
      <c r="J125" s="19"/>
      <c r="K125" s="19"/>
      <c r="L125" s="19"/>
      <c r="M125" s="19"/>
      <c r="N125" s="19"/>
      <c r="O125" s="19"/>
      <c r="P125" s="19"/>
      <c r="Q125" s="19"/>
      <c r="R125" s="19"/>
      <c r="S125" s="19"/>
      <c r="T125" s="19"/>
      <c r="U125" s="19"/>
      <c r="V125" s="19"/>
      <c r="W125" s="19"/>
      <c r="X125" s="19"/>
      <c r="Y125" s="19"/>
      <c r="Z125" s="19"/>
    </row>
    <row r="126" ht="15.75" customHeight="1">
      <c r="A126" s="14" t="str">
        <f>IF(B126="","",121)</f>
        <v/>
      </c>
      <c r="B126" s="8" t="str">
        <f t="array" ref="B126">IFERROR(INDEX('Binder Setup'!$B$2:$B$401,MATCH(121,'Binder Setup'!$G$2:$G$401,0)),"")</f>
        <v/>
      </c>
      <c r="C126" s="8" t="str">
        <f t="array" ref="C126">IF(B126="","",TEXTJOIN(", ",TRUE(),IF(('Binder Data'!$B$2:$B$6251=B126)*('Binder Data'!$E$2:$E$6251="Y"),'Binder Data'!$G$2:$G$6251,"")))</f>
        <v/>
      </c>
      <c r="D126" s="14" t="str">
        <f t="array" ref="D126">IF(B126="","",INDEX('Binder Setup'!$D$2:$D$401,MATCH(121,'Binder Setup'!$G$2:$G$401,0)))</f>
        <v/>
      </c>
      <c r="E126" s="17" t="str">
        <f t="array" ref="E126">IF(B126="","",INDEX('Binder Setup'!$E$2:$E$401,MATCH(121,'Binder Setup'!$G$2:$G$401,0)))</f>
        <v/>
      </c>
      <c r="F126" s="14" t="str">
        <f t="shared" si="1"/>
        <v/>
      </c>
      <c r="G126" s="16" t="b">
        <v>0</v>
      </c>
      <c r="H126" s="19"/>
      <c r="I126" s="19"/>
      <c r="J126" s="19"/>
      <c r="K126" s="19"/>
      <c r="L126" s="19"/>
      <c r="M126" s="19"/>
      <c r="N126" s="19"/>
      <c r="O126" s="19"/>
      <c r="P126" s="19"/>
      <c r="Q126" s="19"/>
      <c r="R126" s="19"/>
      <c r="S126" s="19"/>
      <c r="T126" s="19"/>
      <c r="U126" s="19"/>
      <c r="V126" s="19"/>
      <c r="W126" s="19"/>
      <c r="X126" s="19"/>
      <c r="Y126" s="19"/>
      <c r="Z126" s="19"/>
    </row>
    <row r="127" ht="15.75" customHeight="1">
      <c r="A127" s="14" t="str">
        <f>IF(B127="","",122)</f>
        <v/>
      </c>
      <c r="B127" s="8" t="str">
        <f t="array" ref="B127">IFERROR(INDEX('Binder Setup'!$B$2:$B$401,MATCH(122,'Binder Setup'!$G$2:$G$401,0)),"")</f>
        <v/>
      </c>
      <c r="C127" s="8" t="str">
        <f t="array" ref="C127">IF(B127="","",TEXTJOIN(", ",TRUE(),IF(('Binder Data'!$B$2:$B$6251=B127)*('Binder Data'!$E$2:$E$6251="Y"),'Binder Data'!$G$2:$G$6251,"")))</f>
        <v/>
      </c>
      <c r="D127" s="14" t="str">
        <f t="array" ref="D127">IF(B127="","",INDEX('Binder Setup'!$D$2:$D$401,MATCH(122,'Binder Setup'!$G$2:$G$401,0)))</f>
        <v/>
      </c>
      <c r="E127" s="17" t="str">
        <f t="array" ref="E127">IF(B127="","",INDEX('Binder Setup'!$E$2:$E$401,MATCH(122,'Binder Setup'!$G$2:$G$401,0)))</f>
        <v/>
      </c>
      <c r="F127" s="14" t="str">
        <f t="shared" si="1"/>
        <v/>
      </c>
      <c r="G127" s="16" t="b">
        <v>0</v>
      </c>
      <c r="H127" s="19"/>
      <c r="I127" s="19"/>
      <c r="J127" s="19"/>
      <c r="K127" s="19"/>
      <c r="L127" s="19"/>
      <c r="M127" s="19"/>
      <c r="N127" s="19"/>
      <c r="O127" s="19"/>
      <c r="P127" s="19"/>
      <c r="Q127" s="19"/>
      <c r="R127" s="19"/>
      <c r="S127" s="19"/>
      <c r="T127" s="19"/>
      <c r="U127" s="19"/>
      <c r="V127" s="19"/>
      <c r="W127" s="19"/>
      <c r="X127" s="19"/>
      <c r="Y127" s="19"/>
      <c r="Z127" s="19"/>
    </row>
    <row r="128" ht="15.75" customHeight="1">
      <c r="A128" s="14" t="str">
        <f>IF(B128="","",123)</f>
        <v/>
      </c>
      <c r="B128" s="8" t="str">
        <f t="array" ref="B128">IFERROR(INDEX('Binder Setup'!$B$2:$B$401,MATCH(123,'Binder Setup'!$G$2:$G$401,0)),"")</f>
        <v/>
      </c>
      <c r="C128" s="8" t="str">
        <f t="array" ref="C128">IF(B128="","",TEXTJOIN(", ",TRUE(),IF(('Binder Data'!$B$2:$B$6251=B128)*('Binder Data'!$E$2:$E$6251="Y"),'Binder Data'!$G$2:$G$6251,"")))</f>
        <v/>
      </c>
      <c r="D128" s="14" t="str">
        <f t="array" ref="D128">IF(B128="","",INDEX('Binder Setup'!$D$2:$D$401,MATCH(123,'Binder Setup'!$G$2:$G$401,0)))</f>
        <v/>
      </c>
      <c r="E128" s="17" t="str">
        <f t="array" ref="E128">IF(B128="","",INDEX('Binder Setup'!$E$2:$E$401,MATCH(123,'Binder Setup'!$G$2:$G$401,0)))</f>
        <v/>
      </c>
      <c r="F128" s="14" t="str">
        <f t="shared" si="1"/>
        <v/>
      </c>
      <c r="G128" s="16" t="b">
        <v>0</v>
      </c>
      <c r="H128" s="19"/>
      <c r="I128" s="19"/>
      <c r="J128" s="19"/>
      <c r="K128" s="19"/>
      <c r="L128" s="19"/>
      <c r="M128" s="19"/>
      <c r="N128" s="19"/>
      <c r="O128" s="19"/>
      <c r="P128" s="19"/>
      <c r="Q128" s="19"/>
      <c r="R128" s="19"/>
      <c r="S128" s="19"/>
      <c r="T128" s="19"/>
      <c r="U128" s="19"/>
      <c r="V128" s="19"/>
      <c r="W128" s="19"/>
      <c r="X128" s="19"/>
      <c r="Y128" s="19"/>
      <c r="Z128" s="19"/>
    </row>
    <row r="129" ht="15.75" customHeight="1">
      <c r="A129" s="14" t="str">
        <f>IF(B129="","",124)</f>
        <v/>
      </c>
      <c r="B129" s="8" t="str">
        <f t="array" ref="B129">IFERROR(INDEX('Binder Setup'!$B$2:$B$401,MATCH(124,'Binder Setup'!$G$2:$G$401,0)),"")</f>
        <v/>
      </c>
      <c r="C129" s="8" t="str">
        <f t="array" ref="C129">IF(B129="","",TEXTJOIN(", ",TRUE(),IF(('Binder Data'!$B$2:$B$6251=B129)*('Binder Data'!$E$2:$E$6251="Y"),'Binder Data'!$G$2:$G$6251,"")))</f>
        <v/>
      </c>
      <c r="D129" s="14" t="str">
        <f t="array" ref="D129">IF(B129="","",INDEX('Binder Setup'!$D$2:$D$401,MATCH(124,'Binder Setup'!$G$2:$G$401,0)))</f>
        <v/>
      </c>
      <c r="E129" s="17" t="str">
        <f t="array" ref="E129">IF(B129="","",INDEX('Binder Setup'!$E$2:$E$401,MATCH(124,'Binder Setup'!$G$2:$G$401,0)))</f>
        <v/>
      </c>
      <c r="F129" s="14" t="str">
        <f t="shared" si="1"/>
        <v/>
      </c>
      <c r="G129" s="16" t="b">
        <v>0</v>
      </c>
      <c r="H129" s="19"/>
      <c r="I129" s="19"/>
      <c r="J129" s="19"/>
      <c r="K129" s="19"/>
      <c r="L129" s="19"/>
      <c r="M129" s="19"/>
      <c r="N129" s="19"/>
      <c r="O129" s="19"/>
      <c r="P129" s="19"/>
      <c r="Q129" s="19"/>
      <c r="R129" s="19"/>
      <c r="S129" s="19"/>
      <c r="T129" s="19"/>
      <c r="U129" s="19"/>
      <c r="V129" s="19"/>
      <c r="W129" s="19"/>
      <c r="X129" s="19"/>
      <c r="Y129" s="19"/>
      <c r="Z129" s="19"/>
    </row>
    <row r="130" ht="15.75" customHeight="1">
      <c r="A130" s="14" t="str">
        <f>IF(B130="","",125)</f>
        <v/>
      </c>
      <c r="B130" s="8" t="str">
        <f t="array" ref="B130">IFERROR(INDEX('Binder Setup'!$B$2:$B$401,MATCH(125,'Binder Setup'!$G$2:$G$401,0)),"")</f>
        <v/>
      </c>
      <c r="C130" s="8" t="str">
        <f t="array" ref="C130">IF(B130="","",TEXTJOIN(", ",TRUE(),IF(('Binder Data'!$B$2:$B$6251=B130)*('Binder Data'!$E$2:$E$6251="Y"),'Binder Data'!$G$2:$G$6251,"")))</f>
        <v/>
      </c>
      <c r="D130" s="14" t="str">
        <f t="array" ref="D130">IF(B130="","",INDEX('Binder Setup'!$D$2:$D$401,MATCH(125,'Binder Setup'!$G$2:$G$401,0)))</f>
        <v/>
      </c>
      <c r="E130" s="17" t="str">
        <f t="array" ref="E130">IF(B130="","",INDEX('Binder Setup'!$E$2:$E$401,MATCH(125,'Binder Setup'!$G$2:$G$401,0)))</f>
        <v/>
      </c>
      <c r="F130" s="14" t="str">
        <f t="shared" si="1"/>
        <v/>
      </c>
      <c r="G130" s="16" t="b">
        <v>0</v>
      </c>
      <c r="H130" s="19"/>
      <c r="I130" s="19"/>
      <c r="J130" s="19"/>
      <c r="K130" s="19"/>
      <c r="L130" s="19"/>
      <c r="M130" s="19"/>
      <c r="N130" s="19"/>
      <c r="O130" s="19"/>
      <c r="P130" s="19"/>
      <c r="Q130" s="19"/>
      <c r="R130" s="19"/>
      <c r="S130" s="19"/>
      <c r="T130" s="19"/>
      <c r="U130" s="19"/>
      <c r="V130" s="19"/>
      <c r="W130" s="19"/>
      <c r="X130" s="19"/>
      <c r="Y130" s="19"/>
      <c r="Z130" s="19"/>
    </row>
    <row r="131" ht="15.75" customHeight="1">
      <c r="A131" s="14" t="str">
        <f>IF(B131="","",126)</f>
        <v/>
      </c>
      <c r="B131" s="8" t="str">
        <f t="array" ref="B131">IFERROR(INDEX('Binder Setup'!$B$2:$B$401,MATCH(126,'Binder Setup'!$G$2:$G$401,0)),"")</f>
        <v/>
      </c>
      <c r="C131" s="8" t="str">
        <f t="array" ref="C131">IF(B131="","",TEXTJOIN(", ",TRUE(),IF(('Binder Data'!$B$2:$B$6251=B131)*('Binder Data'!$E$2:$E$6251="Y"),'Binder Data'!$G$2:$G$6251,"")))</f>
        <v/>
      </c>
      <c r="D131" s="14" t="str">
        <f t="array" ref="D131">IF(B131="","",INDEX('Binder Setup'!$D$2:$D$401,MATCH(126,'Binder Setup'!$G$2:$G$401,0)))</f>
        <v/>
      </c>
      <c r="E131" s="17" t="str">
        <f t="array" ref="E131">IF(B131="","",INDEX('Binder Setup'!$E$2:$E$401,MATCH(126,'Binder Setup'!$G$2:$G$401,0)))</f>
        <v/>
      </c>
      <c r="F131" s="14" t="str">
        <f t="shared" si="1"/>
        <v/>
      </c>
      <c r="G131" s="16" t="b">
        <v>0</v>
      </c>
      <c r="H131" s="19"/>
      <c r="I131" s="19"/>
      <c r="J131" s="19"/>
      <c r="K131" s="19"/>
      <c r="L131" s="19"/>
      <c r="M131" s="19"/>
      <c r="N131" s="19"/>
      <c r="O131" s="19"/>
      <c r="P131" s="19"/>
      <c r="Q131" s="19"/>
      <c r="R131" s="19"/>
      <c r="S131" s="19"/>
      <c r="T131" s="19"/>
      <c r="U131" s="19"/>
      <c r="V131" s="19"/>
      <c r="W131" s="19"/>
      <c r="X131" s="19"/>
      <c r="Y131" s="19"/>
      <c r="Z131" s="19"/>
    </row>
    <row r="132" ht="15.75" customHeight="1">
      <c r="A132" s="14" t="str">
        <f>IF(B132="","",127)</f>
        <v/>
      </c>
      <c r="B132" s="8" t="str">
        <f t="array" ref="B132">IFERROR(INDEX('Binder Setup'!$B$2:$B$401,MATCH(127,'Binder Setup'!$G$2:$G$401,0)),"")</f>
        <v/>
      </c>
      <c r="C132" s="8" t="str">
        <f t="array" ref="C132">IF(B132="","",TEXTJOIN(", ",TRUE(),IF(('Binder Data'!$B$2:$B$6251=B132)*('Binder Data'!$E$2:$E$6251="Y"),'Binder Data'!$G$2:$G$6251,"")))</f>
        <v/>
      </c>
      <c r="D132" s="14" t="str">
        <f t="array" ref="D132">IF(B132="","",INDEX('Binder Setup'!$D$2:$D$401,MATCH(127,'Binder Setup'!$G$2:$G$401,0)))</f>
        <v/>
      </c>
      <c r="E132" s="17" t="str">
        <f t="array" ref="E132">IF(B132="","",INDEX('Binder Setup'!$E$2:$E$401,MATCH(127,'Binder Setup'!$G$2:$G$401,0)))</f>
        <v/>
      </c>
      <c r="F132" s="14" t="str">
        <f t="shared" si="1"/>
        <v/>
      </c>
      <c r="G132" s="16" t="b">
        <v>0</v>
      </c>
      <c r="H132" s="19"/>
      <c r="I132" s="19"/>
      <c r="J132" s="19"/>
      <c r="K132" s="19"/>
      <c r="L132" s="19"/>
      <c r="M132" s="19"/>
      <c r="N132" s="19"/>
      <c r="O132" s="19"/>
      <c r="P132" s="19"/>
      <c r="Q132" s="19"/>
      <c r="R132" s="19"/>
      <c r="S132" s="19"/>
      <c r="T132" s="19"/>
      <c r="U132" s="19"/>
      <c r="V132" s="19"/>
      <c r="W132" s="19"/>
      <c r="X132" s="19"/>
      <c r="Y132" s="19"/>
      <c r="Z132" s="19"/>
    </row>
    <row r="133" ht="15.75" customHeight="1">
      <c r="A133" s="14" t="str">
        <f>IF(B133="","",128)</f>
        <v/>
      </c>
      <c r="B133" s="8" t="str">
        <f t="array" ref="B133">IFERROR(INDEX('Binder Setup'!$B$2:$B$401,MATCH(128,'Binder Setup'!$G$2:$G$401,0)),"")</f>
        <v/>
      </c>
      <c r="C133" s="8" t="str">
        <f t="array" ref="C133">IF(B133="","",TEXTJOIN(", ",TRUE(),IF(('Binder Data'!$B$2:$B$6251=B133)*('Binder Data'!$E$2:$E$6251="Y"),'Binder Data'!$G$2:$G$6251,"")))</f>
        <v/>
      </c>
      <c r="D133" s="14" t="str">
        <f t="array" ref="D133">IF(B133="","",INDEX('Binder Setup'!$D$2:$D$401,MATCH(128,'Binder Setup'!$G$2:$G$401,0)))</f>
        <v/>
      </c>
      <c r="E133" s="17" t="str">
        <f t="array" ref="E133">IF(B133="","",INDEX('Binder Setup'!$E$2:$E$401,MATCH(128,'Binder Setup'!$G$2:$G$401,0)))</f>
        <v/>
      </c>
      <c r="F133" s="14" t="str">
        <f t="shared" si="1"/>
        <v/>
      </c>
      <c r="G133" s="16" t="b">
        <v>0</v>
      </c>
      <c r="H133" s="19"/>
      <c r="I133" s="19"/>
      <c r="J133" s="19"/>
      <c r="K133" s="19"/>
      <c r="L133" s="19"/>
      <c r="M133" s="19"/>
      <c r="N133" s="19"/>
      <c r="O133" s="19"/>
      <c r="P133" s="19"/>
      <c r="Q133" s="19"/>
      <c r="R133" s="19"/>
      <c r="S133" s="19"/>
      <c r="T133" s="19"/>
      <c r="U133" s="19"/>
      <c r="V133" s="19"/>
      <c r="W133" s="19"/>
      <c r="X133" s="19"/>
      <c r="Y133" s="19"/>
      <c r="Z133" s="19"/>
    </row>
    <row r="134" ht="15.75" customHeight="1">
      <c r="A134" s="14" t="str">
        <f>IF(B134="","",129)</f>
        <v/>
      </c>
      <c r="B134" s="8" t="str">
        <f t="array" ref="B134">IFERROR(INDEX('Binder Setup'!$B$2:$B$401,MATCH(129,'Binder Setup'!$G$2:$G$401,0)),"")</f>
        <v/>
      </c>
      <c r="C134" s="8" t="str">
        <f t="array" ref="C134">IF(B134="","",TEXTJOIN(", ",TRUE(),IF(('Binder Data'!$B$2:$B$6251=B134)*('Binder Data'!$E$2:$E$6251="Y"),'Binder Data'!$G$2:$G$6251,"")))</f>
        <v/>
      </c>
      <c r="D134" s="14" t="str">
        <f t="array" ref="D134">IF(B134="","",INDEX('Binder Setup'!$D$2:$D$401,MATCH(129,'Binder Setup'!$G$2:$G$401,0)))</f>
        <v/>
      </c>
      <c r="E134" s="17" t="str">
        <f t="array" ref="E134">IF(B134="","",INDEX('Binder Setup'!$E$2:$E$401,MATCH(129,'Binder Setup'!$G$2:$G$401,0)))</f>
        <v/>
      </c>
      <c r="F134" s="14" t="str">
        <f t="shared" si="1"/>
        <v/>
      </c>
      <c r="G134" s="16" t="b">
        <v>0</v>
      </c>
      <c r="H134" s="19"/>
      <c r="I134" s="19"/>
      <c r="J134" s="19"/>
      <c r="K134" s="19"/>
      <c r="L134" s="19"/>
      <c r="M134" s="19"/>
      <c r="N134" s="19"/>
      <c r="O134" s="19"/>
      <c r="P134" s="19"/>
      <c r="Q134" s="19"/>
      <c r="R134" s="19"/>
      <c r="S134" s="19"/>
      <c r="T134" s="19"/>
      <c r="U134" s="19"/>
      <c r="V134" s="19"/>
      <c r="W134" s="19"/>
      <c r="X134" s="19"/>
      <c r="Y134" s="19"/>
      <c r="Z134" s="19"/>
    </row>
    <row r="135" ht="15.75" customHeight="1">
      <c r="A135" s="14" t="str">
        <f>IF(B135="","",130)</f>
        <v/>
      </c>
      <c r="B135" s="8" t="str">
        <f t="array" ref="B135">IFERROR(INDEX('Binder Setup'!$B$2:$B$401,MATCH(130,'Binder Setup'!$G$2:$G$401,0)),"")</f>
        <v/>
      </c>
      <c r="C135" s="8" t="str">
        <f t="array" ref="C135">IF(B135="","",TEXTJOIN(", ",TRUE(),IF(('Binder Data'!$B$2:$B$6251=B135)*('Binder Data'!$E$2:$E$6251="Y"),'Binder Data'!$G$2:$G$6251,"")))</f>
        <v/>
      </c>
      <c r="D135" s="14" t="str">
        <f t="array" ref="D135">IF(B135="","",INDEX('Binder Setup'!$D$2:$D$401,MATCH(130,'Binder Setup'!$G$2:$G$401,0)))</f>
        <v/>
      </c>
      <c r="E135" s="17" t="str">
        <f t="array" ref="E135">IF(B135="","",INDEX('Binder Setup'!$E$2:$E$401,MATCH(130,'Binder Setup'!$G$2:$G$401,0)))</f>
        <v/>
      </c>
      <c r="F135" s="14" t="str">
        <f t="shared" si="1"/>
        <v/>
      </c>
      <c r="G135" s="16" t="b">
        <v>0</v>
      </c>
      <c r="H135" s="19"/>
      <c r="I135" s="19"/>
      <c r="J135" s="19"/>
      <c r="K135" s="19"/>
      <c r="L135" s="19"/>
      <c r="M135" s="19"/>
      <c r="N135" s="19"/>
      <c r="O135" s="19"/>
      <c r="P135" s="19"/>
      <c r="Q135" s="19"/>
      <c r="R135" s="19"/>
      <c r="S135" s="19"/>
      <c r="T135" s="19"/>
      <c r="U135" s="19"/>
      <c r="V135" s="19"/>
      <c r="W135" s="19"/>
      <c r="X135" s="19"/>
      <c r="Y135" s="19"/>
      <c r="Z135" s="19"/>
    </row>
    <row r="136" ht="15.75" customHeight="1">
      <c r="A136" s="14" t="str">
        <f>IF(B136="","",131)</f>
        <v/>
      </c>
      <c r="B136" s="8" t="str">
        <f t="array" ref="B136">IFERROR(INDEX('Binder Setup'!$B$2:$B$401,MATCH(131,'Binder Setup'!$G$2:$G$401,0)),"")</f>
        <v/>
      </c>
      <c r="C136" s="8" t="str">
        <f t="array" ref="C136">IF(B136="","",TEXTJOIN(", ",TRUE(),IF(('Binder Data'!$B$2:$B$6251=B136)*('Binder Data'!$E$2:$E$6251="Y"),'Binder Data'!$G$2:$G$6251,"")))</f>
        <v/>
      </c>
      <c r="D136" s="14" t="str">
        <f t="array" ref="D136">IF(B136="","",INDEX('Binder Setup'!$D$2:$D$401,MATCH(131,'Binder Setup'!$G$2:$G$401,0)))</f>
        <v/>
      </c>
      <c r="E136" s="17" t="str">
        <f t="array" ref="E136">IF(B136="","",INDEX('Binder Setup'!$E$2:$E$401,MATCH(131,'Binder Setup'!$G$2:$G$401,0)))</f>
        <v/>
      </c>
      <c r="F136" s="14" t="str">
        <f t="shared" si="1"/>
        <v/>
      </c>
      <c r="G136" s="16" t="b">
        <v>0</v>
      </c>
      <c r="H136" s="19"/>
      <c r="I136" s="19"/>
      <c r="J136" s="19"/>
      <c r="K136" s="19"/>
      <c r="L136" s="19"/>
      <c r="M136" s="19"/>
      <c r="N136" s="19"/>
      <c r="O136" s="19"/>
      <c r="P136" s="19"/>
      <c r="Q136" s="19"/>
      <c r="R136" s="19"/>
      <c r="S136" s="19"/>
      <c r="T136" s="19"/>
      <c r="U136" s="19"/>
      <c r="V136" s="19"/>
      <c r="W136" s="19"/>
      <c r="X136" s="19"/>
      <c r="Y136" s="19"/>
      <c r="Z136" s="19"/>
    </row>
    <row r="137" ht="15.75" customHeight="1">
      <c r="A137" s="14" t="str">
        <f>IF(B137="","",132)</f>
        <v/>
      </c>
      <c r="B137" s="8" t="str">
        <f t="array" ref="B137">IFERROR(INDEX('Binder Setup'!$B$2:$B$401,MATCH(132,'Binder Setup'!$G$2:$G$401,0)),"")</f>
        <v/>
      </c>
      <c r="C137" s="8" t="str">
        <f t="array" ref="C137">IF(B137="","",TEXTJOIN(", ",TRUE(),IF(('Binder Data'!$B$2:$B$6251=B137)*('Binder Data'!$E$2:$E$6251="Y"),'Binder Data'!$G$2:$G$6251,"")))</f>
        <v/>
      </c>
      <c r="D137" s="14" t="str">
        <f t="array" ref="D137">IF(B137="","",INDEX('Binder Setup'!$D$2:$D$401,MATCH(132,'Binder Setup'!$G$2:$G$401,0)))</f>
        <v/>
      </c>
      <c r="E137" s="17" t="str">
        <f t="array" ref="E137">IF(B137="","",INDEX('Binder Setup'!$E$2:$E$401,MATCH(132,'Binder Setup'!$G$2:$G$401,0)))</f>
        <v/>
      </c>
      <c r="F137" s="14" t="str">
        <f t="shared" si="1"/>
        <v/>
      </c>
      <c r="G137" s="16" t="b">
        <v>0</v>
      </c>
      <c r="H137" s="19"/>
      <c r="I137" s="19"/>
      <c r="J137" s="19"/>
      <c r="K137" s="19"/>
      <c r="L137" s="19"/>
      <c r="M137" s="19"/>
      <c r="N137" s="19"/>
      <c r="O137" s="19"/>
      <c r="P137" s="19"/>
      <c r="Q137" s="19"/>
      <c r="R137" s="19"/>
      <c r="S137" s="19"/>
      <c r="T137" s="19"/>
      <c r="U137" s="19"/>
      <c r="V137" s="19"/>
      <c r="W137" s="19"/>
      <c r="X137" s="19"/>
      <c r="Y137" s="19"/>
      <c r="Z137" s="19"/>
    </row>
    <row r="138" ht="15.75" customHeight="1">
      <c r="A138" s="14" t="str">
        <f>IF(B138="","",133)</f>
        <v/>
      </c>
      <c r="B138" s="8" t="str">
        <f t="array" ref="B138">IFERROR(INDEX('Binder Setup'!$B$2:$B$401,MATCH(133,'Binder Setup'!$G$2:$G$401,0)),"")</f>
        <v/>
      </c>
      <c r="C138" s="8" t="str">
        <f t="array" ref="C138">IF(B138="","",TEXTJOIN(", ",TRUE(),IF(('Binder Data'!$B$2:$B$6251=B138)*('Binder Data'!$E$2:$E$6251="Y"),'Binder Data'!$G$2:$G$6251,"")))</f>
        <v/>
      </c>
      <c r="D138" s="14" t="str">
        <f t="array" ref="D138">IF(B138="","",INDEX('Binder Setup'!$D$2:$D$401,MATCH(133,'Binder Setup'!$G$2:$G$401,0)))</f>
        <v/>
      </c>
      <c r="E138" s="17" t="str">
        <f t="array" ref="E138">IF(B138="","",INDEX('Binder Setup'!$E$2:$E$401,MATCH(133,'Binder Setup'!$G$2:$G$401,0)))</f>
        <v/>
      </c>
      <c r="F138" s="14" t="str">
        <f t="shared" si="1"/>
        <v/>
      </c>
      <c r="G138" s="16" t="b">
        <v>0</v>
      </c>
      <c r="H138" s="19"/>
      <c r="I138" s="19"/>
      <c r="J138" s="19"/>
      <c r="K138" s="19"/>
      <c r="L138" s="19"/>
      <c r="M138" s="19"/>
      <c r="N138" s="19"/>
      <c r="O138" s="19"/>
      <c r="P138" s="19"/>
      <c r="Q138" s="19"/>
      <c r="R138" s="19"/>
      <c r="S138" s="19"/>
      <c r="T138" s="19"/>
      <c r="U138" s="19"/>
      <c r="V138" s="19"/>
      <c r="W138" s="19"/>
      <c r="X138" s="19"/>
      <c r="Y138" s="19"/>
      <c r="Z138" s="19"/>
    </row>
    <row r="139" ht="15.75" customHeight="1">
      <c r="A139" s="14" t="str">
        <f>IF(B139="","",134)</f>
        <v/>
      </c>
      <c r="B139" s="8" t="str">
        <f t="array" ref="B139">IFERROR(INDEX('Binder Setup'!$B$2:$B$401,MATCH(134,'Binder Setup'!$G$2:$G$401,0)),"")</f>
        <v/>
      </c>
      <c r="C139" s="8" t="str">
        <f t="array" ref="C139">IF(B139="","",TEXTJOIN(", ",TRUE(),IF(('Binder Data'!$B$2:$B$6251=B139)*('Binder Data'!$E$2:$E$6251="Y"),'Binder Data'!$G$2:$G$6251,"")))</f>
        <v/>
      </c>
      <c r="D139" s="14" t="str">
        <f t="array" ref="D139">IF(B139="","",INDEX('Binder Setup'!$D$2:$D$401,MATCH(134,'Binder Setup'!$G$2:$G$401,0)))</f>
        <v/>
      </c>
      <c r="E139" s="17" t="str">
        <f t="array" ref="E139">IF(B139="","",INDEX('Binder Setup'!$E$2:$E$401,MATCH(134,'Binder Setup'!$G$2:$G$401,0)))</f>
        <v/>
      </c>
      <c r="F139" s="14" t="str">
        <f t="shared" si="1"/>
        <v/>
      </c>
      <c r="G139" s="16" t="b">
        <v>0</v>
      </c>
      <c r="H139" s="19"/>
      <c r="I139" s="19"/>
      <c r="J139" s="19"/>
      <c r="K139" s="19"/>
      <c r="L139" s="19"/>
      <c r="M139" s="19"/>
      <c r="N139" s="19"/>
      <c r="O139" s="19"/>
      <c r="P139" s="19"/>
      <c r="Q139" s="19"/>
      <c r="R139" s="19"/>
      <c r="S139" s="19"/>
      <c r="T139" s="19"/>
      <c r="U139" s="19"/>
      <c r="V139" s="19"/>
      <c r="W139" s="19"/>
      <c r="X139" s="19"/>
      <c r="Y139" s="19"/>
      <c r="Z139" s="19"/>
    </row>
    <row r="140" ht="15.75" customHeight="1">
      <c r="A140" s="14" t="str">
        <f>IF(B140="","",135)</f>
        <v/>
      </c>
      <c r="B140" s="8" t="str">
        <f t="array" ref="B140">IFERROR(INDEX('Binder Setup'!$B$2:$B$401,MATCH(135,'Binder Setup'!$G$2:$G$401,0)),"")</f>
        <v/>
      </c>
      <c r="C140" s="8" t="str">
        <f t="array" ref="C140">IF(B140="","",TEXTJOIN(", ",TRUE(),IF(('Binder Data'!$B$2:$B$6251=B140)*('Binder Data'!$E$2:$E$6251="Y"),'Binder Data'!$G$2:$G$6251,"")))</f>
        <v/>
      </c>
      <c r="D140" s="14" t="str">
        <f t="array" ref="D140">IF(B140="","",INDEX('Binder Setup'!$D$2:$D$401,MATCH(135,'Binder Setup'!$G$2:$G$401,0)))</f>
        <v/>
      </c>
      <c r="E140" s="17" t="str">
        <f t="array" ref="E140">IF(B140="","",INDEX('Binder Setup'!$E$2:$E$401,MATCH(135,'Binder Setup'!$G$2:$G$401,0)))</f>
        <v/>
      </c>
      <c r="F140" s="14" t="str">
        <f t="shared" si="1"/>
        <v/>
      </c>
      <c r="G140" s="16" t="b">
        <v>0</v>
      </c>
      <c r="H140" s="19"/>
      <c r="I140" s="19"/>
      <c r="J140" s="19"/>
      <c r="K140" s="19"/>
      <c r="L140" s="19"/>
      <c r="M140" s="19"/>
      <c r="N140" s="19"/>
      <c r="O140" s="19"/>
      <c r="P140" s="19"/>
      <c r="Q140" s="19"/>
      <c r="R140" s="19"/>
      <c r="S140" s="19"/>
      <c r="T140" s="19"/>
      <c r="U140" s="19"/>
      <c r="V140" s="19"/>
      <c r="W140" s="19"/>
      <c r="X140" s="19"/>
      <c r="Y140" s="19"/>
      <c r="Z140" s="19"/>
    </row>
    <row r="141" ht="15.75" customHeight="1">
      <c r="A141" s="14" t="str">
        <f>IF(B141="","",136)</f>
        <v/>
      </c>
      <c r="B141" s="8" t="str">
        <f t="array" ref="B141">IFERROR(INDEX('Binder Setup'!$B$2:$B$401,MATCH(136,'Binder Setup'!$G$2:$G$401,0)),"")</f>
        <v/>
      </c>
      <c r="C141" s="8" t="str">
        <f t="array" ref="C141">IF(B141="","",TEXTJOIN(", ",TRUE(),IF(('Binder Data'!$B$2:$B$6251=B141)*('Binder Data'!$E$2:$E$6251="Y"),'Binder Data'!$G$2:$G$6251,"")))</f>
        <v/>
      </c>
      <c r="D141" s="14" t="str">
        <f t="array" ref="D141">IF(B141="","",INDEX('Binder Setup'!$D$2:$D$401,MATCH(136,'Binder Setup'!$G$2:$G$401,0)))</f>
        <v/>
      </c>
      <c r="E141" s="17" t="str">
        <f t="array" ref="E141">IF(B141="","",INDEX('Binder Setup'!$E$2:$E$401,MATCH(136,'Binder Setup'!$G$2:$G$401,0)))</f>
        <v/>
      </c>
      <c r="F141" s="14" t="str">
        <f t="shared" si="1"/>
        <v/>
      </c>
      <c r="G141" s="16" t="b">
        <v>0</v>
      </c>
      <c r="H141" s="19"/>
      <c r="I141" s="19"/>
      <c r="J141" s="19"/>
      <c r="K141" s="19"/>
      <c r="L141" s="19"/>
      <c r="M141" s="19"/>
      <c r="N141" s="19"/>
      <c r="O141" s="19"/>
      <c r="P141" s="19"/>
      <c r="Q141" s="19"/>
      <c r="R141" s="19"/>
      <c r="S141" s="19"/>
      <c r="T141" s="19"/>
      <c r="U141" s="19"/>
      <c r="V141" s="19"/>
      <c r="W141" s="19"/>
      <c r="X141" s="19"/>
      <c r="Y141" s="19"/>
      <c r="Z141" s="19"/>
    </row>
    <row r="142" ht="15.75" customHeight="1">
      <c r="A142" s="14" t="str">
        <f>IF(B142="","",137)</f>
        <v/>
      </c>
      <c r="B142" s="8" t="str">
        <f t="array" ref="B142">IFERROR(INDEX('Binder Setup'!$B$2:$B$401,MATCH(137,'Binder Setup'!$G$2:$G$401,0)),"")</f>
        <v/>
      </c>
      <c r="C142" s="8" t="str">
        <f t="array" ref="C142">IF(B142="","",TEXTJOIN(", ",TRUE(),IF(('Binder Data'!$B$2:$B$6251=B142)*('Binder Data'!$E$2:$E$6251="Y"),'Binder Data'!$G$2:$G$6251,"")))</f>
        <v/>
      </c>
      <c r="D142" s="14" t="str">
        <f t="array" ref="D142">IF(B142="","",INDEX('Binder Setup'!$D$2:$D$401,MATCH(137,'Binder Setup'!$G$2:$G$401,0)))</f>
        <v/>
      </c>
      <c r="E142" s="17" t="str">
        <f t="array" ref="E142">IF(B142="","",INDEX('Binder Setup'!$E$2:$E$401,MATCH(137,'Binder Setup'!$G$2:$G$401,0)))</f>
        <v/>
      </c>
      <c r="F142" s="14" t="str">
        <f t="shared" si="1"/>
        <v/>
      </c>
      <c r="G142" s="16" t="b">
        <v>0</v>
      </c>
      <c r="H142" s="19"/>
      <c r="I142" s="19"/>
      <c r="J142" s="19"/>
      <c r="K142" s="19"/>
      <c r="L142" s="19"/>
      <c r="M142" s="19"/>
      <c r="N142" s="19"/>
      <c r="O142" s="19"/>
      <c r="P142" s="19"/>
      <c r="Q142" s="19"/>
      <c r="R142" s="19"/>
      <c r="S142" s="19"/>
      <c r="T142" s="19"/>
      <c r="U142" s="19"/>
      <c r="V142" s="19"/>
      <c r="W142" s="19"/>
      <c r="X142" s="19"/>
      <c r="Y142" s="19"/>
      <c r="Z142" s="19"/>
    </row>
    <row r="143" ht="15.75" customHeight="1">
      <c r="A143" s="14" t="str">
        <f>IF(B143="","",138)</f>
        <v/>
      </c>
      <c r="B143" s="8" t="str">
        <f t="array" ref="B143">IFERROR(INDEX('Binder Setup'!$B$2:$B$401,MATCH(138,'Binder Setup'!$G$2:$G$401,0)),"")</f>
        <v/>
      </c>
      <c r="C143" s="8" t="str">
        <f t="array" ref="C143">IF(B143="","",TEXTJOIN(", ",TRUE(),IF(('Binder Data'!$B$2:$B$6251=B143)*('Binder Data'!$E$2:$E$6251="Y"),'Binder Data'!$G$2:$G$6251,"")))</f>
        <v/>
      </c>
      <c r="D143" s="14" t="str">
        <f t="array" ref="D143">IF(B143="","",INDEX('Binder Setup'!$D$2:$D$401,MATCH(138,'Binder Setup'!$G$2:$G$401,0)))</f>
        <v/>
      </c>
      <c r="E143" s="17" t="str">
        <f t="array" ref="E143">IF(B143="","",INDEX('Binder Setup'!$E$2:$E$401,MATCH(138,'Binder Setup'!$G$2:$G$401,0)))</f>
        <v/>
      </c>
      <c r="F143" s="14" t="str">
        <f t="shared" si="1"/>
        <v/>
      </c>
      <c r="G143" s="16" t="b">
        <v>0</v>
      </c>
      <c r="H143" s="19"/>
      <c r="I143" s="19"/>
      <c r="J143" s="19"/>
      <c r="K143" s="19"/>
      <c r="L143" s="19"/>
      <c r="M143" s="19"/>
      <c r="N143" s="19"/>
      <c r="O143" s="19"/>
      <c r="P143" s="19"/>
      <c r="Q143" s="19"/>
      <c r="R143" s="19"/>
      <c r="S143" s="19"/>
      <c r="T143" s="19"/>
      <c r="U143" s="19"/>
      <c r="V143" s="19"/>
      <c r="W143" s="19"/>
      <c r="X143" s="19"/>
      <c r="Y143" s="19"/>
      <c r="Z143" s="19"/>
    </row>
    <row r="144" ht="15.75" customHeight="1">
      <c r="A144" s="14" t="str">
        <f>IF(B144="","",139)</f>
        <v/>
      </c>
      <c r="B144" s="8" t="str">
        <f t="array" ref="B144">IFERROR(INDEX('Binder Setup'!$B$2:$B$401,MATCH(139,'Binder Setup'!$G$2:$G$401,0)),"")</f>
        <v/>
      </c>
      <c r="C144" s="8" t="str">
        <f t="array" ref="C144">IF(B144="","",TEXTJOIN(", ",TRUE(),IF(('Binder Data'!$B$2:$B$6251=B144)*('Binder Data'!$E$2:$E$6251="Y"),'Binder Data'!$G$2:$G$6251,"")))</f>
        <v/>
      </c>
      <c r="D144" s="14" t="str">
        <f t="array" ref="D144">IF(B144="","",INDEX('Binder Setup'!$D$2:$D$401,MATCH(139,'Binder Setup'!$G$2:$G$401,0)))</f>
        <v/>
      </c>
      <c r="E144" s="17" t="str">
        <f t="array" ref="E144">IF(B144="","",INDEX('Binder Setup'!$E$2:$E$401,MATCH(139,'Binder Setup'!$G$2:$G$401,0)))</f>
        <v/>
      </c>
      <c r="F144" s="14" t="str">
        <f t="shared" si="1"/>
        <v/>
      </c>
      <c r="G144" s="16" t="b">
        <v>0</v>
      </c>
      <c r="H144" s="19"/>
      <c r="I144" s="19"/>
      <c r="J144" s="19"/>
      <c r="K144" s="19"/>
      <c r="L144" s="19"/>
      <c r="M144" s="19"/>
      <c r="N144" s="19"/>
      <c r="O144" s="19"/>
      <c r="P144" s="19"/>
      <c r="Q144" s="19"/>
      <c r="R144" s="19"/>
      <c r="S144" s="19"/>
      <c r="T144" s="19"/>
      <c r="U144" s="19"/>
      <c r="V144" s="19"/>
      <c r="W144" s="19"/>
      <c r="X144" s="19"/>
      <c r="Y144" s="19"/>
      <c r="Z144" s="19"/>
    </row>
    <row r="145" ht="15.75" customHeight="1">
      <c r="A145" s="14" t="str">
        <f>IF(B145="","",140)</f>
        <v/>
      </c>
      <c r="B145" s="8" t="str">
        <f t="array" ref="B145">IFERROR(INDEX('Binder Setup'!$B$2:$B$401,MATCH(140,'Binder Setup'!$G$2:$G$401,0)),"")</f>
        <v/>
      </c>
      <c r="C145" s="8" t="str">
        <f t="array" ref="C145">IF(B145="","",TEXTJOIN(", ",TRUE(),IF(('Binder Data'!$B$2:$B$6251=B145)*('Binder Data'!$E$2:$E$6251="Y"),'Binder Data'!$G$2:$G$6251,"")))</f>
        <v/>
      </c>
      <c r="D145" s="14" t="str">
        <f t="array" ref="D145">IF(B145="","",INDEX('Binder Setup'!$D$2:$D$401,MATCH(140,'Binder Setup'!$G$2:$G$401,0)))</f>
        <v/>
      </c>
      <c r="E145" s="17" t="str">
        <f t="array" ref="E145">IF(B145="","",INDEX('Binder Setup'!$E$2:$E$401,MATCH(140,'Binder Setup'!$G$2:$G$401,0)))</f>
        <v/>
      </c>
      <c r="F145" s="14" t="str">
        <f t="shared" si="1"/>
        <v/>
      </c>
      <c r="G145" s="16" t="b">
        <v>0</v>
      </c>
      <c r="H145" s="19"/>
      <c r="I145" s="19"/>
      <c r="J145" s="19"/>
      <c r="K145" s="19"/>
      <c r="L145" s="19"/>
      <c r="M145" s="19"/>
      <c r="N145" s="19"/>
      <c r="O145" s="19"/>
      <c r="P145" s="19"/>
      <c r="Q145" s="19"/>
      <c r="R145" s="19"/>
      <c r="S145" s="19"/>
      <c r="T145" s="19"/>
      <c r="U145" s="19"/>
      <c r="V145" s="19"/>
      <c r="W145" s="19"/>
      <c r="X145" s="19"/>
      <c r="Y145" s="19"/>
      <c r="Z145" s="19"/>
    </row>
    <row r="146" ht="15.75" customHeight="1">
      <c r="A146" s="14" t="str">
        <f>IF(B146="","",141)</f>
        <v/>
      </c>
      <c r="B146" s="8" t="str">
        <f t="array" ref="B146">IFERROR(INDEX('Binder Setup'!$B$2:$B$401,MATCH(141,'Binder Setup'!$G$2:$G$401,0)),"")</f>
        <v/>
      </c>
      <c r="C146" s="8" t="str">
        <f t="array" ref="C146">IF(B146="","",TEXTJOIN(", ",TRUE(),IF(('Binder Data'!$B$2:$B$6251=B146)*('Binder Data'!$E$2:$E$6251="Y"),'Binder Data'!$G$2:$G$6251,"")))</f>
        <v/>
      </c>
      <c r="D146" s="14" t="str">
        <f t="array" ref="D146">IF(B146="","",INDEX('Binder Setup'!$D$2:$D$401,MATCH(141,'Binder Setup'!$G$2:$G$401,0)))</f>
        <v/>
      </c>
      <c r="E146" s="17" t="str">
        <f t="array" ref="E146">IF(B146="","",INDEX('Binder Setup'!$E$2:$E$401,MATCH(141,'Binder Setup'!$G$2:$G$401,0)))</f>
        <v/>
      </c>
      <c r="F146" s="14" t="str">
        <f t="shared" si="1"/>
        <v/>
      </c>
      <c r="G146" s="16" t="b">
        <v>0</v>
      </c>
      <c r="H146" s="19"/>
      <c r="I146" s="19"/>
      <c r="J146" s="19"/>
      <c r="K146" s="19"/>
      <c r="L146" s="19"/>
      <c r="M146" s="19"/>
      <c r="N146" s="19"/>
      <c r="O146" s="19"/>
      <c r="P146" s="19"/>
      <c r="Q146" s="19"/>
      <c r="R146" s="19"/>
      <c r="S146" s="19"/>
      <c r="T146" s="19"/>
      <c r="U146" s="19"/>
      <c r="V146" s="19"/>
      <c r="W146" s="19"/>
      <c r="X146" s="19"/>
      <c r="Y146" s="19"/>
      <c r="Z146" s="19"/>
    </row>
    <row r="147" ht="15.75" customHeight="1">
      <c r="A147" s="14" t="str">
        <f>IF(B147="","",142)</f>
        <v/>
      </c>
      <c r="B147" s="8" t="str">
        <f t="array" ref="B147">IFERROR(INDEX('Binder Setup'!$B$2:$B$401,MATCH(142,'Binder Setup'!$G$2:$G$401,0)),"")</f>
        <v/>
      </c>
      <c r="C147" s="8" t="str">
        <f t="array" ref="C147">IF(B147="","",TEXTJOIN(", ",TRUE(),IF(('Binder Data'!$B$2:$B$6251=B147)*('Binder Data'!$E$2:$E$6251="Y"),'Binder Data'!$G$2:$G$6251,"")))</f>
        <v/>
      </c>
      <c r="D147" s="14" t="str">
        <f t="array" ref="D147">IF(B147="","",INDEX('Binder Setup'!$D$2:$D$401,MATCH(142,'Binder Setup'!$G$2:$G$401,0)))</f>
        <v/>
      </c>
      <c r="E147" s="17" t="str">
        <f t="array" ref="E147">IF(B147="","",INDEX('Binder Setup'!$E$2:$E$401,MATCH(142,'Binder Setup'!$G$2:$G$401,0)))</f>
        <v/>
      </c>
      <c r="F147" s="14" t="str">
        <f t="shared" si="1"/>
        <v/>
      </c>
      <c r="G147" s="16" t="b">
        <v>0</v>
      </c>
      <c r="H147" s="19"/>
      <c r="I147" s="19"/>
      <c r="J147" s="19"/>
      <c r="K147" s="19"/>
      <c r="L147" s="19"/>
      <c r="M147" s="19"/>
      <c r="N147" s="19"/>
      <c r="O147" s="19"/>
      <c r="P147" s="19"/>
      <c r="Q147" s="19"/>
      <c r="R147" s="19"/>
      <c r="S147" s="19"/>
      <c r="T147" s="19"/>
      <c r="U147" s="19"/>
      <c r="V147" s="19"/>
      <c r="W147" s="19"/>
      <c r="X147" s="19"/>
      <c r="Y147" s="19"/>
      <c r="Z147" s="19"/>
    </row>
    <row r="148" ht="15.75" customHeight="1">
      <c r="A148" s="14" t="str">
        <f>IF(B148="","",143)</f>
        <v/>
      </c>
      <c r="B148" s="8" t="str">
        <f t="array" ref="B148">IFERROR(INDEX('Binder Setup'!$B$2:$B$401,MATCH(143,'Binder Setup'!$G$2:$G$401,0)),"")</f>
        <v/>
      </c>
      <c r="C148" s="8" t="str">
        <f t="array" ref="C148">IF(B148="","",TEXTJOIN(", ",TRUE(),IF(('Binder Data'!$B$2:$B$6251=B148)*('Binder Data'!$E$2:$E$6251="Y"),'Binder Data'!$G$2:$G$6251,"")))</f>
        <v/>
      </c>
      <c r="D148" s="14" t="str">
        <f t="array" ref="D148">IF(B148="","",INDEX('Binder Setup'!$D$2:$D$401,MATCH(143,'Binder Setup'!$G$2:$G$401,0)))</f>
        <v/>
      </c>
      <c r="E148" s="17" t="str">
        <f t="array" ref="E148">IF(B148="","",INDEX('Binder Setup'!$E$2:$E$401,MATCH(143,'Binder Setup'!$G$2:$G$401,0)))</f>
        <v/>
      </c>
      <c r="F148" s="14" t="str">
        <f t="shared" si="1"/>
        <v/>
      </c>
      <c r="G148" s="16" t="b">
        <v>0</v>
      </c>
      <c r="H148" s="19"/>
      <c r="I148" s="19"/>
      <c r="J148" s="19"/>
      <c r="K148" s="19"/>
      <c r="L148" s="19"/>
      <c r="M148" s="19"/>
      <c r="N148" s="19"/>
      <c r="O148" s="19"/>
      <c r="P148" s="19"/>
      <c r="Q148" s="19"/>
      <c r="R148" s="19"/>
      <c r="S148" s="19"/>
      <c r="T148" s="19"/>
      <c r="U148" s="19"/>
      <c r="V148" s="19"/>
      <c r="W148" s="19"/>
      <c r="X148" s="19"/>
      <c r="Y148" s="19"/>
      <c r="Z148" s="19"/>
    </row>
    <row r="149" ht="15.75" customHeight="1">
      <c r="A149" s="14" t="str">
        <f>IF(B149="","",144)</f>
        <v/>
      </c>
      <c r="B149" s="8" t="str">
        <f t="array" ref="B149">IFERROR(INDEX('Binder Setup'!$B$2:$B$401,MATCH(144,'Binder Setup'!$G$2:$G$401,0)),"")</f>
        <v/>
      </c>
      <c r="C149" s="8" t="str">
        <f t="array" ref="C149">IF(B149="","",TEXTJOIN(", ",TRUE(),IF(('Binder Data'!$B$2:$B$6251=B149)*('Binder Data'!$E$2:$E$6251="Y"),'Binder Data'!$G$2:$G$6251,"")))</f>
        <v/>
      </c>
      <c r="D149" s="14" t="str">
        <f t="array" ref="D149">IF(B149="","",INDEX('Binder Setup'!$D$2:$D$401,MATCH(144,'Binder Setup'!$G$2:$G$401,0)))</f>
        <v/>
      </c>
      <c r="E149" s="17" t="str">
        <f t="array" ref="E149">IF(B149="","",INDEX('Binder Setup'!$E$2:$E$401,MATCH(144,'Binder Setup'!$G$2:$G$401,0)))</f>
        <v/>
      </c>
      <c r="F149" s="14" t="str">
        <f t="shared" si="1"/>
        <v/>
      </c>
      <c r="G149" s="16" t="b">
        <v>0</v>
      </c>
      <c r="H149" s="19"/>
      <c r="I149" s="19"/>
      <c r="J149" s="19"/>
      <c r="K149" s="19"/>
      <c r="L149" s="19"/>
      <c r="M149" s="19"/>
      <c r="N149" s="19"/>
      <c r="O149" s="19"/>
      <c r="P149" s="19"/>
      <c r="Q149" s="19"/>
      <c r="R149" s="19"/>
      <c r="S149" s="19"/>
      <c r="T149" s="19"/>
      <c r="U149" s="19"/>
      <c r="V149" s="19"/>
      <c r="W149" s="19"/>
      <c r="X149" s="19"/>
      <c r="Y149" s="19"/>
      <c r="Z149" s="19"/>
    </row>
    <row r="150" ht="15.75" customHeight="1">
      <c r="A150" s="14" t="str">
        <f>IF(B150="","",145)</f>
        <v/>
      </c>
      <c r="B150" s="8" t="str">
        <f t="array" ref="B150">IFERROR(INDEX('Binder Setup'!$B$2:$B$401,MATCH(145,'Binder Setup'!$G$2:$G$401,0)),"")</f>
        <v/>
      </c>
      <c r="C150" s="8" t="str">
        <f t="array" ref="C150">IF(B150="","",TEXTJOIN(", ",TRUE(),IF(('Binder Data'!$B$2:$B$6251=B150)*('Binder Data'!$E$2:$E$6251="Y"),'Binder Data'!$G$2:$G$6251,"")))</f>
        <v/>
      </c>
      <c r="D150" s="14" t="str">
        <f t="array" ref="D150">IF(B150="","",INDEX('Binder Setup'!$D$2:$D$401,MATCH(145,'Binder Setup'!$G$2:$G$401,0)))</f>
        <v/>
      </c>
      <c r="E150" s="17" t="str">
        <f t="array" ref="E150">IF(B150="","",INDEX('Binder Setup'!$E$2:$E$401,MATCH(145,'Binder Setup'!$G$2:$G$401,0)))</f>
        <v/>
      </c>
      <c r="F150" s="14" t="str">
        <f t="shared" si="1"/>
        <v/>
      </c>
      <c r="G150" s="16" t="b">
        <v>0</v>
      </c>
      <c r="H150" s="19"/>
      <c r="I150" s="19"/>
      <c r="J150" s="19"/>
      <c r="K150" s="19"/>
      <c r="L150" s="19"/>
      <c r="M150" s="19"/>
      <c r="N150" s="19"/>
      <c r="O150" s="19"/>
      <c r="P150" s="19"/>
      <c r="Q150" s="19"/>
      <c r="R150" s="19"/>
      <c r="S150" s="19"/>
      <c r="T150" s="19"/>
      <c r="U150" s="19"/>
      <c r="V150" s="19"/>
      <c r="W150" s="19"/>
      <c r="X150" s="19"/>
      <c r="Y150" s="19"/>
      <c r="Z150" s="19"/>
    </row>
    <row r="151" ht="15.75" customHeight="1">
      <c r="A151" s="14" t="str">
        <f>IF(B151="","",146)</f>
        <v/>
      </c>
      <c r="B151" s="8" t="str">
        <f t="array" ref="B151">IFERROR(INDEX('Binder Setup'!$B$2:$B$401,MATCH(146,'Binder Setup'!$G$2:$G$401,0)),"")</f>
        <v/>
      </c>
      <c r="C151" s="8" t="str">
        <f t="array" ref="C151">IF(B151="","",TEXTJOIN(", ",TRUE(),IF(('Binder Data'!$B$2:$B$6251=B151)*('Binder Data'!$E$2:$E$6251="Y"),'Binder Data'!$G$2:$G$6251,"")))</f>
        <v/>
      </c>
      <c r="D151" s="14" t="str">
        <f t="array" ref="D151">IF(B151="","",INDEX('Binder Setup'!$D$2:$D$401,MATCH(146,'Binder Setup'!$G$2:$G$401,0)))</f>
        <v/>
      </c>
      <c r="E151" s="17" t="str">
        <f t="array" ref="E151">IF(B151="","",INDEX('Binder Setup'!$E$2:$E$401,MATCH(146,'Binder Setup'!$G$2:$G$401,0)))</f>
        <v/>
      </c>
      <c r="F151" s="14" t="str">
        <f t="shared" si="1"/>
        <v/>
      </c>
      <c r="G151" s="16" t="b">
        <v>0</v>
      </c>
      <c r="H151" s="19"/>
      <c r="I151" s="19"/>
      <c r="J151" s="19"/>
      <c r="K151" s="19"/>
      <c r="L151" s="19"/>
      <c r="M151" s="19"/>
      <c r="N151" s="19"/>
      <c r="O151" s="19"/>
      <c r="P151" s="19"/>
      <c r="Q151" s="19"/>
      <c r="R151" s="19"/>
      <c r="S151" s="19"/>
      <c r="T151" s="19"/>
      <c r="U151" s="19"/>
      <c r="V151" s="19"/>
      <c r="W151" s="19"/>
      <c r="X151" s="19"/>
      <c r="Y151" s="19"/>
      <c r="Z151" s="19"/>
    </row>
    <row r="152" ht="15.75" customHeight="1">
      <c r="A152" s="14" t="str">
        <f>IF(B152="","",147)</f>
        <v/>
      </c>
      <c r="B152" s="8" t="str">
        <f t="array" ref="B152">IFERROR(INDEX('Binder Setup'!$B$2:$B$401,MATCH(147,'Binder Setup'!$G$2:$G$401,0)),"")</f>
        <v/>
      </c>
      <c r="C152" s="8" t="str">
        <f t="array" ref="C152">IF(B152="","",TEXTJOIN(", ",TRUE(),IF(('Binder Data'!$B$2:$B$6251=B152)*('Binder Data'!$E$2:$E$6251="Y"),'Binder Data'!$G$2:$G$6251,"")))</f>
        <v/>
      </c>
      <c r="D152" s="14" t="str">
        <f t="array" ref="D152">IF(B152="","",INDEX('Binder Setup'!$D$2:$D$401,MATCH(147,'Binder Setup'!$G$2:$G$401,0)))</f>
        <v/>
      </c>
      <c r="E152" s="17" t="str">
        <f t="array" ref="E152">IF(B152="","",INDEX('Binder Setup'!$E$2:$E$401,MATCH(147,'Binder Setup'!$G$2:$G$401,0)))</f>
        <v/>
      </c>
      <c r="F152" s="14" t="str">
        <f t="shared" si="1"/>
        <v/>
      </c>
      <c r="G152" s="16" t="b">
        <v>0</v>
      </c>
      <c r="H152" s="19"/>
      <c r="I152" s="19"/>
      <c r="J152" s="19"/>
      <c r="K152" s="19"/>
      <c r="L152" s="19"/>
      <c r="M152" s="19"/>
      <c r="N152" s="19"/>
      <c r="O152" s="19"/>
      <c r="P152" s="19"/>
      <c r="Q152" s="19"/>
      <c r="R152" s="19"/>
      <c r="S152" s="19"/>
      <c r="T152" s="19"/>
      <c r="U152" s="19"/>
      <c r="V152" s="19"/>
      <c r="W152" s="19"/>
      <c r="X152" s="19"/>
      <c r="Y152" s="19"/>
      <c r="Z152" s="19"/>
    </row>
    <row r="153" ht="15.75" customHeight="1">
      <c r="A153" s="14" t="str">
        <f>IF(B153="","",148)</f>
        <v/>
      </c>
      <c r="B153" s="8" t="str">
        <f t="array" ref="B153">IFERROR(INDEX('Binder Setup'!$B$2:$B$401,MATCH(148,'Binder Setup'!$G$2:$G$401,0)),"")</f>
        <v/>
      </c>
      <c r="C153" s="8" t="str">
        <f t="array" ref="C153">IF(B153="","",TEXTJOIN(", ",TRUE(),IF(('Binder Data'!$B$2:$B$6251=B153)*('Binder Data'!$E$2:$E$6251="Y"),'Binder Data'!$G$2:$G$6251,"")))</f>
        <v/>
      </c>
      <c r="D153" s="14" t="str">
        <f t="array" ref="D153">IF(B153="","",INDEX('Binder Setup'!$D$2:$D$401,MATCH(148,'Binder Setup'!$G$2:$G$401,0)))</f>
        <v/>
      </c>
      <c r="E153" s="17" t="str">
        <f t="array" ref="E153">IF(B153="","",INDEX('Binder Setup'!$E$2:$E$401,MATCH(148,'Binder Setup'!$G$2:$G$401,0)))</f>
        <v/>
      </c>
      <c r="F153" s="14" t="str">
        <f t="shared" si="1"/>
        <v/>
      </c>
      <c r="G153" s="16" t="b">
        <v>0</v>
      </c>
      <c r="H153" s="19"/>
      <c r="I153" s="19"/>
      <c r="J153" s="19"/>
      <c r="K153" s="19"/>
      <c r="L153" s="19"/>
      <c r="M153" s="19"/>
      <c r="N153" s="19"/>
      <c r="O153" s="19"/>
      <c r="P153" s="19"/>
      <c r="Q153" s="19"/>
      <c r="R153" s="19"/>
      <c r="S153" s="19"/>
      <c r="T153" s="19"/>
      <c r="U153" s="19"/>
      <c r="V153" s="19"/>
      <c r="W153" s="19"/>
      <c r="X153" s="19"/>
      <c r="Y153" s="19"/>
      <c r="Z153" s="19"/>
    </row>
    <row r="154" ht="15.75" customHeight="1">
      <c r="A154" s="14" t="str">
        <f>IF(B154="","",149)</f>
        <v/>
      </c>
      <c r="B154" s="8" t="str">
        <f t="array" ref="B154">IFERROR(INDEX('Binder Setup'!$B$2:$B$401,MATCH(149,'Binder Setup'!$G$2:$G$401,0)),"")</f>
        <v/>
      </c>
      <c r="C154" s="8" t="str">
        <f t="array" ref="C154">IF(B154="","",TEXTJOIN(", ",TRUE(),IF(('Binder Data'!$B$2:$B$6251=B154)*('Binder Data'!$E$2:$E$6251="Y"),'Binder Data'!$G$2:$G$6251,"")))</f>
        <v/>
      </c>
      <c r="D154" s="14" t="str">
        <f t="array" ref="D154">IF(B154="","",INDEX('Binder Setup'!$D$2:$D$401,MATCH(149,'Binder Setup'!$G$2:$G$401,0)))</f>
        <v/>
      </c>
      <c r="E154" s="17" t="str">
        <f t="array" ref="E154">IF(B154="","",INDEX('Binder Setup'!$E$2:$E$401,MATCH(149,'Binder Setup'!$G$2:$G$401,0)))</f>
        <v/>
      </c>
      <c r="F154" s="14" t="str">
        <f t="shared" si="1"/>
        <v/>
      </c>
      <c r="G154" s="16" t="b">
        <v>0</v>
      </c>
      <c r="H154" s="19"/>
      <c r="I154" s="19"/>
      <c r="J154" s="19"/>
      <c r="K154" s="19"/>
      <c r="L154" s="19"/>
      <c r="M154" s="19"/>
      <c r="N154" s="19"/>
      <c r="O154" s="19"/>
      <c r="P154" s="19"/>
      <c r="Q154" s="19"/>
      <c r="R154" s="19"/>
      <c r="S154" s="19"/>
      <c r="T154" s="19"/>
      <c r="U154" s="19"/>
      <c r="V154" s="19"/>
      <c r="W154" s="19"/>
      <c r="X154" s="19"/>
      <c r="Y154" s="19"/>
      <c r="Z154" s="19"/>
    </row>
    <row r="155" ht="15.75" customHeight="1">
      <c r="A155" s="14" t="str">
        <f>IF(B155="","",150)</f>
        <v/>
      </c>
      <c r="B155" s="8" t="str">
        <f t="array" ref="B155">IFERROR(INDEX('Binder Setup'!$B$2:$B$401,MATCH(150,'Binder Setup'!$G$2:$G$401,0)),"")</f>
        <v/>
      </c>
      <c r="C155" s="8" t="str">
        <f t="array" ref="C155">IF(B155="","",TEXTJOIN(", ",TRUE(),IF(('Binder Data'!$B$2:$B$6251=B155)*('Binder Data'!$E$2:$E$6251="Y"),'Binder Data'!$G$2:$G$6251,"")))</f>
        <v/>
      </c>
      <c r="D155" s="14" t="str">
        <f t="array" ref="D155">IF(B155="","",INDEX('Binder Setup'!$D$2:$D$401,MATCH(150,'Binder Setup'!$G$2:$G$401,0)))</f>
        <v/>
      </c>
      <c r="E155" s="17" t="str">
        <f t="array" ref="E155">IF(B155="","",INDEX('Binder Setup'!$E$2:$E$401,MATCH(150,'Binder Setup'!$G$2:$G$401,0)))</f>
        <v/>
      </c>
      <c r="F155" s="14" t="str">
        <f t="shared" si="1"/>
        <v/>
      </c>
      <c r="G155" s="16" t="b">
        <v>0</v>
      </c>
      <c r="H155" s="19"/>
      <c r="I155" s="19"/>
      <c r="J155" s="19"/>
      <c r="K155" s="19"/>
      <c r="L155" s="19"/>
      <c r="M155" s="19"/>
      <c r="N155" s="19"/>
      <c r="O155" s="19"/>
      <c r="P155" s="19"/>
      <c r="Q155" s="19"/>
      <c r="R155" s="19"/>
      <c r="S155" s="19"/>
      <c r="T155" s="19"/>
      <c r="U155" s="19"/>
      <c r="V155" s="19"/>
      <c r="W155" s="19"/>
      <c r="X155" s="19"/>
      <c r="Y155" s="19"/>
      <c r="Z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19"/>
      <c r="B158" s="28" t="s">
        <v>92</v>
      </c>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19"/>
      <c r="B159" s="10" t="s">
        <v>93</v>
      </c>
      <c r="C159" s="19"/>
      <c r="D159" s="10">
        <f>COUNTIF('Binder Data'!$E$2:$E$6251,"Y")</f>
        <v>68</v>
      </c>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19"/>
      <c r="B160" s="10" t="s">
        <v>94</v>
      </c>
      <c r="C160" s="19"/>
      <c r="D160" s="10">
        <f>COUNTIFS('Binder Data'!$D$2:$D$6251,"Ordered",'Binder Data'!$R$2:$R$6251,TRUE())+COUNTIFS('Binder Data'!$D$2:$D$6251,"Proxy",'Binder Data'!$R$2:$R$6251,TRUE())</f>
        <v>0</v>
      </c>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19"/>
      <c r="B161" s="10" t="s">
        <v>95</v>
      </c>
      <c r="C161" s="19"/>
      <c r="D161" s="10">
        <f>COUNTIFS('Binder Data'!$D$2:$D$6251,"In collection",'Binder Data'!$R$2:$R$6251,TRUE())</f>
        <v>0</v>
      </c>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19"/>
      <c r="B162" s="10" t="s">
        <v>96</v>
      </c>
      <c r="C162" s="19"/>
      <c r="D162" s="10">
        <f>SUMIF($F$6:$F$155,"Pull",$D$6:$D$155)</f>
        <v>57</v>
      </c>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19"/>
      <c r="B163" s="10" t="s">
        <v>97</v>
      </c>
      <c r="C163" s="19"/>
      <c r="D163" s="10">
        <f>COUNTIF($F$6:$F$155,"Pull")</f>
        <v>19</v>
      </c>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19"/>
      <c r="B164" s="10" t="s">
        <v>98</v>
      </c>
      <c r="C164" s="19"/>
      <c r="D164" s="10">
        <f>COUNTIFS('Binder Data'!$B$2:$B$6251,"(none)",'Binder Data'!$E$2:$E$6251,"Y")</f>
        <v>2</v>
      </c>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19"/>
      <c r="B165" s="10" t="s">
        <v>99</v>
      </c>
      <c r="C165" s="27" t="str">
        <f t="array" ref="C165">TEXTJOIN(", ",TRUE(),IF(('Binder Data'!$B$2:$B$6251="(none)")*('Binder Data'!$E$2:$E$6251="Y"),'Binder Data'!$G$2:$G$6251,""))</f>
        <v>Mountain (x9) [Deck 1], Plains (x9) [Deck 1]</v>
      </c>
      <c r="H165" s="19"/>
      <c r="I165" s="19"/>
      <c r="J165" s="19"/>
      <c r="K165" s="19"/>
      <c r="L165" s="19"/>
      <c r="M165" s="19"/>
      <c r="N165" s="19"/>
      <c r="O165" s="19"/>
      <c r="P165" s="19"/>
      <c r="Q165" s="19"/>
      <c r="R165" s="19"/>
      <c r="S165" s="19"/>
      <c r="T165" s="19"/>
      <c r="U165" s="19"/>
      <c r="V165" s="19"/>
      <c r="W165" s="19"/>
      <c r="X165" s="19"/>
      <c r="Y165" s="19"/>
      <c r="Z165" s="19"/>
    </row>
    <row r="166" ht="15.75" customHeight="1">
      <c r="A166" s="19"/>
      <c r="B166" s="19"/>
      <c r="H166" s="19"/>
      <c r="I166" s="19"/>
      <c r="J166" s="19"/>
      <c r="K166" s="19"/>
      <c r="L166" s="19"/>
      <c r="M166" s="19"/>
      <c r="N166" s="19"/>
      <c r="O166" s="19"/>
      <c r="P166" s="19"/>
      <c r="Q166" s="19"/>
      <c r="R166" s="19"/>
      <c r="S166" s="19"/>
      <c r="T166" s="19"/>
      <c r="U166" s="19"/>
      <c r="V166" s="19"/>
      <c r="W166" s="19"/>
      <c r="X166" s="19"/>
      <c r="Y166" s="19"/>
      <c r="Z166" s="19"/>
    </row>
    <row r="167" ht="15.75" customHeight="1">
      <c r="A167" s="19"/>
      <c r="B167" s="19"/>
      <c r="H167" s="19"/>
      <c r="I167" s="19"/>
      <c r="J167" s="19"/>
      <c r="K167" s="19"/>
      <c r="L167" s="19"/>
      <c r="M167" s="19"/>
      <c r="N167" s="19"/>
      <c r="O167" s="19"/>
      <c r="P167" s="19"/>
      <c r="Q167" s="19"/>
      <c r="R167" s="19"/>
      <c r="S167" s="19"/>
      <c r="T167" s="19"/>
      <c r="U167" s="19"/>
      <c r="V167" s="19"/>
      <c r="W167" s="19"/>
      <c r="X167" s="19"/>
      <c r="Y167" s="19"/>
      <c r="Z167" s="19"/>
    </row>
    <row r="168" ht="15.75" customHeight="1">
      <c r="A168" s="19"/>
      <c r="B168" s="19"/>
      <c r="C168" s="9"/>
      <c r="D168" s="9"/>
      <c r="E168" s="9"/>
      <c r="F168" s="9"/>
      <c r="G168" s="9"/>
      <c r="H168" s="19"/>
      <c r="I168" s="19"/>
      <c r="J168" s="19"/>
      <c r="K168" s="19"/>
      <c r="L168" s="19"/>
      <c r="M168" s="19"/>
      <c r="N168" s="19"/>
      <c r="O168" s="19"/>
      <c r="P168" s="19"/>
      <c r="Q168" s="19"/>
      <c r="R168" s="19"/>
      <c r="S168" s="19"/>
      <c r="T168" s="19"/>
      <c r="U168" s="19"/>
      <c r="V168" s="19"/>
      <c r="W168" s="19"/>
      <c r="X168" s="19"/>
      <c r="Y168" s="19"/>
      <c r="Z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29" t="s">
        <v>100</v>
      </c>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8" t="s">
        <v>101</v>
      </c>
      <c r="B172" s="9"/>
      <c r="C172" s="9"/>
      <c r="D172" s="9"/>
      <c r="E172" s="9"/>
      <c r="F172" s="9"/>
      <c r="G172" s="9"/>
      <c r="H172" s="19"/>
      <c r="I172" s="19"/>
      <c r="J172" s="19"/>
      <c r="K172" s="19"/>
      <c r="L172" s="19"/>
      <c r="M172" s="19"/>
      <c r="N172" s="19"/>
      <c r="O172" s="19"/>
      <c r="P172" s="19"/>
      <c r="Q172" s="19"/>
      <c r="R172" s="19"/>
      <c r="S172" s="19"/>
      <c r="T172" s="19"/>
      <c r="U172" s="19"/>
      <c r="V172" s="19"/>
      <c r="W172" s="19"/>
      <c r="X172" s="19"/>
      <c r="Y172" s="19"/>
      <c r="Z172" s="19"/>
    </row>
    <row r="173" ht="15.75" customHeight="1">
      <c r="A173" s="8" t="s">
        <v>102</v>
      </c>
      <c r="B173" s="9"/>
      <c r="C173" s="9"/>
      <c r="D173" s="9"/>
      <c r="E173" s="9"/>
      <c r="F173" s="9"/>
      <c r="G173" s="9"/>
      <c r="H173" s="19"/>
      <c r="I173" s="19"/>
      <c r="J173" s="19"/>
      <c r="K173" s="19"/>
      <c r="L173" s="19"/>
      <c r="M173" s="19"/>
      <c r="N173" s="19"/>
      <c r="O173" s="19"/>
      <c r="P173" s="19"/>
      <c r="Q173" s="19"/>
      <c r="R173" s="19"/>
      <c r="S173" s="19"/>
      <c r="T173" s="19"/>
      <c r="U173" s="19"/>
      <c r="V173" s="19"/>
      <c r="W173" s="19"/>
      <c r="X173" s="19"/>
      <c r="Y173" s="19"/>
      <c r="Z173" s="19"/>
    </row>
    <row r="174" ht="15.75" customHeight="1">
      <c r="A174" s="8" t="s">
        <v>103</v>
      </c>
      <c r="B174" s="9"/>
      <c r="C174" s="9"/>
      <c r="D174" s="9"/>
      <c r="E174" s="9"/>
      <c r="F174" s="9"/>
      <c r="G174" s="9"/>
      <c r="H174" s="19"/>
      <c r="I174" s="19"/>
      <c r="J174" s="19"/>
      <c r="K174" s="19"/>
      <c r="L174" s="19"/>
      <c r="M174" s="19"/>
      <c r="N174" s="19"/>
      <c r="O174" s="19"/>
      <c r="P174" s="19"/>
      <c r="Q174" s="19"/>
      <c r="R174" s="19"/>
      <c r="S174" s="19"/>
      <c r="T174" s="19"/>
      <c r="U174" s="19"/>
      <c r="V174" s="19"/>
      <c r="W174" s="19"/>
      <c r="X174" s="19"/>
      <c r="Y174" s="19"/>
      <c r="Z174" s="19"/>
    </row>
    <row r="175" ht="15.75" customHeight="1">
      <c r="A175" s="8" t="s">
        <v>104</v>
      </c>
      <c r="B175" s="9"/>
      <c r="C175" s="9"/>
      <c r="D175" s="9"/>
      <c r="E175" s="9"/>
      <c r="F175" s="9"/>
      <c r="G175" s="9"/>
      <c r="H175" s="19"/>
      <c r="I175" s="19"/>
      <c r="J175" s="19"/>
      <c r="K175" s="19"/>
      <c r="L175" s="19"/>
      <c r="M175" s="19"/>
      <c r="N175" s="19"/>
      <c r="O175" s="19"/>
      <c r="P175" s="19"/>
      <c r="Q175" s="19"/>
      <c r="R175" s="19"/>
      <c r="S175" s="19"/>
      <c r="T175" s="19"/>
      <c r="U175" s="19"/>
      <c r="V175" s="19"/>
      <c r="W175" s="19"/>
      <c r="X175" s="19"/>
      <c r="Y175" s="19"/>
      <c r="Z175" s="19"/>
    </row>
    <row r="176" ht="15.75" customHeight="1">
      <c r="A176" s="8" t="s">
        <v>105</v>
      </c>
      <c r="B176" s="9"/>
      <c r="C176" s="9"/>
      <c r="D176" s="9"/>
      <c r="E176" s="9"/>
      <c r="F176" s="9"/>
      <c r="G176" s="9"/>
      <c r="H176" s="19"/>
      <c r="I176" s="19"/>
      <c r="J176" s="19"/>
      <c r="K176" s="19"/>
      <c r="L176" s="19"/>
      <c r="M176" s="19"/>
      <c r="N176" s="19"/>
      <c r="O176" s="19"/>
      <c r="P176" s="19"/>
      <c r="Q176" s="19"/>
      <c r="R176" s="19"/>
      <c r="S176" s="19"/>
      <c r="T176" s="19"/>
      <c r="U176" s="19"/>
      <c r="V176" s="19"/>
      <c r="W176" s="19"/>
      <c r="X176" s="19"/>
      <c r="Y176" s="19"/>
      <c r="Z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5.75" customHeight="1">
      <c r="A287" s="19"/>
      <c r="B287" s="19"/>
      <c r="C287" s="19"/>
      <c r="D287" s="19"/>
      <c r="E287" s="19"/>
      <c r="F287" s="19"/>
      <c r="G287" s="19"/>
      <c r="H287" s="19"/>
      <c r="I287" s="19"/>
      <c r="J287" s="19"/>
      <c r="K287" s="19"/>
    </row>
    <row r="288" ht="15.75" customHeight="1">
      <c r="A288" s="19"/>
      <c r="B288" s="19"/>
      <c r="C288" s="19"/>
      <c r="D288" s="19"/>
      <c r="E288" s="19"/>
      <c r="F288" s="19"/>
      <c r="G288" s="19"/>
      <c r="H288" s="19"/>
      <c r="I288" s="19"/>
      <c r="J288" s="19"/>
      <c r="K288" s="19"/>
    </row>
    <row r="289" ht="15.75" customHeight="1">
      <c r="A289" s="2"/>
      <c r="B289" s="2"/>
      <c r="C289" s="2"/>
      <c r="D289" s="2"/>
      <c r="E289" s="2"/>
      <c r="F289" s="2"/>
      <c r="G289" s="2"/>
      <c r="H289" s="2"/>
      <c r="I289" s="2"/>
      <c r="J289" s="2"/>
      <c r="K289" s="2"/>
    </row>
    <row r="290" ht="15.75" customHeight="1">
      <c r="A290" s="2"/>
      <c r="B290" s="2"/>
      <c r="C290" s="2"/>
      <c r="D290" s="2"/>
      <c r="E290" s="2"/>
      <c r="F290" s="2"/>
      <c r="G290" s="2"/>
      <c r="H290" s="2"/>
      <c r="I290" s="2"/>
      <c r="J290" s="2"/>
      <c r="K290" s="2"/>
    </row>
    <row r="291" ht="15.75" customHeight="1">
      <c r="A291" s="2"/>
      <c r="B291" s="2"/>
      <c r="C291" s="2"/>
      <c r="D291" s="2"/>
      <c r="E291" s="2"/>
      <c r="F291" s="2"/>
      <c r="G291" s="2"/>
      <c r="H291" s="2"/>
      <c r="I291" s="2"/>
      <c r="J291" s="2"/>
      <c r="K291" s="2"/>
    </row>
    <row r="292" ht="15.75" customHeight="1">
      <c r="A292" s="2"/>
      <c r="B292" s="2"/>
      <c r="C292" s="2"/>
      <c r="D292" s="2"/>
      <c r="E292" s="2"/>
      <c r="F292" s="2"/>
      <c r="G292" s="2"/>
      <c r="H292" s="2"/>
      <c r="I292" s="2"/>
      <c r="J292" s="2"/>
      <c r="K292" s="2"/>
    </row>
    <row r="293" ht="15.75" customHeight="1">
      <c r="A293" s="2"/>
      <c r="B293" s="2"/>
      <c r="C293" s="2"/>
      <c r="D293" s="2"/>
      <c r="E293" s="2"/>
      <c r="F293" s="2"/>
      <c r="G293" s="2"/>
      <c r="H293" s="2"/>
      <c r="I293" s="2"/>
      <c r="J293" s="2"/>
      <c r="K293" s="2"/>
    </row>
    <row r="294" ht="15.75" customHeight="1">
      <c r="A294" s="2"/>
      <c r="B294" s="2"/>
      <c r="C294" s="2"/>
      <c r="D294" s="2"/>
      <c r="E294" s="2"/>
      <c r="F294" s="2"/>
      <c r="G294" s="2"/>
      <c r="H294" s="2"/>
      <c r="I294" s="2"/>
      <c r="J294" s="2"/>
      <c r="K294" s="2"/>
    </row>
    <row r="295" ht="15.75" customHeight="1">
      <c r="A295" s="2"/>
      <c r="B295" s="2"/>
      <c r="C295" s="2"/>
      <c r="D295" s="2"/>
      <c r="E295" s="2"/>
      <c r="F295" s="2"/>
      <c r="G295" s="2"/>
      <c r="H295" s="2"/>
      <c r="I295" s="2"/>
      <c r="J295" s="2"/>
      <c r="K295" s="2"/>
    </row>
    <row r="296" ht="15.75" customHeight="1">
      <c r="A296" s="2"/>
      <c r="B296" s="2"/>
      <c r="C296" s="2"/>
      <c r="D296" s="2"/>
      <c r="E296" s="2"/>
      <c r="F296" s="2"/>
      <c r="G296" s="2"/>
      <c r="H296" s="2"/>
      <c r="I296" s="2"/>
      <c r="J296" s="2"/>
      <c r="K296" s="2"/>
    </row>
    <row r="297" ht="15.75" customHeight="1">
      <c r="A297" s="2"/>
      <c r="B297" s="2"/>
      <c r="C297" s="2"/>
      <c r="D297" s="2"/>
      <c r="E297" s="2"/>
      <c r="F297" s="2"/>
      <c r="G297" s="2"/>
      <c r="H297" s="2"/>
      <c r="I297" s="2"/>
      <c r="J297" s="2"/>
      <c r="K297" s="2"/>
    </row>
    <row r="298" ht="15.75" customHeight="1">
      <c r="A298" s="2"/>
      <c r="B298" s="2"/>
      <c r="C298" s="2"/>
      <c r="D298" s="2"/>
      <c r="E298" s="2"/>
      <c r="F298" s="2"/>
      <c r="G298" s="2"/>
      <c r="H298" s="2"/>
      <c r="I298" s="2"/>
      <c r="J298" s="2"/>
      <c r="K298" s="2"/>
    </row>
    <row r="299" ht="15.75" customHeight="1">
      <c r="A299" s="2"/>
      <c r="B299" s="2"/>
      <c r="C299" s="2"/>
      <c r="D299" s="2"/>
      <c r="E299" s="2"/>
      <c r="F299" s="2"/>
      <c r="G299" s="2"/>
      <c r="H299" s="2"/>
      <c r="I299" s="2"/>
      <c r="J299" s="2"/>
      <c r="K299" s="2"/>
    </row>
    <row r="300" ht="15.75" customHeight="1">
      <c r="A300" s="2"/>
      <c r="B300" s="2"/>
      <c r="C300" s="2"/>
      <c r="D300" s="2"/>
      <c r="E300" s="2"/>
      <c r="F300" s="2"/>
      <c r="G300" s="2"/>
      <c r="H300" s="2"/>
      <c r="I300" s="2"/>
      <c r="J300" s="2"/>
      <c r="K300" s="2"/>
    </row>
    <row r="301" ht="15.75" customHeight="1">
      <c r="A301" s="2"/>
      <c r="B301" s="2"/>
      <c r="C301" s="2"/>
      <c r="D301" s="2"/>
      <c r="E301" s="2"/>
      <c r="F301" s="2"/>
      <c r="G301" s="2"/>
      <c r="H301" s="2"/>
      <c r="I301" s="2"/>
      <c r="J301" s="2"/>
      <c r="K301" s="2"/>
    </row>
    <row r="302" ht="15.75" customHeight="1">
      <c r="A302" s="2"/>
      <c r="B302" s="2"/>
      <c r="C302" s="2"/>
      <c r="D302" s="2"/>
      <c r="E302" s="2"/>
      <c r="F302" s="2"/>
      <c r="G302" s="2"/>
      <c r="H302" s="2"/>
      <c r="I302" s="2"/>
      <c r="J302" s="2"/>
      <c r="K302" s="2"/>
    </row>
    <row r="303" ht="15.75" customHeight="1">
      <c r="A303" s="2"/>
      <c r="B303" s="2"/>
      <c r="C303" s="2"/>
      <c r="D303" s="2"/>
      <c r="E303" s="2"/>
      <c r="F303" s="2"/>
      <c r="G303" s="2"/>
      <c r="H303" s="2"/>
      <c r="I303" s="2"/>
      <c r="J303" s="2"/>
      <c r="K303" s="2"/>
    </row>
    <row r="304" ht="15.75" customHeight="1">
      <c r="A304" s="2"/>
      <c r="B304" s="2"/>
      <c r="C304" s="2"/>
      <c r="D304" s="2"/>
      <c r="E304" s="2"/>
      <c r="F304" s="2"/>
      <c r="G304" s="2"/>
      <c r="H304" s="2"/>
      <c r="I304" s="2"/>
      <c r="J304" s="2"/>
      <c r="K304" s="2"/>
    </row>
    <row r="305" ht="15.75" customHeight="1">
      <c r="A305" s="2"/>
      <c r="B305" s="2"/>
      <c r="C305" s="2"/>
      <c r="D305" s="2"/>
      <c r="E305" s="2"/>
      <c r="F305" s="2"/>
      <c r="G305" s="2"/>
      <c r="H305" s="2"/>
      <c r="I305" s="2"/>
      <c r="J305" s="2"/>
      <c r="K305" s="2"/>
    </row>
    <row r="306" ht="15.75" customHeight="1">
      <c r="A306" s="2"/>
      <c r="B306" s="2"/>
      <c r="C306" s="2"/>
      <c r="D306" s="2"/>
      <c r="E306" s="2"/>
      <c r="F306" s="2"/>
      <c r="G306" s="2"/>
      <c r="H306" s="2"/>
      <c r="I306" s="2"/>
      <c r="J306" s="2"/>
      <c r="K306" s="2"/>
    </row>
    <row r="307" ht="15.75" customHeight="1">
      <c r="A307" s="2"/>
      <c r="B307" s="2"/>
      <c r="C307" s="2"/>
      <c r="D307" s="2"/>
      <c r="E307" s="2"/>
      <c r="F307" s="2"/>
      <c r="G307" s="2"/>
      <c r="H307" s="2"/>
      <c r="I307" s="2"/>
      <c r="J307" s="2"/>
      <c r="K307" s="2"/>
    </row>
    <row r="308" ht="15.75" customHeight="1">
      <c r="A308" s="2"/>
      <c r="B308" s="2"/>
      <c r="C308" s="2"/>
      <c r="D308" s="2"/>
      <c r="E308" s="2"/>
      <c r="F308" s="2"/>
      <c r="G308" s="2"/>
      <c r="H308" s="2"/>
      <c r="I308" s="2"/>
      <c r="J308" s="2"/>
      <c r="K308" s="2"/>
    </row>
    <row r="309" ht="15.75" customHeight="1">
      <c r="A309" s="2"/>
      <c r="B309" s="2"/>
      <c r="C309" s="2"/>
      <c r="D309" s="2"/>
      <c r="E309" s="2"/>
      <c r="F309" s="2"/>
      <c r="G309" s="2"/>
      <c r="H309" s="2"/>
      <c r="I309" s="2"/>
      <c r="J309" s="2"/>
      <c r="K309" s="2"/>
    </row>
    <row r="310" ht="15.75" customHeight="1">
      <c r="A310" s="2"/>
      <c r="B310" s="2"/>
      <c r="C310" s="2"/>
      <c r="D310" s="2"/>
      <c r="E310" s="2"/>
      <c r="F310" s="2"/>
      <c r="G310" s="2"/>
      <c r="H310" s="2"/>
      <c r="I310" s="2"/>
      <c r="J310" s="2"/>
      <c r="K310" s="2"/>
    </row>
    <row r="311" ht="15.75" customHeight="1">
      <c r="A311" s="2"/>
      <c r="B311" s="2"/>
      <c r="C311" s="2"/>
      <c r="D311" s="2"/>
      <c r="E311" s="2"/>
      <c r="F311" s="2"/>
      <c r="G311" s="2"/>
      <c r="H311" s="2"/>
      <c r="I311" s="2"/>
      <c r="J311" s="2"/>
      <c r="K311" s="2"/>
    </row>
    <row r="312" ht="15.75" customHeight="1">
      <c r="A312" s="2"/>
      <c r="B312" s="2"/>
      <c r="C312" s="2"/>
      <c r="D312" s="2"/>
      <c r="E312" s="2"/>
      <c r="F312" s="2"/>
      <c r="G312" s="2"/>
      <c r="H312" s="2"/>
      <c r="I312" s="2"/>
      <c r="J312" s="2"/>
      <c r="K312" s="2"/>
    </row>
    <row r="313" ht="15.75" customHeight="1">
      <c r="A313" s="2"/>
      <c r="B313" s="2"/>
      <c r="C313" s="2"/>
      <c r="D313" s="2"/>
      <c r="E313" s="2"/>
      <c r="F313" s="2"/>
      <c r="G313" s="2"/>
      <c r="H313" s="2"/>
      <c r="I313" s="2"/>
      <c r="J313" s="2"/>
      <c r="K313" s="2"/>
    </row>
    <row r="314" ht="15.75" customHeight="1">
      <c r="A314" s="2"/>
      <c r="B314" s="2"/>
      <c r="C314" s="2"/>
      <c r="D314" s="2"/>
      <c r="E314" s="2"/>
      <c r="F314" s="2"/>
      <c r="G314" s="2"/>
      <c r="H314" s="2"/>
      <c r="I314" s="2"/>
      <c r="J314" s="2"/>
      <c r="K314" s="2"/>
    </row>
    <row r="315" ht="15.75" customHeight="1">
      <c r="A315" s="2"/>
      <c r="B315" s="2"/>
      <c r="C315" s="2"/>
      <c r="D315" s="2"/>
      <c r="E315" s="2"/>
      <c r="F315" s="2"/>
      <c r="G315" s="2"/>
      <c r="H315" s="2"/>
      <c r="I315" s="2"/>
      <c r="J315" s="2"/>
      <c r="K315" s="2"/>
    </row>
    <row r="316" ht="15.75" customHeight="1">
      <c r="A316" s="2"/>
      <c r="B316" s="2"/>
      <c r="C316" s="2"/>
      <c r="D316" s="2"/>
      <c r="E316" s="2"/>
      <c r="F316" s="2"/>
      <c r="G316" s="2"/>
      <c r="H316" s="2"/>
      <c r="I316" s="2"/>
      <c r="J316" s="2"/>
      <c r="K316" s="2"/>
    </row>
    <row r="317" ht="15.75" customHeight="1">
      <c r="A317" s="2"/>
      <c r="B317" s="2"/>
      <c r="C317" s="2"/>
      <c r="D317" s="2"/>
      <c r="E317" s="2"/>
      <c r="F317" s="2"/>
      <c r="G317" s="2"/>
      <c r="H317" s="2"/>
      <c r="I317" s="2"/>
      <c r="J317" s="2"/>
      <c r="K317" s="2"/>
    </row>
    <row r="318" ht="15.75" customHeight="1">
      <c r="A318" s="2"/>
      <c r="B318" s="2"/>
      <c r="C318" s="2"/>
      <c r="D318" s="2"/>
      <c r="E318" s="2"/>
      <c r="F318" s="2"/>
      <c r="G318" s="2"/>
      <c r="H318" s="2"/>
      <c r="I318" s="2"/>
      <c r="J318" s="2"/>
      <c r="K318" s="2"/>
    </row>
    <row r="319" ht="15.75" customHeight="1">
      <c r="A319" s="2"/>
      <c r="B319" s="2"/>
      <c r="C319" s="2"/>
      <c r="D319" s="2"/>
      <c r="E319" s="2"/>
      <c r="F319" s="2"/>
      <c r="G319" s="2"/>
      <c r="H319" s="2"/>
      <c r="I319" s="2"/>
      <c r="J319" s="2"/>
      <c r="K319" s="2"/>
    </row>
    <row r="320" ht="15.75" customHeight="1">
      <c r="A320" s="2"/>
      <c r="B320" s="2"/>
      <c r="C320" s="2"/>
      <c r="D320" s="2"/>
      <c r="E320" s="2"/>
      <c r="F320" s="2"/>
      <c r="G320" s="2"/>
      <c r="H320" s="2"/>
      <c r="I320" s="2"/>
      <c r="J320" s="2"/>
      <c r="K320" s="2"/>
    </row>
    <row r="321" ht="15.75" customHeight="1">
      <c r="A321" s="2"/>
      <c r="B321" s="2"/>
      <c r="C321" s="2"/>
      <c r="D321" s="2"/>
      <c r="E321" s="2"/>
      <c r="F321" s="2"/>
      <c r="G321" s="2"/>
      <c r="H321" s="2"/>
      <c r="I321" s="2"/>
      <c r="J321" s="2"/>
      <c r="K321" s="2"/>
    </row>
    <row r="322" ht="15.75" customHeight="1">
      <c r="A322" s="2"/>
      <c r="B322" s="2"/>
      <c r="C322" s="2"/>
      <c r="D322" s="2"/>
      <c r="E322" s="2"/>
      <c r="F322" s="2"/>
      <c r="G322" s="2"/>
      <c r="H322" s="2"/>
      <c r="I322" s="2"/>
      <c r="J322" s="2"/>
      <c r="K322" s="2"/>
    </row>
    <row r="323" ht="15.75" customHeight="1">
      <c r="A323" s="2"/>
      <c r="B323" s="2"/>
      <c r="C323" s="2"/>
      <c r="D323" s="2"/>
      <c r="E323" s="2"/>
      <c r="F323" s="2"/>
      <c r="G323" s="2"/>
      <c r="H323" s="2"/>
      <c r="I323" s="2"/>
      <c r="J323" s="2"/>
      <c r="K323" s="2"/>
    </row>
    <row r="324" ht="15.75" customHeight="1">
      <c r="A324" s="2"/>
      <c r="B324" s="2"/>
      <c r="C324" s="2"/>
      <c r="D324" s="2"/>
      <c r="E324" s="2"/>
      <c r="F324" s="2"/>
      <c r="G324" s="2"/>
      <c r="H324" s="2"/>
      <c r="I324" s="2"/>
      <c r="J324" s="2"/>
      <c r="K324" s="2"/>
    </row>
    <row r="325" ht="15.75" customHeight="1">
      <c r="A325" s="2"/>
      <c r="B325" s="2"/>
      <c r="C325" s="2"/>
      <c r="D325" s="2"/>
      <c r="E325" s="2"/>
      <c r="F325" s="2"/>
      <c r="G325" s="2"/>
      <c r="H325" s="2"/>
      <c r="I325" s="2"/>
      <c r="J325" s="2"/>
      <c r="K325" s="2"/>
    </row>
    <row r="326" ht="15.75" customHeight="1">
      <c r="A326" s="2"/>
      <c r="B326" s="2"/>
      <c r="C326" s="2"/>
      <c r="D326" s="2"/>
      <c r="E326" s="2"/>
      <c r="F326" s="2"/>
      <c r="G326" s="2"/>
      <c r="H326" s="2"/>
      <c r="I326" s="2"/>
      <c r="J326" s="2"/>
      <c r="K326" s="2"/>
    </row>
    <row r="327" ht="15.75" customHeight="1">
      <c r="A327" s="2"/>
      <c r="B327" s="2"/>
      <c r="C327" s="2"/>
      <c r="D327" s="2"/>
      <c r="E327" s="2"/>
      <c r="F327" s="2"/>
      <c r="G327" s="2"/>
      <c r="H327" s="2"/>
      <c r="I327" s="2"/>
      <c r="J327" s="2"/>
      <c r="K327" s="2"/>
    </row>
    <row r="328" ht="15.75" customHeight="1">
      <c r="A328" s="2"/>
      <c r="B328" s="2"/>
      <c r="C328" s="2"/>
      <c r="D328" s="2"/>
      <c r="E328" s="2"/>
      <c r="F328" s="2"/>
      <c r="G328" s="2"/>
      <c r="H328" s="2"/>
      <c r="I328" s="2"/>
      <c r="J328" s="2"/>
      <c r="K328" s="2"/>
    </row>
    <row r="329" ht="15.75" customHeight="1">
      <c r="A329" s="2"/>
      <c r="B329" s="2"/>
      <c r="C329" s="2"/>
      <c r="D329" s="2"/>
      <c r="E329" s="2"/>
      <c r="F329" s="2"/>
      <c r="G329" s="2"/>
      <c r="H329" s="2"/>
      <c r="I329" s="2"/>
      <c r="J329" s="2"/>
      <c r="K329" s="2"/>
    </row>
    <row r="330" ht="15.75" customHeight="1">
      <c r="A330" s="2"/>
      <c r="B330" s="2"/>
      <c r="C330" s="2"/>
      <c r="D330" s="2"/>
      <c r="E330" s="2"/>
      <c r="F330" s="2"/>
      <c r="G330" s="2"/>
      <c r="H330" s="2"/>
      <c r="I330" s="2"/>
      <c r="J330" s="2"/>
      <c r="K330" s="2"/>
    </row>
    <row r="331" ht="15.75" customHeight="1">
      <c r="A331" s="2"/>
      <c r="B331" s="2"/>
      <c r="C331" s="2"/>
      <c r="D331" s="2"/>
      <c r="E331" s="2"/>
      <c r="F331" s="2"/>
      <c r="G331" s="2"/>
      <c r="H331" s="2"/>
      <c r="I331" s="2"/>
      <c r="J331" s="2"/>
      <c r="K331" s="2"/>
    </row>
    <row r="332" ht="15.75" customHeight="1">
      <c r="A332" s="2"/>
      <c r="B332" s="2"/>
      <c r="C332" s="2"/>
      <c r="D332" s="2"/>
      <c r="E332" s="2"/>
      <c r="F332" s="2"/>
      <c r="G332" s="2"/>
      <c r="H332" s="2"/>
      <c r="I332" s="2"/>
      <c r="J332" s="2"/>
      <c r="K332" s="2"/>
    </row>
    <row r="333" ht="15.75" customHeight="1">
      <c r="A333" s="2"/>
      <c r="B333" s="2"/>
      <c r="C333" s="2"/>
      <c r="D333" s="2"/>
      <c r="E333" s="2"/>
      <c r="F333" s="2"/>
      <c r="G333" s="2"/>
      <c r="H333" s="2"/>
      <c r="I333" s="2"/>
      <c r="J333" s="2"/>
      <c r="K333" s="2"/>
    </row>
    <row r="334" ht="15.75" customHeight="1">
      <c r="A334" s="2"/>
      <c r="B334" s="2"/>
      <c r="C334" s="2"/>
      <c r="D334" s="2"/>
      <c r="E334" s="2"/>
      <c r="F334" s="2"/>
      <c r="G334" s="2"/>
      <c r="H334" s="2"/>
      <c r="I334" s="2"/>
      <c r="J334" s="2"/>
      <c r="K334" s="2"/>
    </row>
    <row r="335" ht="15.75" customHeight="1">
      <c r="A335" s="2"/>
      <c r="B335" s="2"/>
      <c r="C335" s="2"/>
      <c r="D335" s="2"/>
      <c r="E335" s="2"/>
      <c r="F335" s="2"/>
      <c r="G335" s="2"/>
      <c r="H335" s="2"/>
      <c r="I335" s="2"/>
      <c r="J335" s="2"/>
      <c r="K335" s="2"/>
    </row>
    <row r="336" ht="15.75" customHeight="1">
      <c r="A336" s="2"/>
      <c r="B336" s="2"/>
      <c r="C336" s="2"/>
      <c r="D336" s="2"/>
      <c r="E336" s="2"/>
      <c r="F336" s="2"/>
      <c r="G336" s="2"/>
      <c r="H336" s="2"/>
      <c r="I336" s="2"/>
      <c r="J336" s="2"/>
      <c r="K336" s="2"/>
    </row>
    <row r="337" ht="15.75" customHeight="1">
      <c r="A337" s="2"/>
      <c r="B337" s="2"/>
      <c r="C337" s="2"/>
      <c r="D337" s="2"/>
      <c r="E337" s="2"/>
      <c r="F337" s="2"/>
      <c r="G337" s="2"/>
      <c r="H337" s="2"/>
      <c r="I337" s="2"/>
      <c r="J337" s="2"/>
      <c r="K337" s="2"/>
    </row>
    <row r="338" ht="15.75" customHeight="1">
      <c r="A338" s="2"/>
      <c r="B338" s="2"/>
      <c r="C338" s="2"/>
      <c r="D338" s="2"/>
      <c r="E338" s="2"/>
      <c r="F338" s="2"/>
      <c r="G338" s="2"/>
      <c r="H338" s="2"/>
      <c r="I338" s="2"/>
      <c r="J338" s="2"/>
      <c r="K338" s="2"/>
    </row>
    <row r="339" ht="15.75" customHeight="1">
      <c r="A339" s="2"/>
      <c r="B339" s="2"/>
      <c r="C339" s="2"/>
      <c r="D339" s="2"/>
      <c r="E339" s="2"/>
      <c r="F339" s="2"/>
      <c r="G339" s="2"/>
      <c r="H339" s="2"/>
      <c r="I339" s="2"/>
      <c r="J339" s="2"/>
      <c r="K339" s="2"/>
    </row>
    <row r="340" ht="15.75" customHeight="1">
      <c r="A340" s="2"/>
      <c r="B340" s="2"/>
      <c r="C340" s="2"/>
      <c r="D340" s="2"/>
      <c r="E340" s="2"/>
      <c r="F340" s="2"/>
      <c r="G340" s="2"/>
      <c r="H340" s="2"/>
      <c r="I340" s="2"/>
      <c r="J340" s="2"/>
      <c r="K340" s="2"/>
    </row>
    <row r="341" ht="15.75" customHeight="1">
      <c r="A341" s="2"/>
      <c r="B341" s="2"/>
      <c r="C341" s="2"/>
      <c r="D341" s="2"/>
      <c r="E341" s="2"/>
      <c r="F341" s="2"/>
      <c r="G341" s="2"/>
      <c r="H341" s="2"/>
      <c r="I341" s="2"/>
      <c r="J341" s="2"/>
      <c r="K341" s="2"/>
    </row>
    <row r="342" ht="15.75" customHeight="1">
      <c r="A342" s="2"/>
      <c r="B342" s="2"/>
      <c r="C342" s="2"/>
      <c r="D342" s="2"/>
      <c r="E342" s="2"/>
      <c r="F342" s="2"/>
      <c r="G342" s="2"/>
      <c r="H342" s="2"/>
      <c r="I342" s="2"/>
      <c r="J342" s="2"/>
      <c r="K342" s="2"/>
    </row>
    <row r="343" ht="15.75" customHeight="1">
      <c r="A343" s="2"/>
      <c r="B343" s="2"/>
      <c r="C343" s="2"/>
      <c r="D343" s="2"/>
      <c r="E343" s="2"/>
      <c r="F343" s="2"/>
      <c r="G343" s="2"/>
      <c r="H343" s="2"/>
      <c r="I343" s="2"/>
      <c r="J343" s="2"/>
      <c r="K343" s="2"/>
    </row>
    <row r="344" ht="15.75" customHeight="1">
      <c r="A344" s="2"/>
      <c r="B344" s="2"/>
      <c r="C344" s="2"/>
      <c r="D344" s="2"/>
      <c r="E344" s="2"/>
      <c r="F344" s="2"/>
      <c r="G344" s="2"/>
      <c r="H344" s="2"/>
      <c r="I344" s="2"/>
      <c r="J344" s="2"/>
      <c r="K344" s="2"/>
    </row>
    <row r="345" ht="15.75" customHeight="1">
      <c r="A345" s="2"/>
      <c r="B345" s="2"/>
      <c r="C345" s="2"/>
      <c r="D345" s="2"/>
      <c r="E345" s="2"/>
      <c r="F345" s="2"/>
      <c r="G345" s="2"/>
      <c r="H345" s="2"/>
      <c r="I345" s="2"/>
      <c r="J345" s="2"/>
      <c r="K345" s="2"/>
    </row>
    <row r="346" ht="15.75" customHeight="1">
      <c r="A346" s="2"/>
      <c r="B346" s="2"/>
      <c r="C346" s="2"/>
      <c r="D346" s="2"/>
      <c r="E346" s="2"/>
      <c r="F346" s="2"/>
      <c r="G346" s="2"/>
      <c r="H346" s="2"/>
      <c r="I346" s="2"/>
      <c r="J346" s="2"/>
      <c r="K346" s="2"/>
    </row>
    <row r="347" ht="15.75" customHeight="1">
      <c r="A347" s="2"/>
      <c r="B347" s="2"/>
      <c r="C347" s="2"/>
      <c r="D347" s="2"/>
      <c r="E347" s="2"/>
      <c r="F347" s="2"/>
      <c r="G347" s="2"/>
      <c r="H347" s="2"/>
      <c r="I347" s="2"/>
      <c r="J347" s="2"/>
      <c r="K347" s="2"/>
    </row>
    <row r="348" ht="15.75" customHeight="1">
      <c r="A348" s="2"/>
      <c r="B348" s="2"/>
      <c r="C348" s="2"/>
      <c r="D348" s="2"/>
      <c r="E348" s="2"/>
      <c r="F348" s="2"/>
      <c r="G348" s="2"/>
      <c r="H348" s="2"/>
      <c r="I348" s="2"/>
      <c r="J348" s="2"/>
      <c r="K348" s="2"/>
    </row>
    <row r="349" ht="15.75" customHeight="1">
      <c r="A349" s="2"/>
      <c r="B349" s="2"/>
      <c r="C349" s="2"/>
      <c r="D349" s="2"/>
      <c r="E349" s="2"/>
      <c r="F349" s="2"/>
      <c r="G349" s="2"/>
      <c r="H349" s="2"/>
      <c r="I349" s="2"/>
      <c r="J349" s="2"/>
      <c r="K349" s="2"/>
    </row>
    <row r="350" ht="15.75" customHeight="1">
      <c r="A350" s="2"/>
      <c r="B350" s="2"/>
      <c r="C350" s="2"/>
      <c r="D350" s="2"/>
      <c r="E350" s="2"/>
      <c r="F350" s="2"/>
      <c r="G350" s="2"/>
      <c r="H350" s="2"/>
      <c r="I350" s="2"/>
      <c r="J350" s="2"/>
      <c r="K350" s="2"/>
    </row>
    <row r="351" ht="15.75" customHeight="1">
      <c r="A351" s="2"/>
      <c r="B351" s="2"/>
      <c r="C351" s="2"/>
      <c r="D351" s="2"/>
      <c r="E351" s="2"/>
      <c r="F351" s="2"/>
      <c r="G351" s="2"/>
      <c r="H351" s="2"/>
      <c r="I351" s="2"/>
      <c r="J351" s="2"/>
      <c r="K351" s="2"/>
    </row>
    <row r="352" ht="15.75" customHeight="1">
      <c r="A352" s="2"/>
      <c r="B352" s="2"/>
      <c r="C352" s="2"/>
      <c r="D352" s="2"/>
      <c r="E352" s="2"/>
      <c r="F352" s="2"/>
      <c r="G352" s="2"/>
      <c r="H352" s="2"/>
      <c r="I352" s="2"/>
      <c r="J352" s="2"/>
      <c r="K352" s="2"/>
    </row>
    <row r="353" ht="15.75" customHeight="1">
      <c r="A353" s="2"/>
      <c r="B353" s="2"/>
      <c r="C353" s="2"/>
      <c r="D353" s="2"/>
      <c r="E353" s="2"/>
      <c r="F353" s="2"/>
      <c r="G353" s="2"/>
      <c r="H353" s="2"/>
      <c r="I353" s="2"/>
      <c r="J353" s="2"/>
      <c r="K353" s="2"/>
    </row>
    <row r="354" ht="15.75" customHeight="1">
      <c r="A354" s="2"/>
      <c r="B354" s="2"/>
      <c r="C354" s="2"/>
      <c r="D354" s="2"/>
      <c r="E354" s="2"/>
      <c r="F354" s="2"/>
      <c r="G354" s="2"/>
      <c r="H354" s="2"/>
      <c r="I354" s="2"/>
      <c r="J354" s="2"/>
      <c r="K354" s="2"/>
    </row>
    <row r="355" ht="15.75" customHeight="1">
      <c r="A355" s="2"/>
      <c r="B355" s="2"/>
      <c r="C355" s="2"/>
      <c r="D355" s="2"/>
      <c r="E355" s="2"/>
      <c r="F355" s="2"/>
      <c r="G355" s="2"/>
      <c r="H355" s="2"/>
      <c r="I355" s="2"/>
      <c r="J355" s="2"/>
      <c r="K355" s="2"/>
    </row>
    <row r="356" ht="15.75" customHeight="1">
      <c r="A356" s="2"/>
      <c r="B356" s="2"/>
      <c r="C356" s="2"/>
      <c r="D356" s="2"/>
      <c r="E356" s="2"/>
      <c r="F356" s="2"/>
      <c r="G356" s="2"/>
      <c r="H356" s="2"/>
      <c r="I356" s="2"/>
      <c r="J356" s="2"/>
      <c r="K356" s="2"/>
    </row>
    <row r="357" ht="15.75" customHeight="1">
      <c r="A357" s="2"/>
      <c r="B357" s="2"/>
      <c r="C357" s="2"/>
      <c r="D357" s="2"/>
      <c r="E357" s="2"/>
      <c r="F357" s="2"/>
      <c r="G357" s="2"/>
      <c r="H357" s="2"/>
      <c r="I357" s="2"/>
      <c r="J357" s="2"/>
      <c r="K357" s="2"/>
    </row>
    <row r="358" ht="15.75" customHeight="1">
      <c r="A358" s="2"/>
      <c r="B358" s="2"/>
      <c r="C358" s="2"/>
      <c r="D358" s="2"/>
      <c r="E358" s="2"/>
      <c r="F358" s="2"/>
      <c r="G358" s="2"/>
      <c r="H358" s="2"/>
      <c r="I358" s="2"/>
      <c r="J358" s="2"/>
      <c r="K358" s="2"/>
    </row>
    <row r="359" ht="15.75" customHeight="1">
      <c r="A359" s="2"/>
      <c r="B359" s="2"/>
      <c r="C359" s="2"/>
      <c r="D359" s="2"/>
      <c r="E359" s="2"/>
      <c r="F359" s="2"/>
      <c r="G359" s="2"/>
      <c r="H359" s="2"/>
      <c r="I359" s="2"/>
      <c r="J359" s="2"/>
      <c r="K359" s="2"/>
    </row>
    <row r="360" ht="15.75" customHeight="1">
      <c r="A360" s="2"/>
      <c r="B360" s="2"/>
      <c r="C360" s="2"/>
      <c r="D360" s="2"/>
      <c r="E360" s="2"/>
      <c r="F360" s="2"/>
      <c r="G360" s="2"/>
      <c r="H360" s="2"/>
      <c r="I360" s="2"/>
      <c r="J360" s="2"/>
      <c r="K360" s="2"/>
    </row>
    <row r="361" ht="15.75" customHeight="1">
      <c r="A361" s="2"/>
      <c r="B361" s="2"/>
      <c r="C361" s="2"/>
      <c r="D361" s="2"/>
      <c r="E361" s="2"/>
      <c r="F361" s="2"/>
      <c r="G361" s="2"/>
      <c r="H361" s="2"/>
      <c r="I361" s="2"/>
      <c r="J361" s="2"/>
      <c r="K361" s="2"/>
    </row>
    <row r="362" ht="15.75" customHeight="1">
      <c r="A362" s="2"/>
      <c r="B362" s="2"/>
      <c r="C362" s="2"/>
      <c r="D362" s="2"/>
      <c r="E362" s="2"/>
      <c r="F362" s="2"/>
      <c r="G362" s="2"/>
      <c r="H362" s="2"/>
      <c r="I362" s="2"/>
      <c r="J362" s="2"/>
      <c r="K362" s="2"/>
    </row>
    <row r="363" ht="15.75" customHeight="1">
      <c r="A363" s="2"/>
      <c r="B363" s="2"/>
      <c r="C363" s="2"/>
      <c r="D363" s="2"/>
      <c r="E363" s="2"/>
      <c r="F363" s="2"/>
      <c r="G363" s="2"/>
      <c r="H363" s="2"/>
      <c r="I363" s="2"/>
      <c r="J363" s="2"/>
      <c r="K363" s="2"/>
    </row>
    <row r="364" ht="15.75" customHeight="1">
      <c r="A364" s="2"/>
      <c r="B364" s="2"/>
      <c r="C364" s="2"/>
      <c r="D364" s="2"/>
      <c r="E364" s="2"/>
      <c r="F364" s="2"/>
      <c r="G364" s="2"/>
      <c r="H364" s="2"/>
      <c r="I364" s="2"/>
      <c r="J364" s="2"/>
      <c r="K364" s="2"/>
    </row>
    <row r="365" ht="15.75" customHeight="1">
      <c r="A365" s="2"/>
      <c r="B365" s="2"/>
      <c r="C365" s="2"/>
      <c r="D365" s="2"/>
      <c r="E365" s="2"/>
      <c r="F365" s="2"/>
      <c r="G365" s="2"/>
      <c r="H365" s="2"/>
      <c r="I365" s="2"/>
      <c r="J365" s="2"/>
      <c r="K365" s="2"/>
    </row>
    <row r="366" ht="15.75" customHeight="1">
      <c r="A366" s="2"/>
      <c r="B366" s="2"/>
      <c r="C366" s="2"/>
      <c r="D366" s="2"/>
      <c r="E366" s="2"/>
      <c r="F366" s="2"/>
      <c r="G366" s="2"/>
      <c r="H366" s="2"/>
      <c r="I366" s="2"/>
      <c r="J366" s="2"/>
      <c r="K366" s="2"/>
    </row>
    <row r="367" ht="15.75" customHeight="1">
      <c r="A367" s="2"/>
      <c r="B367" s="2"/>
      <c r="C367" s="2"/>
      <c r="D367" s="2"/>
      <c r="E367" s="2"/>
      <c r="F367" s="2"/>
      <c r="G367" s="2"/>
      <c r="H367" s="2"/>
      <c r="I367" s="2"/>
      <c r="J367" s="2"/>
      <c r="K367" s="2"/>
    </row>
    <row r="368" ht="15.75" customHeight="1">
      <c r="A368" s="2"/>
      <c r="B368" s="2"/>
      <c r="C368" s="2"/>
      <c r="D368" s="2"/>
      <c r="E368" s="2"/>
      <c r="F368" s="2"/>
      <c r="G368" s="2"/>
      <c r="H368" s="2"/>
      <c r="I368" s="2"/>
      <c r="J368" s="2"/>
      <c r="K368" s="2"/>
    </row>
    <row r="369" ht="15.75" customHeight="1">
      <c r="A369" s="2"/>
      <c r="B369" s="2"/>
      <c r="C369" s="2"/>
      <c r="D369" s="2"/>
      <c r="E369" s="2"/>
      <c r="F369" s="2"/>
      <c r="G369" s="2"/>
      <c r="H369" s="2"/>
      <c r="I369" s="2"/>
      <c r="J369" s="2"/>
      <c r="K369" s="2"/>
    </row>
    <row r="370" ht="15.75" customHeight="1">
      <c r="A370" s="2"/>
      <c r="B370" s="2"/>
      <c r="C370" s="2"/>
      <c r="D370" s="2"/>
      <c r="E370" s="2"/>
      <c r="F370" s="2"/>
      <c r="G370" s="2"/>
      <c r="H370" s="2"/>
      <c r="I370" s="2"/>
      <c r="J370" s="2"/>
      <c r="K370" s="2"/>
    </row>
    <row r="371" ht="15.75" customHeight="1">
      <c r="A371" s="2"/>
      <c r="B371" s="2"/>
      <c r="C371" s="2"/>
      <c r="D371" s="2"/>
      <c r="E371" s="2"/>
      <c r="F371" s="2"/>
      <c r="G371" s="2"/>
      <c r="H371" s="2"/>
      <c r="I371" s="2"/>
      <c r="J371" s="2"/>
      <c r="K371" s="2"/>
    </row>
    <row r="372" ht="15.75" customHeight="1">
      <c r="A372" s="2"/>
      <c r="B372" s="2"/>
      <c r="C372" s="2"/>
      <c r="D372" s="2"/>
      <c r="E372" s="2"/>
      <c r="F372" s="2"/>
      <c r="G372" s="2"/>
      <c r="H372" s="2"/>
      <c r="I372" s="2"/>
      <c r="J372" s="2"/>
      <c r="K372" s="2"/>
    </row>
    <row r="373" ht="15.75" customHeight="1">
      <c r="A373" s="2"/>
      <c r="B373" s="2"/>
      <c r="C373" s="2"/>
      <c r="D373" s="2"/>
      <c r="E373" s="2"/>
      <c r="F373" s="2"/>
      <c r="G373" s="2"/>
      <c r="H373" s="2"/>
      <c r="I373" s="2"/>
      <c r="J373" s="2"/>
      <c r="K373" s="2"/>
    </row>
    <row r="374" ht="15.75" customHeight="1">
      <c r="A374" s="2"/>
      <c r="B374" s="2"/>
      <c r="C374" s="2"/>
      <c r="D374" s="2"/>
      <c r="E374" s="2"/>
      <c r="F374" s="2"/>
      <c r="G374" s="2"/>
      <c r="H374" s="2"/>
      <c r="I374" s="2"/>
      <c r="J374" s="2"/>
      <c r="K374" s="2"/>
    </row>
    <row r="375" ht="15.75" customHeight="1">
      <c r="A375" s="2"/>
      <c r="B375" s="2"/>
      <c r="C375" s="2"/>
      <c r="D375" s="2"/>
      <c r="E375" s="2"/>
      <c r="F375" s="2"/>
      <c r="G375" s="2"/>
      <c r="H375" s="2"/>
      <c r="I375" s="2"/>
      <c r="J375" s="2"/>
      <c r="K375" s="2"/>
    </row>
    <row r="376" ht="15.75" customHeight="1">
      <c r="A376" s="2"/>
      <c r="B376" s="2"/>
      <c r="C376" s="2"/>
      <c r="D376" s="2"/>
      <c r="E376" s="2"/>
      <c r="F376" s="2"/>
      <c r="G376" s="2"/>
      <c r="H376" s="2"/>
      <c r="I376" s="2"/>
      <c r="J376" s="2"/>
      <c r="K376" s="2"/>
    </row>
    <row r="377" ht="15.75" customHeight="1">
      <c r="A377" s="2"/>
      <c r="B377" s="2"/>
      <c r="C377" s="2"/>
      <c r="D377" s="2"/>
      <c r="E377" s="2"/>
      <c r="F377" s="2"/>
      <c r="G377" s="2"/>
      <c r="H377" s="2"/>
      <c r="I377" s="2"/>
      <c r="J377" s="2"/>
      <c r="K377" s="2"/>
    </row>
    <row r="378" ht="15.75" customHeight="1">
      <c r="A378" s="2"/>
      <c r="B378" s="2"/>
      <c r="C378" s="2"/>
      <c r="D378" s="2"/>
      <c r="E378" s="2"/>
      <c r="F378" s="2"/>
      <c r="G378" s="2"/>
      <c r="H378" s="2"/>
      <c r="I378" s="2"/>
      <c r="J378" s="2"/>
      <c r="K378" s="2"/>
    </row>
    <row r="379" ht="15.75" customHeight="1">
      <c r="A379" s="2"/>
      <c r="B379" s="2"/>
      <c r="C379" s="2"/>
      <c r="D379" s="2"/>
      <c r="E379" s="2"/>
      <c r="F379" s="2"/>
      <c r="G379" s="2"/>
      <c r="H379" s="2"/>
      <c r="I379" s="2"/>
      <c r="J379" s="2"/>
      <c r="K379" s="2"/>
    </row>
    <row r="380" ht="15.75" customHeight="1">
      <c r="A380" s="2"/>
      <c r="B380" s="2"/>
      <c r="C380" s="2"/>
      <c r="D380" s="2"/>
      <c r="E380" s="2"/>
      <c r="F380" s="2"/>
      <c r="G380" s="2"/>
      <c r="H380" s="2"/>
      <c r="I380" s="2"/>
      <c r="J380" s="2"/>
      <c r="K380" s="2"/>
    </row>
    <row r="381" ht="15.75" customHeight="1">
      <c r="A381" s="2"/>
      <c r="B381" s="2"/>
      <c r="C381" s="2"/>
      <c r="D381" s="2"/>
      <c r="E381" s="2"/>
      <c r="F381" s="2"/>
      <c r="G381" s="2"/>
      <c r="H381" s="2"/>
      <c r="I381" s="2"/>
      <c r="J381" s="2"/>
      <c r="K381" s="2"/>
    </row>
    <row r="382" ht="15.75" customHeight="1">
      <c r="A382" s="2"/>
      <c r="B382" s="2"/>
      <c r="C382" s="2"/>
      <c r="D382" s="2"/>
      <c r="E382" s="2"/>
      <c r="F382" s="2"/>
      <c r="G382" s="2"/>
      <c r="H382" s="2"/>
      <c r="I382" s="2"/>
      <c r="J382" s="2"/>
      <c r="K382" s="2"/>
    </row>
    <row r="383" ht="15.75" customHeight="1">
      <c r="A383" s="2"/>
      <c r="B383" s="2"/>
      <c r="C383" s="2"/>
      <c r="D383" s="2"/>
      <c r="E383" s="2"/>
      <c r="F383" s="2"/>
      <c r="G383" s="2"/>
      <c r="H383" s="2"/>
      <c r="I383" s="2"/>
      <c r="J383" s="2"/>
      <c r="K383" s="2"/>
    </row>
    <row r="384" ht="15.75" customHeight="1">
      <c r="A384" s="2"/>
      <c r="B384" s="2"/>
      <c r="C384" s="2"/>
      <c r="D384" s="2"/>
      <c r="E384" s="2"/>
      <c r="F384" s="2"/>
      <c r="G384" s="2"/>
      <c r="H384" s="2"/>
      <c r="I384" s="2"/>
      <c r="J384" s="2"/>
      <c r="K384" s="2"/>
    </row>
    <row r="385" ht="15.75" customHeight="1">
      <c r="A385" s="2"/>
      <c r="B385" s="2"/>
      <c r="C385" s="2"/>
      <c r="D385" s="2"/>
      <c r="E385" s="2"/>
      <c r="F385" s="2"/>
      <c r="G385" s="2"/>
      <c r="H385" s="2"/>
      <c r="I385" s="2"/>
      <c r="J385" s="2"/>
      <c r="K385" s="2"/>
    </row>
    <row r="386" ht="15.75" customHeight="1">
      <c r="A386" s="2"/>
      <c r="B386" s="2"/>
      <c r="C386" s="2"/>
      <c r="D386" s="2"/>
      <c r="E386" s="2"/>
      <c r="F386" s="2"/>
      <c r="G386" s="2"/>
      <c r="H386" s="2"/>
      <c r="I386" s="2"/>
      <c r="J386" s="2"/>
      <c r="K386" s="2"/>
    </row>
    <row r="387" ht="15.75" customHeight="1">
      <c r="A387" s="2"/>
      <c r="B387" s="2"/>
      <c r="C387" s="2"/>
      <c r="D387" s="2"/>
      <c r="E387" s="2"/>
      <c r="F387" s="2"/>
      <c r="G387" s="2"/>
      <c r="H387" s="2"/>
      <c r="I387" s="2"/>
      <c r="J387" s="2"/>
      <c r="K387" s="2"/>
    </row>
    <row r="388" ht="15.75" customHeight="1">
      <c r="A388" s="2"/>
      <c r="B388" s="2"/>
      <c r="C388" s="2"/>
      <c r="D388" s="2"/>
      <c r="E388" s="2"/>
      <c r="F388" s="2"/>
      <c r="G388" s="2"/>
      <c r="H388" s="2"/>
      <c r="I388" s="2"/>
      <c r="J388" s="2"/>
      <c r="K388" s="2"/>
    </row>
    <row r="389" ht="15.75" customHeight="1">
      <c r="A389" s="2"/>
      <c r="B389" s="2"/>
      <c r="C389" s="2"/>
      <c r="D389" s="2"/>
      <c r="E389" s="2"/>
      <c r="F389" s="2"/>
      <c r="G389" s="2"/>
      <c r="H389" s="2"/>
      <c r="I389" s="2"/>
      <c r="J389" s="2"/>
      <c r="K389" s="2"/>
    </row>
    <row r="390" ht="15.75" customHeight="1">
      <c r="A390" s="2"/>
      <c r="B390" s="2"/>
      <c r="C390" s="2"/>
      <c r="D390" s="2"/>
      <c r="E390" s="2"/>
      <c r="F390" s="2"/>
      <c r="G390" s="2"/>
      <c r="H390" s="2"/>
      <c r="I390" s="2"/>
      <c r="J390" s="2"/>
      <c r="K390" s="2"/>
    </row>
    <row r="391" ht="15.75" customHeight="1">
      <c r="A391" s="2"/>
      <c r="B391" s="2"/>
      <c r="C391" s="2"/>
      <c r="D391" s="2"/>
      <c r="E391" s="2"/>
      <c r="F391" s="2"/>
      <c r="G391" s="2"/>
      <c r="H391" s="2"/>
      <c r="I391" s="2"/>
      <c r="J391" s="2"/>
      <c r="K391" s="2"/>
    </row>
    <row r="392" ht="15.75" customHeight="1">
      <c r="A392" s="2"/>
      <c r="B392" s="2"/>
      <c r="C392" s="2"/>
      <c r="D392" s="2"/>
      <c r="E392" s="2"/>
      <c r="F392" s="2"/>
      <c r="G392" s="2"/>
      <c r="H392" s="2"/>
      <c r="I392" s="2"/>
      <c r="J392" s="2"/>
      <c r="K392" s="2"/>
    </row>
    <row r="393" ht="15.75" customHeight="1">
      <c r="A393" s="2"/>
      <c r="B393" s="2"/>
      <c r="C393" s="2"/>
      <c r="D393" s="2"/>
      <c r="E393" s="2"/>
      <c r="F393" s="2"/>
      <c r="G393" s="2"/>
      <c r="H393" s="2"/>
      <c r="I393" s="2"/>
      <c r="J393" s="2"/>
      <c r="K393" s="2"/>
    </row>
    <row r="394" ht="15.75" customHeight="1">
      <c r="A394" s="2"/>
      <c r="B394" s="2"/>
      <c r="C394" s="2"/>
      <c r="D394" s="2"/>
      <c r="E394" s="2"/>
      <c r="F394" s="2"/>
      <c r="G394" s="2"/>
      <c r="H394" s="2"/>
      <c r="I394" s="2"/>
      <c r="J394" s="2"/>
      <c r="K394" s="2"/>
    </row>
    <row r="395" ht="15.75" customHeight="1">
      <c r="A395" s="2"/>
      <c r="B395" s="2"/>
      <c r="C395" s="2"/>
      <c r="D395" s="2"/>
      <c r="E395" s="2"/>
      <c r="F395" s="2"/>
      <c r="G395" s="2"/>
      <c r="H395" s="2"/>
      <c r="I395" s="2"/>
      <c r="J395" s="2"/>
      <c r="K395" s="2"/>
    </row>
    <row r="396" ht="15.75" customHeight="1">
      <c r="A396" s="2"/>
      <c r="B396" s="2"/>
      <c r="C396" s="2"/>
      <c r="D396" s="2"/>
      <c r="E396" s="2"/>
      <c r="F396" s="2"/>
      <c r="G396" s="2"/>
      <c r="H396" s="2"/>
      <c r="I396" s="2"/>
      <c r="J396" s="2"/>
      <c r="K396" s="2"/>
    </row>
    <row r="397" ht="15.75" customHeight="1">
      <c r="A397" s="2"/>
      <c r="B397" s="2"/>
      <c r="C397" s="2"/>
      <c r="D397" s="2"/>
      <c r="E397" s="2"/>
      <c r="F397" s="2"/>
      <c r="G397" s="2"/>
      <c r="H397" s="2"/>
      <c r="I397" s="2"/>
      <c r="J397" s="2"/>
      <c r="K397" s="2"/>
    </row>
    <row r="398" ht="15.75" customHeight="1">
      <c r="A398" s="2"/>
      <c r="B398" s="2"/>
      <c r="C398" s="2"/>
      <c r="D398" s="2"/>
      <c r="E398" s="2"/>
      <c r="F398" s="2"/>
      <c r="G398" s="2"/>
      <c r="H398" s="2"/>
      <c r="I398" s="2"/>
      <c r="J398" s="2"/>
      <c r="K398" s="2"/>
    </row>
    <row r="399" ht="15.75" customHeight="1">
      <c r="A399" s="2"/>
      <c r="B399" s="2"/>
      <c r="C399" s="2"/>
      <c r="D399" s="2"/>
      <c r="E399" s="2"/>
      <c r="F399" s="2"/>
      <c r="G399" s="2"/>
      <c r="H399" s="2"/>
      <c r="I399" s="2"/>
      <c r="J399" s="2"/>
      <c r="K399" s="2"/>
    </row>
    <row r="400" ht="15.75" customHeight="1">
      <c r="A400" s="2"/>
      <c r="B400" s="2"/>
      <c r="C400" s="2"/>
      <c r="D400" s="2"/>
      <c r="E400" s="2"/>
      <c r="F400" s="2"/>
      <c r="G400" s="2"/>
      <c r="H400" s="2"/>
      <c r="I400" s="2"/>
      <c r="J400" s="2"/>
      <c r="K400" s="2"/>
    </row>
    <row r="401" ht="15.75" customHeight="1">
      <c r="A401" s="2"/>
      <c r="B401" s="2"/>
      <c r="C401" s="2"/>
      <c r="D401" s="2"/>
      <c r="E401" s="2"/>
      <c r="F401" s="2"/>
      <c r="G401" s="2"/>
      <c r="H401" s="2"/>
      <c r="I401" s="2"/>
      <c r="J401" s="2"/>
      <c r="K401" s="2"/>
    </row>
    <row r="402" ht="15.75" customHeight="1">
      <c r="A402" s="2"/>
      <c r="B402" s="2"/>
      <c r="C402" s="2"/>
      <c r="D402" s="2"/>
      <c r="E402" s="2"/>
      <c r="F402" s="2"/>
      <c r="G402" s="2"/>
      <c r="H402" s="2"/>
      <c r="I402" s="2"/>
      <c r="J402" s="2"/>
      <c r="K402" s="2"/>
    </row>
    <row r="403" ht="15.75" customHeight="1">
      <c r="A403" s="2"/>
      <c r="B403" s="2"/>
      <c r="C403" s="2"/>
      <c r="D403" s="2"/>
      <c r="E403" s="2"/>
      <c r="F403" s="2"/>
      <c r="G403" s="2"/>
      <c r="H403" s="2"/>
      <c r="I403" s="2"/>
      <c r="J403" s="2"/>
      <c r="K403" s="2"/>
    </row>
    <row r="404" ht="15.75" customHeight="1">
      <c r="A404" s="2"/>
      <c r="B404" s="2"/>
      <c r="C404" s="2"/>
      <c r="D404" s="2"/>
      <c r="E404" s="2"/>
      <c r="F404" s="2"/>
      <c r="G404" s="2"/>
      <c r="H404" s="2"/>
      <c r="I404" s="2"/>
      <c r="J404" s="2"/>
      <c r="K404" s="2"/>
    </row>
    <row r="405" ht="15.75" customHeight="1">
      <c r="A405" s="2"/>
      <c r="B405" s="2"/>
      <c r="C405" s="2"/>
      <c r="D405" s="2"/>
      <c r="E405" s="2"/>
      <c r="F405" s="2"/>
      <c r="G405" s="2"/>
      <c r="H405" s="2"/>
      <c r="I405" s="2"/>
      <c r="J405" s="2"/>
      <c r="K405" s="2"/>
    </row>
    <row r="406" ht="15.75" customHeight="1">
      <c r="A406" s="2"/>
      <c r="B406" s="2"/>
      <c r="C406" s="2"/>
      <c r="D406" s="2"/>
      <c r="E406" s="2"/>
      <c r="F406" s="2"/>
      <c r="G406" s="2"/>
      <c r="H406" s="2"/>
      <c r="I406" s="2"/>
      <c r="J406" s="2"/>
      <c r="K406" s="2"/>
    </row>
    <row r="407" ht="15.75" customHeight="1">
      <c r="A407" s="2"/>
      <c r="B407" s="2"/>
      <c r="C407" s="2"/>
      <c r="D407" s="2"/>
      <c r="E407" s="2"/>
      <c r="F407" s="2"/>
      <c r="G407" s="2"/>
      <c r="H407" s="2"/>
      <c r="I407" s="2"/>
      <c r="J407" s="2"/>
      <c r="K407" s="2"/>
    </row>
    <row r="408" ht="15.75" customHeight="1">
      <c r="A408" s="2"/>
      <c r="B408" s="2"/>
      <c r="C408" s="2"/>
      <c r="D408" s="2"/>
      <c r="E408" s="2"/>
      <c r="F408" s="2"/>
      <c r="G408" s="2"/>
      <c r="H408" s="2"/>
      <c r="I408" s="2"/>
      <c r="J408" s="2"/>
      <c r="K408" s="2"/>
    </row>
    <row r="409" ht="15.75" customHeight="1">
      <c r="A409" s="2"/>
      <c r="B409" s="2"/>
      <c r="C409" s="2"/>
      <c r="D409" s="2"/>
      <c r="E409" s="2"/>
      <c r="F409" s="2"/>
      <c r="G409" s="2"/>
      <c r="H409" s="2"/>
      <c r="I409" s="2"/>
      <c r="J409" s="2"/>
      <c r="K409" s="2"/>
    </row>
    <row r="410" ht="15.75" customHeight="1">
      <c r="A410" s="2"/>
      <c r="B410" s="2"/>
      <c r="C410" s="2"/>
      <c r="D410" s="2"/>
      <c r="E410" s="2"/>
      <c r="F410" s="2"/>
      <c r="G410" s="2"/>
      <c r="H410" s="2"/>
      <c r="I410" s="2"/>
      <c r="J410" s="2"/>
      <c r="K410" s="2"/>
    </row>
    <row r="411" ht="15.75" customHeight="1">
      <c r="A411" s="2"/>
      <c r="B411" s="2"/>
      <c r="C411" s="2"/>
      <c r="D411" s="2"/>
      <c r="E411" s="2"/>
      <c r="F411" s="2"/>
      <c r="G411" s="2"/>
      <c r="H411" s="2"/>
      <c r="I411" s="2"/>
      <c r="J411" s="2"/>
      <c r="K411" s="2"/>
    </row>
    <row r="412" ht="15.75" customHeight="1">
      <c r="A412" s="2"/>
      <c r="B412" s="2"/>
      <c r="C412" s="2"/>
      <c r="D412" s="2"/>
      <c r="E412" s="2"/>
      <c r="F412" s="2"/>
      <c r="G412" s="2"/>
      <c r="H412" s="2"/>
      <c r="I412" s="2"/>
      <c r="J412" s="2"/>
      <c r="K412" s="2"/>
    </row>
    <row r="413" ht="15.75" customHeight="1">
      <c r="A413" s="2"/>
      <c r="B413" s="2"/>
      <c r="C413" s="2"/>
      <c r="D413" s="2"/>
      <c r="E413" s="2"/>
      <c r="F413" s="2"/>
      <c r="G413" s="2"/>
      <c r="H413" s="2"/>
      <c r="I413" s="2"/>
      <c r="J413" s="2"/>
      <c r="K413" s="2"/>
    </row>
    <row r="414" ht="15.75" customHeight="1">
      <c r="A414" s="2"/>
      <c r="B414" s="2"/>
      <c r="C414" s="2"/>
      <c r="D414" s="2"/>
      <c r="E414" s="2"/>
      <c r="F414" s="2"/>
      <c r="G414" s="2"/>
      <c r="H414" s="2"/>
      <c r="I414" s="2"/>
      <c r="J414" s="2"/>
      <c r="K414" s="2"/>
    </row>
    <row r="415" ht="15.75" customHeight="1">
      <c r="A415" s="2"/>
      <c r="B415" s="2"/>
      <c r="C415" s="2"/>
      <c r="D415" s="2"/>
      <c r="E415" s="2"/>
      <c r="F415" s="2"/>
      <c r="G415" s="2"/>
      <c r="H415" s="2"/>
      <c r="I415" s="2"/>
      <c r="J415" s="2"/>
      <c r="K415" s="2"/>
    </row>
    <row r="416" ht="15.75" customHeight="1">
      <c r="A416" s="2"/>
      <c r="B416" s="2"/>
      <c r="C416" s="2"/>
      <c r="D416" s="2"/>
      <c r="E416" s="2"/>
      <c r="F416" s="2"/>
      <c r="G416" s="2"/>
      <c r="H416" s="2"/>
      <c r="I416" s="2"/>
      <c r="J416" s="2"/>
      <c r="K416" s="2"/>
    </row>
    <row r="417" ht="15.75" customHeight="1">
      <c r="A417" s="2"/>
      <c r="B417" s="2"/>
      <c r="C417" s="2"/>
      <c r="D417" s="2"/>
      <c r="E417" s="2"/>
      <c r="F417" s="2"/>
      <c r="G417" s="2"/>
      <c r="H417" s="2"/>
      <c r="I417" s="2"/>
      <c r="J417" s="2"/>
      <c r="K417" s="2"/>
    </row>
    <row r="418" ht="15.75" customHeight="1">
      <c r="A418" s="2"/>
      <c r="B418" s="2"/>
      <c r="C418" s="2"/>
      <c r="D418" s="2"/>
      <c r="E418" s="2"/>
      <c r="F418" s="2"/>
      <c r="G418" s="2"/>
      <c r="H418" s="2"/>
      <c r="I418" s="2"/>
      <c r="J418" s="2"/>
      <c r="K418" s="2"/>
    </row>
    <row r="419" ht="15.75" customHeight="1">
      <c r="A419" s="2"/>
      <c r="B419" s="2"/>
      <c r="C419" s="2"/>
      <c r="D419" s="2"/>
      <c r="E419" s="2"/>
      <c r="F419" s="2"/>
      <c r="G419" s="2"/>
      <c r="H419" s="2"/>
      <c r="I419" s="2"/>
      <c r="J419" s="2"/>
      <c r="K419" s="2"/>
    </row>
    <row r="420" ht="15.75" customHeight="1">
      <c r="A420" s="2"/>
      <c r="B420" s="2"/>
      <c r="C420" s="2"/>
      <c r="D420" s="2"/>
      <c r="E420" s="2"/>
      <c r="F420" s="2"/>
      <c r="G420" s="2"/>
      <c r="H420" s="2"/>
      <c r="I420" s="2"/>
      <c r="J420" s="2"/>
      <c r="K420" s="2"/>
    </row>
    <row r="421" ht="15.75" customHeight="1">
      <c r="A421" s="2"/>
      <c r="B421" s="2"/>
      <c r="C421" s="2"/>
      <c r="D421" s="2"/>
      <c r="E421" s="2"/>
      <c r="F421" s="2"/>
      <c r="G421" s="2"/>
      <c r="H421" s="2"/>
      <c r="I421" s="2"/>
      <c r="J421" s="2"/>
      <c r="K421" s="2"/>
    </row>
    <row r="422" ht="15.75" customHeight="1">
      <c r="A422" s="2"/>
      <c r="B422" s="2"/>
      <c r="C422" s="2"/>
      <c r="D422" s="2"/>
      <c r="E422" s="2"/>
      <c r="F422" s="2"/>
      <c r="G422" s="2"/>
      <c r="H422" s="2"/>
      <c r="I422" s="2"/>
      <c r="J422" s="2"/>
      <c r="K422" s="2"/>
    </row>
    <row r="423" ht="15.75" customHeight="1">
      <c r="A423" s="2"/>
      <c r="B423" s="2"/>
      <c r="C423" s="2"/>
      <c r="D423" s="2"/>
      <c r="E423" s="2"/>
      <c r="F423" s="2"/>
      <c r="G423" s="2"/>
      <c r="H423" s="2"/>
      <c r="I423" s="2"/>
      <c r="J423" s="2"/>
      <c r="K423" s="2"/>
    </row>
    <row r="424" ht="15.75" customHeight="1">
      <c r="A424" s="2"/>
      <c r="B424" s="2"/>
      <c r="C424" s="2"/>
      <c r="D424" s="2"/>
      <c r="E424" s="2"/>
      <c r="F424" s="2"/>
      <c r="G424" s="2"/>
      <c r="H424" s="2"/>
      <c r="I424" s="2"/>
      <c r="J424" s="2"/>
      <c r="K424" s="2"/>
    </row>
    <row r="425" ht="15.75" customHeight="1">
      <c r="A425" s="2"/>
      <c r="B425" s="2"/>
      <c r="C425" s="2"/>
      <c r="D425" s="2"/>
      <c r="E425" s="2"/>
      <c r="F425" s="2"/>
      <c r="G425" s="2"/>
      <c r="H425" s="2"/>
      <c r="I425" s="2"/>
      <c r="J425" s="2"/>
      <c r="K425" s="2"/>
    </row>
    <row r="426" ht="15.75" customHeight="1">
      <c r="A426" s="2"/>
      <c r="B426" s="2"/>
      <c r="C426" s="2"/>
      <c r="D426" s="2"/>
      <c r="E426" s="2"/>
      <c r="F426" s="2"/>
      <c r="G426" s="2"/>
      <c r="H426" s="2"/>
      <c r="I426" s="2"/>
      <c r="J426" s="2"/>
      <c r="K426" s="2"/>
    </row>
    <row r="427" ht="15.75" customHeight="1">
      <c r="A427" s="2"/>
      <c r="B427" s="2"/>
      <c r="C427" s="2"/>
      <c r="D427" s="2"/>
      <c r="E427" s="2"/>
      <c r="F427" s="2"/>
      <c r="G427" s="2"/>
      <c r="H427" s="2"/>
      <c r="I427" s="2"/>
      <c r="J427" s="2"/>
      <c r="K427" s="2"/>
    </row>
    <row r="428" ht="15.75" customHeight="1">
      <c r="A428" s="2"/>
      <c r="B428" s="2"/>
      <c r="C428" s="2"/>
      <c r="D428" s="2"/>
      <c r="E428" s="2"/>
      <c r="F428" s="2"/>
      <c r="G428" s="2"/>
      <c r="H428" s="2"/>
      <c r="I428" s="2"/>
      <c r="J428" s="2"/>
      <c r="K428" s="2"/>
    </row>
    <row r="429" ht="15.75" customHeight="1">
      <c r="A429" s="2"/>
      <c r="B429" s="2"/>
      <c r="C429" s="2"/>
      <c r="D429" s="2"/>
      <c r="E429" s="2"/>
      <c r="F429" s="2"/>
      <c r="G429" s="2"/>
      <c r="H429" s="2"/>
      <c r="I429" s="2"/>
      <c r="J429" s="2"/>
      <c r="K429" s="2"/>
    </row>
    <row r="430" ht="15.75" customHeight="1">
      <c r="A430" s="2"/>
      <c r="B430" s="2"/>
      <c r="C430" s="2"/>
      <c r="D430" s="2"/>
      <c r="E430" s="2"/>
      <c r="F430" s="2"/>
      <c r="G430" s="2"/>
      <c r="H430" s="2"/>
      <c r="I430" s="2"/>
      <c r="J430" s="2"/>
      <c r="K430" s="2"/>
    </row>
    <row r="431" ht="15.75" customHeight="1">
      <c r="A431" s="2"/>
      <c r="B431" s="2"/>
      <c r="C431" s="2"/>
      <c r="D431" s="2"/>
      <c r="E431" s="2"/>
      <c r="F431" s="2"/>
      <c r="G431" s="2"/>
      <c r="H431" s="2"/>
      <c r="I431" s="2"/>
      <c r="J431" s="2"/>
      <c r="K431" s="2"/>
    </row>
    <row r="432" ht="15.75" customHeight="1">
      <c r="A432" s="2"/>
      <c r="B432" s="2"/>
      <c r="C432" s="2"/>
      <c r="D432" s="2"/>
      <c r="E432" s="2"/>
      <c r="F432" s="2"/>
      <c r="G432" s="2"/>
      <c r="H432" s="2"/>
      <c r="I432" s="2"/>
      <c r="J432" s="2"/>
      <c r="K432" s="2"/>
    </row>
    <row r="433" ht="15.75" customHeight="1">
      <c r="A433" s="2"/>
      <c r="B433" s="2"/>
      <c r="C433" s="2"/>
      <c r="D433" s="2"/>
      <c r="E433" s="2"/>
      <c r="F433" s="2"/>
      <c r="G433" s="2"/>
      <c r="H433" s="2"/>
      <c r="I433" s="2"/>
      <c r="J433" s="2"/>
      <c r="K433" s="2"/>
    </row>
    <row r="434" ht="15.75" customHeight="1">
      <c r="A434" s="2"/>
      <c r="B434" s="2"/>
      <c r="C434" s="2"/>
      <c r="D434" s="2"/>
      <c r="E434" s="2"/>
      <c r="F434" s="2"/>
      <c r="G434" s="2"/>
      <c r="H434" s="2"/>
      <c r="I434" s="2"/>
      <c r="J434" s="2"/>
      <c r="K434" s="2"/>
    </row>
    <row r="435" ht="15.75" customHeight="1">
      <c r="A435" s="2"/>
      <c r="B435" s="2"/>
      <c r="C435" s="2"/>
      <c r="D435" s="2"/>
      <c r="E435" s="2"/>
      <c r="F435" s="2"/>
      <c r="G435" s="2"/>
      <c r="H435" s="2"/>
      <c r="I435" s="2"/>
      <c r="J435" s="2"/>
      <c r="K435" s="2"/>
    </row>
    <row r="436" ht="15.75" customHeight="1">
      <c r="A436" s="2"/>
      <c r="B436" s="2"/>
      <c r="C436" s="2"/>
      <c r="D436" s="2"/>
      <c r="E436" s="2"/>
      <c r="F436" s="2"/>
      <c r="G436" s="2"/>
      <c r="H436" s="2"/>
      <c r="I436" s="2"/>
      <c r="J436" s="2"/>
      <c r="K436" s="2"/>
    </row>
    <row r="437" ht="15.75" customHeight="1">
      <c r="A437" s="2"/>
      <c r="B437" s="2"/>
      <c r="C437" s="2"/>
      <c r="D437" s="2"/>
      <c r="E437" s="2"/>
      <c r="F437" s="2"/>
      <c r="G437" s="2"/>
      <c r="H437" s="2"/>
      <c r="I437" s="2"/>
      <c r="J437" s="2"/>
      <c r="K437" s="2"/>
    </row>
    <row r="438" ht="15.75" customHeight="1">
      <c r="A438" s="2"/>
      <c r="B438" s="2"/>
      <c r="C438" s="2"/>
      <c r="D438" s="2"/>
      <c r="E438" s="2"/>
      <c r="F438" s="2"/>
      <c r="G438" s="2"/>
      <c r="H438" s="2"/>
      <c r="I438" s="2"/>
      <c r="J438" s="2"/>
      <c r="K438" s="2"/>
    </row>
    <row r="439" ht="15.75" customHeight="1">
      <c r="A439" s="2"/>
      <c r="B439" s="2"/>
      <c r="C439" s="2"/>
      <c r="D439" s="2"/>
      <c r="E439" s="2"/>
      <c r="F439" s="2"/>
      <c r="G439" s="2"/>
      <c r="H439" s="2"/>
      <c r="I439" s="2"/>
      <c r="J439" s="2"/>
      <c r="K439" s="2"/>
    </row>
    <row r="440" ht="15.75" customHeight="1">
      <c r="A440" s="2"/>
      <c r="B440" s="2"/>
      <c r="C440" s="2"/>
      <c r="D440" s="2"/>
      <c r="E440" s="2"/>
      <c r="F440" s="2"/>
      <c r="G440" s="2"/>
      <c r="H440" s="2"/>
      <c r="I440" s="2"/>
      <c r="J440" s="2"/>
      <c r="K440" s="2"/>
    </row>
    <row r="441" ht="15.75" customHeight="1">
      <c r="A441" s="2"/>
      <c r="B441" s="2"/>
      <c r="C441" s="2"/>
      <c r="D441" s="2"/>
      <c r="E441" s="2"/>
      <c r="F441" s="2"/>
      <c r="G441" s="2"/>
      <c r="H441" s="2"/>
      <c r="I441" s="2"/>
      <c r="J441" s="2"/>
      <c r="K441" s="2"/>
    </row>
    <row r="442" ht="15.75" customHeight="1">
      <c r="A442" s="2"/>
      <c r="B442" s="2"/>
      <c r="C442" s="2"/>
      <c r="D442" s="2"/>
      <c r="E442" s="2"/>
      <c r="F442" s="2"/>
      <c r="G442" s="2"/>
      <c r="H442" s="2"/>
      <c r="I442" s="2"/>
      <c r="J442" s="2"/>
      <c r="K442" s="2"/>
    </row>
    <row r="443" ht="15.75" customHeight="1">
      <c r="A443" s="2"/>
      <c r="B443" s="2"/>
      <c r="C443" s="2"/>
      <c r="D443" s="2"/>
      <c r="E443" s="2"/>
      <c r="F443" s="2"/>
      <c r="G443" s="2"/>
      <c r="H443" s="2"/>
      <c r="I443" s="2"/>
      <c r="J443" s="2"/>
      <c r="K443" s="2"/>
    </row>
    <row r="444" ht="15.75" customHeight="1">
      <c r="A444" s="2"/>
      <c r="B444" s="2"/>
      <c r="C444" s="2"/>
      <c r="D444" s="2"/>
      <c r="E444" s="2"/>
      <c r="F444" s="2"/>
      <c r="G444" s="2"/>
      <c r="H444" s="2"/>
      <c r="I444" s="2"/>
      <c r="J444" s="2"/>
      <c r="K444" s="2"/>
    </row>
    <row r="445" ht="15.75" customHeight="1">
      <c r="A445" s="2"/>
      <c r="B445" s="2"/>
      <c r="C445" s="2"/>
      <c r="D445" s="2"/>
      <c r="E445" s="2"/>
      <c r="F445" s="2"/>
      <c r="G445" s="2"/>
      <c r="H445" s="2"/>
      <c r="I445" s="2"/>
      <c r="J445" s="2"/>
      <c r="K445" s="2"/>
    </row>
    <row r="446" ht="15.75" customHeight="1">
      <c r="A446" s="2"/>
      <c r="B446" s="2"/>
      <c r="C446" s="2"/>
      <c r="D446" s="2"/>
      <c r="E446" s="2"/>
      <c r="F446" s="2"/>
      <c r="G446" s="2"/>
      <c r="H446" s="2"/>
      <c r="I446" s="2"/>
      <c r="J446" s="2"/>
      <c r="K446" s="2"/>
    </row>
    <row r="447" ht="15.75" customHeight="1">
      <c r="A447" s="2"/>
      <c r="B447" s="2"/>
      <c r="C447" s="2"/>
      <c r="D447" s="2"/>
      <c r="E447" s="2"/>
      <c r="F447" s="2"/>
      <c r="G447" s="2"/>
      <c r="H447" s="2"/>
      <c r="I447" s="2"/>
      <c r="J447" s="2"/>
      <c r="K447" s="2"/>
    </row>
    <row r="448" ht="15.75" customHeight="1">
      <c r="A448" s="2"/>
      <c r="B448" s="2"/>
      <c r="C448" s="2"/>
      <c r="D448" s="2"/>
      <c r="E448" s="2"/>
      <c r="F448" s="2"/>
      <c r="G448" s="2"/>
      <c r="H448" s="2"/>
      <c r="I448" s="2"/>
      <c r="J448" s="2"/>
      <c r="K448" s="2"/>
    </row>
    <row r="449" ht="15.75" customHeight="1">
      <c r="A449" s="2"/>
      <c r="B449" s="2"/>
      <c r="C449" s="2"/>
      <c r="D449" s="2"/>
      <c r="E449" s="2"/>
      <c r="F449" s="2"/>
      <c r="G449" s="2"/>
      <c r="H449" s="2"/>
      <c r="I449" s="2"/>
      <c r="J449" s="2"/>
      <c r="K449" s="2"/>
    </row>
    <row r="450" ht="15.75" customHeight="1">
      <c r="A450" s="2"/>
      <c r="B450" s="2"/>
      <c r="C450" s="2"/>
      <c r="D450" s="2"/>
      <c r="E450" s="2"/>
      <c r="F450" s="2"/>
      <c r="G450" s="2"/>
      <c r="H450" s="2"/>
      <c r="I450" s="2"/>
      <c r="J450" s="2"/>
      <c r="K450" s="2"/>
    </row>
    <row r="451" ht="15.75" customHeight="1">
      <c r="A451" s="2"/>
      <c r="B451" s="2"/>
      <c r="C451" s="2"/>
      <c r="D451" s="2"/>
      <c r="E451" s="2"/>
      <c r="F451" s="2"/>
      <c r="G451" s="2"/>
      <c r="H451" s="2"/>
      <c r="I451" s="2"/>
      <c r="J451" s="2"/>
      <c r="K451" s="2"/>
    </row>
    <row r="452" ht="15.75" customHeight="1">
      <c r="A452" s="2"/>
      <c r="B452" s="2"/>
      <c r="C452" s="2"/>
      <c r="D452" s="2"/>
      <c r="E452" s="2"/>
      <c r="F452" s="2"/>
      <c r="G452" s="2"/>
      <c r="H452" s="2"/>
      <c r="I452" s="2"/>
      <c r="J452" s="2"/>
      <c r="K452" s="2"/>
    </row>
    <row r="453" ht="15.75" customHeight="1">
      <c r="A453" s="2"/>
      <c r="B453" s="2"/>
      <c r="C453" s="2"/>
      <c r="D453" s="2"/>
      <c r="E453" s="2"/>
      <c r="F453" s="2"/>
      <c r="G453" s="2"/>
      <c r="H453" s="2"/>
      <c r="I453" s="2"/>
      <c r="J453" s="2"/>
      <c r="K453" s="2"/>
    </row>
    <row r="454" ht="15.75" customHeight="1">
      <c r="A454" s="2"/>
      <c r="B454" s="2"/>
      <c r="C454" s="2"/>
      <c r="D454" s="2"/>
      <c r="E454" s="2"/>
      <c r="F454" s="2"/>
      <c r="G454" s="2"/>
      <c r="H454" s="2"/>
      <c r="I454" s="2"/>
      <c r="J454" s="2"/>
      <c r="K454" s="2"/>
    </row>
    <row r="455" ht="15.75" customHeight="1">
      <c r="A455" s="2"/>
      <c r="B455" s="2"/>
      <c r="C455" s="2"/>
      <c r="D455" s="2"/>
      <c r="E455" s="2"/>
      <c r="F455" s="2"/>
      <c r="G455" s="2"/>
      <c r="H455" s="2"/>
      <c r="I455" s="2"/>
      <c r="J455" s="2"/>
      <c r="K455" s="2"/>
    </row>
    <row r="456" ht="15.75" customHeight="1">
      <c r="A456" s="2"/>
      <c r="B456" s="2"/>
      <c r="C456" s="2"/>
      <c r="D456" s="2"/>
      <c r="E456" s="2"/>
      <c r="F456" s="2"/>
      <c r="G456" s="2"/>
      <c r="H456" s="2"/>
      <c r="I456" s="2"/>
      <c r="J456" s="2"/>
      <c r="K456" s="2"/>
    </row>
    <row r="457" ht="15.75" customHeight="1">
      <c r="A457" s="2"/>
      <c r="B457" s="2"/>
      <c r="C457" s="2"/>
      <c r="D457" s="2"/>
      <c r="E457" s="2"/>
      <c r="F457" s="2"/>
      <c r="G457" s="2"/>
      <c r="H457" s="2"/>
      <c r="I457" s="2"/>
      <c r="J457" s="2"/>
      <c r="K457" s="2"/>
    </row>
    <row r="458" ht="15.75" customHeight="1">
      <c r="A458" s="2"/>
      <c r="B458" s="2"/>
      <c r="C458" s="2"/>
      <c r="D458" s="2"/>
      <c r="E458" s="2"/>
      <c r="F458" s="2"/>
      <c r="G458" s="2"/>
      <c r="H458" s="2"/>
      <c r="I458" s="2"/>
      <c r="J458" s="2"/>
      <c r="K458" s="2"/>
    </row>
    <row r="459" ht="15.75" customHeight="1">
      <c r="A459" s="2"/>
      <c r="B459" s="2"/>
      <c r="C459" s="2"/>
      <c r="D459" s="2"/>
      <c r="E459" s="2"/>
      <c r="F459" s="2"/>
      <c r="G459" s="2"/>
      <c r="H459" s="2"/>
      <c r="I459" s="2"/>
      <c r="J459" s="2"/>
      <c r="K459" s="2"/>
    </row>
    <row r="460" ht="15.75" customHeight="1">
      <c r="A460" s="2"/>
      <c r="B460" s="2"/>
      <c r="C460" s="2"/>
      <c r="D460" s="2"/>
      <c r="E460" s="2"/>
      <c r="F460" s="2"/>
      <c r="G460" s="2"/>
      <c r="H460" s="2"/>
      <c r="I460" s="2"/>
      <c r="J460" s="2"/>
      <c r="K460" s="2"/>
    </row>
    <row r="461" ht="15.75" customHeight="1">
      <c r="A461" s="2"/>
      <c r="B461" s="2"/>
      <c r="C461" s="2"/>
      <c r="D461" s="2"/>
      <c r="E461" s="2"/>
      <c r="F461" s="2"/>
      <c r="G461" s="2"/>
      <c r="H461" s="2"/>
      <c r="I461" s="2"/>
      <c r="J461" s="2"/>
      <c r="K461" s="2"/>
    </row>
    <row r="462" ht="15.75" customHeight="1">
      <c r="A462" s="2"/>
      <c r="B462" s="2"/>
      <c r="C462" s="2"/>
      <c r="D462" s="2"/>
      <c r="E462" s="2"/>
      <c r="F462" s="2"/>
      <c r="G462" s="2"/>
      <c r="H462" s="2"/>
      <c r="I462" s="2"/>
      <c r="J462" s="2"/>
      <c r="K462" s="2"/>
    </row>
    <row r="463" ht="15.75" customHeight="1">
      <c r="A463" s="2"/>
      <c r="B463" s="2"/>
      <c r="C463" s="2"/>
      <c r="D463" s="2"/>
      <c r="E463" s="2"/>
      <c r="F463" s="2"/>
      <c r="G463" s="2"/>
      <c r="H463" s="2"/>
      <c r="I463" s="2"/>
      <c r="J463" s="2"/>
      <c r="K463" s="2"/>
    </row>
    <row r="464" ht="15.75" customHeight="1">
      <c r="A464" s="2"/>
      <c r="B464" s="2"/>
      <c r="C464" s="2"/>
      <c r="D464" s="2"/>
      <c r="E464" s="2"/>
      <c r="F464" s="2"/>
      <c r="G464" s="2"/>
      <c r="H464" s="2"/>
      <c r="I464" s="2"/>
      <c r="J464" s="2"/>
      <c r="K464" s="2"/>
    </row>
    <row r="465" ht="15.75" customHeight="1">
      <c r="A465" s="2"/>
      <c r="B465" s="2"/>
      <c r="C465" s="2"/>
      <c r="D465" s="2"/>
      <c r="E465" s="2"/>
      <c r="F465" s="2"/>
      <c r="G465" s="2"/>
      <c r="H465" s="2"/>
      <c r="I465" s="2"/>
      <c r="J465" s="2"/>
      <c r="K465" s="2"/>
    </row>
    <row r="466" ht="15.75" customHeight="1">
      <c r="A466" s="2"/>
      <c r="B466" s="2"/>
      <c r="C466" s="2"/>
      <c r="D466" s="2"/>
      <c r="E466" s="2"/>
      <c r="F466" s="2"/>
      <c r="G466" s="2"/>
      <c r="H466" s="2"/>
      <c r="I466" s="2"/>
      <c r="J466" s="2"/>
      <c r="K466" s="2"/>
    </row>
    <row r="467" ht="15.75" customHeight="1">
      <c r="A467" s="2"/>
      <c r="B467" s="2"/>
      <c r="C467" s="2"/>
      <c r="D467" s="2"/>
      <c r="E467" s="2"/>
      <c r="F467" s="2"/>
      <c r="G467" s="2"/>
      <c r="H467" s="2"/>
      <c r="I467" s="2"/>
      <c r="J467" s="2"/>
      <c r="K467" s="2"/>
    </row>
    <row r="468" ht="15.75" customHeight="1">
      <c r="A468" s="2"/>
      <c r="B468" s="2"/>
      <c r="C468" s="2"/>
      <c r="D468" s="2"/>
      <c r="E468" s="2"/>
      <c r="F468" s="2"/>
      <c r="G468" s="2"/>
      <c r="H468" s="2"/>
      <c r="I468" s="2"/>
      <c r="J468" s="2"/>
      <c r="K468" s="2"/>
    </row>
    <row r="469" ht="15.75" customHeight="1">
      <c r="A469" s="2"/>
      <c r="B469" s="2"/>
      <c r="C469" s="2"/>
      <c r="D469" s="2"/>
      <c r="E469" s="2"/>
      <c r="F469" s="2"/>
      <c r="G469" s="2"/>
      <c r="H469" s="2"/>
      <c r="I469" s="2"/>
      <c r="J469" s="2"/>
      <c r="K469" s="2"/>
    </row>
    <row r="470" ht="15.75" customHeight="1">
      <c r="A470" s="2"/>
      <c r="B470" s="2"/>
      <c r="C470" s="2"/>
      <c r="D470" s="2"/>
      <c r="E470" s="2"/>
      <c r="F470" s="2"/>
      <c r="G470" s="2"/>
      <c r="H470" s="2"/>
      <c r="I470" s="2"/>
      <c r="J470" s="2"/>
      <c r="K470" s="2"/>
    </row>
    <row r="471" ht="15.75" customHeight="1">
      <c r="A471" s="2"/>
      <c r="B471" s="2"/>
      <c r="C471" s="2"/>
      <c r="D471" s="2"/>
      <c r="E471" s="2"/>
      <c r="F471" s="2"/>
      <c r="G471" s="2"/>
      <c r="H471" s="2"/>
      <c r="I471" s="2"/>
      <c r="J471" s="2"/>
      <c r="K471" s="2"/>
    </row>
    <row r="472" ht="15.75" customHeight="1">
      <c r="A472" s="2"/>
      <c r="B472" s="2"/>
      <c r="C472" s="2"/>
      <c r="D472" s="2"/>
      <c r="E472" s="2"/>
      <c r="F472" s="2"/>
      <c r="G472" s="2"/>
      <c r="H472" s="2"/>
      <c r="I472" s="2"/>
      <c r="J472" s="2"/>
      <c r="K472" s="2"/>
    </row>
    <row r="473" ht="15.75" customHeight="1">
      <c r="A473" s="2"/>
      <c r="B473" s="2"/>
      <c r="C473" s="2"/>
      <c r="D473" s="2"/>
      <c r="E473" s="2"/>
      <c r="F473" s="2"/>
      <c r="G473" s="2"/>
      <c r="H473" s="2"/>
      <c r="I473" s="2"/>
      <c r="J473" s="2"/>
      <c r="K473" s="2"/>
    </row>
    <row r="474" ht="15.75" customHeight="1">
      <c r="A474" s="2"/>
      <c r="B474" s="2"/>
      <c r="C474" s="2"/>
      <c r="D474" s="2"/>
      <c r="E474" s="2"/>
      <c r="F474" s="2"/>
      <c r="G474" s="2"/>
      <c r="H474" s="2"/>
      <c r="I474" s="2"/>
      <c r="J474" s="2"/>
      <c r="K474" s="2"/>
    </row>
    <row r="475" ht="15.75" customHeight="1">
      <c r="A475" s="2"/>
      <c r="B475" s="2"/>
      <c r="C475" s="2"/>
      <c r="D475" s="2"/>
      <c r="E475" s="2"/>
      <c r="F475" s="2"/>
      <c r="G475" s="2"/>
      <c r="H475" s="2"/>
      <c r="I475" s="2"/>
      <c r="J475" s="2"/>
      <c r="K475" s="2"/>
    </row>
    <row r="476" ht="15.75" customHeight="1">
      <c r="A476" s="2"/>
      <c r="B476" s="2"/>
      <c r="C476" s="2"/>
      <c r="D476" s="2"/>
      <c r="E476" s="2"/>
      <c r="F476" s="2"/>
      <c r="G476" s="2"/>
      <c r="H476" s="2"/>
      <c r="I476" s="2"/>
      <c r="J476" s="2"/>
      <c r="K476" s="2"/>
    </row>
    <row r="477" ht="15.75" customHeight="1">
      <c r="A477" s="2"/>
      <c r="B477" s="2"/>
      <c r="C477" s="2"/>
      <c r="D477" s="2"/>
      <c r="E477" s="2"/>
      <c r="F477" s="2"/>
      <c r="G477" s="2"/>
      <c r="H477" s="2"/>
      <c r="I477" s="2"/>
      <c r="J477" s="2"/>
      <c r="K477" s="2"/>
    </row>
    <row r="478" ht="15.75" customHeight="1">
      <c r="A478" s="2"/>
      <c r="B478" s="2"/>
      <c r="C478" s="2"/>
      <c r="D478" s="2"/>
      <c r="E478" s="2"/>
      <c r="F478" s="2"/>
      <c r="G478" s="2"/>
      <c r="H478" s="2"/>
      <c r="I478" s="2"/>
      <c r="J478" s="2"/>
      <c r="K478" s="2"/>
    </row>
    <row r="479" ht="15.75" customHeight="1">
      <c r="A479" s="2"/>
      <c r="B479" s="2"/>
      <c r="C479" s="2"/>
      <c r="D479" s="2"/>
      <c r="E479" s="2"/>
      <c r="F479" s="2"/>
      <c r="G479" s="2"/>
      <c r="H479" s="2"/>
      <c r="I479" s="2"/>
      <c r="J479" s="2"/>
      <c r="K479" s="2"/>
    </row>
    <row r="480" ht="15.75" customHeight="1">
      <c r="A480" s="2"/>
      <c r="B480" s="2"/>
      <c r="C480" s="2"/>
      <c r="D480" s="2"/>
      <c r="E480" s="2"/>
      <c r="F480" s="2"/>
      <c r="G480" s="2"/>
      <c r="H480" s="2"/>
      <c r="I480" s="2"/>
      <c r="J480" s="2"/>
      <c r="K480" s="2"/>
    </row>
    <row r="481" ht="15.75" customHeight="1">
      <c r="A481" s="2"/>
      <c r="B481" s="2"/>
      <c r="C481" s="2"/>
      <c r="D481" s="2"/>
      <c r="E481" s="2"/>
      <c r="F481" s="2"/>
      <c r="G481" s="2"/>
      <c r="H481" s="2"/>
      <c r="I481" s="2"/>
      <c r="J481" s="2"/>
      <c r="K481" s="2"/>
    </row>
    <row r="482" ht="15.75" customHeight="1">
      <c r="A482" s="2"/>
      <c r="B482" s="2"/>
      <c r="C482" s="2"/>
      <c r="D482" s="2"/>
      <c r="E482" s="2"/>
      <c r="F482" s="2"/>
      <c r="G482" s="2"/>
      <c r="H482" s="2"/>
      <c r="I482" s="2"/>
      <c r="J482" s="2"/>
      <c r="K482" s="2"/>
    </row>
    <row r="483" ht="15.75" customHeight="1">
      <c r="A483" s="2"/>
      <c r="B483" s="2"/>
      <c r="C483" s="2"/>
      <c r="D483" s="2"/>
      <c r="E483" s="2"/>
      <c r="F483" s="2"/>
      <c r="G483" s="2"/>
      <c r="H483" s="2"/>
      <c r="I483" s="2"/>
      <c r="J483" s="2"/>
      <c r="K483" s="2"/>
    </row>
    <row r="484" ht="15.75" customHeight="1">
      <c r="A484" s="2"/>
      <c r="B484" s="2"/>
      <c r="C484" s="2"/>
      <c r="D484" s="2"/>
      <c r="E484" s="2"/>
      <c r="F484" s="2"/>
      <c r="G484" s="2"/>
      <c r="H484" s="2"/>
      <c r="I484" s="2"/>
      <c r="J484" s="2"/>
      <c r="K484" s="2"/>
    </row>
    <row r="485" ht="15.75" customHeight="1">
      <c r="A485" s="2"/>
      <c r="B485" s="2"/>
      <c r="C485" s="2"/>
      <c r="D485" s="2"/>
      <c r="E485" s="2"/>
      <c r="F485" s="2"/>
      <c r="G485" s="2"/>
      <c r="H485" s="2"/>
      <c r="I485" s="2"/>
      <c r="J485" s="2"/>
      <c r="K485" s="2"/>
    </row>
    <row r="486" ht="15.75" customHeight="1">
      <c r="A486" s="2"/>
      <c r="B486" s="2"/>
      <c r="C486" s="2"/>
      <c r="D486" s="2"/>
      <c r="E486" s="2"/>
      <c r="F486" s="2"/>
      <c r="G486" s="2"/>
      <c r="H486" s="2"/>
      <c r="I486" s="2"/>
      <c r="J486" s="2"/>
      <c r="K486" s="2"/>
    </row>
    <row r="487" ht="15.75" customHeight="1">
      <c r="A487" s="2"/>
      <c r="B487" s="2"/>
      <c r="C487" s="2"/>
      <c r="D487" s="2"/>
      <c r="E487" s="2"/>
      <c r="F487" s="2"/>
      <c r="G487" s="2"/>
      <c r="H487" s="2"/>
      <c r="I487" s="2"/>
      <c r="J487" s="2"/>
      <c r="K487" s="2"/>
    </row>
    <row r="488" ht="15.75" customHeight="1">
      <c r="A488" s="2"/>
      <c r="B488" s="2"/>
      <c r="C488" s="2"/>
      <c r="D488" s="2"/>
      <c r="E488" s="2"/>
      <c r="F488" s="2"/>
      <c r="G488" s="2"/>
      <c r="H488" s="2"/>
      <c r="I488" s="2"/>
      <c r="J488" s="2"/>
      <c r="K488" s="2"/>
    </row>
    <row r="489" ht="15.75" customHeight="1">
      <c r="A489" s="2"/>
      <c r="B489" s="2"/>
      <c r="C489" s="2"/>
      <c r="D489" s="2"/>
      <c r="E489" s="2"/>
      <c r="F489" s="2"/>
      <c r="G489" s="2"/>
      <c r="H489" s="2"/>
      <c r="I489" s="2"/>
      <c r="J489" s="2"/>
      <c r="K489" s="2"/>
    </row>
    <row r="490" ht="15.75" customHeight="1">
      <c r="A490" s="2"/>
      <c r="B490" s="2"/>
      <c r="C490" s="2"/>
      <c r="D490" s="2"/>
      <c r="E490" s="2"/>
      <c r="F490" s="2"/>
      <c r="G490" s="2"/>
      <c r="H490" s="2"/>
      <c r="I490" s="2"/>
      <c r="J490" s="2"/>
      <c r="K490" s="2"/>
    </row>
    <row r="491" ht="15.75" customHeight="1">
      <c r="A491" s="2"/>
      <c r="B491" s="2"/>
      <c r="C491" s="2"/>
      <c r="D491" s="2"/>
      <c r="E491" s="2"/>
      <c r="F491" s="2"/>
      <c r="G491" s="2"/>
      <c r="H491" s="2"/>
      <c r="I491" s="2"/>
      <c r="J491" s="2"/>
      <c r="K491" s="2"/>
    </row>
    <row r="492" ht="15.75" customHeight="1">
      <c r="A492" s="2"/>
      <c r="B492" s="2"/>
      <c r="C492" s="2"/>
      <c r="D492" s="2"/>
      <c r="E492" s="2"/>
      <c r="F492" s="2"/>
      <c r="G492" s="2"/>
      <c r="H492" s="2"/>
      <c r="I492" s="2"/>
      <c r="J492" s="2"/>
      <c r="K492" s="2"/>
    </row>
    <row r="493" ht="15.75" customHeight="1">
      <c r="A493" s="2"/>
      <c r="B493" s="2"/>
      <c r="C493" s="2"/>
      <c r="D493" s="2"/>
      <c r="E493" s="2"/>
      <c r="F493" s="2"/>
      <c r="G493" s="2"/>
      <c r="H493" s="2"/>
      <c r="I493" s="2"/>
      <c r="J493" s="2"/>
      <c r="K493" s="2"/>
    </row>
    <row r="494" ht="15.75" customHeight="1">
      <c r="A494" s="2"/>
      <c r="B494" s="2"/>
      <c r="C494" s="2"/>
      <c r="D494" s="2"/>
      <c r="E494" s="2"/>
      <c r="F494" s="2"/>
      <c r="G494" s="2"/>
      <c r="H494" s="2"/>
      <c r="I494" s="2"/>
      <c r="J494" s="2"/>
      <c r="K494" s="2"/>
    </row>
    <row r="495" ht="15.75" customHeight="1">
      <c r="A495" s="2"/>
      <c r="B495" s="2"/>
      <c r="C495" s="2"/>
      <c r="D495" s="2"/>
      <c r="E495" s="2"/>
      <c r="F495" s="2"/>
      <c r="G495" s="2"/>
      <c r="H495" s="2"/>
      <c r="I495" s="2"/>
      <c r="J495" s="2"/>
      <c r="K495" s="2"/>
    </row>
    <row r="496" ht="15.75" customHeight="1">
      <c r="A496" s="2"/>
      <c r="B496" s="2"/>
      <c r="C496" s="2"/>
      <c r="D496" s="2"/>
      <c r="E496" s="2"/>
      <c r="F496" s="2"/>
      <c r="G496" s="2"/>
      <c r="H496" s="2"/>
      <c r="I496" s="2"/>
      <c r="J496" s="2"/>
      <c r="K496" s="2"/>
    </row>
    <row r="497" ht="15.75" customHeight="1">
      <c r="A497" s="2"/>
      <c r="B497" s="2"/>
      <c r="C497" s="2"/>
      <c r="D497" s="2"/>
      <c r="E497" s="2"/>
      <c r="F497" s="2"/>
      <c r="G497" s="2"/>
      <c r="H497" s="2"/>
      <c r="I497" s="2"/>
      <c r="J497" s="2"/>
      <c r="K497" s="2"/>
    </row>
    <row r="498" ht="15.75" customHeight="1">
      <c r="A498" s="2"/>
      <c r="B498" s="2"/>
      <c r="C498" s="2"/>
      <c r="D498" s="2"/>
      <c r="E498" s="2"/>
      <c r="F498" s="2"/>
      <c r="G498" s="2"/>
      <c r="H498" s="2"/>
      <c r="I498" s="2"/>
      <c r="J498" s="2"/>
      <c r="K498" s="2"/>
    </row>
    <row r="499" ht="15.75" customHeight="1">
      <c r="A499" s="2"/>
      <c r="B499" s="2"/>
      <c r="C499" s="2"/>
      <c r="D499" s="2"/>
      <c r="E499" s="2"/>
      <c r="F499" s="2"/>
      <c r="G499" s="2"/>
      <c r="H499" s="2"/>
      <c r="I499" s="2"/>
      <c r="J499" s="2"/>
      <c r="K499" s="2"/>
    </row>
    <row r="500" ht="15.75" customHeight="1">
      <c r="A500" s="2"/>
      <c r="B500" s="2"/>
      <c r="C500" s="2"/>
      <c r="D500" s="2"/>
      <c r="E500" s="2"/>
      <c r="F500" s="2"/>
      <c r="G500" s="2"/>
      <c r="H500" s="2"/>
      <c r="I500" s="2"/>
      <c r="J500" s="2"/>
      <c r="K500" s="2"/>
    </row>
    <row r="501" ht="15.75" customHeight="1">
      <c r="A501" s="2"/>
      <c r="B501" s="2"/>
      <c r="C501" s="2"/>
      <c r="D501" s="2"/>
      <c r="E501" s="2"/>
      <c r="F501" s="2"/>
      <c r="G501" s="2"/>
      <c r="H501" s="2"/>
      <c r="I501" s="2"/>
      <c r="J501" s="2"/>
      <c r="K501" s="2"/>
    </row>
    <row r="502" ht="15.75" customHeight="1">
      <c r="A502" s="2"/>
      <c r="B502" s="2"/>
      <c r="C502" s="2"/>
      <c r="D502" s="2"/>
      <c r="E502" s="2"/>
      <c r="F502" s="2"/>
      <c r="G502" s="2"/>
      <c r="H502" s="2"/>
      <c r="I502" s="2"/>
      <c r="J502" s="2"/>
      <c r="K502" s="2"/>
    </row>
    <row r="503" ht="15.75" customHeight="1">
      <c r="A503" s="2"/>
      <c r="B503" s="2"/>
      <c r="C503" s="2"/>
      <c r="D503" s="2"/>
      <c r="E503" s="2"/>
      <c r="F503" s="2"/>
      <c r="G503" s="2"/>
      <c r="H503" s="2"/>
      <c r="I503" s="2"/>
      <c r="J503" s="2"/>
      <c r="K503" s="2"/>
    </row>
    <row r="504" ht="15.75" customHeight="1">
      <c r="A504" s="2"/>
      <c r="B504" s="2"/>
      <c r="C504" s="2"/>
      <c r="D504" s="2"/>
      <c r="E504" s="2"/>
      <c r="F504" s="2"/>
      <c r="G504" s="2"/>
      <c r="H504" s="2"/>
      <c r="I504" s="2"/>
      <c r="J504" s="2"/>
      <c r="K504" s="2"/>
    </row>
    <row r="505" ht="15.75" customHeight="1">
      <c r="A505" s="2"/>
      <c r="B505" s="2"/>
      <c r="C505" s="2"/>
      <c r="D505" s="2"/>
      <c r="E505" s="2"/>
      <c r="F505" s="2"/>
      <c r="G505" s="2"/>
      <c r="H505" s="2"/>
      <c r="I505" s="2"/>
      <c r="J505" s="2"/>
      <c r="K505" s="2"/>
    </row>
    <row r="506" ht="15.75" customHeight="1">
      <c r="A506" s="2"/>
      <c r="B506" s="2"/>
      <c r="C506" s="2"/>
      <c r="D506" s="2"/>
      <c r="E506" s="2"/>
      <c r="F506" s="2"/>
      <c r="G506" s="2"/>
      <c r="H506" s="2"/>
      <c r="I506" s="2"/>
      <c r="J506" s="2"/>
      <c r="K506" s="2"/>
    </row>
    <row r="507" ht="15.75" customHeight="1">
      <c r="A507" s="2"/>
      <c r="B507" s="2"/>
      <c r="C507" s="2"/>
      <c r="D507" s="2"/>
      <c r="E507" s="2"/>
      <c r="F507" s="2"/>
      <c r="G507" s="2"/>
      <c r="H507" s="2"/>
      <c r="I507" s="2"/>
      <c r="J507" s="2"/>
      <c r="K507" s="2"/>
    </row>
    <row r="508" ht="15.75" customHeight="1">
      <c r="A508" s="2"/>
      <c r="B508" s="2"/>
      <c r="C508" s="2"/>
      <c r="D508" s="2"/>
      <c r="E508" s="2"/>
      <c r="F508" s="2"/>
      <c r="G508" s="2"/>
      <c r="H508" s="2"/>
      <c r="I508" s="2"/>
      <c r="J508" s="2"/>
      <c r="K508" s="2"/>
    </row>
    <row r="509" ht="15.75" customHeight="1">
      <c r="A509" s="2"/>
      <c r="B509" s="2"/>
      <c r="C509" s="2"/>
      <c r="D509" s="2"/>
      <c r="E509" s="2"/>
      <c r="F509" s="2"/>
      <c r="G509" s="2"/>
      <c r="H509" s="2"/>
      <c r="I509" s="2"/>
      <c r="J509" s="2"/>
      <c r="K509" s="2"/>
    </row>
    <row r="510" ht="15.75" customHeight="1">
      <c r="A510" s="2"/>
      <c r="B510" s="2"/>
      <c r="C510" s="2"/>
      <c r="D510" s="2"/>
      <c r="E510" s="2"/>
      <c r="F510" s="2"/>
      <c r="G510" s="2"/>
      <c r="H510" s="2"/>
      <c r="I510" s="2"/>
      <c r="J510" s="2"/>
      <c r="K510" s="2"/>
    </row>
    <row r="511" ht="15.75" customHeight="1">
      <c r="A511" s="2"/>
      <c r="B511" s="2"/>
      <c r="C511" s="2"/>
      <c r="D511" s="2"/>
      <c r="E511" s="2"/>
      <c r="F511" s="2"/>
      <c r="G511" s="2"/>
      <c r="H511" s="2"/>
      <c r="I511" s="2"/>
      <c r="J511" s="2"/>
      <c r="K511" s="2"/>
    </row>
    <row r="512" ht="15.75" customHeight="1">
      <c r="A512" s="2"/>
      <c r="B512" s="2"/>
      <c r="C512" s="2"/>
      <c r="D512" s="2"/>
      <c r="E512" s="2"/>
      <c r="F512" s="2"/>
      <c r="G512" s="2"/>
      <c r="H512" s="2"/>
      <c r="I512" s="2"/>
      <c r="J512" s="2"/>
      <c r="K512" s="2"/>
    </row>
    <row r="513" ht="15.75" customHeight="1">
      <c r="A513" s="2"/>
      <c r="B513" s="2"/>
      <c r="C513" s="2"/>
      <c r="D513" s="2"/>
      <c r="E513" s="2"/>
      <c r="F513" s="2"/>
      <c r="G513" s="2"/>
      <c r="H513" s="2"/>
      <c r="I513" s="2"/>
      <c r="J513" s="2"/>
      <c r="K513" s="2"/>
    </row>
    <row r="514" ht="15.75" customHeight="1">
      <c r="A514" s="2"/>
      <c r="B514" s="2"/>
      <c r="C514" s="2"/>
      <c r="D514" s="2"/>
      <c r="E514" s="2"/>
      <c r="F514" s="2"/>
      <c r="G514" s="2"/>
      <c r="H514" s="2"/>
      <c r="I514" s="2"/>
      <c r="J514" s="2"/>
      <c r="K514" s="2"/>
    </row>
    <row r="515" ht="15.75" customHeight="1">
      <c r="A515" s="2"/>
      <c r="B515" s="2"/>
      <c r="C515" s="2"/>
      <c r="D515" s="2"/>
      <c r="E515" s="2"/>
      <c r="F515" s="2"/>
      <c r="G515" s="2"/>
      <c r="H515" s="2"/>
      <c r="I515" s="2"/>
      <c r="J515" s="2"/>
      <c r="K515" s="2"/>
    </row>
    <row r="516" ht="15.75" customHeight="1">
      <c r="A516" s="2"/>
      <c r="B516" s="2"/>
      <c r="C516" s="2"/>
      <c r="D516" s="2"/>
      <c r="E516" s="2"/>
      <c r="F516" s="2"/>
      <c r="G516" s="2"/>
      <c r="H516" s="2"/>
      <c r="I516" s="2"/>
      <c r="J516" s="2"/>
      <c r="K516" s="2"/>
    </row>
    <row r="517" ht="15.75" customHeight="1">
      <c r="A517" s="2"/>
      <c r="B517" s="2"/>
      <c r="C517" s="2"/>
      <c r="D517" s="2"/>
      <c r="E517" s="2"/>
      <c r="F517" s="2"/>
      <c r="G517" s="2"/>
      <c r="H517" s="2"/>
      <c r="I517" s="2"/>
      <c r="J517" s="2"/>
      <c r="K517" s="2"/>
    </row>
    <row r="518" ht="15.75" customHeight="1">
      <c r="A518" s="2"/>
      <c r="B518" s="2"/>
      <c r="C518" s="2"/>
      <c r="D518" s="2"/>
      <c r="E518" s="2"/>
      <c r="F518" s="2"/>
      <c r="G518" s="2"/>
      <c r="H518" s="2"/>
      <c r="I518" s="2"/>
      <c r="J518" s="2"/>
      <c r="K518" s="2"/>
    </row>
    <row r="519" ht="15.75" customHeight="1">
      <c r="A519" s="2"/>
      <c r="B519" s="2"/>
      <c r="C519" s="2"/>
      <c r="D519" s="2"/>
      <c r="E519" s="2"/>
      <c r="F519" s="2"/>
      <c r="G519" s="2"/>
      <c r="H519" s="2"/>
      <c r="I519" s="2"/>
      <c r="J519" s="2"/>
      <c r="K519" s="2"/>
    </row>
    <row r="520" ht="15.75" customHeight="1">
      <c r="A520" s="2"/>
      <c r="B520" s="2"/>
      <c r="C520" s="2"/>
      <c r="D520" s="2"/>
      <c r="E520" s="2"/>
      <c r="F520" s="2"/>
      <c r="G520" s="2"/>
      <c r="H520" s="2"/>
      <c r="I520" s="2"/>
      <c r="J520" s="2"/>
      <c r="K520" s="2"/>
    </row>
    <row r="521" ht="15.75" customHeight="1">
      <c r="A521" s="2"/>
      <c r="B521" s="2"/>
      <c r="C521" s="2"/>
      <c r="D521" s="2"/>
      <c r="E521" s="2"/>
      <c r="F521" s="2"/>
      <c r="G521" s="2"/>
      <c r="H521" s="2"/>
      <c r="I521" s="2"/>
      <c r="J521" s="2"/>
      <c r="K521" s="2"/>
    </row>
    <row r="522" ht="15.75" customHeight="1">
      <c r="A522" s="2"/>
      <c r="B522" s="2"/>
      <c r="C522" s="2"/>
      <c r="D522" s="2"/>
      <c r="E522" s="2"/>
      <c r="F522" s="2"/>
      <c r="G522" s="2"/>
      <c r="H522" s="2"/>
      <c r="I522" s="2"/>
      <c r="J522" s="2"/>
      <c r="K522" s="2"/>
    </row>
    <row r="523" ht="15.75" customHeight="1">
      <c r="A523" s="2"/>
      <c r="B523" s="2"/>
      <c r="C523" s="2"/>
      <c r="D523" s="2"/>
      <c r="E523" s="2"/>
      <c r="F523" s="2"/>
      <c r="G523" s="2"/>
      <c r="H523" s="2"/>
      <c r="I523" s="2"/>
      <c r="J523" s="2"/>
      <c r="K523" s="2"/>
    </row>
    <row r="524" ht="15.75" customHeight="1">
      <c r="A524" s="2"/>
      <c r="B524" s="2"/>
      <c r="C524" s="2"/>
      <c r="D524" s="2"/>
      <c r="E524" s="2"/>
      <c r="F524" s="2"/>
      <c r="G524" s="2"/>
      <c r="H524" s="2"/>
      <c r="I524" s="2"/>
      <c r="J524" s="2"/>
      <c r="K524" s="2"/>
    </row>
    <row r="525" ht="15.75" customHeight="1">
      <c r="A525" s="2"/>
      <c r="B525" s="2"/>
      <c r="C525" s="2"/>
      <c r="D525" s="2"/>
      <c r="E525" s="2"/>
      <c r="F525" s="2"/>
      <c r="G525" s="2"/>
      <c r="H525" s="2"/>
      <c r="I525" s="2"/>
      <c r="J525" s="2"/>
      <c r="K525" s="2"/>
    </row>
    <row r="526" ht="15.75" customHeight="1">
      <c r="A526" s="2"/>
      <c r="B526" s="2"/>
      <c r="C526" s="2"/>
      <c r="D526" s="2"/>
      <c r="E526" s="2"/>
      <c r="F526" s="2"/>
      <c r="G526" s="2"/>
      <c r="H526" s="2"/>
      <c r="I526" s="2"/>
      <c r="J526" s="2"/>
      <c r="K526" s="2"/>
    </row>
    <row r="527" ht="15.75" customHeight="1">
      <c r="A527" s="2"/>
      <c r="B527" s="2"/>
      <c r="C527" s="2"/>
      <c r="D527" s="2"/>
      <c r="E527" s="2"/>
      <c r="F527" s="2"/>
      <c r="G527" s="2"/>
      <c r="H527" s="2"/>
      <c r="I527" s="2"/>
      <c r="J527" s="2"/>
      <c r="K527" s="2"/>
    </row>
    <row r="528" ht="15.75" customHeight="1">
      <c r="A528" s="2"/>
      <c r="B528" s="2"/>
      <c r="C528" s="2"/>
      <c r="D528" s="2"/>
      <c r="E528" s="2"/>
      <c r="F528" s="2"/>
      <c r="G528" s="2"/>
      <c r="H528" s="2"/>
      <c r="I528" s="2"/>
      <c r="J528" s="2"/>
      <c r="K528" s="2"/>
    </row>
    <row r="529" ht="15.75" customHeight="1">
      <c r="A529" s="2"/>
      <c r="B529" s="2"/>
      <c r="C529" s="2"/>
      <c r="D529" s="2"/>
      <c r="E529" s="2"/>
      <c r="F529" s="2"/>
      <c r="G529" s="2"/>
      <c r="H529" s="2"/>
      <c r="I529" s="2"/>
      <c r="J529" s="2"/>
      <c r="K529" s="2"/>
    </row>
    <row r="530" ht="15.75" customHeight="1">
      <c r="A530" s="2"/>
      <c r="B530" s="2"/>
      <c r="C530" s="2"/>
      <c r="D530" s="2"/>
      <c r="E530" s="2"/>
      <c r="F530" s="2"/>
      <c r="G530" s="2"/>
      <c r="H530" s="2"/>
      <c r="I530" s="2"/>
      <c r="J530" s="2"/>
      <c r="K530" s="2"/>
    </row>
    <row r="531" ht="15.75" customHeight="1">
      <c r="A531" s="2"/>
      <c r="B531" s="2"/>
      <c r="C531" s="2"/>
      <c r="D531" s="2"/>
      <c r="E531" s="2"/>
      <c r="F531" s="2"/>
      <c r="G531" s="2"/>
      <c r="H531" s="2"/>
      <c r="I531" s="2"/>
      <c r="J531" s="2"/>
      <c r="K531" s="2"/>
    </row>
    <row r="532" ht="15.75" customHeight="1">
      <c r="A532" s="2"/>
      <c r="B532" s="2"/>
      <c r="C532" s="2"/>
      <c r="D532" s="2"/>
      <c r="E532" s="2"/>
      <c r="F532" s="2"/>
      <c r="G532" s="2"/>
      <c r="H532" s="2"/>
      <c r="I532" s="2"/>
      <c r="J532" s="2"/>
      <c r="K532" s="2"/>
    </row>
    <row r="533" ht="15.75" customHeight="1">
      <c r="A533" s="2"/>
      <c r="B533" s="2"/>
      <c r="C533" s="2"/>
      <c r="D533" s="2"/>
      <c r="E533" s="2"/>
      <c r="F533" s="2"/>
      <c r="G533" s="2"/>
      <c r="H533" s="2"/>
      <c r="I533" s="2"/>
      <c r="J533" s="2"/>
      <c r="K533" s="2"/>
    </row>
    <row r="534" ht="15.75" customHeight="1">
      <c r="A534" s="2"/>
      <c r="B534" s="2"/>
      <c r="C534" s="2"/>
      <c r="D534" s="2"/>
      <c r="E534" s="2"/>
      <c r="F534" s="2"/>
      <c r="G534" s="2"/>
      <c r="H534" s="2"/>
      <c r="I534" s="2"/>
      <c r="J534" s="2"/>
      <c r="K534" s="2"/>
    </row>
    <row r="535" ht="15.75" customHeight="1">
      <c r="A535" s="2"/>
      <c r="B535" s="2"/>
      <c r="C535" s="2"/>
      <c r="D535" s="2"/>
      <c r="E535" s="2"/>
      <c r="F535" s="2"/>
      <c r="G535" s="2"/>
      <c r="H535" s="2"/>
      <c r="I535" s="2"/>
      <c r="J535" s="2"/>
      <c r="K535" s="2"/>
    </row>
    <row r="536" ht="15.75" customHeight="1">
      <c r="A536" s="2"/>
      <c r="B536" s="2"/>
      <c r="C536" s="2"/>
      <c r="D536" s="2"/>
      <c r="E536" s="2"/>
      <c r="F536" s="2"/>
      <c r="G536" s="2"/>
      <c r="H536" s="2"/>
      <c r="I536" s="2"/>
      <c r="J536" s="2"/>
      <c r="K536" s="2"/>
    </row>
    <row r="537" ht="15.75" customHeight="1">
      <c r="A537" s="2"/>
      <c r="B537" s="2"/>
      <c r="C537" s="2"/>
      <c r="D537" s="2"/>
      <c r="E537" s="2"/>
      <c r="F537" s="2"/>
      <c r="G537" s="2"/>
      <c r="H537" s="2"/>
      <c r="I537" s="2"/>
      <c r="J537" s="2"/>
      <c r="K537" s="2"/>
    </row>
    <row r="538" ht="15.75" customHeight="1">
      <c r="A538" s="2"/>
      <c r="B538" s="2"/>
      <c r="C538" s="2"/>
      <c r="D538" s="2"/>
      <c r="E538" s="2"/>
      <c r="F538" s="2"/>
      <c r="G538" s="2"/>
      <c r="H538" s="2"/>
      <c r="I538" s="2"/>
      <c r="J538" s="2"/>
      <c r="K538" s="2"/>
    </row>
    <row r="539" ht="15.75" customHeight="1">
      <c r="A539" s="2"/>
      <c r="B539" s="2"/>
      <c r="C539" s="2"/>
      <c r="D539" s="2"/>
      <c r="E539" s="2"/>
      <c r="F539" s="2"/>
      <c r="G539" s="2"/>
      <c r="H539" s="2"/>
      <c r="I539" s="2"/>
      <c r="J539" s="2"/>
      <c r="K539" s="2"/>
    </row>
    <row r="540" ht="15.75" customHeight="1">
      <c r="A540" s="2"/>
      <c r="B540" s="2"/>
      <c r="C540" s="2"/>
      <c r="D540" s="2"/>
      <c r="E540" s="2"/>
      <c r="F540" s="2"/>
      <c r="G540" s="2"/>
      <c r="H540" s="2"/>
      <c r="I540" s="2"/>
      <c r="J540" s="2"/>
      <c r="K540" s="2"/>
    </row>
    <row r="541" ht="15.75" customHeight="1">
      <c r="A541" s="2"/>
      <c r="B541" s="2"/>
      <c r="C541" s="2"/>
      <c r="D541" s="2"/>
      <c r="E541" s="2"/>
      <c r="F541" s="2"/>
      <c r="G541" s="2"/>
      <c r="H541" s="2"/>
      <c r="I541" s="2"/>
      <c r="J541" s="2"/>
      <c r="K541" s="2"/>
    </row>
    <row r="542" ht="15.75" customHeight="1">
      <c r="A542" s="2"/>
      <c r="B542" s="2"/>
      <c r="C542" s="2"/>
      <c r="D542" s="2"/>
      <c r="E542" s="2"/>
      <c r="F542" s="2"/>
      <c r="G542" s="2"/>
      <c r="H542" s="2"/>
      <c r="I542" s="2"/>
      <c r="J542" s="2"/>
      <c r="K542" s="2"/>
    </row>
    <row r="543" ht="15.75" customHeight="1">
      <c r="A543" s="2"/>
      <c r="B543" s="2"/>
      <c r="C543" s="2"/>
      <c r="D543" s="2"/>
      <c r="E543" s="2"/>
      <c r="F543" s="2"/>
      <c r="G543" s="2"/>
      <c r="H543" s="2"/>
      <c r="I543" s="2"/>
      <c r="J543" s="2"/>
      <c r="K543" s="2"/>
    </row>
    <row r="544" ht="15.75" customHeight="1">
      <c r="A544" s="2"/>
      <c r="B544" s="2"/>
      <c r="C544" s="2"/>
      <c r="D544" s="2"/>
      <c r="E544" s="2"/>
      <c r="F544" s="2"/>
      <c r="G544" s="2"/>
      <c r="H544" s="2"/>
      <c r="I544" s="2"/>
      <c r="J544" s="2"/>
      <c r="K544" s="2"/>
    </row>
    <row r="545" ht="15.75" customHeight="1">
      <c r="A545" s="2"/>
      <c r="B545" s="2"/>
      <c r="C545" s="2"/>
      <c r="D545" s="2"/>
      <c r="E545" s="2"/>
      <c r="F545" s="2"/>
      <c r="G545" s="2"/>
      <c r="H545" s="2"/>
      <c r="I545" s="2"/>
      <c r="J545" s="2"/>
      <c r="K545" s="2"/>
    </row>
    <row r="546" ht="15.75" customHeight="1">
      <c r="A546" s="2"/>
      <c r="B546" s="2"/>
      <c r="C546" s="2"/>
      <c r="D546" s="2"/>
      <c r="E546" s="2"/>
      <c r="F546" s="2"/>
      <c r="G546" s="2"/>
      <c r="H546" s="2"/>
      <c r="I546" s="2"/>
      <c r="J546" s="2"/>
      <c r="K546" s="2"/>
    </row>
    <row r="547" ht="15.75" customHeight="1">
      <c r="A547" s="2"/>
      <c r="B547" s="2"/>
      <c r="C547" s="2"/>
      <c r="D547" s="2"/>
      <c r="E547" s="2"/>
      <c r="F547" s="2"/>
      <c r="G547" s="2"/>
      <c r="H547" s="2"/>
      <c r="I547" s="2"/>
      <c r="J547" s="2"/>
      <c r="K547" s="2"/>
    </row>
    <row r="548" ht="15.75" customHeight="1">
      <c r="A548" s="2"/>
      <c r="B548" s="2"/>
      <c r="C548" s="2"/>
      <c r="D548" s="2"/>
      <c r="E548" s="2"/>
      <c r="F548" s="2"/>
      <c r="G548" s="2"/>
      <c r="H548" s="2"/>
      <c r="I548" s="2"/>
      <c r="J548" s="2"/>
      <c r="K548" s="2"/>
    </row>
    <row r="549" ht="15.75" customHeight="1">
      <c r="A549" s="2"/>
      <c r="B549" s="2"/>
      <c r="C549" s="2"/>
      <c r="D549" s="2"/>
      <c r="E549" s="2"/>
      <c r="F549" s="2"/>
      <c r="G549" s="2"/>
      <c r="H549" s="2"/>
      <c r="I549" s="2"/>
      <c r="J549" s="2"/>
      <c r="K549" s="2"/>
    </row>
    <row r="550" ht="15.75" customHeight="1">
      <c r="A550" s="2"/>
      <c r="B550" s="2"/>
      <c r="C550" s="2"/>
      <c r="D550" s="2"/>
      <c r="E550" s="2"/>
      <c r="F550" s="2"/>
      <c r="G550" s="2"/>
      <c r="H550" s="2"/>
      <c r="I550" s="2"/>
      <c r="J550" s="2"/>
      <c r="K550" s="2"/>
    </row>
    <row r="551" ht="15.75" customHeight="1">
      <c r="A551" s="2"/>
      <c r="B551" s="2"/>
      <c r="C551" s="2"/>
      <c r="D551" s="2"/>
      <c r="E551" s="2"/>
      <c r="F551" s="2"/>
      <c r="G551" s="2"/>
      <c r="H551" s="2"/>
      <c r="I551" s="2"/>
      <c r="J551" s="2"/>
      <c r="K551" s="2"/>
    </row>
    <row r="552" ht="15.75" customHeight="1">
      <c r="A552" s="2"/>
      <c r="B552" s="2"/>
      <c r="C552" s="2"/>
      <c r="D552" s="2"/>
      <c r="E552" s="2"/>
      <c r="F552" s="2"/>
      <c r="G552" s="2"/>
      <c r="H552" s="2"/>
      <c r="I552" s="2"/>
      <c r="J552" s="2"/>
      <c r="K552" s="2"/>
    </row>
    <row r="553" ht="15.75" customHeight="1">
      <c r="A553" s="2"/>
      <c r="B553" s="2"/>
      <c r="C553" s="2"/>
      <c r="D553" s="2"/>
      <c r="E553" s="2"/>
      <c r="F553" s="2"/>
      <c r="G553" s="2"/>
      <c r="H553" s="2"/>
      <c r="I553" s="2"/>
      <c r="J553" s="2"/>
      <c r="K553" s="2"/>
    </row>
    <row r="554" ht="15.75" customHeight="1">
      <c r="A554" s="2"/>
      <c r="B554" s="2"/>
      <c r="C554" s="2"/>
      <c r="D554" s="2"/>
      <c r="E554" s="2"/>
      <c r="F554" s="2"/>
      <c r="G554" s="2"/>
      <c r="H554" s="2"/>
      <c r="I554" s="2"/>
      <c r="J554" s="2"/>
      <c r="K554" s="2"/>
    </row>
    <row r="555" ht="15.75" customHeight="1">
      <c r="A555" s="2"/>
      <c r="B555" s="2"/>
      <c r="C555" s="2"/>
      <c r="D555" s="2"/>
      <c r="E555" s="2"/>
      <c r="F555" s="2"/>
      <c r="G555" s="2"/>
      <c r="H555" s="2"/>
      <c r="I555" s="2"/>
      <c r="J555" s="2"/>
      <c r="K555" s="2"/>
    </row>
    <row r="556" ht="15.75" customHeight="1">
      <c r="A556" s="2"/>
      <c r="B556" s="2"/>
      <c r="C556" s="2"/>
      <c r="D556" s="2"/>
      <c r="E556" s="2"/>
      <c r="F556" s="2"/>
      <c r="G556" s="2"/>
      <c r="H556" s="2"/>
      <c r="I556" s="2"/>
      <c r="J556" s="2"/>
      <c r="K556" s="2"/>
    </row>
    <row r="557" ht="15.75" customHeight="1">
      <c r="A557" s="2"/>
      <c r="B557" s="2"/>
      <c r="C557" s="2"/>
      <c r="D557" s="2"/>
      <c r="E557" s="2"/>
      <c r="F557" s="2"/>
      <c r="G557" s="2"/>
      <c r="H557" s="2"/>
      <c r="I557" s="2"/>
      <c r="J557" s="2"/>
      <c r="K557" s="2"/>
    </row>
    <row r="558" ht="15.75" customHeight="1">
      <c r="A558" s="2"/>
      <c r="B558" s="2"/>
      <c r="C558" s="2"/>
      <c r="D558" s="2"/>
      <c r="E558" s="2"/>
      <c r="F558" s="2"/>
      <c r="G558" s="2"/>
      <c r="H558" s="2"/>
      <c r="I558" s="2"/>
      <c r="J558" s="2"/>
      <c r="K558" s="2"/>
    </row>
    <row r="559" ht="15.75" customHeight="1">
      <c r="A559" s="2"/>
      <c r="B559" s="2"/>
      <c r="C559" s="2"/>
      <c r="D559" s="2"/>
      <c r="E559" s="2"/>
      <c r="F559" s="2"/>
      <c r="G559" s="2"/>
      <c r="H559" s="2"/>
      <c r="I559" s="2"/>
      <c r="J559" s="2"/>
      <c r="K559" s="2"/>
    </row>
    <row r="560" ht="15.75" customHeight="1">
      <c r="A560" s="2"/>
      <c r="B560" s="2"/>
      <c r="C560" s="2"/>
      <c r="D560" s="2"/>
      <c r="E560" s="2"/>
      <c r="F560" s="2"/>
      <c r="G560" s="2"/>
      <c r="H560" s="2"/>
      <c r="I560" s="2"/>
      <c r="J560" s="2"/>
      <c r="K560" s="2"/>
    </row>
    <row r="561" ht="15.75" customHeight="1">
      <c r="A561" s="2"/>
      <c r="B561" s="2"/>
      <c r="C561" s="2"/>
      <c r="D561" s="2"/>
      <c r="E561" s="2"/>
      <c r="F561" s="2"/>
      <c r="G561" s="2"/>
      <c r="H561" s="2"/>
      <c r="I561" s="2"/>
      <c r="J561" s="2"/>
      <c r="K561" s="2"/>
    </row>
    <row r="562" ht="15.75" customHeight="1">
      <c r="A562" s="2"/>
      <c r="B562" s="2"/>
      <c r="C562" s="2"/>
      <c r="D562" s="2"/>
      <c r="E562" s="2"/>
      <c r="F562" s="2"/>
      <c r="G562" s="2"/>
      <c r="H562" s="2"/>
      <c r="I562" s="2"/>
      <c r="J562" s="2"/>
      <c r="K562" s="2"/>
    </row>
    <row r="563" ht="15.75" customHeight="1">
      <c r="A563" s="2"/>
      <c r="B563" s="2"/>
      <c r="C563" s="2"/>
      <c r="D563" s="2"/>
      <c r="E563" s="2"/>
      <c r="F563" s="2"/>
      <c r="G563" s="2"/>
      <c r="H563" s="2"/>
      <c r="I563" s="2"/>
      <c r="J563" s="2"/>
      <c r="K563" s="2"/>
    </row>
    <row r="564" ht="15.75" customHeight="1">
      <c r="A564" s="2"/>
      <c r="B564" s="2"/>
      <c r="C564" s="2"/>
      <c r="D564" s="2"/>
      <c r="E564" s="2"/>
      <c r="F564" s="2"/>
      <c r="G564" s="2"/>
      <c r="H564" s="2"/>
      <c r="I564" s="2"/>
      <c r="J564" s="2"/>
      <c r="K564" s="2"/>
    </row>
    <row r="565" ht="15.75" customHeight="1">
      <c r="A565" s="2"/>
      <c r="B565" s="2"/>
      <c r="C565" s="2"/>
      <c r="D565" s="2"/>
      <c r="E565" s="2"/>
      <c r="F565" s="2"/>
      <c r="G565" s="2"/>
      <c r="H565" s="2"/>
      <c r="I565" s="2"/>
      <c r="J565" s="2"/>
      <c r="K565" s="2"/>
    </row>
    <row r="566" ht="15.75" customHeight="1">
      <c r="A566" s="2"/>
      <c r="B566" s="2"/>
      <c r="C566" s="2"/>
      <c r="D566" s="2"/>
      <c r="E566" s="2"/>
      <c r="F566" s="2"/>
      <c r="G566" s="2"/>
      <c r="H566" s="2"/>
      <c r="I566" s="2"/>
      <c r="J566" s="2"/>
      <c r="K566" s="2"/>
    </row>
    <row r="567" ht="15.75" customHeight="1">
      <c r="A567" s="2"/>
      <c r="B567" s="2"/>
      <c r="C567" s="2"/>
      <c r="D567" s="2"/>
      <c r="E567" s="2"/>
      <c r="F567" s="2"/>
      <c r="G567" s="2"/>
      <c r="H567" s="2"/>
      <c r="I567" s="2"/>
      <c r="J567" s="2"/>
      <c r="K567" s="2"/>
    </row>
    <row r="568" ht="15.75" customHeight="1">
      <c r="A568" s="2"/>
      <c r="B568" s="2"/>
      <c r="C568" s="2"/>
      <c r="D568" s="2"/>
      <c r="E568" s="2"/>
      <c r="F568" s="2"/>
      <c r="G568" s="2"/>
      <c r="H568" s="2"/>
      <c r="I568" s="2"/>
      <c r="J568" s="2"/>
      <c r="K568" s="2"/>
    </row>
    <row r="569" ht="15.75" customHeight="1">
      <c r="A569" s="2"/>
      <c r="B569" s="2"/>
      <c r="C569" s="2"/>
      <c r="D569" s="2"/>
      <c r="E569" s="2"/>
      <c r="F569" s="2"/>
      <c r="G569" s="2"/>
      <c r="H569" s="2"/>
      <c r="I569" s="2"/>
      <c r="J569" s="2"/>
      <c r="K569" s="2"/>
    </row>
    <row r="570" ht="15.75" customHeight="1">
      <c r="A570" s="2"/>
      <c r="B570" s="2"/>
      <c r="C570" s="2"/>
      <c r="D570" s="2"/>
      <c r="E570" s="2"/>
      <c r="F570" s="2"/>
      <c r="G570" s="2"/>
      <c r="H570" s="2"/>
      <c r="I570" s="2"/>
      <c r="J570" s="2"/>
      <c r="K570" s="2"/>
    </row>
    <row r="571" ht="15.75" customHeight="1">
      <c r="A571" s="2"/>
      <c r="B571" s="2"/>
      <c r="C571" s="2"/>
      <c r="D571" s="2"/>
      <c r="E571" s="2"/>
      <c r="F571" s="2"/>
      <c r="G571" s="2"/>
      <c r="H571" s="2"/>
      <c r="I571" s="2"/>
      <c r="J571" s="2"/>
      <c r="K571" s="2"/>
    </row>
    <row r="572" ht="15.75" customHeight="1">
      <c r="A572" s="2"/>
      <c r="B572" s="2"/>
      <c r="C572" s="2"/>
      <c r="D572" s="2"/>
      <c r="E572" s="2"/>
      <c r="F572" s="2"/>
      <c r="G572" s="2"/>
      <c r="H572" s="2"/>
      <c r="I572" s="2"/>
      <c r="J572" s="2"/>
      <c r="K572" s="2"/>
    </row>
    <row r="573" ht="15.75" customHeight="1">
      <c r="A573" s="2"/>
      <c r="B573" s="2"/>
      <c r="C573" s="2"/>
      <c r="D573" s="2"/>
      <c r="E573" s="2"/>
      <c r="F573" s="2"/>
      <c r="G573" s="2"/>
      <c r="H573" s="2"/>
      <c r="I573" s="2"/>
      <c r="J573" s="2"/>
      <c r="K573" s="2"/>
    </row>
    <row r="574" ht="15.75" customHeight="1">
      <c r="A574" s="2"/>
      <c r="B574" s="2"/>
      <c r="C574" s="2"/>
      <c r="D574" s="2"/>
      <c r="E574" s="2"/>
      <c r="F574" s="2"/>
      <c r="G574" s="2"/>
      <c r="H574" s="2"/>
      <c r="I574" s="2"/>
      <c r="J574" s="2"/>
      <c r="K574" s="2"/>
    </row>
    <row r="575" ht="15.75" customHeight="1">
      <c r="A575" s="2"/>
      <c r="B575" s="2"/>
      <c r="C575" s="2"/>
      <c r="D575" s="2"/>
      <c r="E575" s="2"/>
      <c r="F575" s="2"/>
      <c r="G575" s="2"/>
      <c r="H575" s="2"/>
      <c r="I575" s="2"/>
      <c r="J575" s="2"/>
      <c r="K575" s="2"/>
    </row>
    <row r="576" ht="15.75" customHeight="1">
      <c r="A576" s="2"/>
      <c r="B576" s="2"/>
      <c r="C576" s="2"/>
      <c r="D576" s="2"/>
      <c r="E576" s="2"/>
      <c r="F576" s="2"/>
      <c r="G576" s="2"/>
      <c r="H576" s="2"/>
      <c r="I576" s="2"/>
      <c r="J576" s="2"/>
      <c r="K576" s="2"/>
    </row>
    <row r="577" ht="15.75" customHeight="1">
      <c r="A577" s="2"/>
      <c r="B577" s="2"/>
      <c r="C577" s="2"/>
      <c r="D577" s="2"/>
      <c r="E577" s="2"/>
      <c r="F577" s="2"/>
      <c r="G577" s="2"/>
      <c r="H577" s="2"/>
      <c r="I577" s="2"/>
      <c r="J577" s="2"/>
      <c r="K577" s="2"/>
    </row>
    <row r="578" ht="15.75" customHeight="1">
      <c r="A578" s="2"/>
      <c r="B578" s="2"/>
      <c r="C578" s="2"/>
      <c r="D578" s="2"/>
      <c r="E578" s="2"/>
      <c r="F578" s="2"/>
      <c r="G578" s="2"/>
      <c r="H578" s="2"/>
      <c r="I578" s="2"/>
      <c r="J578" s="2"/>
      <c r="K578" s="2"/>
    </row>
    <row r="579" ht="15.75" customHeight="1">
      <c r="A579" s="2"/>
      <c r="B579" s="2"/>
      <c r="C579" s="2"/>
      <c r="D579" s="2"/>
      <c r="E579" s="2"/>
      <c r="F579" s="2"/>
      <c r="G579" s="2"/>
      <c r="H579" s="2"/>
      <c r="I579" s="2"/>
      <c r="J579" s="2"/>
      <c r="K579" s="2"/>
    </row>
    <row r="580" ht="15.75" customHeight="1">
      <c r="A580" s="2"/>
      <c r="B580" s="2"/>
      <c r="C580" s="2"/>
      <c r="D580" s="2"/>
      <c r="E580" s="2"/>
      <c r="F580" s="2"/>
      <c r="G580" s="2"/>
      <c r="H580" s="2"/>
      <c r="I580" s="2"/>
      <c r="J580" s="2"/>
      <c r="K580" s="2"/>
    </row>
    <row r="581" ht="15.75" customHeight="1">
      <c r="A581" s="2"/>
      <c r="B581" s="2"/>
      <c r="C581" s="2"/>
      <c r="D581" s="2"/>
      <c r="E581" s="2"/>
      <c r="F581" s="2"/>
      <c r="G581" s="2"/>
      <c r="H581" s="2"/>
      <c r="I581" s="2"/>
      <c r="J581" s="2"/>
      <c r="K581" s="2"/>
    </row>
    <row r="582" ht="15.75" customHeight="1">
      <c r="A582" s="2"/>
      <c r="B582" s="2"/>
      <c r="C582" s="2"/>
      <c r="D582" s="2"/>
      <c r="E582" s="2"/>
      <c r="F582" s="2"/>
      <c r="G582" s="2"/>
      <c r="H582" s="2"/>
      <c r="I582" s="2"/>
      <c r="J582" s="2"/>
      <c r="K582" s="2"/>
    </row>
    <row r="583" ht="15.75" customHeight="1">
      <c r="A583" s="2"/>
      <c r="B583" s="2"/>
      <c r="C583" s="2"/>
      <c r="D583" s="2"/>
      <c r="E583" s="2"/>
      <c r="F583" s="2"/>
      <c r="G583" s="2"/>
      <c r="H583" s="2"/>
      <c r="I583" s="2"/>
      <c r="J583" s="2"/>
      <c r="K583" s="2"/>
    </row>
    <row r="584" ht="15.75" customHeight="1">
      <c r="A584" s="2"/>
      <c r="B584" s="2"/>
      <c r="C584" s="2"/>
      <c r="D584" s="2"/>
      <c r="E584" s="2"/>
      <c r="F584" s="2"/>
      <c r="G584" s="2"/>
      <c r="H584" s="2"/>
      <c r="I584" s="2"/>
      <c r="J584" s="2"/>
      <c r="K584" s="2"/>
    </row>
    <row r="585" ht="15.75" customHeight="1">
      <c r="A585" s="2"/>
      <c r="B585" s="2"/>
      <c r="C585" s="2"/>
      <c r="D585" s="2"/>
      <c r="E585" s="2"/>
      <c r="F585" s="2"/>
      <c r="G585" s="2"/>
      <c r="H585" s="2"/>
      <c r="I585" s="2"/>
      <c r="J585" s="2"/>
      <c r="K585" s="2"/>
    </row>
    <row r="586" ht="15.75" customHeight="1">
      <c r="A586" s="2"/>
      <c r="B586" s="2"/>
      <c r="C586" s="2"/>
      <c r="D586" s="2"/>
      <c r="E586" s="2"/>
      <c r="F586" s="2"/>
      <c r="G586" s="2"/>
      <c r="H586" s="2"/>
      <c r="I586" s="2"/>
      <c r="J586" s="2"/>
      <c r="K586" s="2"/>
    </row>
    <row r="587" ht="15.75" customHeight="1">
      <c r="A587" s="2"/>
      <c r="B587" s="2"/>
      <c r="C587" s="2"/>
      <c r="D587" s="2"/>
      <c r="E587" s="2"/>
      <c r="F587" s="2"/>
      <c r="G587" s="2"/>
      <c r="H587" s="2"/>
      <c r="I587" s="2"/>
      <c r="J587" s="2"/>
      <c r="K587" s="2"/>
    </row>
    <row r="588" ht="15.75" customHeight="1">
      <c r="A588" s="2"/>
      <c r="B588" s="2"/>
      <c r="C588" s="2"/>
      <c r="D588" s="2"/>
      <c r="E588" s="2"/>
      <c r="F588" s="2"/>
      <c r="G588" s="2"/>
      <c r="H588" s="2"/>
      <c r="I588" s="2"/>
      <c r="J588" s="2"/>
      <c r="K588" s="2"/>
    </row>
    <row r="589" ht="15.75" customHeight="1">
      <c r="A589" s="2"/>
      <c r="B589" s="2"/>
      <c r="C589" s="2"/>
      <c r="D589" s="2"/>
      <c r="E589" s="2"/>
      <c r="F589" s="2"/>
      <c r="G589" s="2"/>
      <c r="H589" s="2"/>
      <c r="I589" s="2"/>
      <c r="J589" s="2"/>
      <c r="K589" s="2"/>
    </row>
    <row r="590" ht="15.75" customHeight="1">
      <c r="A590" s="2"/>
      <c r="B590" s="2"/>
      <c r="C590" s="2"/>
      <c r="D590" s="2"/>
      <c r="E590" s="2"/>
      <c r="F590" s="2"/>
      <c r="G590" s="2"/>
      <c r="H590" s="2"/>
      <c r="I590" s="2"/>
      <c r="J590" s="2"/>
      <c r="K590" s="2"/>
    </row>
    <row r="591" ht="15.75" customHeight="1">
      <c r="A591" s="2"/>
      <c r="B591" s="2"/>
      <c r="C591" s="2"/>
      <c r="D591" s="2"/>
      <c r="E591" s="2"/>
      <c r="F591" s="2"/>
      <c r="G591" s="2"/>
      <c r="H591" s="2"/>
      <c r="I591" s="2"/>
      <c r="J591" s="2"/>
      <c r="K591" s="2"/>
    </row>
    <row r="592" ht="15.75" customHeight="1">
      <c r="A592" s="2"/>
      <c r="B592" s="2"/>
      <c r="C592" s="2"/>
      <c r="D592" s="2"/>
      <c r="E592" s="2"/>
      <c r="F592" s="2"/>
      <c r="G592" s="2"/>
      <c r="H592" s="2"/>
      <c r="I592" s="2"/>
      <c r="J592" s="2"/>
      <c r="K592" s="2"/>
    </row>
    <row r="593" ht="15.75" customHeight="1">
      <c r="A593" s="2"/>
      <c r="B593" s="2"/>
      <c r="C593" s="2"/>
      <c r="D593" s="2"/>
      <c r="E593" s="2"/>
      <c r="F593" s="2"/>
      <c r="G593" s="2"/>
      <c r="H593" s="2"/>
      <c r="I593" s="2"/>
      <c r="J593" s="2"/>
      <c r="K593" s="2"/>
    </row>
    <row r="594" ht="15.75" customHeight="1">
      <c r="A594" s="2"/>
      <c r="B594" s="2"/>
      <c r="C594" s="2"/>
      <c r="D594" s="2"/>
      <c r="E594" s="2"/>
      <c r="F594" s="2"/>
      <c r="G594" s="2"/>
      <c r="H594" s="2"/>
      <c r="I594" s="2"/>
      <c r="J594" s="2"/>
      <c r="K594" s="2"/>
    </row>
    <row r="595" ht="15.75" customHeight="1">
      <c r="A595" s="2"/>
      <c r="B595" s="2"/>
      <c r="C595" s="2"/>
      <c r="D595" s="2"/>
      <c r="E595" s="2"/>
      <c r="F595" s="2"/>
      <c r="G595" s="2"/>
      <c r="H595" s="2"/>
      <c r="I595" s="2"/>
      <c r="J595" s="2"/>
      <c r="K595" s="2"/>
    </row>
    <row r="596" ht="15.75" customHeight="1">
      <c r="A596" s="2"/>
      <c r="B596" s="2"/>
      <c r="C596" s="2"/>
      <c r="D596" s="2"/>
      <c r="E596" s="2"/>
      <c r="F596" s="2"/>
      <c r="G596" s="2"/>
      <c r="H596" s="2"/>
      <c r="I596" s="2"/>
      <c r="J596" s="2"/>
      <c r="K596" s="2"/>
    </row>
    <row r="597" ht="15.75" customHeight="1">
      <c r="A597" s="2"/>
      <c r="B597" s="2"/>
      <c r="C597" s="2"/>
      <c r="D597" s="2"/>
      <c r="E597" s="2"/>
      <c r="F597" s="2"/>
      <c r="G597" s="2"/>
      <c r="H597" s="2"/>
      <c r="I597" s="2"/>
      <c r="J597" s="2"/>
      <c r="K597" s="2"/>
    </row>
    <row r="598" ht="15.75" customHeight="1">
      <c r="A598" s="2"/>
      <c r="B598" s="2"/>
      <c r="C598" s="2"/>
      <c r="D598" s="2"/>
      <c r="E598" s="2"/>
      <c r="F598" s="2"/>
      <c r="G598" s="2"/>
      <c r="H598" s="2"/>
      <c r="I598" s="2"/>
      <c r="J598" s="2"/>
      <c r="K598" s="2"/>
    </row>
    <row r="599" ht="15.75" customHeight="1">
      <c r="A599" s="2"/>
      <c r="B599" s="2"/>
      <c r="C599" s="2"/>
      <c r="D599" s="2"/>
      <c r="E599" s="2"/>
      <c r="F599" s="2"/>
      <c r="G599" s="2"/>
      <c r="H599" s="2"/>
      <c r="I599" s="2"/>
      <c r="J599" s="2"/>
      <c r="K599" s="2"/>
    </row>
    <row r="600" ht="15.75" customHeight="1">
      <c r="A600" s="2"/>
      <c r="B600" s="2"/>
      <c r="C600" s="2"/>
      <c r="D600" s="2"/>
      <c r="E600" s="2"/>
      <c r="F600" s="2"/>
      <c r="G600" s="2"/>
      <c r="H600" s="2"/>
      <c r="I600" s="2"/>
      <c r="J600" s="2"/>
      <c r="K600" s="2"/>
    </row>
    <row r="601" ht="15.75" customHeight="1">
      <c r="A601" s="2"/>
      <c r="B601" s="2"/>
      <c r="C601" s="2"/>
      <c r="D601" s="2"/>
      <c r="E601" s="2"/>
      <c r="F601" s="2"/>
      <c r="G601" s="2"/>
      <c r="H601" s="2"/>
      <c r="I601" s="2"/>
      <c r="J601" s="2"/>
      <c r="K601" s="2"/>
    </row>
    <row r="602" ht="15.75" customHeight="1">
      <c r="A602" s="2"/>
      <c r="B602" s="2"/>
      <c r="C602" s="2"/>
      <c r="D602" s="2"/>
      <c r="E602" s="2"/>
      <c r="F602" s="2"/>
      <c r="G602" s="2"/>
      <c r="H602" s="2"/>
      <c r="I602" s="2"/>
      <c r="J602" s="2"/>
      <c r="K602" s="2"/>
    </row>
    <row r="603" ht="15.75" customHeight="1">
      <c r="A603" s="2"/>
      <c r="B603" s="2"/>
      <c r="C603" s="2"/>
      <c r="D603" s="2"/>
      <c r="E603" s="2"/>
      <c r="F603" s="2"/>
      <c r="G603" s="2"/>
      <c r="H603" s="2"/>
      <c r="I603" s="2"/>
      <c r="J603" s="2"/>
      <c r="K603" s="2"/>
    </row>
    <row r="604" ht="15.75" customHeight="1">
      <c r="A604" s="2"/>
      <c r="B604" s="2"/>
      <c r="C604" s="2"/>
      <c r="D604" s="2"/>
      <c r="E604" s="2"/>
      <c r="F604" s="2"/>
      <c r="G604" s="2"/>
      <c r="H604" s="2"/>
      <c r="I604" s="2"/>
      <c r="J604" s="2"/>
      <c r="K604" s="2"/>
    </row>
    <row r="605" ht="15.75" customHeight="1">
      <c r="A605" s="2"/>
      <c r="B605" s="2"/>
      <c r="C605" s="2"/>
      <c r="D605" s="2"/>
      <c r="E605" s="2"/>
      <c r="F605" s="2"/>
      <c r="G605" s="2"/>
      <c r="H605" s="2"/>
      <c r="I605" s="2"/>
      <c r="J605" s="2"/>
      <c r="K605" s="2"/>
    </row>
    <row r="606" ht="15.75" customHeight="1">
      <c r="A606" s="2"/>
      <c r="B606" s="2"/>
      <c r="C606" s="2"/>
      <c r="D606" s="2"/>
      <c r="E606" s="2"/>
      <c r="F606" s="2"/>
      <c r="G606" s="2"/>
      <c r="H606" s="2"/>
      <c r="I606" s="2"/>
      <c r="J606" s="2"/>
      <c r="K606" s="2"/>
    </row>
    <row r="607" ht="15.75" customHeight="1">
      <c r="A607" s="2"/>
      <c r="B607" s="2"/>
      <c r="C607" s="2"/>
      <c r="D607" s="2"/>
      <c r="E607" s="2"/>
      <c r="F607" s="2"/>
      <c r="G607" s="2"/>
      <c r="H607" s="2"/>
      <c r="I607" s="2"/>
      <c r="J607" s="2"/>
      <c r="K607" s="2"/>
    </row>
    <row r="608" ht="15.75" customHeight="1">
      <c r="A608" s="2"/>
      <c r="B608" s="2"/>
      <c r="C608" s="2"/>
      <c r="D608" s="2"/>
      <c r="E608" s="2"/>
      <c r="F608" s="2"/>
      <c r="G608" s="2"/>
      <c r="H608" s="2"/>
      <c r="I608" s="2"/>
      <c r="J608" s="2"/>
      <c r="K608" s="2"/>
    </row>
    <row r="609" ht="15.75" customHeight="1">
      <c r="A609" s="2"/>
      <c r="B609" s="2"/>
      <c r="C609" s="2"/>
      <c r="D609" s="2"/>
      <c r="E609" s="2"/>
      <c r="F609" s="2"/>
      <c r="G609" s="2"/>
      <c r="H609" s="2"/>
      <c r="I609" s="2"/>
      <c r="J609" s="2"/>
      <c r="K609" s="2"/>
    </row>
    <row r="610" ht="15.75" customHeight="1">
      <c r="A610" s="2"/>
      <c r="B610" s="2"/>
      <c r="C610" s="2"/>
      <c r="D610" s="2"/>
      <c r="E610" s="2"/>
      <c r="F610" s="2"/>
      <c r="G610" s="2"/>
      <c r="H610" s="2"/>
      <c r="I610" s="2"/>
      <c r="J610" s="2"/>
      <c r="K610" s="2"/>
    </row>
    <row r="611" ht="15.75" customHeight="1">
      <c r="A611" s="2"/>
      <c r="B611" s="2"/>
      <c r="C611" s="2"/>
      <c r="D611" s="2"/>
      <c r="E611" s="2"/>
      <c r="F611" s="2"/>
      <c r="G611" s="2"/>
      <c r="H611" s="2"/>
      <c r="I611" s="2"/>
      <c r="J611" s="2"/>
      <c r="K611" s="2"/>
    </row>
    <row r="612" ht="15.75" customHeight="1">
      <c r="A612" s="2"/>
      <c r="B612" s="2"/>
      <c r="C612" s="2"/>
      <c r="D612" s="2"/>
      <c r="E612" s="2"/>
      <c r="F612" s="2"/>
      <c r="G612" s="2"/>
      <c r="H612" s="2"/>
      <c r="I612" s="2"/>
      <c r="J612" s="2"/>
      <c r="K612" s="2"/>
    </row>
    <row r="613" ht="15.75" customHeight="1">
      <c r="A613" s="2"/>
      <c r="B613" s="2"/>
      <c r="C613" s="2"/>
      <c r="D613" s="2"/>
      <c r="E613" s="2"/>
      <c r="F613" s="2"/>
      <c r="G613" s="2"/>
      <c r="H613" s="2"/>
      <c r="I613" s="2"/>
      <c r="J613" s="2"/>
      <c r="K613" s="2"/>
    </row>
    <row r="614" ht="15.75" customHeight="1">
      <c r="A614" s="2"/>
      <c r="B614" s="2"/>
      <c r="C614" s="2"/>
      <c r="D614" s="2"/>
      <c r="E614" s="2"/>
      <c r="F614" s="2"/>
      <c r="G614" s="2"/>
      <c r="H614" s="2"/>
      <c r="I614" s="2"/>
      <c r="J614" s="2"/>
      <c r="K614" s="2"/>
    </row>
    <row r="615" ht="15.75" customHeight="1">
      <c r="A615" s="2"/>
      <c r="B615" s="2"/>
      <c r="C615" s="2"/>
      <c r="D615" s="2"/>
      <c r="E615" s="2"/>
      <c r="F615" s="2"/>
      <c r="G615" s="2"/>
      <c r="H615" s="2"/>
      <c r="I615" s="2"/>
      <c r="J615" s="2"/>
      <c r="K615" s="2"/>
    </row>
    <row r="616" ht="15.75" customHeight="1">
      <c r="A616" s="2"/>
      <c r="B616" s="2"/>
      <c r="C616" s="2"/>
      <c r="D616" s="2"/>
      <c r="E616" s="2"/>
      <c r="F616" s="2"/>
      <c r="G616" s="2"/>
      <c r="H616" s="2"/>
      <c r="I616" s="2"/>
      <c r="J616" s="2"/>
      <c r="K616" s="2"/>
    </row>
    <row r="617" ht="15.75" customHeight="1">
      <c r="A617" s="2"/>
      <c r="B617" s="2"/>
      <c r="C617" s="2"/>
      <c r="D617" s="2"/>
      <c r="E617" s="2"/>
      <c r="F617" s="2"/>
      <c r="G617" s="2"/>
      <c r="H617" s="2"/>
      <c r="I617" s="2"/>
      <c r="J617" s="2"/>
      <c r="K617" s="2"/>
    </row>
    <row r="618" ht="15.75" customHeight="1">
      <c r="A618" s="2"/>
      <c r="B618" s="2"/>
      <c r="C618" s="2"/>
      <c r="D618" s="2"/>
      <c r="E618" s="2"/>
      <c r="F618" s="2"/>
      <c r="G618" s="2"/>
      <c r="H618" s="2"/>
      <c r="I618" s="2"/>
      <c r="J618" s="2"/>
      <c r="K618" s="2"/>
    </row>
    <row r="619" ht="15.75" customHeight="1">
      <c r="A619" s="2"/>
      <c r="B619" s="2"/>
      <c r="C619" s="2"/>
      <c r="D619" s="2"/>
      <c r="E619" s="2"/>
      <c r="F619" s="2"/>
      <c r="G619" s="2"/>
      <c r="H619" s="2"/>
      <c r="I619" s="2"/>
      <c r="J619" s="2"/>
      <c r="K619" s="2"/>
    </row>
    <row r="620" ht="15.75" customHeight="1">
      <c r="A620" s="2"/>
      <c r="B620" s="2"/>
      <c r="C620" s="2"/>
      <c r="D620" s="2"/>
      <c r="E620" s="2"/>
      <c r="F620" s="2"/>
      <c r="G620" s="2"/>
      <c r="H620" s="2"/>
      <c r="I620" s="2"/>
      <c r="J620" s="2"/>
      <c r="K620" s="2"/>
    </row>
    <row r="621" ht="15.75" customHeight="1">
      <c r="A621" s="2"/>
      <c r="B621" s="2"/>
      <c r="C621" s="2"/>
      <c r="D621" s="2"/>
      <c r="E621" s="2"/>
      <c r="F621" s="2"/>
      <c r="G621" s="2"/>
      <c r="H621" s="2"/>
      <c r="I621" s="2"/>
      <c r="J621" s="2"/>
      <c r="K621" s="2"/>
    </row>
    <row r="622" ht="15.75" customHeight="1">
      <c r="A622" s="2"/>
      <c r="B622" s="2"/>
      <c r="C622" s="2"/>
      <c r="D622" s="2"/>
      <c r="E622" s="2"/>
      <c r="F622" s="2"/>
      <c r="G622" s="2"/>
      <c r="H622" s="2"/>
      <c r="I622" s="2"/>
      <c r="J622" s="2"/>
      <c r="K622" s="2"/>
    </row>
    <row r="623" ht="15.75" customHeight="1">
      <c r="A623" s="2"/>
      <c r="B623" s="2"/>
      <c r="C623" s="2"/>
      <c r="D623" s="2"/>
      <c r="E623" s="2"/>
      <c r="F623" s="2"/>
      <c r="G623" s="2"/>
      <c r="H623" s="2"/>
      <c r="I623" s="2"/>
      <c r="J623" s="2"/>
      <c r="K623" s="2"/>
    </row>
    <row r="624" ht="15.75" customHeight="1">
      <c r="A624" s="2"/>
      <c r="B624" s="2"/>
      <c r="C624" s="2"/>
      <c r="D624" s="2"/>
      <c r="E624" s="2"/>
      <c r="F624" s="2"/>
      <c r="G624" s="2"/>
      <c r="H624" s="2"/>
      <c r="I624" s="2"/>
      <c r="J624" s="2"/>
      <c r="K624" s="2"/>
    </row>
    <row r="625" ht="15.75" customHeight="1">
      <c r="A625" s="2"/>
      <c r="B625" s="2"/>
      <c r="C625" s="2"/>
      <c r="D625" s="2"/>
      <c r="E625" s="2"/>
      <c r="F625" s="2"/>
      <c r="G625" s="2"/>
      <c r="H625" s="2"/>
      <c r="I625" s="2"/>
      <c r="J625" s="2"/>
      <c r="K625" s="2"/>
    </row>
    <row r="626" ht="15.75" customHeight="1">
      <c r="A626" s="2"/>
      <c r="B626" s="2"/>
      <c r="C626" s="2"/>
      <c r="D626" s="2"/>
      <c r="E626" s="2"/>
      <c r="F626" s="2"/>
      <c r="G626" s="2"/>
      <c r="H626" s="2"/>
      <c r="I626" s="2"/>
      <c r="J626" s="2"/>
      <c r="K626" s="2"/>
    </row>
    <row r="627" ht="15.75" customHeight="1">
      <c r="A627" s="2"/>
      <c r="B627" s="2"/>
      <c r="C627" s="2"/>
      <c r="D627" s="2"/>
      <c r="E627" s="2"/>
      <c r="F627" s="2"/>
      <c r="G627" s="2"/>
      <c r="H627" s="2"/>
      <c r="I627" s="2"/>
      <c r="J627" s="2"/>
      <c r="K627" s="2"/>
    </row>
    <row r="628" ht="15.75" customHeight="1">
      <c r="A628" s="2"/>
      <c r="B628" s="2"/>
      <c r="C628" s="2"/>
      <c r="D628" s="2"/>
      <c r="E628" s="2"/>
      <c r="F628" s="2"/>
      <c r="G628" s="2"/>
      <c r="H628" s="2"/>
      <c r="I628" s="2"/>
      <c r="J628" s="2"/>
      <c r="K628" s="2"/>
    </row>
    <row r="629" ht="15.75" customHeight="1">
      <c r="A629" s="2"/>
      <c r="B629" s="2"/>
      <c r="C629" s="2"/>
      <c r="D629" s="2"/>
      <c r="E629" s="2"/>
      <c r="F629" s="2"/>
      <c r="G629" s="2"/>
      <c r="H629" s="2"/>
      <c r="I629" s="2"/>
      <c r="J629" s="2"/>
      <c r="K629" s="2"/>
    </row>
    <row r="630" ht="15.75" customHeight="1">
      <c r="A630" s="2"/>
      <c r="B630" s="2"/>
      <c r="C630" s="2"/>
      <c r="D630" s="2"/>
      <c r="E630" s="2"/>
      <c r="F630" s="2"/>
      <c r="G630" s="2"/>
      <c r="H630" s="2"/>
      <c r="I630" s="2"/>
      <c r="J630" s="2"/>
      <c r="K630" s="2"/>
    </row>
    <row r="631" ht="15.75" customHeight="1">
      <c r="A631" s="2"/>
      <c r="B631" s="2"/>
      <c r="C631" s="2"/>
      <c r="D631" s="2"/>
      <c r="E631" s="2"/>
      <c r="F631" s="2"/>
      <c r="G631" s="2"/>
      <c r="H631" s="2"/>
      <c r="I631" s="2"/>
      <c r="J631" s="2"/>
      <c r="K631" s="2"/>
    </row>
    <row r="632" ht="15.75" customHeight="1">
      <c r="A632" s="2"/>
      <c r="B632" s="2"/>
      <c r="C632" s="2"/>
      <c r="D632" s="2"/>
      <c r="E632" s="2"/>
      <c r="F632" s="2"/>
      <c r="G632" s="2"/>
      <c r="H632" s="2"/>
      <c r="I632" s="2"/>
      <c r="J632" s="2"/>
      <c r="K632" s="2"/>
    </row>
    <row r="633" ht="15.75" customHeight="1">
      <c r="A633" s="2"/>
      <c r="B633" s="2"/>
      <c r="C633" s="2"/>
      <c r="D633" s="2"/>
      <c r="E633" s="2"/>
      <c r="F633" s="2"/>
      <c r="G633" s="2"/>
      <c r="H633" s="2"/>
      <c r="I633" s="2"/>
      <c r="J633" s="2"/>
      <c r="K633" s="2"/>
    </row>
    <row r="634" ht="15.75" customHeight="1">
      <c r="A634" s="2"/>
      <c r="B634" s="2"/>
      <c r="C634" s="2"/>
      <c r="D634" s="2"/>
      <c r="E634" s="2"/>
      <c r="F634" s="2"/>
      <c r="G634" s="2"/>
      <c r="H634" s="2"/>
      <c r="I634" s="2"/>
      <c r="J634" s="2"/>
      <c r="K634" s="2"/>
    </row>
    <row r="635" ht="15.75" customHeight="1">
      <c r="A635" s="2"/>
      <c r="B635" s="2"/>
      <c r="C635" s="2"/>
      <c r="D635" s="2"/>
      <c r="E635" s="2"/>
      <c r="F635" s="2"/>
      <c r="G635" s="2"/>
      <c r="H635" s="2"/>
      <c r="I635" s="2"/>
      <c r="J635" s="2"/>
      <c r="K635" s="2"/>
    </row>
    <row r="636" ht="15.75" customHeight="1">
      <c r="A636" s="2"/>
      <c r="B636" s="2"/>
      <c r="C636" s="2"/>
      <c r="D636" s="2"/>
      <c r="E636" s="2"/>
      <c r="F636" s="2"/>
      <c r="G636" s="2"/>
      <c r="H636" s="2"/>
      <c r="I636" s="2"/>
      <c r="J636" s="2"/>
      <c r="K636" s="2"/>
    </row>
    <row r="637" ht="15.75" customHeight="1">
      <c r="A637" s="2"/>
      <c r="B637" s="2"/>
      <c r="C637" s="2"/>
      <c r="D637" s="2"/>
      <c r="E637" s="2"/>
      <c r="F637" s="2"/>
      <c r="G637" s="2"/>
      <c r="H637" s="2"/>
      <c r="I637" s="2"/>
      <c r="J637" s="2"/>
      <c r="K637" s="2"/>
    </row>
    <row r="638" ht="15.75" customHeight="1">
      <c r="A638" s="2"/>
      <c r="B638" s="2"/>
      <c r="C638" s="2"/>
      <c r="D638" s="2"/>
      <c r="E638" s="2"/>
      <c r="F638" s="2"/>
      <c r="G638" s="2"/>
      <c r="H638" s="2"/>
      <c r="I638" s="2"/>
      <c r="J638" s="2"/>
      <c r="K638" s="2"/>
    </row>
    <row r="639" ht="15.75" customHeight="1">
      <c r="A639" s="2"/>
      <c r="B639" s="2"/>
      <c r="C639" s="2"/>
      <c r="D639" s="2"/>
      <c r="E639" s="2"/>
      <c r="F639" s="2"/>
      <c r="G639" s="2"/>
      <c r="H639" s="2"/>
      <c r="I639" s="2"/>
      <c r="J639" s="2"/>
      <c r="K639" s="2"/>
    </row>
    <row r="640" ht="15.75" customHeight="1">
      <c r="A640" s="2"/>
      <c r="B640" s="2"/>
      <c r="C640" s="2"/>
      <c r="D640" s="2"/>
      <c r="E640" s="2"/>
      <c r="F640" s="2"/>
      <c r="G640" s="2"/>
      <c r="H640" s="2"/>
      <c r="I640" s="2"/>
      <c r="J640" s="2"/>
      <c r="K640" s="2"/>
    </row>
    <row r="641" ht="15.75" customHeight="1">
      <c r="A641" s="2"/>
      <c r="B641" s="2"/>
      <c r="C641" s="2"/>
      <c r="D641" s="2"/>
      <c r="E641" s="2"/>
      <c r="F641" s="2"/>
      <c r="G641" s="2"/>
      <c r="H641" s="2"/>
      <c r="I641" s="2"/>
      <c r="J641" s="2"/>
      <c r="K641" s="2"/>
    </row>
    <row r="642" ht="15.75" customHeight="1">
      <c r="A642" s="2"/>
      <c r="B642" s="2"/>
      <c r="C642" s="2"/>
      <c r="D642" s="2"/>
      <c r="E642" s="2"/>
      <c r="F642" s="2"/>
      <c r="G642" s="2"/>
      <c r="H642" s="2"/>
      <c r="I642" s="2"/>
      <c r="J642" s="2"/>
      <c r="K642" s="2"/>
    </row>
    <row r="643" ht="15.75" customHeight="1">
      <c r="A643" s="2"/>
      <c r="B643" s="2"/>
      <c r="C643" s="2"/>
      <c r="D643" s="2"/>
      <c r="E643" s="2"/>
      <c r="F643" s="2"/>
      <c r="G643" s="2"/>
      <c r="H643" s="2"/>
      <c r="I643" s="2"/>
      <c r="J643" s="2"/>
      <c r="K643" s="2"/>
    </row>
    <row r="644" ht="15.75" customHeight="1">
      <c r="A644" s="2"/>
      <c r="B644" s="2"/>
      <c r="C644" s="2"/>
      <c r="D644" s="2"/>
      <c r="E644" s="2"/>
      <c r="F644" s="2"/>
      <c r="G644" s="2"/>
      <c r="H644" s="2"/>
      <c r="I644" s="2"/>
      <c r="J644" s="2"/>
      <c r="K644" s="2"/>
    </row>
    <row r="645" ht="15.75" customHeight="1">
      <c r="A645" s="2"/>
      <c r="B645" s="2"/>
      <c r="C645" s="2"/>
      <c r="D645" s="2"/>
      <c r="E645" s="2"/>
      <c r="F645" s="2"/>
      <c r="G645" s="2"/>
      <c r="H645" s="2"/>
      <c r="I645" s="2"/>
      <c r="J645" s="2"/>
      <c r="K645" s="2"/>
    </row>
    <row r="646" ht="15.75" customHeight="1">
      <c r="A646" s="2"/>
      <c r="B646" s="2"/>
      <c r="C646" s="2"/>
      <c r="D646" s="2"/>
      <c r="E646" s="2"/>
      <c r="F646" s="2"/>
      <c r="G646" s="2"/>
      <c r="H646" s="2"/>
      <c r="I646" s="2"/>
      <c r="J646" s="2"/>
      <c r="K646" s="2"/>
    </row>
    <row r="647" ht="15.75" customHeight="1">
      <c r="A647" s="2"/>
      <c r="B647" s="2"/>
      <c r="C647" s="2"/>
      <c r="D647" s="2"/>
      <c r="E647" s="2"/>
      <c r="F647" s="2"/>
      <c r="G647" s="2"/>
      <c r="H647" s="2"/>
      <c r="I647" s="2"/>
      <c r="J647" s="2"/>
      <c r="K647" s="2"/>
    </row>
    <row r="648" ht="15.75" customHeight="1">
      <c r="A648" s="2"/>
      <c r="B648" s="2"/>
      <c r="C648" s="2"/>
      <c r="D648" s="2"/>
      <c r="E648" s="2"/>
      <c r="F648" s="2"/>
      <c r="G648" s="2"/>
      <c r="H648" s="2"/>
      <c r="I648" s="2"/>
      <c r="J648" s="2"/>
      <c r="K648" s="2"/>
    </row>
    <row r="649" ht="15.75" customHeight="1">
      <c r="A649" s="2"/>
      <c r="B649" s="2"/>
      <c r="C649" s="2"/>
      <c r="D649" s="2"/>
      <c r="E649" s="2"/>
      <c r="F649" s="2"/>
      <c r="G649" s="2"/>
      <c r="H649" s="2"/>
      <c r="I649" s="2"/>
      <c r="J649" s="2"/>
      <c r="K649" s="2"/>
    </row>
    <row r="650" ht="15.75" customHeight="1">
      <c r="A650" s="2"/>
      <c r="B650" s="2"/>
      <c r="C650" s="2"/>
      <c r="D650" s="2"/>
      <c r="E650" s="2"/>
      <c r="F650" s="2"/>
      <c r="G650" s="2"/>
      <c r="H650" s="2"/>
      <c r="I650" s="2"/>
      <c r="J650" s="2"/>
      <c r="K650" s="2"/>
    </row>
    <row r="651" ht="15.75" customHeight="1">
      <c r="A651" s="2"/>
      <c r="B651" s="2"/>
      <c r="C651" s="2"/>
      <c r="D651" s="2"/>
      <c r="E651" s="2"/>
      <c r="F651" s="2"/>
      <c r="G651" s="2"/>
      <c r="H651" s="2"/>
      <c r="I651" s="2"/>
      <c r="J651" s="2"/>
      <c r="K651" s="2"/>
    </row>
    <row r="652" ht="15.75" customHeight="1">
      <c r="A652" s="2"/>
      <c r="B652" s="2"/>
      <c r="C652" s="2"/>
      <c r="D652" s="2"/>
      <c r="E652" s="2"/>
      <c r="F652" s="2"/>
      <c r="G652" s="2"/>
      <c r="H652" s="2"/>
      <c r="I652" s="2"/>
      <c r="J652" s="2"/>
      <c r="K652" s="2"/>
    </row>
    <row r="653" ht="15.75" customHeight="1">
      <c r="A653" s="2"/>
      <c r="B653" s="2"/>
      <c r="C653" s="2"/>
      <c r="D653" s="2"/>
      <c r="E653" s="2"/>
      <c r="F653" s="2"/>
      <c r="G653" s="2"/>
      <c r="H653" s="2"/>
      <c r="I653" s="2"/>
      <c r="J653" s="2"/>
      <c r="K653" s="2"/>
    </row>
    <row r="654" ht="15.75" customHeight="1">
      <c r="A654" s="2"/>
      <c r="B654" s="2"/>
      <c r="C654" s="2"/>
      <c r="D654" s="2"/>
      <c r="E654" s="2"/>
      <c r="F654" s="2"/>
      <c r="G654" s="2"/>
      <c r="H654" s="2"/>
      <c r="I654" s="2"/>
      <c r="J654" s="2"/>
      <c r="K654" s="2"/>
    </row>
    <row r="655" ht="15.75" customHeight="1">
      <c r="A655" s="2"/>
      <c r="B655" s="2"/>
      <c r="C655" s="2"/>
      <c r="D655" s="2"/>
      <c r="E655" s="2"/>
      <c r="F655" s="2"/>
      <c r="G655" s="2"/>
      <c r="H655" s="2"/>
      <c r="I655" s="2"/>
      <c r="J655" s="2"/>
      <c r="K655" s="2"/>
    </row>
    <row r="656" ht="15.75" customHeight="1">
      <c r="A656" s="2"/>
      <c r="B656" s="2"/>
      <c r="C656" s="2"/>
      <c r="D656" s="2"/>
      <c r="E656" s="2"/>
      <c r="F656" s="2"/>
      <c r="G656" s="2"/>
      <c r="H656" s="2"/>
      <c r="I656" s="2"/>
      <c r="J656" s="2"/>
      <c r="K656" s="2"/>
    </row>
    <row r="657" ht="15.75" customHeight="1">
      <c r="A657" s="2"/>
      <c r="B657" s="2"/>
      <c r="C657" s="2"/>
      <c r="D657" s="2"/>
      <c r="E657" s="2"/>
      <c r="F657" s="2"/>
      <c r="G657" s="2"/>
      <c r="H657" s="2"/>
      <c r="I657" s="2"/>
      <c r="J657" s="2"/>
      <c r="K657" s="2"/>
    </row>
    <row r="658" ht="15.75" customHeight="1">
      <c r="A658" s="2"/>
      <c r="B658" s="2"/>
      <c r="C658" s="2"/>
      <c r="D658" s="2"/>
      <c r="E658" s="2"/>
      <c r="F658" s="2"/>
      <c r="G658" s="2"/>
      <c r="H658" s="2"/>
      <c r="I658" s="2"/>
      <c r="J658" s="2"/>
      <c r="K658" s="2"/>
    </row>
    <row r="659" ht="15.75" customHeight="1">
      <c r="A659" s="2"/>
      <c r="B659" s="2"/>
      <c r="C659" s="2"/>
      <c r="D659" s="2"/>
      <c r="E659" s="2"/>
      <c r="F659" s="2"/>
      <c r="G659" s="2"/>
      <c r="H659" s="2"/>
      <c r="I659" s="2"/>
      <c r="J659" s="2"/>
      <c r="K659" s="2"/>
    </row>
    <row r="660" ht="15.75" customHeight="1">
      <c r="A660" s="2"/>
      <c r="B660" s="2"/>
      <c r="C660" s="2"/>
      <c r="D660" s="2"/>
      <c r="E660" s="2"/>
      <c r="F660" s="2"/>
      <c r="G660" s="2"/>
      <c r="H660" s="2"/>
      <c r="I660" s="2"/>
      <c r="J660" s="2"/>
      <c r="K660" s="2"/>
    </row>
    <row r="661" ht="15.75" customHeight="1">
      <c r="A661" s="2"/>
      <c r="B661" s="2"/>
      <c r="C661" s="2"/>
      <c r="D661" s="2"/>
      <c r="E661" s="2"/>
      <c r="F661" s="2"/>
      <c r="G661" s="2"/>
      <c r="H661" s="2"/>
      <c r="I661" s="2"/>
      <c r="J661" s="2"/>
      <c r="K661" s="2"/>
    </row>
    <row r="662" ht="15.75" customHeight="1">
      <c r="A662" s="2"/>
      <c r="B662" s="2"/>
      <c r="C662" s="2"/>
      <c r="D662" s="2"/>
      <c r="E662" s="2"/>
      <c r="F662" s="2"/>
      <c r="G662" s="2"/>
      <c r="H662" s="2"/>
      <c r="I662" s="2"/>
      <c r="J662" s="2"/>
      <c r="K662" s="2"/>
    </row>
    <row r="663" ht="15.75" customHeight="1">
      <c r="A663" s="2"/>
      <c r="B663" s="2"/>
      <c r="C663" s="2"/>
      <c r="D663" s="2"/>
      <c r="E663" s="2"/>
      <c r="F663" s="2"/>
      <c r="G663" s="2"/>
      <c r="H663" s="2"/>
      <c r="I663" s="2"/>
      <c r="J663" s="2"/>
      <c r="K663" s="2"/>
    </row>
    <row r="664" ht="15.75" customHeight="1">
      <c r="A664" s="2"/>
      <c r="B664" s="2"/>
      <c r="C664" s="2"/>
      <c r="D664" s="2"/>
      <c r="E664" s="2"/>
      <c r="F664" s="2"/>
      <c r="G664" s="2"/>
      <c r="H664" s="2"/>
      <c r="I664" s="2"/>
      <c r="J664" s="2"/>
      <c r="K664" s="2"/>
    </row>
    <row r="665" ht="15.75" customHeight="1">
      <c r="A665" s="2"/>
      <c r="B665" s="2"/>
      <c r="C665" s="2"/>
      <c r="D665" s="2"/>
      <c r="E665" s="2"/>
      <c r="F665" s="2"/>
      <c r="G665" s="2"/>
      <c r="H665" s="2"/>
      <c r="I665" s="2"/>
      <c r="J665" s="2"/>
      <c r="K665" s="2"/>
    </row>
    <row r="666" ht="15.75" customHeight="1">
      <c r="A666" s="2"/>
      <c r="B666" s="2"/>
      <c r="C666" s="2"/>
      <c r="D666" s="2"/>
      <c r="E666" s="2"/>
      <c r="F666" s="2"/>
      <c r="G666" s="2"/>
      <c r="H666" s="2"/>
      <c r="I666" s="2"/>
      <c r="J666" s="2"/>
      <c r="K666" s="2"/>
    </row>
    <row r="667" ht="15.75" customHeight="1">
      <c r="A667" s="2"/>
      <c r="B667" s="2"/>
      <c r="C667" s="2"/>
      <c r="D667" s="2"/>
      <c r="E667" s="2"/>
      <c r="F667" s="2"/>
      <c r="G667" s="2"/>
      <c r="H667" s="2"/>
      <c r="I667" s="2"/>
      <c r="J667" s="2"/>
      <c r="K667" s="2"/>
    </row>
    <row r="668" ht="15.75" customHeight="1">
      <c r="A668" s="2"/>
      <c r="B668" s="2"/>
      <c r="C668" s="2"/>
      <c r="D668" s="2"/>
      <c r="E668" s="2"/>
      <c r="F668" s="2"/>
      <c r="G668" s="2"/>
      <c r="H668" s="2"/>
      <c r="I668" s="2"/>
      <c r="J668" s="2"/>
      <c r="K668" s="2"/>
    </row>
    <row r="669" ht="15.75" customHeight="1">
      <c r="A669" s="2"/>
      <c r="B669" s="2"/>
      <c r="C669" s="2"/>
      <c r="D669" s="2"/>
      <c r="E669" s="2"/>
      <c r="F669" s="2"/>
      <c r="G669" s="2"/>
      <c r="H669" s="2"/>
      <c r="I669" s="2"/>
      <c r="J669" s="2"/>
      <c r="K669" s="2"/>
    </row>
    <row r="670" ht="15.75" customHeight="1">
      <c r="A670" s="2"/>
      <c r="B670" s="2"/>
      <c r="C670" s="2"/>
      <c r="D670" s="2"/>
      <c r="E670" s="2"/>
      <c r="F670" s="2"/>
      <c r="G670" s="2"/>
      <c r="H670" s="2"/>
      <c r="I670" s="2"/>
      <c r="J670" s="2"/>
      <c r="K670" s="2"/>
    </row>
    <row r="671" ht="15.75" customHeight="1">
      <c r="A671" s="2"/>
      <c r="B671" s="2"/>
      <c r="C671" s="2"/>
      <c r="D671" s="2"/>
      <c r="E671" s="2"/>
      <c r="F671" s="2"/>
      <c r="G671" s="2"/>
      <c r="H671" s="2"/>
      <c r="I671" s="2"/>
      <c r="J671" s="2"/>
      <c r="K671" s="2"/>
    </row>
    <row r="672" ht="15.75" customHeight="1">
      <c r="A672" s="2"/>
      <c r="B672" s="2"/>
      <c r="C672" s="2"/>
      <c r="D672" s="2"/>
      <c r="E672" s="2"/>
      <c r="F672" s="2"/>
      <c r="G672" s="2"/>
      <c r="H672" s="2"/>
      <c r="I672" s="2"/>
      <c r="J672" s="2"/>
      <c r="K672" s="2"/>
    </row>
    <row r="673" ht="15.75" customHeight="1">
      <c r="A673" s="2"/>
      <c r="B673" s="2"/>
      <c r="C673" s="2"/>
      <c r="D673" s="2"/>
      <c r="E673" s="2"/>
      <c r="F673" s="2"/>
      <c r="G673" s="2"/>
      <c r="H673" s="2"/>
      <c r="I673" s="2"/>
      <c r="J673" s="2"/>
      <c r="K673" s="2"/>
    </row>
    <row r="674" ht="15.75" customHeight="1">
      <c r="A674" s="2"/>
      <c r="B674" s="2"/>
      <c r="C674" s="2"/>
      <c r="D674" s="2"/>
      <c r="E674" s="2"/>
      <c r="F674" s="2"/>
      <c r="G674" s="2"/>
      <c r="H674" s="2"/>
      <c r="I674" s="2"/>
      <c r="J674" s="2"/>
      <c r="K674" s="2"/>
    </row>
    <row r="675" ht="15.75" customHeight="1">
      <c r="A675" s="2"/>
      <c r="B675" s="2"/>
      <c r="C675" s="2"/>
      <c r="D675" s="2"/>
      <c r="E675" s="2"/>
      <c r="F675" s="2"/>
      <c r="G675" s="2"/>
      <c r="H675" s="2"/>
      <c r="I675" s="2"/>
      <c r="J675" s="2"/>
      <c r="K675" s="2"/>
    </row>
    <row r="676" ht="15.75" customHeight="1">
      <c r="A676" s="2"/>
      <c r="B676" s="2"/>
      <c r="C676" s="2"/>
      <c r="D676" s="2"/>
      <c r="E676" s="2"/>
      <c r="F676" s="2"/>
      <c r="G676" s="2"/>
      <c r="H676" s="2"/>
      <c r="I676" s="2"/>
      <c r="J676" s="2"/>
      <c r="K676" s="2"/>
    </row>
    <row r="677" ht="15.75" customHeight="1">
      <c r="A677" s="2"/>
      <c r="B677" s="2"/>
      <c r="C677" s="2"/>
      <c r="D677" s="2"/>
      <c r="E677" s="2"/>
      <c r="F677" s="2"/>
      <c r="G677" s="2"/>
      <c r="H677" s="2"/>
      <c r="I677" s="2"/>
      <c r="J677" s="2"/>
      <c r="K677" s="2"/>
    </row>
    <row r="678" ht="15.75" customHeight="1">
      <c r="A678" s="2"/>
      <c r="B678" s="2"/>
      <c r="C678" s="2"/>
      <c r="D678" s="2"/>
      <c r="E678" s="2"/>
      <c r="F678" s="2"/>
      <c r="G678" s="2"/>
      <c r="H678" s="2"/>
      <c r="I678" s="2"/>
      <c r="J678" s="2"/>
      <c r="K678" s="2"/>
    </row>
    <row r="679" ht="15.75" customHeight="1">
      <c r="A679" s="2"/>
      <c r="B679" s="2"/>
      <c r="C679" s="2"/>
      <c r="D679" s="2"/>
      <c r="E679" s="2"/>
      <c r="F679" s="2"/>
      <c r="G679" s="2"/>
      <c r="H679" s="2"/>
      <c r="I679" s="2"/>
      <c r="J679" s="2"/>
      <c r="K679" s="2"/>
    </row>
    <row r="680" ht="15.75" customHeight="1">
      <c r="A680" s="2"/>
      <c r="B680" s="2"/>
      <c r="C680" s="2"/>
      <c r="D680" s="2"/>
      <c r="E680" s="2"/>
      <c r="F680" s="2"/>
      <c r="G680" s="2"/>
      <c r="H680" s="2"/>
      <c r="I680" s="2"/>
      <c r="J680" s="2"/>
      <c r="K680" s="2"/>
    </row>
    <row r="681" ht="15.75" customHeight="1">
      <c r="A681" s="2"/>
      <c r="B681" s="2"/>
      <c r="C681" s="2"/>
      <c r="D681" s="2"/>
      <c r="E681" s="2"/>
      <c r="F681" s="2"/>
      <c r="G681" s="2"/>
      <c r="H681" s="2"/>
      <c r="I681" s="2"/>
      <c r="J681" s="2"/>
      <c r="K681" s="2"/>
    </row>
    <row r="682" ht="15.75" customHeight="1">
      <c r="A682" s="2"/>
      <c r="B682" s="2"/>
      <c r="C682" s="2"/>
      <c r="D682" s="2"/>
      <c r="E682" s="2"/>
      <c r="F682" s="2"/>
      <c r="G682" s="2"/>
      <c r="H682" s="2"/>
      <c r="I682" s="2"/>
      <c r="J682" s="2"/>
      <c r="K682" s="2"/>
    </row>
    <row r="683" ht="15.75" customHeight="1">
      <c r="A683" s="2"/>
      <c r="B683" s="2"/>
      <c r="C683" s="2"/>
      <c r="D683" s="2"/>
      <c r="E683" s="2"/>
      <c r="F683" s="2"/>
      <c r="G683" s="2"/>
      <c r="H683" s="2"/>
      <c r="I683" s="2"/>
      <c r="J683" s="2"/>
      <c r="K683" s="2"/>
    </row>
    <row r="684" ht="15.75" customHeight="1">
      <c r="A684" s="2"/>
      <c r="B684" s="2"/>
      <c r="C684" s="2"/>
      <c r="D684" s="2"/>
      <c r="E684" s="2"/>
      <c r="F684" s="2"/>
      <c r="G684" s="2"/>
      <c r="H684" s="2"/>
      <c r="I684" s="2"/>
      <c r="J684" s="2"/>
      <c r="K684" s="2"/>
    </row>
    <row r="685" ht="15.75" customHeight="1">
      <c r="A685" s="2"/>
      <c r="B685" s="2"/>
      <c r="C685" s="2"/>
      <c r="D685" s="2"/>
      <c r="E685" s="2"/>
      <c r="F685" s="2"/>
      <c r="G685" s="2"/>
      <c r="H685" s="2"/>
      <c r="I685" s="2"/>
      <c r="J685" s="2"/>
      <c r="K685" s="2"/>
    </row>
    <row r="686" ht="15.75" customHeight="1">
      <c r="A686" s="2"/>
      <c r="B686" s="2"/>
      <c r="C686" s="2"/>
      <c r="D686" s="2"/>
      <c r="E686" s="2"/>
      <c r="F686" s="2"/>
      <c r="G686" s="2"/>
      <c r="H686" s="2"/>
      <c r="I686" s="2"/>
      <c r="J686" s="2"/>
      <c r="K686" s="2"/>
    </row>
    <row r="687" ht="15.75" customHeight="1">
      <c r="A687" s="2"/>
      <c r="B687" s="2"/>
      <c r="C687" s="2"/>
      <c r="D687" s="2"/>
      <c r="E687" s="2"/>
      <c r="F687" s="2"/>
      <c r="G687" s="2"/>
      <c r="H687" s="2"/>
      <c r="I687" s="2"/>
      <c r="J687" s="2"/>
      <c r="K687" s="2"/>
    </row>
    <row r="688" ht="15.75" customHeight="1">
      <c r="A688" s="2"/>
      <c r="B688" s="2"/>
      <c r="C688" s="2"/>
      <c r="D688" s="2"/>
      <c r="E688" s="2"/>
      <c r="F688" s="2"/>
      <c r="G688" s="2"/>
      <c r="H688" s="2"/>
      <c r="I688" s="2"/>
      <c r="J688" s="2"/>
      <c r="K688" s="2"/>
    </row>
    <row r="689" ht="15.75" customHeight="1">
      <c r="A689" s="2"/>
      <c r="B689" s="2"/>
      <c r="C689" s="2"/>
      <c r="D689" s="2"/>
      <c r="E689" s="2"/>
      <c r="F689" s="2"/>
      <c r="G689" s="2"/>
      <c r="H689" s="2"/>
      <c r="I689" s="2"/>
      <c r="J689" s="2"/>
      <c r="K689" s="2"/>
    </row>
    <row r="690" ht="15.75" customHeight="1">
      <c r="A690" s="2"/>
      <c r="B690" s="2"/>
      <c r="C690" s="2"/>
      <c r="D690" s="2"/>
      <c r="E690" s="2"/>
      <c r="F690" s="2"/>
      <c r="G690" s="2"/>
      <c r="H690" s="2"/>
      <c r="I690" s="2"/>
      <c r="J690" s="2"/>
      <c r="K690" s="2"/>
    </row>
    <row r="691" ht="15.75" customHeight="1">
      <c r="A691" s="2"/>
      <c r="B691" s="2"/>
      <c r="C691" s="2"/>
      <c r="D691" s="2"/>
      <c r="E691" s="2"/>
      <c r="F691" s="2"/>
      <c r="G691" s="2"/>
      <c r="H691" s="2"/>
      <c r="I691" s="2"/>
      <c r="J691" s="2"/>
      <c r="K691" s="2"/>
    </row>
    <row r="692" ht="15.75" customHeight="1">
      <c r="A692" s="2"/>
      <c r="B692" s="2"/>
      <c r="C692" s="2"/>
      <c r="D692" s="2"/>
      <c r="E692" s="2"/>
      <c r="F692" s="2"/>
      <c r="G692" s="2"/>
      <c r="H692" s="2"/>
      <c r="I692" s="2"/>
      <c r="J692" s="2"/>
      <c r="K692" s="2"/>
    </row>
    <row r="693" ht="15.75" customHeight="1">
      <c r="A693" s="2"/>
      <c r="B693" s="2"/>
      <c r="C693" s="2"/>
      <c r="D693" s="2"/>
      <c r="E693" s="2"/>
      <c r="F693" s="2"/>
      <c r="G693" s="2"/>
      <c r="H693" s="2"/>
      <c r="I693" s="2"/>
      <c r="J693" s="2"/>
      <c r="K693" s="2"/>
    </row>
    <row r="694" ht="15.75" customHeight="1">
      <c r="A694" s="2"/>
      <c r="B694" s="2"/>
      <c r="C694" s="2"/>
      <c r="D694" s="2"/>
      <c r="E694" s="2"/>
      <c r="F694" s="2"/>
      <c r="G694" s="2"/>
      <c r="H694" s="2"/>
      <c r="I694" s="2"/>
      <c r="J694" s="2"/>
      <c r="K694" s="2"/>
    </row>
    <row r="695" ht="15.75" customHeight="1">
      <c r="A695" s="2"/>
      <c r="B695" s="2"/>
      <c r="C695" s="2"/>
      <c r="D695" s="2"/>
      <c r="E695" s="2"/>
      <c r="F695" s="2"/>
      <c r="G695" s="2"/>
      <c r="H695" s="2"/>
      <c r="I695" s="2"/>
      <c r="J695" s="2"/>
      <c r="K695" s="2"/>
    </row>
    <row r="696" ht="15.75" customHeight="1">
      <c r="A696" s="2"/>
      <c r="B696" s="2"/>
      <c r="C696" s="2"/>
      <c r="D696" s="2"/>
      <c r="E696" s="2"/>
      <c r="F696" s="2"/>
      <c r="G696" s="2"/>
      <c r="H696" s="2"/>
      <c r="I696" s="2"/>
      <c r="J696" s="2"/>
      <c r="K696" s="2"/>
    </row>
    <row r="697" ht="15.75" customHeight="1">
      <c r="A697" s="2"/>
      <c r="B697" s="2"/>
      <c r="C697" s="2"/>
      <c r="D697" s="2"/>
      <c r="E697" s="2"/>
      <c r="F697" s="2"/>
      <c r="G697" s="2"/>
      <c r="H697" s="2"/>
      <c r="I697" s="2"/>
      <c r="J697" s="2"/>
      <c r="K697" s="2"/>
    </row>
    <row r="698" ht="15.75" customHeight="1">
      <c r="A698" s="2"/>
      <c r="B698" s="2"/>
      <c r="C698" s="2"/>
      <c r="D698" s="2"/>
      <c r="E698" s="2"/>
      <c r="F698" s="2"/>
      <c r="G698" s="2"/>
      <c r="H698" s="2"/>
      <c r="I698" s="2"/>
      <c r="J698" s="2"/>
      <c r="K698" s="2"/>
    </row>
    <row r="699" ht="15.75" customHeight="1">
      <c r="A699" s="2"/>
      <c r="B699" s="2"/>
      <c r="C699" s="2"/>
      <c r="D699" s="2"/>
      <c r="E699" s="2"/>
      <c r="F699" s="2"/>
      <c r="G699" s="2"/>
      <c r="H699" s="2"/>
      <c r="I699" s="2"/>
      <c r="J699" s="2"/>
      <c r="K699" s="2"/>
    </row>
    <row r="700" ht="15.75" customHeight="1">
      <c r="A700" s="2"/>
      <c r="B700" s="2"/>
      <c r="C700" s="2"/>
      <c r="D700" s="2"/>
      <c r="E700" s="2"/>
      <c r="F700" s="2"/>
      <c r="G700" s="2"/>
      <c r="H700" s="2"/>
      <c r="I700" s="2"/>
      <c r="J700" s="2"/>
      <c r="K700" s="2"/>
    </row>
    <row r="701" ht="15.75" customHeight="1">
      <c r="A701" s="2"/>
      <c r="B701" s="2"/>
      <c r="C701" s="2"/>
      <c r="D701" s="2"/>
      <c r="E701" s="2"/>
      <c r="F701" s="2"/>
      <c r="G701" s="2"/>
      <c r="H701" s="2"/>
      <c r="I701" s="2"/>
      <c r="J701" s="2"/>
      <c r="K701" s="2"/>
    </row>
    <row r="702" ht="15.75" customHeight="1">
      <c r="A702" s="2"/>
      <c r="B702" s="2"/>
      <c r="C702" s="2"/>
      <c r="D702" s="2"/>
      <c r="E702" s="2"/>
      <c r="F702" s="2"/>
      <c r="G702" s="2"/>
      <c r="H702" s="2"/>
      <c r="I702" s="2"/>
      <c r="J702" s="2"/>
      <c r="K702" s="2"/>
    </row>
    <row r="703" ht="15.75" customHeight="1">
      <c r="A703" s="2"/>
      <c r="B703" s="2"/>
      <c r="C703" s="2"/>
      <c r="D703" s="2"/>
      <c r="E703" s="2"/>
      <c r="F703" s="2"/>
      <c r="G703" s="2"/>
      <c r="H703" s="2"/>
      <c r="I703" s="2"/>
      <c r="J703" s="2"/>
      <c r="K703" s="2"/>
    </row>
    <row r="704" ht="15.75" customHeight="1">
      <c r="A704" s="2"/>
      <c r="B704" s="2"/>
      <c r="C704" s="2"/>
      <c r="D704" s="2"/>
      <c r="E704" s="2"/>
      <c r="F704" s="2"/>
      <c r="G704" s="2"/>
      <c r="H704" s="2"/>
      <c r="I704" s="2"/>
      <c r="J704" s="2"/>
      <c r="K704" s="2"/>
    </row>
    <row r="705" ht="15.75" customHeight="1">
      <c r="A705" s="2"/>
      <c r="B705" s="2"/>
      <c r="C705" s="2"/>
      <c r="D705" s="2"/>
      <c r="E705" s="2"/>
      <c r="F705" s="2"/>
      <c r="G705" s="2"/>
      <c r="H705" s="2"/>
      <c r="I705" s="2"/>
      <c r="J705" s="2"/>
      <c r="K705" s="2"/>
    </row>
    <row r="706" ht="15.75" customHeight="1">
      <c r="A706" s="2"/>
      <c r="B706" s="2"/>
      <c r="C706" s="2"/>
      <c r="D706" s="2"/>
      <c r="E706" s="2"/>
      <c r="F706" s="2"/>
      <c r="G706" s="2"/>
      <c r="H706" s="2"/>
      <c r="I706" s="2"/>
      <c r="J706" s="2"/>
      <c r="K706" s="2"/>
    </row>
    <row r="707" ht="15.75" customHeight="1">
      <c r="A707" s="2"/>
      <c r="B707" s="2"/>
      <c r="C707" s="2"/>
      <c r="D707" s="2"/>
      <c r="E707" s="2"/>
      <c r="F707" s="2"/>
      <c r="G707" s="2"/>
      <c r="H707" s="2"/>
      <c r="I707" s="2"/>
      <c r="J707" s="2"/>
      <c r="K707" s="2"/>
    </row>
    <row r="708" ht="15.75" customHeight="1">
      <c r="A708" s="2"/>
      <c r="B708" s="2"/>
      <c r="C708" s="2"/>
      <c r="D708" s="2"/>
      <c r="E708" s="2"/>
      <c r="F708" s="2"/>
      <c r="G708" s="2"/>
      <c r="H708" s="2"/>
      <c r="I708" s="2"/>
      <c r="J708" s="2"/>
      <c r="K708" s="2"/>
    </row>
    <row r="709" ht="15.75" customHeight="1">
      <c r="A709" s="2"/>
      <c r="B709" s="2"/>
      <c r="C709" s="2"/>
      <c r="D709" s="2"/>
      <c r="E709" s="2"/>
      <c r="F709" s="2"/>
      <c r="G709" s="2"/>
      <c r="H709" s="2"/>
      <c r="I709" s="2"/>
      <c r="J709" s="2"/>
      <c r="K709" s="2"/>
    </row>
    <row r="710" ht="15.75" customHeight="1">
      <c r="A710" s="2"/>
      <c r="B710" s="2"/>
      <c r="C710" s="2"/>
      <c r="D710" s="2"/>
      <c r="E710" s="2"/>
      <c r="F710" s="2"/>
      <c r="G710" s="2"/>
      <c r="H710" s="2"/>
      <c r="I710" s="2"/>
      <c r="J710" s="2"/>
      <c r="K710" s="2"/>
    </row>
    <row r="711" ht="15.75" customHeight="1">
      <c r="A711" s="2"/>
      <c r="B711" s="2"/>
      <c r="C711" s="2"/>
      <c r="D711" s="2"/>
      <c r="E711" s="2"/>
      <c r="F711" s="2"/>
      <c r="G711" s="2"/>
      <c r="H711" s="2"/>
      <c r="I711" s="2"/>
      <c r="J711" s="2"/>
      <c r="K711" s="2"/>
    </row>
    <row r="712" ht="15.75" customHeight="1">
      <c r="A712" s="2"/>
      <c r="B712" s="2"/>
      <c r="C712" s="2"/>
      <c r="D712" s="2"/>
      <c r="E712" s="2"/>
      <c r="F712" s="2"/>
      <c r="G712" s="2"/>
      <c r="H712" s="2"/>
      <c r="I712" s="2"/>
      <c r="J712" s="2"/>
      <c r="K712" s="2"/>
    </row>
    <row r="713" ht="15.75" customHeight="1">
      <c r="A713" s="2"/>
      <c r="B713" s="2"/>
      <c r="C713" s="2"/>
      <c r="D713" s="2"/>
      <c r="E713" s="2"/>
      <c r="F713" s="2"/>
      <c r="G713" s="2"/>
      <c r="H713" s="2"/>
      <c r="I713" s="2"/>
      <c r="J713" s="2"/>
      <c r="K713" s="2"/>
    </row>
    <row r="714" ht="15.75" customHeight="1">
      <c r="A714" s="2"/>
      <c r="B714" s="2"/>
      <c r="C714" s="2"/>
      <c r="D714" s="2"/>
      <c r="E714" s="2"/>
      <c r="F714" s="2"/>
      <c r="G714" s="2"/>
      <c r="H714" s="2"/>
      <c r="I714" s="2"/>
      <c r="J714" s="2"/>
      <c r="K714" s="2"/>
    </row>
    <row r="715" ht="15.75" customHeight="1">
      <c r="A715" s="2"/>
      <c r="B715" s="2"/>
      <c r="C715" s="2"/>
      <c r="D715" s="2"/>
      <c r="E715" s="2"/>
      <c r="F715" s="2"/>
      <c r="G715" s="2"/>
      <c r="H715" s="2"/>
      <c r="I715" s="2"/>
      <c r="J715" s="2"/>
      <c r="K715" s="2"/>
    </row>
    <row r="716" ht="15.75" customHeight="1">
      <c r="A716" s="2"/>
      <c r="B716" s="2"/>
      <c r="C716" s="2"/>
      <c r="D716" s="2"/>
      <c r="E716" s="2"/>
      <c r="F716" s="2"/>
      <c r="G716" s="2"/>
      <c r="H716" s="2"/>
      <c r="I716" s="2"/>
      <c r="J716" s="2"/>
      <c r="K716" s="2"/>
    </row>
    <row r="717" ht="15.75" customHeight="1">
      <c r="A717" s="2"/>
      <c r="B717" s="2"/>
      <c r="C717" s="2"/>
      <c r="D717" s="2"/>
      <c r="E717" s="2"/>
      <c r="F717" s="2"/>
      <c r="G717" s="2"/>
      <c r="H717" s="2"/>
      <c r="I717" s="2"/>
      <c r="J717" s="2"/>
      <c r="K717" s="2"/>
    </row>
    <row r="718" ht="15.75" customHeight="1">
      <c r="A718" s="2"/>
      <c r="B718" s="2"/>
      <c r="C718" s="2"/>
      <c r="D718" s="2"/>
      <c r="E718" s="2"/>
      <c r="F718" s="2"/>
      <c r="G718" s="2"/>
      <c r="H718" s="2"/>
      <c r="I718" s="2"/>
      <c r="J718" s="2"/>
      <c r="K718" s="2"/>
    </row>
    <row r="719" ht="15.75" customHeight="1">
      <c r="A719" s="2"/>
      <c r="B719" s="2"/>
      <c r="C719" s="2"/>
      <c r="D719" s="2"/>
      <c r="E719" s="2"/>
      <c r="F719" s="2"/>
      <c r="G719" s="2"/>
      <c r="H719" s="2"/>
      <c r="I719" s="2"/>
      <c r="J719" s="2"/>
      <c r="K719" s="2"/>
    </row>
    <row r="720" ht="15.75" customHeight="1">
      <c r="A720" s="2"/>
      <c r="B720" s="2"/>
      <c r="C720" s="2"/>
      <c r="D720" s="2"/>
      <c r="E720" s="2"/>
      <c r="F720" s="2"/>
      <c r="G720" s="2"/>
      <c r="H720" s="2"/>
      <c r="I720" s="2"/>
      <c r="J720" s="2"/>
      <c r="K720" s="2"/>
    </row>
    <row r="721" ht="15.75" customHeight="1">
      <c r="A721" s="2"/>
      <c r="B721" s="2"/>
      <c r="C721" s="2"/>
      <c r="D721" s="2"/>
      <c r="E721" s="2"/>
      <c r="F721" s="2"/>
      <c r="G721" s="2"/>
      <c r="H721" s="2"/>
      <c r="I721" s="2"/>
      <c r="J721" s="2"/>
      <c r="K721" s="2"/>
    </row>
    <row r="722" ht="15.75" customHeight="1">
      <c r="A722" s="2"/>
      <c r="B722" s="2"/>
      <c r="C722" s="2"/>
      <c r="D722" s="2"/>
      <c r="E722" s="2"/>
      <c r="F722" s="2"/>
      <c r="G722" s="2"/>
      <c r="H722" s="2"/>
      <c r="I722" s="2"/>
      <c r="J722" s="2"/>
      <c r="K722" s="2"/>
    </row>
    <row r="723" ht="15.75" customHeight="1">
      <c r="A723" s="2"/>
      <c r="B723" s="2"/>
      <c r="C723" s="2"/>
      <c r="D723" s="2"/>
      <c r="E723" s="2"/>
      <c r="F723" s="2"/>
      <c r="G723" s="2"/>
      <c r="H723" s="2"/>
      <c r="I723" s="2"/>
      <c r="J723" s="2"/>
      <c r="K723" s="2"/>
    </row>
    <row r="724" ht="15.75" customHeight="1">
      <c r="A724" s="2"/>
      <c r="B724" s="2"/>
      <c r="C724" s="2"/>
      <c r="D724" s="2"/>
      <c r="E724" s="2"/>
      <c r="F724" s="2"/>
      <c r="G724" s="2"/>
      <c r="H724" s="2"/>
      <c r="I724" s="2"/>
      <c r="J724" s="2"/>
      <c r="K724" s="2"/>
    </row>
    <row r="725" ht="15.75" customHeight="1">
      <c r="A725" s="2"/>
      <c r="B725" s="2"/>
      <c r="C725" s="2"/>
      <c r="D725" s="2"/>
      <c r="E725" s="2"/>
      <c r="F725" s="2"/>
      <c r="G725" s="2"/>
      <c r="H725" s="2"/>
      <c r="I725" s="2"/>
      <c r="J725" s="2"/>
      <c r="K725" s="2"/>
    </row>
    <row r="726" ht="15.75" customHeight="1">
      <c r="A726" s="2"/>
      <c r="B726" s="2"/>
      <c r="C726" s="2"/>
      <c r="D726" s="2"/>
      <c r="E726" s="2"/>
      <c r="F726" s="2"/>
      <c r="G726" s="2"/>
      <c r="H726" s="2"/>
      <c r="I726" s="2"/>
      <c r="J726" s="2"/>
      <c r="K726" s="2"/>
    </row>
    <row r="727" ht="15.75" customHeight="1">
      <c r="A727" s="2"/>
      <c r="B727" s="2"/>
      <c r="C727" s="2"/>
      <c r="D727" s="2"/>
      <c r="E727" s="2"/>
      <c r="F727" s="2"/>
      <c r="G727" s="2"/>
      <c r="H727" s="2"/>
      <c r="I727" s="2"/>
      <c r="J727" s="2"/>
      <c r="K727" s="2"/>
    </row>
    <row r="728" ht="15.75" customHeight="1">
      <c r="A728" s="2"/>
      <c r="B728" s="2"/>
      <c r="C728" s="2"/>
      <c r="D728" s="2"/>
      <c r="E728" s="2"/>
      <c r="F728" s="2"/>
      <c r="G728" s="2"/>
      <c r="H728" s="2"/>
      <c r="I728" s="2"/>
      <c r="J728" s="2"/>
      <c r="K728" s="2"/>
    </row>
    <row r="729" ht="15.75" customHeight="1">
      <c r="A729" s="2"/>
      <c r="B729" s="2"/>
      <c r="C729" s="2"/>
      <c r="D729" s="2"/>
      <c r="E729" s="2"/>
      <c r="F729" s="2"/>
      <c r="G729" s="2"/>
      <c r="H729" s="2"/>
      <c r="I729" s="2"/>
      <c r="J729" s="2"/>
      <c r="K729" s="2"/>
    </row>
    <row r="730" ht="15.75" customHeight="1">
      <c r="A730" s="2"/>
      <c r="B730" s="2"/>
      <c r="C730" s="2"/>
      <c r="D730" s="2"/>
      <c r="E730" s="2"/>
      <c r="F730" s="2"/>
      <c r="G730" s="2"/>
      <c r="H730" s="2"/>
      <c r="I730" s="2"/>
      <c r="J730" s="2"/>
      <c r="K730" s="2"/>
    </row>
    <row r="731" ht="15.75" customHeight="1">
      <c r="A731" s="2"/>
      <c r="B731" s="2"/>
      <c r="C731" s="2"/>
      <c r="D731" s="2"/>
      <c r="E731" s="2"/>
      <c r="F731" s="2"/>
      <c r="G731" s="2"/>
      <c r="H731" s="2"/>
      <c r="I731" s="2"/>
      <c r="J731" s="2"/>
      <c r="K731" s="2"/>
    </row>
    <row r="732" ht="15.75" customHeight="1">
      <c r="A732" s="2"/>
      <c r="B732" s="2"/>
      <c r="C732" s="2"/>
      <c r="D732" s="2"/>
      <c r="E732" s="2"/>
      <c r="F732" s="2"/>
      <c r="G732" s="2"/>
      <c r="H732" s="2"/>
      <c r="I732" s="2"/>
      <c r="J732" s="2"/>
      <c r="K732" s="2"/>
    </row>
    <row r="733" ht="15.75" customHeight="1">
      <c r="A733" s="2"/>
      <c r="B733" s="2"/>
      <c r="C733" s="2"/>
      <c r="D733" s="2"/>
      <c r="E733" s="2"/>
      <c r="F733" s="2"/>
      <c r="G733" s="2"/>
      <c r="H733" s="2"/>
      <c r="I733" s="2"/>
      <c r="J733" s="2"/>
      <c r="K733" s="2"/>
    </row>
    <row r="734" ht="15.75" customHeight="1">
      <c r="A734" s="2"/>
      <c r="B734" s="2"/>
      <c r="C734" s="2"/>
      <c r="D734" s="2"/>
      <c r="E734" s="2"/>
      <c r="F734" s="2"/>
      <c r="G734" s="2"/>
      <c r="H734" s="2"/>
      <c r="I734" s="2"/>
      <c r="J734" s="2"/>
      <c r="K734" s="2"/>
    </row>
    <row r="735" ht="15.75" customHeight="1">
      <c r="A735" s="2"/>
      <c r="B735" s="2"/>
      <c r="C735" s="2"/>
      <c r="D735" s="2"/>
      <c r="E735" s="2"/>
      <c r="F735" s="2"/>
      <c r="G735" s="2"/>
      <c r="H735" s="2"/>
      <c r="I735" s="2"/>
      <c r="J735" s="2"/>
      <c r="K735" s="2"/>
    </row>
    <row r="736" ht="15.75" customHeight="1">
      <c r="A736" s="2"/>
      <c r="B736" s="2"/>
      <c r="C736" s="2"/>
      <c r="D736" s="2"/>
      <c r="E736" s="2"/>
      <c r="F736" s="2"/>
      <c r="G736" s="2"/>
      <c r="H736" s="2"/>
      <c r="I736" s="2"/>
      <c r="J736" s="2"/>
      <c r="K736" s="2"/>
    </row>
    <row r="737" ht="15.75" customHeight="1">
      <c r="A737" s="2"/>
      <c r="B737" s="2"/>
      <c r="C737" s="2"/>
      <c r="D737" s="2"/>
      <c r="E737" s="2"/>
      <c r="F737" s="2"/>
      <c r="G737" s="2"/>
      <c r="H737" s="2"/>
      <c r="I737" s="2"/>
      <c r="J737" s="2"/>
      <c r="K737" s="2"/>
    </row>
    <row r="738" ht="15.75" customHeight="1">
      <c r="A738" s="2"/>
      <c r="B738" s="2"/>
      <c r="C738" s="2"/>
      <c r="D738" s="2"/>
      <c r="E738" s="2"/>
      <c r="F738" s="2"/>
      <c r="G738" s="2"/>
      <c r="H738" s="2"/>
      <c r="I738" s="2"/>
      <c r="J738" s="2"/>
      <c r="K738" s="2"/>
    </row>
    <row r="739" ht="15.75" customHeight="1">
      <c r="A739" s="2"/>
      <c r="B739" s="2"/>
      <c r="C739" s="2"/>
      <c r="D739" s="2"/>
      <c r="E739" s="2"/>
      <c r="F739" s="2"/>
      <c r="G739" s="2"/>
      <c r="H739" s="2"/>
      <c r="I739" s="2"/>
      <c r="J739" s="2"/>
      <c r="K739" s="2"/>
    </row>
    <row r="740" ht="15.75" customHeight="1">
      <c r="A740" s="2"/>
      <c r="B740" s="2"/>
      <c r="C740" s="2"/>
      <c r="D740" s="2"/>
      <c r="E740" s="2"/>
      <c r="F740" s="2"/>
      <c r="G740" s="2"/>
      <c r="H740" s="2"/>
      <c r="I740" s="2"/>
      <c r="J740" s="2"/>
      <c r="K740" s="2"/>
    </row>
    <row r="741" ht="15.75" customHeight="1">
      <c r="A741" s="2"/>
      <c r="B741" s="2"/>
      <c r="C741" s="2"/>
      <c r="D741" s="2"/>
      <c r="E741" s="2"/>
      <c r="F741" s="2"/>
      <c r="G741" s="2"/>
      <c r="H741" s="2"/>
      <c r="I741" s="2"/>
      <c r="J741" s="2"/>
      <c r="K741" s="2"/>
    </row>
    <row r="742" ht="15.75" customHeight="1">
      <c r="A742" s="2"/>
      <c r="B742" s="2"/>
      <c r="C742" s="2"/>
      <c r="D742" s="2"/>
      <c r="E742" s="2"/>
      <c r="F742" s="2"/>
      <c r="G742" s="2"/>
      <c r="H742" s="2"/>
      <c r="I742" s="2"/>
      <c r="J742" s="2"/>
      <c r="K742" s="2"/>
    </row>
    <row r="743" ht="15.75" customHeight="1">
      <c r="A743" s="2"/>
      <c r="B743" s="2"/>
      <c r="C743" s="2"/>
      <c r="D743" s="2"/>
      <c r="E743" s="2"/>
      <c r="F743" s="2"/>
      <c r="G743" s="2"/>
      <c r="H743" s="2"/>
      <c r="I743" s="2"/>
      <c r="J743" s="2"/>
      <c r="K743" s="2"/>
    </row>
    <row r="744" ht="15.75" customHeight="1">
      <c r="A744" s="2"/>
      <c r="B744" s="2"/>
      <c r="C744" s="2"/>
      <c r="D744" s="2"/>
      <c r="E744" s="2"/>
      <c r="F744" s="2"/>
      <c r="G744" s="2"/>
      <c r="H744" s="2"/>
      <c r="I744" s="2"/>
      <c r="J744" s="2"/>
      <c r="K744" s="2"/>
    </row>
    <row r="745" ht="15.75" customHeight="1">
      <c r="A745" s="2"/>
      <c r="B745" s="2"/>
      <c r="C745" s="2"/>
      <c r="D745" s="2"/>
      <c r="E745" s="2"/>
      <c r="F745" s="2"/>
      <c r="G745" s="2"/>
      <c r="H745" s="2"/>
      <c r="I745" s="2"/>
      <c r="J745" s="2"/>
      <c r="K745" s="2"/>
    </row>
    <row r="746" ht="15.75" customHeight="1">
      <c r="A746" s="2"/>
      <c r="B746" s="2"/>
      <c r="C746" s="2"/>
      <c r="D746" s="2"/>
      <c r="E746" s="2"/>
      <c r="F746" s="2"/>
      <c r="G746" s="2"/>
      <c r="H746" s="2"/>
      <c r="I746" s="2"/>
      <c r="J746" s="2"/>
      <c r="K746" s="2"/>
    </row>
    <row r="747" ht="15.75" customHeight="1">
      <c r="A747" s="2"/>
      <c r="B747" s="2"/>
      <c r="C747" s="2"/>
      <c r="D747" s="2"/>
      <c r="E747" s="2"/>
      <c r="F747" s="2"/>
      <c r="G747" s="2"/>
      <c r="H747" s="2"/>
      <c r="I747" s="2"/>
      <c r="J747" s="2"/>
      <c r="K747" s="2"/>
    </row>
    <row r="748" ht="15.75" customHeight="1">
      <c r="A748" s="2"/>
      <c r="B748" s="2"/>
      <c r="C748" s="2"/>
      <c r="D748" s="2"/>
      <c r="E748" s="2"/>
      <c r="F748" s="2"/>
      <c r="G748" s="2"/>
      <c r="H748" s="2"/>
      <c r="I748" s="2"/>
      <c r="J748" s="2"/>
      <c r="K748" s="2"/>
    </row>
    <row r="749" ht="15.75" customHeight="1">
      <c r="A749" s="2"/>
      <c r="B749" s="2"/>
      <c r="C749" s="2"/>
      <c r="D749" s="2"/>
      <c r="E749" s="2"/>
      <c r="F749" s="2"/>
      <c r="G749" s="2"/>
      <c r="H749" s="2"/>
      <c r="I749" s="2"/>
      <c r="J749" s="2"/>
      <c r="K749" s="2"/>
    </row>
    <row r="750" ht="15.75" customHeight="1">
      <c r="A750" s="2"/>
      <c r="B750" s="2"/>
      <c r="C750" s="2"/>
      <c r="D750" s="2"/>
      <c r="E750" s="2"/>
      <c r="F750" s="2"/>
      <c r="G750" s="2"/>
      <c r="H750" s="2"/>
      <c r="I750" s="2"/>
      <c r="J750" s="2"/>
      <c r="K750" s="2"/>
    </row>
    <row r="751" ht="15.75" customHeight="1">
      <c r="A751" s="2"/>
      <c r="B751" s="2"/>
      <c r="C751" s="2"/>
      <c r="D751" s="2"/>
      <c r="E751" s="2"/>
      <c r="F751" s="2"/>
      <c r="G751" s="2"/>
      <c r="H751" s="2"/>
      <c r="I751" s="2"/>
      <c r="J751" s="2"/>
      <c r="K751" s="2"/>
    </row>
    <row r="752" ht="15.75" customHeight="1">
      <c r="A752" s="2"/>
      <c r="B752" s="2"/>
      <c r="C752" s="2"/>
      <c r="D752" s="2"/>
      <c r="E752" s="2"/>
      <c r="F752" s="2"/>
      <c r="G752" s="2"/>
      <c r="H752" s="2"/>
      <c r="I752" s="2"/>
      <c r="J752" s="2"/>
      <c r="K752" s="2"/>
    </row>
    <row r="753" ht="15.75" customHeight="1">
      <c r="A753" s="2"/>
      <c r="B753" s="2"/>
      <c r="C753" s="2"/>
      <c r="D753" s="2"/>
      <c r="E753" s="2"/>
      <c r="F753" s="2"/>
      <c r="G753" s="2"/>
      <c r="H753" s="2"/>
      <c r="I753" s="2"/>
      <c r="J753" s="2"/>
      <c r="K753" s="2"/>
    </row>
    <row r="754" ht="15.75" customHeight="1">
      <c r="A754" s="2"/>
      <c r="B754" s="2"/>
      <c r="C754" s="2"/>
      <c r="D754" s="2"/>
      <c r="E754" s="2"/>
      <c r="F754" s="2"/>
      <c r="G754" s="2"/>
      <c r="H754" s="2"/>
      <c r="I754" s="2"/>
      <c r="J754" s="2"/>
      <c r="K754" s="2"/>
    </row>
    <row r="755" ht="15.75" customHeight="1">
      <c r="A755" s="2"/>
      <c r="B755" s="2"/>
      <c r="C755" s="2"/>
      <c r="D755" s="2"/>
      <c r="E755" s="2"/>
      <c r="F755" s="2"/>
      <c r="G755" s="2"/>
      <c r="H755" s="2"/>
      <c r="I755" s="2"/>
      <c r="J755" s="2"/>
      <c r="K755" s="2"/>
    </row>
    <row r="756" ht="15.75" customHeight="1">
      <c r="A756" s="2"/>
      <c r="B756" s="2"/>
      <c r="C756" s="2"/>
      <c r="D756" s="2"/>
      <c r="E756" s="2"/>
      <c r="F756" s="2"/>
      <c r="G756" s="2"/>
      <c r="H756" s="2"/>
      <c r="I756" s="2"/>
      <c r="J756" s="2"/>
      <c r="K756" s="2"/>
    </row>
    <row r="757" ht="15.75" customHeight="1">
      <c r="A757" s="2"/>
      <c r="B757" s="2"/>
      <c r="C757" s="2"/>
      <c r="D757" s="2"/>
      <c r="E757" s="2"/>
      <c r="F757" s="2"/>
      <c r="G757" s="2"/>
      <c r="H757" s="2"/>
      <c r="I757" s="2"/>
      <c r="J757" s="2"/>
      <c r="K757" s="2"/>
    </row>
    <row r="758" ht="15.75" customHeight="1">
      <c r="A758" s="2"/>
      <c r="B758" s="2"/>
      <c r="C758" s="2"/>
      <c r="D758" s="2"/>
      <c r="E758" s="2"/>
      <c r="F758" s="2"/>
      <c r="G758" s="2"/>
      <c r="H758" s="2"/>
      <c r="I758" s="2"/>
      <c r="J758" s="2"/>
      <c r="K758" s="2"/>
    </row>
    <row r="759" ht="15.75" customHeight="1">
      <c r="A759" s="2"/>
      <c r="B759" s="2"/>
      <c r="C759" s="2"/>
      <c r="D759" s="2"/>
      <c r="E759" s="2"/>
      <c r="F759" s="2"/>
      <c r="G759" s="2"/>
      <c r="H759" s="2"/>
      <c r="I759" s="2"/>
      <c r="J759" s="2"/>
      <c r="K759" s="2"/>
    </row>
    <row r="760" ht="15.75" customHeight="1">
      <c r="A760" s="2"/>
      <c r="B760" s="2"/>
      <c r="C760" s="2"/>
      <c r="D760" s="2"/>
      <c r="E760" s="2"/>
      <c r="F760" s="2"/>
      <c r="G760" s="2"/>
      <c r="H760" s="2"/>
      <c r="I760" s="2"/>
      <c r="J760" s="2"/>
      <c r="K760" s="2"/>
    </row>
    <row r="761" ht="15.75" customHeight="1">
      <c r="A761" s="2"/>
      <c r="B761" s="2"/>
      <c r="C761" s="2"/>
      <c r="D761" s="2"/>
      <c r="E761" s="2"/>
      <c r="F761" s="2"/>
      <c r="G761" s="2"/>
      <c r="H761" s="2"/>
      <c r="I761" s="2"/>
      <c r="J761" s="2"/>
      <c r="K761" s="2"/>
    </row>
    <row r="762" ht="15.75" customHeight="1">
      <c r="A762" s="2"/>
      <c r="B762" s="2"/>
      <c r="C762" s="2"/>
      <c r="D762" s="2"/>
      <c r="E762" s="2"/>
      <c r="F762" s="2"/>
      <c r="G762" s="2"/>
      <c r="H762" s="2"/>
      <c r="I762" s="2"/>
      <c r="J762" s="2"/>
      <c r="K762" s="2"/>
    </row>
    <row r="763" ht="15.75" customHeight="1">
      <c r="A763" s="2"/>
      <c r="B763" s="2"/>
      <c r="C763" s="2"/>
      <c r="D763" s="2"/>
      <c r="E763" s="2"/>
      <c r="F763" s="2"/>
      <c r="G763" s="2"/>
      <c r="H763" s="2"/>
      <c r="I763" s="2"/>
      <c r="J763" s="2"/>
      <c r="K763" s="2"/>
    </row>
    <row r="764" ht="15.75" customHeight="1">
      <c r="A764" s="2"/>
      <c r="B764" s="2"/>
      <c r="C764" s="2"/>
      <c r="D764" s="2"/>
      <c r="E764" s="2"/>
      <c r="F764" s="2"/>
      <c r="G764" s="2"/>
      <c r="H764" s="2"/>
      <c r="I764" s="2"/>
      <c r="J764" s="2"/>
      <c r="K764" s="2"/>
    </row>
    <row r="765" ht="15.75" customHeight="1">
      <c r="A765" s="2"/>
      <c r="B765" s="2"/>
      <c r="C765" s="2"/>
      <c r="D765" s="2"/>
      <c r="E765" s="2"/>
      <c r="F765" s="2"/>
      <c r="G765" s="2"/>
      <c r="H765" s="2"/>
      <c r="I765" s="2"/>
      <c r="J765" s="2"/>
      <c r="K765" s="2"/>
    </row>
    <row r="766" ht="15.75" customHeight="1">
      <c r="A766" s="2"/>
      <c r="B766" s="2"/>
      <c r="C766" s="2"/>
      <c r="D766" s="2"/>
      <c r="E766" s="2"/>
      <c r="F766" s="2"/>
      <c r="G766" s="2"/>
      <c r="H766" s="2"/>
      <c r="I766" s="2"/>
      <c r="J766" s="2"/>
      <c r="K766" s="2"/>
    </row>
    <row r="767" ht="15.75" customHeight="1">
      <c r="A767" s="2"/>
      <c r="B767" s="2"/>
      <c r="C767" s="2"/>
      <c r="D767" s="2"/>
      <c r="E767" s="2"/>
      <c r="F767" s="2"/>
      <c r="G767" s="2"/>
      <c r="H767" s="2"/>
      <c r="I767" s="2"/>
      <c r="J767" s="2"/>
      <c r="K767" s="2"/>
    </row>
    <row r="768" ht="15.75" customHeight="1">
      <c r="A768" s="2"/>
      <c r="B768" s="2"/>
      <c r="C768" s="2"/>
      <c r="D768" s="2"/>
      <c r="E768" s="2"/>
      <c r="F768" s="2"/>
      <c r="G768" s="2"/>
      <c r="H768" s="2"/>
      <c r="I768" s="2"/>
      <c r="J768" s="2"/>
      <c r="K768" s="2"/>
    </row>
    <row r="769" ht="15.75" customHeight="1">
      <c r="A769" s="2"/>
      <c r="B769" s="2"/>
      <c r="C769" s="2"/>
      <c r="D769" s="2"/>
      <c r="E769" s="2"/>
      <c r="F769" s="2"/>
      <c r="G769" s="2"/>
      <c r="H769" s="2"/>
      <c r="I769" s="2"/>
      <c r="J769" s="2"/>
      <c r="K769" s="2"/>
    </row>
    <row r="770" ht="15.75" customHeight="1">
      <c r="A770" s="2"/>
      <c r="B770" s="2"/>
      <c r="C770" s="2"/>
      <c r="D770" s="2"/>
      <c r="E770" s="2"/>
      <c r="F770" s="2"/>
      <c r="G770" s="2"/>
      <c r="H770" s="2"/>
      <c r="I770" s="2"/>
      <c r="J770" s="2"/>
      <c r="K770" s="2"/>
    </row>
    <row r="771" ht="15.75" customHeight="1">
      <c r="A771" s="2"/>
      <c r="B771" s="2"/>
      <c r="C771" s="2"/>
      <c r="D771" s="2"/>
      <c r="E771" s="2"/>
      <c r="F771" s="2"/>
      <c r="G771" s="2"/>
      <c r="H771" s="2"/>
      <c r="I771" s="2"/>
      <c r="J771" s="2"/>
      <c r="K771" s="2"/>
    </row>
    <row r="772" ht="15.75" customHeight="1">
      <c r="A772" s="2"/>
      <c r="B772" s="2"/>
      <c r="C772" s="2"/>
      <c r="D772" s="2"/>
      <c r="E772" s="2"/>
      <c r="F772" s="2"/>
      <c r="G772" s="2"/>
      <c r="H772" s="2"/>
      <c r="I772" s="2"/>
      <c r="J772" s="2"/>
      <c r="K772" s="2"/>
    </row>
    <row r="773" ht="15.75" customHeight="1">
      <c r="A773" s="2"/>
      <c r="B773" s="2"/>
      <c r="C773" s="2"/>
      <c r="D773" s="2"/>
      <c r="E773" s="2"/>
      <c r="F773" s="2"/>
      <c r="G773" s="2"/>
      <c r="H773" s="2"/>
      <c r="I773" s="2"/>
      <c r="J773" s="2"/>
      <c r="K773" s="2"/>
    </row>
    <row r="774" ht="15.75" customHeight="1">
      <c r="A774" s="2"/>
      <c r="B774" s="2"/>
      <c r="C774" s="2"/>
      <c r="D774" s="2"/>
      <c r="E774" s="2"/>
      <c r="F774" s="2"/>
      <c r="G774" s="2"/>
      <c r="H774" s="2"/>
      <c r="I774" s="2"/>
      <c r="J774" s="2"/>
      <c r="K774" s="2"/>
    </row>
    <row r="775" ht="15.75" customHeight="1">
      <c r="A775" s="2"/>
      <c r="B775" s="2"/>
      <c r="C775" s="2"/>
      <c r="D775" s="2"/>
      <c r="E775" s="2"/>
      <c r="F775" s="2"/>
      <c r="G775" s="2"/>
      <c r="H775" s="2"/>
      <c r="I775" s="2"/>
      <c r="J775" s="2"/>
      <c r="K775" s="2"/>
    </row>
    <row r="776" ht="15.75" customHeight="1">
      <c r="A776" s="2"/>
      <c r="B776" s="2"/>
      <c r="C776" s="2"/>
      <c r="D776" s="2"/>
      <c r="E776" s="2"/>
      <c r="F776" s="2"/>
      <c r="G776" s="2"/>
      <c r="H776" s="2"/>
      <c r="I776" s="2"/>
      <c r="J776" s="2"/>
      <c r="K776" s="2"/>
    </row>
    <row r="777" ht="15.75" customHeight="1">
      <c r="A777" s="2"/>
      <c r="B777" s="2"/>
      <c r="C777" s="2"/>
      <c r="D777" s="2"/>
      <c r="E777" s="2"/>
      <c r="F777" s="2"/>
      <c r="G777" s="2"/>
      <c r="H777" s="2"/>
      <c r="I777" s="2"/>
      <c r="J777" s="2"/>
      <c r="K777" s="2"/>
    </row>
    <row r="778" ht="15.75" customHeight="1">
      <c r="A778" s="2"/>
      <c r="B778" s="2"/>
      <c r="C778" s="2"/>
      <c r="D778" s="2"/>
      <c r="E778" s="2"/>
      <c r="F778" s="2"/>
      <c r="G778" s="2"/>
      <c r="H778" s="2"/>
      <c r="I778" s="2"/>
      <c r="J778" s="2"/>
      <c r="K778" s="2"/>
    </row>
    <row r="779" ht="15.75" customHeight="1">
      <c r="A779" s="2"/>
      <c r="B779" s="2"/>
      <c r="C779" s="2"/>
      <c r="D779" s="2"/>
      <c r="E779" s="2"/>
      <c r="F779" s="2"/>
      <c r="G779" s="2"/>
      <c r="H779" s="2"/>
      <c r="I779" s="2"/>
      <c r="J779" s="2"/>
      <c r="K779" s="2"/>
    </row>
    <row r="780" ht="15.75" customHeight="1">
      <c r="A780" s="2"/>
      <c r="B780" s="2"/>
      <c r="C780" s="2"/>
      <c r="D780" s="2"/>
      <c r="E780" s="2"/>
      <c r="F780" s="2"/>
      <c r="G780" s="2"/>
      <c r="H780" s="2"/>
      <c r="I780" s="2"/>
      <c r="J780" s="2"/>
      <c r="K780" s="2"/>
    </row>
    <row r="781" ht="15.75" customHeight="1">
      <c r="A781" s="2"/>
      <c r="B781" s="2"/>
      <c r="C781" s="2"/>
      <c r="D781" s="2"/>
      <c r="E781" s="2"/>
      <c r="F781" s="2"/>
      <c r="G781" s="2"/>
      <c r="H781" s="2"/>
      <c r="I781" s="2"/>
      <c r="J781" s="2"/>
      <c r="K781" s="2"/>
    </row>
    <row r="782" ht="15.75" customHeight="1">
      <c r="A782" s="2"/>
      <c r="B782" s="2"/>
      <c r="C782" s="2"/>
      <c r="D782" s="2"/>
      <c r="E782" s="2"/>
      <c r="F782" s="2"/>
      <c r="G782" s="2"/>
      <c r="H782" s="2"/>
      <c r="I782" s="2"/>
      <c r="J782" s="2"/>
      <c r="K782" s="2"/>
    </row>
    <row r="783" ht="15.75" customHeight="1">
      <c r="A783" s="2"/>
      <c r="B783" s="2"/>
      <c r="C783" s="2"/>
      <c r="D783" s="2"/>
      <c r="E783" s="2"/>
      <c r="F783" s="2"/>
      <c r="G783" s="2"/>
      <c r="H783" s="2"/>
      <c r="I783" s="2"/>
      <c r="J783" s="2"/>
      <c r="K783" s="2"/>
    </row>
    <row r="784" ht="15.75" customHeight="1">
      <c r="A784" s="2"/>
      <c r="B784" s="2"/>
      <c r="C784" s="2"/>
      <c r="D784" s="2"/>
      <c r="E784" s="2"/>
      <c r="F784" s="2"/>
      <c r="G784" s="2"/>
      <c r="H784" s="2"/>
      <c r="I784" s="2"/>
      <c r="J784" s="2"/>
      <c r="K784" s="2"/>
    </row>
    <row r="785" ht="15.75" customHeight="1">
      <c r="A785" s="2"/>
      <c r="B785" s="2"/>
      <c r="C785" s="2"/>
      <c r="D785" s="2"/>
      <c r="E785" s="2"/>
      <c r="F785" s="2"/>
      <c r="G785" s="2"/>
      <c r="H785" s="2"/>
      <c r="I785" s="2"/>
      <c r="J785" s="2"/>
      <c r="K785" s="2"/>
    </row>
    <row r="786" ht="15.75" customHeight="1">
      <c r="A786" s="2"/>
      <c r="B786" s="2"/>
      <c r="C786" s="2"/>
      <c r="D786" s="2"/>
      <c r="E786" s="2"/>
      <c r="F786" s="2"/>
      <c r="G786" s="2"/>
      <c r="H786" s="2"/>
      <c r="I786" s="2"/>
      <c r="J786" s="2"/>
      <c r="K786" s="2"/>
    </row>
    <row r="787" ht="15.75" customHeight="1">
      <c r="A787" s="2"/>
      <c r="B787" s="2"/>
      <c r="C787" s="2"/>
      <c r="D787" s="2"/>
      <c r="E787" s="2"/>
      <c r="F787" s="2"/>
      <c r="G787" s="2"/>
      <c r="H787" s="2"/>
      <c r="I787" s="2"/>
      <c r="J787" s="2"/>
      <c r="K787" s="2"/>
    </row>
    <row r="788" ht="15.75" customHeight="1">
      <c r="A788" s="2"/>
      <c r="B788" s="2"/>
      <c r="C788" s="2"/>
      <c r="D788" s="2"/>
      <c r="E788" s="2"/>
      <c r="F788" s="2"/>
      <c r="G788" s="2"/>
      <c r="H788" s="2"/>
      <c r="I788" s="2"/>
      <c r="J788" s="2"/>
      <c r="K788" s="2"/>
    </row>
    <row r="789" ht="15.75" customHeight="1">
      <c r="A789" s="2"/>
      <c r="B789" s="2"/>
      <c r="C789" s="2"/>
      <c r="D789" s="2"/>
      <c r="E789" s="2"/>
      <c r="F789" s="2"/>
      <c r="G789" s="2"/>
      <c r="H789" s="2"/>
      <c r="I789" s="2"/>
      <c r="J789" s="2"/>
      <c r="K789" s="2"/>
    </row>
    <row r="790" ht="15.75" customHeight="1">
      <c r="A790" s="2"/>
      <c r="B790" s="2"/>
      <c r="C790" s="2"/>
      <c r="D790" s="2"/>
      <c r="E790" s="2"/>
      <c r="F790" s="2"/>
      <c r="G790" s="2"/>
      <c r="H790" s="2"/>
      <c r="I790" s="2"/>
      <c r="J790" s="2"/>
      <c r="K790" s="2"/>
    </row>
    <row r="791" ht="15.75" customHeight="1">
      <c r="A791" s="2"/>
      <c r="B791" s="2"/>
      <c r="C791" s="2"/>
      <c r="D791" s="2"/>
      <c r="E791" s="2"/>
      <c r="F791" s="2"/>
      <c r="G791" s="2"/>
      <c r="H791" s="2"/>
      <c r="I791" s="2"/>
      <c r="J791" s="2"/>
      <c r="K791" s="2"/>
    </row>
    <row r="792" ht="15.75" customHeight="1">
      <c r="A792" s="2"/>
      <c r="B792" s="2"/>
      <c r="C792" s="2"/>
      <c r="D792" s="2"/>
      <c r="E792" s="2"/>
      <c r="F792" s="2"/>
      <c r="G792" s="2"/>
      <c r="H792" s="2"/>
      <c r="I792" s="2"/>
      <c r="J792" s="2"/>
      <c r="K792" s="2"/>
    </row>
    <row r="793" ht="15.75" customHeight="1">
      <c r="A793" s="2"/>
      <c r="B793" s="2"/>
      <c r="C793" s="2"/>
      <c r="D793" s="2"/>
      <c r="E793" s="2"/>
      <c r="F793" s="2"/>
      <c r="G793" s="2"/>
      <c r="H793" s="2"/>
      <c r="I793" s="2"/>
      <c r="J793" s="2"/>
      <c r="K793" s="2"/>
    </row>
    <row r="794" ht="15.75" customHeight="1">
      <c r="A794" s="2"/>
      <c r="B794" s="2"/>
      <c r="C794" s="2"/>
      <c r="D794" s="2"/>
      <c r="E794" s="2"/>
      <c r="F794" s="2"/>
      <c r="G794" s="2"/>
      <c r="H794" s="2"/>
      <c r="I794" s="2"/>
      <c r="J794" s="2"/>
      <c r="K794" s="2"/>
    </row>
    <row r="795" ht="15.75" customHeight="1">
      <c r="A795" s="2"/>
      <c r="B795" s="2"/>
      <c r="C795" s="2"/>
      <c r="D795" s="2"/>
      <c r="E795" s="2"/>
      <c r="F795" s="2"/>
      <c r="G795" s="2"/>
      <c r="H795" s="2"/>
      <c r="I795" s="2"/>
      <c r="J795" s="2"/>
      <c r="K795" s="2"/>
    </row>
    <row r="796" ht="15.75" customHeight="1">
      <c r="A796" s="2"/>
      <c r="B796" s="2"/>
      <c r="C796" s="2"/>
      <c r="D796" s="2"/>
      <c r="E796" s="2"/>
      <c r="F796" s="2"/>
      <c r="G796" s="2"/>
      <c r="H796" s="2"/>
      <c r="I796" s="2"/>
      <c r="J796" s="2"/>
      <c r="K796" s="2"/>
    </row>
    <row r="797" ht="15.75" customHeight="1">
      <c r="A797" s="2"/>
      <c r="B797" s="2"/>
      <c r="C797" s="2"/>
      <c r="D797" s="2"/>
      <c r="E797" s="2"/>
      <c r="F797" s="2"/>
      <c r="G797" s="2"/>
      <c r="H797" s="2"/>
      <c r="I797" s="2"/>
      <c r="J797" s="2"/>
      <c r="K797" s="2"/>
    </row>
    <row r="798" ht="15.75" customHeight="1">
      <c r="A798" s="2"/>
      <c r="B798" s="2"/>
      <c r="C798" s="2"/>
      <c r="D798" s="2"/>
      <c r="E798" s="2"/>
      <c r="F798" s="2"/>
      <c r="G798" s="2"/>
      <c r="H798" s="2"/>
      <c r="I798" s="2"/>
      <c r="J798" s="2"/>
      <c r="K798" s="2"/>
    </row>
    <row r="799" ht="15.75" customHeight="1">
      <c r="A799" s="2"/>
      <c r="B799" s="2"/>
      <c r="C799" s="2"/>
      <c r="D799" s="2"/>
      <c r="E799" s="2"/>
      <c r="F799" s="2"/>
      <c r="G799" s="2"/>
      <c r="H799" s="2"/>
      <c r="I799" s="2"/>
      <c r="J799" s="2"/>
      <c r="K799" s="2"/>
    </row>
    <row r="800" ht="15.75" customHeight="1">
      <c r="A800" s="2"/>
      <c r="B800" s="2"/>
      <c r="C800" s="2"/>
      <c r="D800" s="2"/>
      <c r="E800" s="2"/>
      <c r="F800" s="2"/>
      <c r="G800" s="2"/>
      <c r="H800" s="2"/>
      <c r="I800" s="2"/>
      <c r="J800" s="2"/>
      <c r="K800" s="2"/>
    </row>
    <row r="801" ht="15.75" customHeight="1">
      <c r="A801" s="2"/>
      <c r="B801" s="2"/>
      <c r="C801" s="2"/>
      <c r="D801" s="2"/>
      <c r="E801" s="2"/>
      <c r="F801" s="2"/>
      <c r="G801" s="2"/>
      <c r="H801" s="2"/>
      <c r="I801" s="2"/>
      <c r="J801" s="2"/>
      <c r="K801" s="2"/>
    </row>
    <row r="802" ht="15.75" customHeight="1">
      <c r="A802" s="2"/>
      <c r="B802" s="2"/>
      <c r="C802" s="2"/>
      <c r="D802" s="2"/>
      <c r="E802" s="2"/>
      <c r="F802" s="2"/>
      <c r="G802" s="2"/>
      <c r="H802" s="2"/>
      <c r="I802" s="2"/>
      <c r="J802" s="2"/>
      <c r="K802" s="2"/>
    </row>
    <row r="803" ht="15.75" customHeight="1">
      <c r="A803" s="2"/>
      <c r="B803" s="2"/>
      <c r="C803" s="2"/>
      <c r="D803" s="2"/>
      <c r="E803" s="2"/>
      <c r="F803" s="2"/>
      <c r="G803" s="2"/>
      <c r="H803" s="2"/>
      <c r="I803" s="2"/>
      <c r="J803" s="2"/>
      <c r="K803" s="2"/>
    </row>
    <row r="804" ht="15.75" customHeight="1">
      <c r="A804" s="2"/>
      <c r="B804" s="2"/>
      <c r="C804" s="2"/>
      <c r="D804" s="2"/>
      <c r="E804" s="2"/>
      <c r="F804" s="2"/>
      <c r="G804" s="2"/>
      <c r="H804" s="2"/>
      <c r="I804" s="2"/>
      <c r="J804" s="2"/>
      <c r="K804" s="2"/>
    </row>
    <row r="805" ht="15.75" customHeight="1">
      <c r="A805" s="2"/>
      <c r="B805" s="2"/>
      <c r="C805" s="2"/>
      <c r="D805" s="2"/>
      <c r="E805" s="2"/>
      <c r="F805" s="2"/>
      <c r="G805" s="2"/>
      <c r="H805" s="2"/>
      <c r="I805" s="2"/>
      <c r="J805" s="2"/>
      <c r="K805" s="2"/>
    </row>
    <row r="806" ht="15.75" customHeight="1">
      <c r="A806" s="2"/>
      <c r="B806" s="2"/>
      <c r="C806" s="2"/>
      <c r="D806" s="2"/>
      <c r="E806" s="2"/>
      <c r="F806" s="2"/>
      <c r="G806" s="2"/>
      <c r="H806" s="2"/>
      <c r="I806" s="2"/>
      <c r="J806" s="2"/>
      <c r="K806" s="2"/>
    </row>
    <row r="807" ht="15.75" customHeight="1">
      <c r="A807" s="2"/>
      <c r="B807" s="2"/>
      <c r="C807" s="2"/>
      <c r="D807" s="2"/>
      <c r="E807" s="2"/>
      <c r="F807" s="2"/>
      <c r="G807" s="2"/>
      <c r="H807" s="2"/>
      <c r="I807" s="2"/>
      <c r="J807" s="2"/>
      <c r="K807" s="2"/>
    </row>
    <row r="808" ht="15.75" customHeight="1">
      <c r="A808" s="2"/>
      <c r="B808" s="2"/>
      <c r="C808" s="2"/>
      <c r="D808" s="2"/>
      <c r="E808" s="2"/>
      <c r="F808" s="2"/>
      <c r="G808" s="2"/>
      <c r="H808" s="2"/>
      <c r="I808" s="2"/>
      <c r="J808" s="2"/>
      <c r="K808" s="2"/>
    </row>
    <row r="809" ht="15.75" customHeight="1">
      <c r="A809" s="2"/>
      <c r="B809" s="2"/>
      <c r="C809" s="2"/>
      <c r="D809" s="2"/>
      <c r="E809" s="2"/>
      <c r="F809" s="2"/>
      <c r="G809" s="2"/>
      <c r="H809" s="2"/>
      <c r="I809" s="2"/>
      <c r="J809" s="2"/>
      <c r="K809" s="2"/>
    </row>
    <row r="810" ht="15.75" customHeight="1">
      <c r="A810" s="2"/>
      <c r="B810" s="2"/>
      <c r="C810" s="2"/>
      <c r="D810" s="2"/>
      <c r="E810" s="2"/>
      <c r="F810" s="2"/>
      <c r="G810" s="2"/>
      <c r="H810" s="2"/>
      <c r="I810" s="2"/>
      <c r="J810" s="2"/>
      <c r="K810" s="2"/>
    </row>
    <row r="811" ht="15.75" customHeight="1">
      <c r="A811" s="2"/>
      <c r="B811" s="2"/>
      <c r="C811" s="2"/>
      <c r="D811" s="2"/>
      <c r="E811" s="2"/>
      <c r="F811" s="2"/>
      <c r="G811" s="2"/>
      <c r="H811" s="2"/>
      <c r="I811" s="2"/>
      <c r="J811" s="2"/>
      <c r="K811" s="2"/>
    </row>
    <row r="812" ht="15.75" customHeight="1">
      <c r="A812" s="2"/>
      <c r="B812" s="2"/>
      <c r="C812" s="2"/>
      <c r="D812" s="2"/>
      <c r="E812" s="2"/>
      <c r="F812" s="2"/>
      <c r="G812" s="2"/>
      <c r="H812" s="2"/>
      <c r="I812" s="2"/>
      <c r="J812" s="2"/>
      <c r="K812" s="2"/>
    </row>
    <row r="813" ht="15.75" customHeight="1">
      <c r="A813" s="2"/>
      <c r="B813" s="2"/>
      <c r="C813" s="2"/>
      <c r="D813" s="2"/>
      <c r="E813" s="2"/>
      <c r="F813" s="2"/>
      <c r="G813" s="2"/>
      <c r="H813" s="2"/>
      <c r="I813" s="2"/>
      <c r="J813" s="2"/>
      <c r="K813" s="2"/>
    </row>
    <row r="814" ht="15.75" customHeight="1">
      <c r="A814" s="2"/>
      <c r="B814" s="2"/>
      <c r="C814" s="2"/>
      <c r="D814" s="2"/>
      <c r="E814" s="2"/>
      <c r="F814" s="2"/>
      <c r="G814" s="2"/>
      <c r="H814" s="2"/>
      <c r="I814" s="2"/>
      <c r="J814" s="2"/>
      <c r="K814" s="2"/>
    </row>
    <row r="815" ht="15.75" customHeight="1">
      <c r="A815" s="2"/>
      <c r="B815" s="2"/>
      <c r="C815" s="2"/>
      <c r="D815" s="2"/>
      <c r="E815" s="2"/>
      <c r="F815" s="2"/>
      <c r="G815" s="2"/>
      <c r="H815" s="2"/>
      <c r="I815" s="2"/>
      <c r="J815" s="2"/>
      <c r="K815" s="2"/>
    </row>
    <row r="816" ht="15.75" customHeight="1">
      <c r="A816" s="2"/>
      <c r="B816" s="2"/>
      <c r="C816" s="2"/>
      <c r="D816" s="2"/>
      <c r="E816" s="2"/>
      <c r="F816" s="2"/>
      <c r="G816" s="2"/>
      <c r="H816" s="2"/>
      <c r="I816" s="2"/>
      <c r="J816" s="2"/>
      <c r="K816" s="2"/>
    </row>
    <row r="817" ht="15.75" customHeight="1">
      <c r="A817" s="2"/>
      <c r="B817" s="2"/>
      <c r="C817" s="2"/>
      <c r="D817" s="2"/>
      <c r="E817" s="2"/>
      <c r="F817" s="2"/>
      <c r="G817" s="2"/>
      <c r="H817" s="2"/>
      <c r="I817" s="2"/>
      <c r="J817" s="2"/>
      <c r="K817" s="2"/>
    </row>
    <row r="818" ht="15.75" customHeight="1">
      <c r="A818" s="2"/>
      <c r="B818" s="2"/>
      <c r="C818" s="2"/>
      <c r="D818" s="2"/>
      <c r="E818" s="2"/>
      <c r="F818" s="2"/>
      <c r="G818" s="2"/>
      <c r="H818" s="2"/>
      <c r="I818" s="2"/>
      <c r="J818" s="2"/>
      <c r="K818" s="2"/>
    </row>
    <row r="819" ht="15.75" customHeight="1">
      <c r="A819" s="2"/>
      <c r="B819" s="2"/>
      <c r="C819" s="2"/>
      <c r="D819" s="2"/>
      <c r="E819" s="2"/>
      <c r="F819" s="2"/>
      <c r="G819" s="2"/>
      <c r="H819" s="2"/>
      <c r="I819" s="2"/>
      <c r="J819" s="2"/>
      <c r="K819" s="2"/>
    </row>
    <row r="820" ht="15.75" customHeight="1">
      <c r="A820" s="2"/>
      <c r="B820" s="2"/>
      <c r="C820" s="2"/>
      <c r="D820" s="2"/>
      <c r="E820" s="2"/>
      <c r="F820" s="2"/>
      <c r="G820" s="2"/>
      <c r="H820" s="2"/>
      <c r="I820" s="2"/>
      <c r="J820" s="2"/>
      <c r="K820" s="2"/>
    </row>
    <row r="821" ht="15.75" customHeight="1">
      <c r="A821" s="2"/>
      <c r="B821" s="2"/>
      <c r="C821" s="2"/>
      <c r="D821" s="2"/>
      <c r="E821" s="2"/>
      <c r="F821" s="2"/>
      <c r="G821" s="2"/>
      <c r="H821" s="2"/>
      <c r="I821" s="2"/>
      <c r="J821" s="2"/>
      <c r="K821" s="2"/>
    </row>
    <row r="822" ht="15.75" customHeight="1">
      <c r="A822" s="2"/>
      <c r="B822" s="2"/>
      <c r="C822" s="2"/>
      <c r="D822" s="2"/>
      <c r="E822" s="2"/>
      <c r="F822" s="2"/>
      <c r="G822" s="2"/>
      <c r="H822" s="2"/>
      <c r="I822" s="2"/>
      <c r="J822" s="2"/>
      <c r="K822" s="2"/>
    </row>
    <row r="823" ht="15.75" customHeight="1">
      <c r="A823" s="2"/>
      <c r="B823" s="2"/>
      <c r="C823" s="2"/>
      <c r="D823" s="2"/>
      <c r="E823" s="2"/>
      <c r="F823" s="2"/>
      <c r="G823" s="2"/>
      <c r="H823" s="2"/>
      <c r="I823" s="2"/>
      <c r="J823" s="2"/>
      <c r="K823" s="2"/>
    </row>
    <row r="824" ht="15.75" customHeight="1">
      <c r="A824" s="2"/>
      <c r="B824" s="2"/>
      <c r="C824" s="2"/>
      <c r="D824" s="2"/>
      <c r="E824" s="2"/>
      <c r="F824" s="2"/>
      <c r="G824" s="2"/>
      <c r="H824" s="2"/>
      <c r="I824" s="2"/>
      <c r="J824" s="2"/>
      <c r="K824" s="2"/>
    </row>
    <row r="825" ht="15.75" customHeight="1">
      <c r="A825" s="2"/>
      <c r="B825" s="2"/>
      <c r="C825" s="2"/>
      <c r="D825" s="2"/>
      <c r="E825" s="2"/>
      <c r="F825" s="2"/>
      <c r="G825" s="2"/>
      <c r="H825" s="2"/>
      <c r="I825" s="2"/>
      <c r="J825" s="2"/>
      <c r="K825" s="2"/>
    </row>
    <row r="826" ht="15.75" customHeight="1">
      <c r="A826" s="2"/>
      <c r="B826" s="2"/>
      <c r="C826" s="2"/>
      <c r="D826" s="2"/>
      <c r="E826" s="2"/>
      <c r="F826" s="2"/>
      <c r="G826" s="2"/>
      <c r="H826" s="2"/>
      <c r="I826" s="2"/>
      <c r="J826" s="2"/>
      <c r="K826" s="2"/>
    </row>
    <row r="827" ht="15.75" customHeight="1">
      <c r="A827" s="2"/>
      <c r="B827" s="2"/>
      <c r="C827" s="2"/>
      <c r="D827" s="2"/>
      <c r="E827" s="2"/>
      <c r="F827" s="2"/>
      <c r="G827" s="2"/>
      <c r="H827" s="2"/>
      <c r="I827" s="2"/>
      <c r="J827" s="2"/>
      <c r="K827" s="2"/>
    </row>
    <row r="828" ht="15.75" customHeight="1">
      <c r="A828" s="2"/>
      <c r="B828" s="2"/>
      <c r="C828" s="2"/>
      <c r="D828" s="2"/>
      <c r="E828" s="2"/>
      <c r="F828" s="2"/>
      <c r="G828" s="2"/>
      <c r="H828" s="2"/>
      <c r="I828" s="2"/>
      <c r="J828" s="2"/>
      <c r="K828" s="2"/>
    </row>
    <row r="829" ht="15.75" customHeight="1">
      <c r="A829" s="2"/>
      <c r="B829" s="2"/>
      <c r="C829" s="2"/>
      <c r="D829" s="2"/>
      <c r="E829" s="2"/>
      <c r="F829" s="2"/>
      <c r="G829" s="2"/>
      <c r="H829" s="2"/>
      <c r="I829" s="2"/>
      <c r="J829" s="2"/>
      <c r="K829" s="2"/>
    </row>
    <row r="830" ht="15.75" customHeight="1">
      <c r="A830" s="2"/>
      <c r="B830" s="2"/>
      <c r="C830" s="2"/>
      <c r="D830" s="2"/>
      <c r="E830" s="2"/>
      <c r="F830" s="2"/>
      <c r="G830" s="2"/>
      <c r="H830" s="2"/>
      <c r="I830" s="2"/>
      <c r="J830" s="2"/>
      <c r="K830" s="2"/>
    </row>
    <row r="831" ht="15.75" customHeight="1">
      <c r="A831" s="2"/>
      <c r="B831" s="2"/>
      <c r="C831" s="2"/>
      <c r="D831" s="2"/>
      <c r="E831" s="2"/>
      <c r="F831" s="2"/>
      <c r="G831" s="2"/>
      <c r="H831" s="2"/>
      <c r="I831" s="2"/>
      <c r="J831" s="2"/>
      <c r="K831" s="2"/>
    </row>
    <row r="832" ht="15.75" customHeight="1">
      <c r="A832" s="2"/>
      <c r="B832" s="2"/>
      <c r="C832" s="2"/>
      <c r="D832" s="2"/>
      <c r="E832" s="2"/>
      <c r="F832" s="2"/>
      <c r="G832" s="2"/>
      <c r="H832" s="2"/>
      <c r="I832" s="2"/>
      <c r="J832" s="2"/>
      <c r="K832" s="2"/>
    </row>
    <row r="833" ht="15.75" customHeight="1">
      <c r="A833" s="2"/>
      <c r="B833" s="2"/>
      <c r="C833" s="2"/>
      <c r="D833" s="2"/>
      <c r="E833" s="2"/>
      <c r="F833" s="2"/>
      <c r="G833" s="2"/>
      <c r="H833" s="2"/>
      <c r="I833" s="2"/>
      <c r="J833" s="2"/>
      <c r="K833" s="2"/>
    </row>
    <row r="834" ht="15.75" customHeight="1">
      <c r="A834" s="2"/>
      <c r="B834" s="2"/>
      <c r="C834" s="2"/>
      <c r="D834" s="2"/>
      <c r="E834" s="2"/>
      <c r="F834" s="2"/>
      <c r="G834" s="2"/>
      <c r="H834" s="2"/>
      <c r="I834" s="2"/>
      <c r="J834" s="2"/>
      <c r="K834" s="2"/>
    </row>
    <row r="835" ht="15.75" customHeight="1">
      <c r="A835" s="2"/>
      <c r="B835" s="2"/>
      <c r="C835" s="2"/>
      <c r="D835" s="2"/>
      <c r="E835" s="2"/>
      <c r="F835" s="2"/>
      <c r="G835" s="2"/>
      <c r="H835" s="2"/>
      <c r="I835" s="2"/>
      <c r="J835" s="2"/>
      <c r="K835" s="2"/>
    </row>
    <row r="836" ht="15.75" customHeight="1">
      <c r="A836" s="2"/>
      <c r="B836" s="2"/>
      <c r="C836" s="2"/>
      <c r="D836" s="2"/>
      <c r="E836" s="2"/>
      <c r="F836" s="2"/>
      <c r="G836" s="2"/>
      <c r="H836" s="2"/>
      <c r="I836" s="2"/>
      <c r="J836" s="2"/>
      <c r="K836" s="2"/>
    </row>
    <row r="837" ht="15.75" customHeight="1">
      <c r="A837" s="2"/>
      <c r="B837" s="2"/>
      <c r="C837" s="2"/>
      <c r="D837" s="2"/>
      <c r="E837" s="2"/>
      <c r="F837" s="2"/>
      <c r="G837" s="2"/>
      <c r="H837" s="2"/>
      <c r="I837" s="2"/>
      <c r="J837" s="2"/>
      <c r="K837" s="2"/>
    </row>
    <row r="838" ht="15.75" customHeight="1">
      <c r="A838" s="2"/>
      <c r="B838" s="2"/>
      <c r="C838" s="2"/>
      <c r="D838" s="2"/>
      <c r="E838" s="2"/>
      <c r="F838" s="2"/>
      <c r="G838" s="2"/>
      <c r="H838" s="2"/>
      <c r="I838" s="2"/>
      <c r="J838" s="2"/>
      <c r="K838" s="2"/>
    </row>
    <row r="839" ht="15.75" customHeight="1">
      <c r="A839" s="2"/>
      <c r="B839" s="2"/>
      <c r="C839" s="2"/>
      <c r="D839" s="2"/>
      <c r="E839" s="2"/>
      <c r="F839" s="2"/>
      <c r="G839" s="2"/>
      <c r="H839" s="2"/>
      <c r="I839" s="2"/>
      <c r="J839" s="2"/>
      <c r="K839" s="2"/>
    </row>
    <row r="840" ht="15.75" customHeight="1">
      <c r="A840" s="2"/>
      <c r="B840" s="2"/>
      <c r="C840" s="2"/>
      <c r="D840" s="2"/>
      <c r="E840" s="2"/>
      <c r="F840" s="2"/>
      <c r="G840" s="2"/>
      <c r="H840" s="2"/>
      <c r="I840" s="2"/>
      <c r="J840" s="2"/>
      <c r="K840" s="2"/>
    </row>
    <row r="841" ht="15.75" customHeight="1">
      <c r="A841" s="2"/>
      <c r="B841" s="2"/>
      <c r="C841" s="2"/>
      <c r="D841" s="2"/>
      <c r="E841" s="2"/>
      <c r="F841" s="2"/>
      <c r="G841" s="2"/>
      <c r="H841" s="2"/>
      <c r="I841" s="2"/>
      <c r="J841" s="2"/>
      <c r="K841" s="2"/>
    </row>
    <row r="842" ht="15.75" customHeight="1">
      <c r="A842" s="2"/>
      <c r="B842" s="2"/>
      <c r="C842" s="2"/>
      <c r="D842" s="2"/>
      <c r="E842" s="2"/>
      <c r="F842" s="2"/>
      <c r="G842" s="2"/>
      <c r="H842" s="2"/>
      <c r="I842" s="2"/>
      <c r="J842" s="2"/>
      <c r="K842" s="2"/>
    </row>
    <row r="843" ht="15.75" customHeight="1">
      <c r="A843" s="2"/>
      <c r="B843" s="2"/>
      <c r="C843" s="2"/>
      <c r="D843" s="2"/>
      <c r="E843" s="2"/>
      <c r="F843" s="2"/>
      <c r="G843" s="2"/>
      <c r="H843" s="2"/>
      <c r="I843" s="2"/>
      <c r="J843" s="2"/>
      <c r="K843" s="2"/>
    </row>
    <row r="844" ht="15.75" customHeight="1">
      <c r="A844" s="2"/>
      <c r="B844" s="2"/>
      <c r="C844" s="2"/>
      <c r="D844" s="2"/>
      <c r="E844" s="2"/>
      <c r="F844" s="2"/>
      <c r="G844" s="2"/>
      <c r="H844" s="2"/>
      <c r="I844" s="2"/>
      <c r="J844" s="2"/>
      <c r="K844" s="2"/>
    </row>
    <row r="845" ht="15.75" customHeight="1">
      <c r="A845" s="2"/>
      <c r="B845" s="2"/>
      <c r="C845" s="2"/>
      <c r="D845" s="2"/>
      <c r="E845" s="2"/>
      <c r="F845" s="2"/>
      <c r="G845" s="2"/>
      <c r="H845" s="2"/>
      <c r="I845" s="2"/>
      <c r="J845" s="2"/>
      <c r="K845" s="2"/>
    </row>
    <row r="846" ht="15.75" customHeight="1">
      <c r="A846" s="2"/>
      <c r="B846" s="2"/>
      <c r="C846" s="2"/>
      <c r="D846" s="2"/>
      <c r="E846" s="2"/>
      <c r="F846" s="2"/>
      <c r="G846" s="2"/>
      <c r="H846" s="2"/>
      <c r="I846" s="2"/>
      <c r="J846" s="2"/>
      <c r="K846" s="2"/>
    </row>
    <row r="847" ht="15.75" customHeight="1">
      <c r="A847" s="2"/>
      <c r="B847" s="2"/>
      <c r="C847" s="2"/>
      <c r="D847" s="2"/>
      <c r="E847" s="2"/>
      <c r="F847" s="2"/>
      <c r="G847" s="2"/>
      <c r="H847" s="2"/>
      <c r="I847" s="2"/>
      <c r="J847" s="2"/>
      <c r="K847" s="2"/>
    </row>
    <row r="848" ht="15.75" customHeight="1">
      <c r="A848" s="2"/>
      <c r="B848" s="2"/>
      <c r="C848" s="2"/>
      <c r="D848" s="2"/>
      <c r="E848" s="2"/>
      <c r="F848" s="2"/>
      <c r="G848" s="2"/>
      <c r="H848" s="2"/>
      <c r="I848" s="2"/>
      <c r="J848" s="2"/>
      <c r="K848" s="2"/>
    </row>
    <row r="849" ht="15.75" customHeight="1">
      <c r="A849" s="2"/>
      <c r="B849" s="2"/>
      <c r="C849" s="2"/>
      <c r="D849" s="2"/>
      <c r="E849" s="2"/>
      <c r="F849" s="2"/>
      <c r="G849" s="2"/>
      <c r="H849" s="2"/>
      <c r="I849" s="2"/>
      <c r="J849" s="2"/>
      <c r="K849" s="2"/>
    </row>
    <row r="850" ht="15.75" customHeight="1">
      <c r="A850" s="2"/>
      <c r="B850" s="2"/>
      <c r="C850" s="2"/>
      <c r="D850" s="2"/>
      <c r="E850" s="2"/>
      <c r="F850" s="2"/>
      <c r="G850" s="2"/>
      <c r="H850" s="2"/>
      <c r="I850" s="2"/>
      <c r="J850" s="2"/>
      <c r="K850" s="2"/>
    </row>
    <row r="851" ht="15.75" customHeight="1">
      <c r="A851" s="2"/>
      <c r="B851" s="2"/>
      <c r="C851" s="2"/>
      <c r="D851" s="2"/>
      <c r="E851" s="2"/>
      <c r="F851" s="2"/>
      <c r="G851" s="2"/>
      <c r="H851" s="2"/>
      <c r="I851" s="2"/>
      <c r="J851" s="2"/>
      <c r="K851" s="2"/>
    </row>
    <row r="852" ht="15.75" customHeight="1">
      <c r="A852" s="2"/>
      <c r="B852" s="2"/>
      <c r="C852" s="2"/>
      <c r="D852" s="2"/>
      <c r="E852" s="2"/>
      <c r="F852" s="2"/>
      <c r="G852" s="2"/>
      <c r="H852" s="2"/>
      <c r="I852" s="2"/>
      <c r="J852" s="2"/>
      <c r="K852" s="2"/>
    </row>
    <row r="853" ht="15.75" customHeight="1">
      <c r="A853" s="2"/>
      <c r="B853" s="2"/>
      <c r="C853" s="2"/>
      <c r="D853" s="2"/>
      <c r="E853" s="2"/>
      <c r="F853" s="2"/>
      <c r="G853" s="2"/>
      <c r="H853" s="2"/>
      <c r="I853" s="2"/>
      <c r="J853" s="2"/>
      <c r="K853" s="2"/>
    </row>
    <row r="854" ht="15.75" customHeight="1">
      <c r="A854" s="2"/>
      <c r="B854" s="2"/>
      <c r="C854" s="2"/>
      <c r="D854" s="2"/>
      <c r="E854" s="2"/>
      <c r="F854" s="2"/>
      <c r="G854" s="2"/>
      <c r="H854" s="2"/>
      <c r="I854" s="2"/>
      <c r="J854" s="2"/>
      <c r="K854" s="2"/>
    </row>
    <row r="855" ht="15.75" customHeight="1">
      <c r="A855" s="2"/>
      <c r="B855" s="2"/>
      <c r="C855" s="2"/>
      <c r="D855" s="2"/>
      <c r="E855" s="2"/>
      <c r="F855" s="2"/>
      <c r="G855" s="2"/>
      <c r="H855" s="2"/>
      <c r="I855" s="2"/>
      <c r="J855" s="2"/>
      <c r="K855" s="2"/>
    </row>
    <row r="856" ht="15.75" customHeight="1">
      <c r="A856" s="2"/>
      <c r="B856" s="2"/>
      <c r="C856" s="2"/>
      <c r="D856" s="2"/>
      <c r="E856" s="2"/>
      <c r="F856" s="2"/>
      <c r="G856" s="2"/>
      <c r="H856" s="2"/>
      <c r="I856" s="2"/>
      <c r="J856" s="2"/>
      <c r="K856" s="2"/>
    </row>
    <row r="857" ht="15.75" customHeight="1">
      <c r="A857" s="2"/>
      <c r="B857" s="2"/>
      <c r="C857" s="2"/>
      <c r="D857" s="2"/>
      <c r="E857" s="2"/>
      <c r="F857" s="2"/>
      <c r="G857" s="2"/>
      <c r="H857" s="2"/>
      <c r="I857" s="2"/>
      <c r="J857" s="2"/>
      <c r="K857" s="2"/>
    </row>
    <row r="858" ht="15.75" customHeight="1">
      <c r="A858" s="2"/>
      <c r="B858" s="2"/>
      <c r="C858" s="2"/>
      <c r="D858" s="2"/>
      <c r="E858" s="2"/>
      <c r="F858" s="2"/>
      <c r="G858" s="2"/>
      <c r="H858" s="2"/>
      <c r="I858" s="2"/>
      <c r="J858" s="2"/>
      <c r="K858" s="2"/>
    </row>
    <row r="859" ht="15.75" customHeight="1">
      <c r="A859" s="2"/>
      <c r="B859" s="2"/>
      <c r="C859" s="2"/>
      <c r="D859" s="2"/>
      <c r="E859" s="2"/>
      <c r="F859" s="2"/>
      <c r="G859" s="2"/>
      <c r="H859" s="2"/>
      <c r="I859" s="2"/>
      <c r="J859" s="2"/>
      <c r="K859" s="2"/>
    </row>
    <row r="860" ht="15.75" customHeight="1">
      <c r="A860" s="2"/>
      <c r="B860" s="2"/>
      <c r="C860" s="2"/>
      <c r="D860" s="2"/>
      <c r="E860" s="2"/>
      <c r="F860" s="2"/>
      <c r="G860" s="2"/>
      <c r="H860" s="2"/>
      <c r="I860" s="2"/>
      <c r="J860" s="2"/>
      <c r="K860" s="2"/>
    </row>
    <row r="861" ht="15.75" customHeight="1">
      <c r="A861" s="2"/>
      <c r="B861" s="2"/>
      <c r="C861" s="2"/>
      <c r="D861" s="2"/>
      <c r="E861" s="2"/>
      <c r="F861" s="2"/>
      <c r="G861" s="2"/>
      <c r="H861" s="2"/>
      <c r="I861" s="2"/>
      <c r="J861" s="2"/>
      <c r="K861" s="2"/>
    </row>
    <row r="862" ht="15.75" customHeight="1">
      <c r="A862" s="2"/>
      <c r="B862" s="2"/>
      <c r="C862" s="2"/>
      <c r="D862" s="2"/>
      <c r="E862" s="2"/>
      <c r="F862" s="2"/>
      <c r="G862" s="2"/>
      <c r="H862" s="2"/>
      <c r="I862" s="2"/>
      <c r="J862" s="2"/>
      <c r="K862" s="2"/>
    </row>
    <row r="863" ht="15.75" customHeight="1">
      <c r="A863" s="2"/>
      <c r="B863" s="2"/>
      <c r="C863" s="2"/>
      <c r="D863" s="2"/>
      <c r="E863" s="2"/>
      <c r="F863" s="2"/>
      <c r="G863" s="2"/>
      <c r="H863" s="2"/>
      <c r="I863" s="2"/>
      <c r="J863" s="2"/>
      <c r="K863" s="2"/>
    </row>
    <row r="864" ht="15.75" customHeight="1">
      <c r="A864" s="2"/>
      <c r="B864" s="2"/>
      <c r="C864" s="2"/>
      <c r="D864" s="2"/>
      <c r="E864" s="2"/>
      <c r="F864" s="2"/>
      <c r="G864" s="2"/>
      <c r="H864" s="2"/>
      <c r="I864" s="2"/>
      <c r="J864" s="2"/>
      <c r="K864" s="2"/>
    </row>
    <row r="865" ht="15.75" customHeight="1">
      <c r="A865" s="2"/>
      <c r="B865" s="2"/>
      <c r="C865" s="2"/>
      <c r="D865" s="2"/>
      <c r="E865" s="2"/>
      <c r="F865" s="2"/>
      <c r="G865" s="2"/>
      <c r="H865" s="2"/>
      <c r="I865" s="2"/>
      <c r="J865" s="2"/>
      <c r="K865" s="2"/>
    </row>
    <row r="866" ht="15.75" customHeight="1">
      <c r="A866" s="2"/>
      <c r="B866" s="2"/>
      <c r="C866" s="2"/>
      <c r="D866" s="2"/>
      <c r="E866" s="2"/>
      <c r="F866" s="2"/>
      <c r="G866" s="2"/>
      <c r="H866" s="2"/>
      <c r="I866" s="2"/>
      <c r="J866" s="2"/>
      <c r="K866" s="2"/>
    </row>
    <row r="867" ht="15.75" customHeight="1">
      <c r="A867" s="2"/>
      <c r="B867" s="2"/>
      <c r="C867" s="2"/>
      <c r="D867" s="2"/>
      <c r="E867" s="2"/>
      <c r="F867" s="2"/>
      <c r="G867" s="2"/>
      <c r="H867" s="2"/>
      <c r="I867" s="2"/>
      <c r="J867" s="2"/>
      <c r="K867" s="2"/>
    </row>
    <row r="868" ht="15.75" customHeight="1">
      <c r="A868" s="2"/>
      <c r="B868" s="2"/>
      <c r="C868" s="2"/>
      <c r="D868" s="2"/>
      <c r="E868" s="2"/>
      <c r="F868" s="2"/>
      <c r="G868" s="2"/>
      <c r="H868" s="2"/>
      <c r="I868" s="2"/>
      <c r="J868" s="2"/>
      <c r="K868" s="2"/>
    </row>
    <row r="869" ht="15.75" customHeight="1">
      <c r="A869" s="2"/>
      <c r="B869" s="2"/>
      <c r="C869" s="2"/>
      <c r="D869" s="2"/>
      <c r="E869" s="2"/>
      <c r="F869" s="2"/>
      <c r="G869" s="2"/>
      <c r="H869" s="2"/>
      <c r="I869" s="2"/>
      <c r="J869" s="2"/>
      <c r="K869" s="2"/>
    </row>
    <row r="870" ht="15.75" customHeight="1">
      <c r="A870" s="2"/>
      <c r="B870" s="2"/>
      <c r="C870" s="2"/>
      <c r="D870" s="2"/>
      <c r="E870" s="2"/>
      <c r="F870" s="2"/>
      <c r="G870" s="2"/>
      <c r="H870" s="2"/>
      <c r="I870" s="2"/>
      <c r="J870" s="2"/>
      <c r="K870" s="2"/>
    </row>
    <row r="871" ht="15.75" customHeight="1">
      <c r="A871" s="2"/>
      <c r="B871" s="2"/>
      <c r="C871" s="2"/>
      <c r="D871" s="2"/>
      <c r="E871" s="2"/>
      <c r="F871" s="2"/>
      <c r="G871" s="2"/>
      <c r="H871" s="2"/>
      <c r="I871" s="2"/>
      <c r="J871" s="2"/>
      <c r="K871" s="2"/>
    </row>
    <row r="872" ht="15.75" customHeight="1">
      <c r="A872" s="2"/>
      <c r="B872" s="2"/>
      <c r="C872" s="2"/>
      <c r="D872" s="2"/>
      <c r="E872" s="2"/>
      <c r="F872" s="2"/>
      <c r="G872" s="2"/>
      <c r="H872" s="2"/>
      <c r="I872" s="2"/>
      <c r="J872" s="2"/>
      <c r="K872" s="2"/>
    </row>
    <row r="873" ht="15.75" customHeight="1">
      <c r="A873" s="2"/>
      <c r="B873" s="2"/>
      <c r="C873" s="2"/>
      <c r="D873" s="2"/>
      <c r="E873" s="2"/>
      <c r="F873" s="2"/>
      <c r="G873" s="2"/>
      <c r="H873" s="2"/>
      <c r="I873" s="2"/>
      <c r="J873" s="2"/>
      <c r="K873" s="2"/>
    </row>
    <row r="874" ht="15.75" customHeight="1">
      <c r="A874" s="2"/>
      <c r="B874" s="2"/>
      <c r="C874" s="2"/>
      <c r="D874" s="2"/>
      <c r="E874" s="2"/>
      <c r="F874" s="2"/>
      <c r="G874" s="2"/>
      <c r="H874" s="2"/>
      <c r="I874" s="2"/>
      <c r="J874" s="2"/>
      <c r="K874" s="2"/>
    </row>
    <row r="875" ht="15.75" customHeight="1">
      <c r="A875" s="2"/>
      <c r="B875" s="2"/>
      <c r="C875" s="2"/>
      <c r="D875" s="2"/>
      <c r="E875" s="2"/>
      <c r="F875" s="2"/>
      <c r="G875" s="2"/>
      <c r="H875" s="2"/>
      <c r="I875" s="2"/>
      <c r="J875" s="2"/>
      <c r="K875" s="2"/>
    </row>
    <row r="876" ht="15.75" customHeight="1">
      <c r="A876" s="2"/>
      <c r="B876" s="2"/>
      <c r="C876" s="2"/>
      <c r="D876" s="2"/>
      <c r="E876" s="2"/>
      <c r="F876" s="2"/>
      <c r="G876" s="2"/>
      <c r="H876" s="2"/>
      <c r="I876" s="2"/>
      <c r="J876" s="2"/>
      <c r="K876" s="2"/>
    </row>
    <row r="877" ht="15.75" customHeight="1">
      <c r="A877" s="2"/>
      <c r="B877" s="2"/>
      <c r="C877" s="2"/>
      <c r="D877" s="2"/>
      <c r="E877" s="2"/>
      <c r="F877" s="2"/>
      <c r="G877" s="2"/>
      <c r="H877" s="2"/>
      <c r="I877" s="2"/>
      <c r="J877" s="2"/>
      <c r="K877" s="2"/>
    </row>
    <row r="878" ht="15.75" customHeight="1">
      <c r="A878" s="2"/>
      <c r="B878" s="2"/>
      <c r="C878" s="2"/>
      <c r="D878" s="2"/>
      <c r="E878" s="2"/>
      <c r="F878" s="2"/>
      <c r="G878" s="2"/>
      <c r="H878" s="2"/>
      <c r="I878" s="2"/>
      <c r="J878" s="2"/>
      <c r="K878" s="2"/>
    </row>
    <row r="879" ht="15.75" customHeight="1">
      <c r="A879" s="2"/>
      <c r="B879" s="2"/>
      <c r="C879" s="2"/>
      <c r="D879" s="2"/>
      <c r="E879" s="2"/>
      <c r="F879" s="2"/>
      <c r="G879" s="2"/>
      <c r="H879" s="2"/>
      <c r="I879" s="2"/>
      <c r="J879" s="2"/>
      <c r="K879" s="2"/>
    </row>
    <row r="880" ht="15.75" customHeight="1">
      <c r="A880" s="2"/>
      <c r="B880" s="2"/>
      <c r="C880" s="2"/>
      <c r="D880" s="2"/>
      <c r="E880" s="2"/>
      <c r="F880" s="2"/>
      <c r="G880" s="2"/>
      <c r="H880" s="2"/>
      <c r="I880" s="2"/>
      <c r="J880" s="2"/>
      <c r="K880" s="2"/>
    </row>
    <row r="881" ht="15.75" customHeight="1">
      <c r="A881" s="2"/>
      <c r="B881" s="2"/>
      <c r="C881" s="2"/>
      <c r="D881" s="2"/>
      <c r="E881" s="2"/>
      <c r="F881" s="2"/>
      <c r="G881" s="2"/>
      <c r="H881" s="2"/>
      <c r="I881" s="2"/>
      <c r="J881" s="2"/>
      <c r="K881" s="2"/>
    </row>
    <row r="882" ht="15.75" customHeight="1">
      <c r="A882" s="2"/>
      <c r="B882" s="2"/>
      <c r="C882" s="2"/>
      <c r="D882" s="2"/>
      <c r="E882" s="2"/>
      <c r="F882" s="2"/>
      <c r="G882" s="2"/>
      <c r="H882" s="2"/>
      <c r="I882" s="2"/>
      <c r="J882" s="2"/>
      <c r="K882" s="2"/>
    </row>
    <row r="883" ht="15.75" customHeight="1">
      <c r="A883" s="2"/>
      <c r="B883" s="2"/>
      <c r="C883" s="2"/>
      <c r="D883" s="2"/>
      <c r="E883" s="2"/>
      <c r="F883" s="2"/>
      <c r="G883" s="2"/>
      <c r="H883" s="2"/>
      <c r="I883" s="2"/>
      <c r="J883" s="2"/>
      <c r="K883" s="2"/>
    </row>
    <row r="884" ht="15.75" customHeight="1">
      <c r="A884" s="2"/>
      <c r="B884" s="2"/>
      <c r="C884" s="2"/>
      <c r="D884" s="2"/>
      <c r="E884" s="2"/>
      <c r="F884" s="2"/>
      <c r="G884" s="2"/>
      <c r="H884" s="2"/>
      <c r="I884" s="2"/>
      <c r="J884" s="2"/>
      <c r="K884" s="2"/>
    </row>
    <row r="885" ht="15.75" customHeight="1">
      <c r="A885" s="2"/>
      <c r="B885" s="2"/>
      <c r="C885" s="2"/>
      <c r="D885" s="2"/>
      <c r="E885" s="2"/>
      <c r="F885" s="2"/>
      <c r="G885" s="2"/>
      <c r="H885" s="2"/>
      <c r="I885" s="2"/>
      <c r="J885" s="2"/>
      <c r="K885" s="2"/>
    </row>
    <row r="886" ht="15.75" customHeight="1">
      <c r="A886" s="2"/>
      <c r="B886" s="2"/>
      <c r="C886" s="2"/>
      <c r="D886" s="2"/>
      <c r="E886" s="2"/>
      <c r="F886" s="2"/>
      <c r="G886" s="2"/>
      <c r="H886" s="2"/>
      <c r="I886" s="2"/>
      <c r="J886" s="2"/>
      <c r="K886" s="2"/>
    </row>
    <row r="887" ht="15.75" customHeight="1">
      <c r="A887" s="2"/>
      <c r="B887" s="2"/>
      <c r="C887" s="2"/>
      <c r="D887" s="2"/>
      <c r="E887" s="2"/>
      <c r="F887" s="2"/>
      <c r="G887" s="2"/>
      <c r="H887" s="2"/>
      <c r="I887" s="2"/>
      <c r="J887" s="2"/>
      <c r="K887" s="2"/>
    </row>
    <row r="888" ht="15.75" customHeight="1">
      <c r="A888" s="2"/>
      <c r="B888" s="2"/>
      <c r="C888" s="2"/>
      <c r="D888" s="2"/>
      <c r="E888" s="2"/>
      <c r="F888" s="2"/>
      <c r="G888" s="2"/>
      <c r="H888" s="2"/>
      <c r="I888" s="2"/>
      <c r="J888" s="2"/>
      <c r="K888" s="2"/>
    </row>
    <row r="889" ht="15.75" customHeight="1">
      <c r="A889" s="2"/>
      <c r="B889" s="2"/>
      <c r="C889" s="2"/>
      <c r="D889" s="2"/>
      <c r="E889" s="2"/>
      <c r="F889" s="2"/>
      <c r="G889" s="2"/>
      <c r="H889" s="2"/>
      <c r="I889" s="2"/>
      <c r="J889" s="2"/>
      <c r="K889" s="2"/>
    </row>
    <row r="890" ht="15.75" customHeight="1">
      <c r="A890" s="2"/>
      <c r="B890" s="2"/>
      <c r="C890" s="2"/>
      <c r="D890" s="2"/>
      <c r="E890" s="2"/>
      <c r="F890" s="2"/>
      <c r="G890" s="2"/>
      <c r="H890" s="2"/>
      <c r="I890" s="2"/>
      <c r="J890" s="2"/>
      <c r="K890" s="2"/>
    </row>
    <row r="891" ht="15.75" customHeight="1">
      <c r="A891" s="2"/>
      <c r="B891" s="2"/>
      <c r="C891" s="2"/>
      <c r="D891" s="2"/>
      <c r="E891" s="2"/>
      <c r="F891" s="2"/>
      <c r="G891" s="2"/>
      <c r="H891" s="2"/>
      <c r="I891" s="2"/>
      <c r="J891" s="2"/>
      <c r="K891" s="2"/>
    </row>
    <row r="892" ht="15.75" customHeight="1">
      <c r="A892" s="2"/>
      <c r="B892" s="2"/>
      <c r="C892" s="2"/>
      <c r="D892" s="2"/>
      <c r="E892" s="2"/>
      <c r="F892" s="2"/>
      <c r="G892" s="2"/>
      <c r="H892" s="2"/>
      <c r="I892" s="2"/>
      <c r="J892" s="2"/>
      <c r="K892" s="2"/>
    </row>
    <row r="893" ht="15.75" customHeight="1">
      <c r="A893" s="2"/>
      <c r="B893" s="2"/>
      <c r="C893" s="2"/>
      <c r="D893" s="2"/>
      <c r="E893" s="2"/>
      <c r="F893" s="2"/>
      <c r="G893" s="2"/>
      <c r="H893" s="2"/>
      <c r="I893" s="2"/>
      <c r="J893" s="2"/>
      <c r="K893" s="2"/>
    </row>
    <row r="894" ht="15.75" customHeight="1">
      <c r="A894" s="2"/>
      <c r="B894" s="2"/>
      <c r="C894" s="2"/>
      <c r="D894" s="2"/>
      <c r="E894" s="2"/>
      <c r="F894" s="2"/>
      <c r="G894" s="2"/>
      <c r="H894" s="2"/>
      <c r="I894" s="2"/>
      <c r="J894" s="2"/>
      <c r="K894" s="2"/>
    </row>
    <row r="895" ht="15.75" customHeight="1">
      <c r="A895" s="2"/>
      <c r="B895" s="2"/>
      <c r="C895" s="2"/>
      <c r="D895" s="2"/>
      <c r="E895" s="2"/>
      <c r="F895" s="2"/>
      <c r="G895" s="2"/>
      <c r="H895" s="2"/>
      <c r="I895" s="2"/>
      <c r="J895" s="2"/>
      <c r="K895" s="2"/>
    </row>
    <row r="896" ht="15.75" customHeight="1">
      <c r="A896" s="2"/>
      <c r="B896" s="2"/>
      <c r="C896" s="2"/>
      <c r="D896" s="2"/>
      <c r="E896" s="2"/>
      <c r="F896" s="2"/>
      <c r="G896" s="2"/>
      <c r="H896" s="2"/>
      <c r="I896" s="2"/>
      <c r="J896" s="2"/>
      <c r="K896" s="2"/>
    </row>
    <row r="897" ht="15.75" customHeight="1">
      <c r="A897" s="2"/>
      <c r="B897" s="2"/>
      <c r="C897" s="2"/>
      <c r="D897" s="2"/>
      <c r="E897" s="2"/>
      <c r="F897" s="2"/>
      <c r="G897" s="2"/>
      <c r="H897" s="2"/>
      <c r="I897" s="2"/>
      <c r="J897" s="2"/>
      <c r="K897" s="2"/>
    </row>
    <row r="898" ht="15.75" customHeight="1">
      <c r="A898" s="2"/>
      <c r="B898" s="2"/>
      <c r="C898" s="2"/>
      <c r="D898" s="2"/>
      <c r="E898" s="2"/>
      <c r="F898" s="2"/>
      <c r="G898" s="2"/>
      <c r="H898" s="2"/>
      <c r="I898" s="2"/>
      <c r="J898" s="2"/>
      <c r="K898" s="2"/>
    </row>
    <row r="899" ht="15.75" customHeight="1">
      <c r="A899" s="2"/>
      <c r="B899" s="2"/>
      <c r="C899" s="2"/>
      <c r="D899" s="2"/>
      <c r="E899" s="2"/>
      <c r="F899" s="2"/>
      <c r="G899" s="2"/>
      <c r="H899" s="2"/>
      <c r="I899" s="2"/>
      <c r="J899" s="2"/>
      <c r="K899" s="2"/>
    </row>
    <row r="900" ht="15.75" customHeight="1">
      <c r="A900" s="2"/>
      <c r="B900" s="2"/>
      <c r="C900" s="2"/>
      <c r="D900" s="2"/>
      <c r="E900" s="2"/>
      <c r="F900" s="2"/>
      <c r="G900" s="2"/>
      <c r="H900" s="2"/>
      <c r="I900" s="2"/>
      <c r="J900" s="2"/>
      <c r="K900" s="2"/>
    </row>
    <row r="901" ht="15.75" customHeight="1">
      <c r="A901" s="2"/>
      <c r="B901" s="2"/>
      <c r="C901" s="2"/>
      <c r="D901" s="2"/>
      <c r="E901" s="2"/>
      <c r="F901" s="2"/>
      <c r="G901" s="2"/>
      <c r="H901" s="2"/>
      <c r="I901" s="2"/>
      <c r="J901" s="2"/>
      <c r="K901" s="2"/>
    </row>
    <row r="902" ht="15.75" customHeight="1">
      <c r="A902" s="2"/>
      <c r="B902" s="2"/>
      <c r="C902" s="2"/>
      <c r="D902" s="2"/>
      <c r="E902" s="2"/>
      <c r="F902" s="2"/>
      <c r="G902" s="2"/>
      <c r="H902" s="2"/>
      <c r="I902" s="2"/>
      <c r="J902" s="2"/>
      <c r="K902" s="2"/>
    </row>
    <row r="903" ht="15.75" customHeight="1">
      <c r="A903" s="2"/>
      <c r="B903" s="2"/>
      <c r="C903" s="2"/>
      <c r="D903" s="2"/>
      <c r="E903" s="2"/>
      <c r="F903" s="2"/>
      <c r="G903" s="2"/>
      <c r="H903" s="2"/>
      <c r="I903" s="2"/>
      <c r="J903" s="2"/>
      <c r="K903" s="2"/>
    </row>
    <row r="904" ht="15.75" customHeight="1">
      <c r="A904" s="2"/>
      <c r="B904" s="2"/>
      <c r="C904" s="2"/>
      <c r="D904" s="2"/>
      <c r="E904" s="2"/>
      <c r="F904" s="2"/>
      <c r="G904" s="2"/>
      <c r="H904" s="2"/>
      <c r="I904" s="2"/>
      <c r="J904" s="2"/>
      <c r="K904" s="2"/>
    </row>
    <row r="905" ht="15.75" customHeight="1">
      <c r="A905" s="2"/>
      <c r="B905" s="2"/>
      <c r="C905" s="2"/>
      <c r="D905" s="2"/>
      <c r="E905" s="2"/>
      <c r="F905" s="2"/>
      <c r="G905" s="2"/>
      <c r="H905" s="2"/>
      <c r="I905" s="2"/>
      <c r="J905" s="2"/>
      <c r="K905" s="2"/>
    </row>
    <row r="906" ht="15.75" customHeight="1">
      <c r="A906" s="2"/>
      <c r="B906" s="2"/>
      <c r="C906" s="2"/>
      <c r="D906" s="2"/>
      <c r="E906" s="2"/>
      <c r="F906" s="2"/>
      <c r="G906" s="2"/>
      <c r="H906" s="2"/>
      <c r="I906" s="2"/>
      <c r="J906" s="2"/>
      <c r="K906" s="2"/>
    </row>
    <row r="907" ht="15.75" customHeight="1">
      <c r="A907" s="2"/>
      <c r="B907" s="2"/>
      <c r="C907" s="2"/>
      <c r="D907" s="2"/>
      <c r="E907" s="2"/>
      <c r="F907" s="2"/>
      <c r="G907" s="2"/>
      <c r="H907" s="2"/>
      <c r="I907" s="2"/>
      <c r="J907" s="2"/>
      <c r="K907" s="2"/>
    </row>
    <row r="908" ht="15.75" customHeight="1">
      <c r="A908" s="2"/>
      <c r="B908" s="2"/>
      <c r="C908" s="2"/>
      <c r="D908" s="2"/>
      <c r="E908" s="2"/>
      <c r="F908" s="2"/>
      <c r="G908" s="2"/>
      <c r="H908" s="2"/>
      <c r="I908" s="2"/>
      <c r="J908" s="2"/>
      <c r="K908" s="2"/>
    </row>
    <row r="909" ht="15.75" customHeight="1">
      <c r="A909" s="2"/>
      <c r="B909" s="2"/>
      <c r="C909" s="2"/>
      <c r="D909" s="2"/>
      <c r="E909" s="2"/>
      <c r="F909" s="2"/>
      <c r="G909" s="2"/>
      <c r="H909" s="2"/>
      <c r="I909" s="2"/>
      <c r="J909" s="2"/>
      <c r="K909" s="2"/>
    </row>
    <row r="910" ht="15.75" customHeight="1">
      <c r="A910" s="2"/>
      <c r="B910" s="2"/>
      <c r="C910" s="2"/>
      <c r="D910" s="2"/>
      <c r="E910" s="2"/>
      <c r="F910" s="2"/>
      <c r="G910" s="2"/>
      <c r="H910" s="2"/>
      <c r="I910" s="2"/>
      <c r="J910" s="2"/>
      <c r="K910" s="2"/>
    </row>
    <row r="911" ht="15.75" customHeight="1">
      <c r="A911" s="2"/>
      <c r="B911" s="2"/>
      <c r="C911" s="2"/>
      <c r="D911" s="2"/>
      <c r="E911" s="2"/>
      <c r="F911" s="2"/>
      <c r="G911" s="2"/>
      <c r="H911" s="2"/>
      <c r="I911" s="2"/>
      <c r="J911" s="2"/>
      <c r="K911" s="2"/>
    </row>
    <row r="912" ht="15.75" customHeight="1">
      <c r="A912" s="2"/>
      <c r="B912" s="2"/>
      <c r="C912" s="2"/>
      <c r="D912" s="2"/>
      <c r="E912" s="2"/>
      <c r="F912" s="2"/>
      <c r="G912" s="2"/>
      <c r="H912" s="2"/>
      <c r="I912" s="2"/>
      <c r="J912" s="2"/>
      <c r="K912" s="2"/>
    </row>
    <row r="913" ht="15.75" customHeight="1">
      <c r="A913" s="2"/>
      <c r="B913" s="2"/>
      <c r="C913" s="2"/>
      <c r="D913" s="2"/>
      <c r="E913" s="2"/>
      <c r="F913" s="2"/>
      <c r="G913" s="2"/>
      <c r="H913" s="2"/>
      <c r="I913" s="2"/>
      <c r="J913" s="2"/>
      <c r="K913" s="2"/>
    </row>
    <row r="914" ht="15.75" customHeight="1">
      <c r="A914" s="2"/>
      <c r="B914" s="2"/>
      <c r="C914" s="2"/>
      <c r="D914" s="2"/>
      <c r="E914" s="2"/>
      <c r="F914" s="2"/>
      <c r="G914" s="2"/>
      <c r="H914" s="2"/>
      <c r="I914" s="2"/>
      <c r="J914" s="2"/>
      <c r="K914" s="2"/>
    </row>
    <row r="915" ht="15.75" customHeight="1">
      <c r="A915" s="2"/>
      <c r="B915" s="2"/>
      <c r="C915" s="2"/>
      <c r="D915" s="2"/>
      <c r="E915" s="2"/>
      <c r="F915" s="2"/>
      <c r="G915" s="2"/>
      <c r="H915" s="2"/>
      <c r="I915" s="2"/>
      <c r="J915" s="2"/>
      <c r="K915" s="2"/>
    </row>
    <row r="916" ht="15.75" customHeight="1">
      <c r="A916" s="2"/>
      <c r="B916" s="2"/>
      <c r="C916" s="2"/>
      <c r="D916" s="2"/>
      <c r="E916" s="2"/>
      <c r="F916" s="2"/>
      <c r="G916" s="2"/>
      <c r="H916" s="2"/>
      <c r="I916" s="2"/>
      <c r="J916" s="2"/>
      <c r="K916" s="2"/>
    </row>
    <row r="917" ht="15.75" customHeight="1">
      <c r="A917" s="2"/>
      <c r="B917" s="2"/>
      <c r="C917" s="2"/>
      <c r="D917" s="2"/>
      <c r="E917" s="2"/>
      <c r="F917" s="2"/>
      <c r="G917" s="2"/>
      <c r="H917" s="2"/>
      <c r="I917" s="2"/>
      <c r="J917" s="2"/>
      <c r="K917" s="2"/>
    </row>
    <row r="918" ht="15.75" customHeight="1">
      <c r="A918" s="2"/>
      <c r="B918" s="2"/>
      <c r="C918" s="2"/>
      <c r="D918" s="2"/>
      <c r="E918" s="2"/>
      <c r="F918" s="2"/>
      <c r="G918" s="2"/>
      <c r="H918" s="2"/>
      <c r="I918" s="2"/>
      <c r="J918" s="2"/>
      <c r="K918" s="2"/>
    </row>
    <row r="919" ht="15.75" customHeight="1">
      <c r="A919" s="2"/>
      <c r="B919" s="2"/>
      <c r="C919" s="2"/>
      <c r="D919" s="2"/>
      <c r="E919" s="2"/>
      <c r="F919" s="2"/>
      <c r="G919" s="2"/>
      <c r="H919" s="2"/>
      <c r="I919" s="2"/>
      <c r="J919" s="2"/>
      <c r="K919" s="2"/>
    </row>
    <row r="920" ht="15.75" customHeight="1">
      <c r="A920" s="2"/>
      <c r="B920" s="2"/>
      <c r="C920" s="2"/>
      <c r="D920" s="2"/>
      <c r="E920" s="2"/>
      <c r="F920" s="2"/>
      <c r="G920" s="2"/>
      <c r="H920" s="2"/>
      <c r="I920" s="2"/>
      <c r="J920" s="2"/>
      <c r="K920" s="2"/>
    </row>
    <row r="921" ht="15.75" customHeight="1">
      <c r="A921" s="2"/>
      <c r="B921" s="2"/>
      <c r="C921" s="2"/>
      <c r="D921" s="2"/>
      <c r="E921" s="2"/>
      <c r="F921" s="2"/>
      <c r="G921" s="2"/>
      <c r="H921" s="2"/>
      <c r="I921" s="2"/>
      <c r="J921" s="2"/>
      <c r="K921" s="2"/>
    </row>
    <row r="922" ht="15.75" customHeight="1">
      <c r="A922" s="2"/>
      <c r="B922" s="2"/>
      <c r="C922" s="2"/>
      <c r="D922" s="2"/>
      <c r="E922" s="2"/>
      <c r="F922" s="2"/>
      <c r="G922" s="2"/>
      <c r="H922" s="2"/>
      <c r="I922" s="2"/>
      <c r="J922" s="2"/>
      <c r="K922" s="2"/>
    </row>
    <row r="923" ht="15.75" customHeight="1">
      <c r="A923" s="2"/>
      <c r="B923" s="2"/>
      <c r="C923" s="2"/>
      <c r="D923" s="2"/>
      <c r="E923" s="2"/>
      <c r="F923" s="2"/>
      <c r="G923" s="2"/>
      <c r="H923" s="2"/>
      <c r="I923" s="2"/>
      <c r="J923" s="2"/>
      <c r="K923" s="2"/>
    </row>
    <row r="924" ht="15.75" customHeight="1">
      <c r="A924" s="2"/>
      <c r="B924" s="2"/>
      <c r="C924" s="2"/>
      <c r="D924" s="2"/>
      <c r="E924" s="2"/>
      <c r="F924" s="2"/>
      <c r="G924" s="2"/>
      <c r="H924" s="2"/>
      <c r="I924" s="2"/>
      <c r="J924" s="2"/>
      <c r="K924" s="2"/>
    </row>
    <row r="925" ht="15.75" customHeight="1">
      <c r="A925" s="2"/>
      <c r="B925" s="2"/>
      <c r="C925" s="2"/>
      <c r="D925" s="2"/>
      <c r="E925" s="2"/>
      <c r="F925" s="2"/>
      <c r="G925" s="2"/>
      <c r="H925" s="2"/>
      <c r="I925" s="2"/>
      <c r="J925" s="2"/>
      <c r="K925" s="2"/>
    </row>
    <row r="926" ht="15.75" customHeight="1">
      <c r="A926" s="2"/>
      <c r="B926" s="2"/>
      <c r="C926" s="2"/>
      <c r="D926" s="2"/>
      <c r="E926" s="2"/>
      <c r="F926" s="2"/>
      <c r="G926" s="2"/>
      <c r="H926" s="2"/>
      <c r="I926" s="2"/>
      <c r="J926" s="2"/>
      <c r="K926" s="2"/>
    </row>
    <row r="927" ht="15.75" customHeight="1">
      <c r="A927" s="2"/>
      <c r="B927" s="2"/>
      <c r="C927" s="2"/>
      <c r="D927" s="2"/>
      <c r="E927" s="2"/>
      <c r="F927" s="2"/>
      <c r="G927" s="2"/>
      <c r="H927" s="2"/>
      <c r="I927" s="2"/>
      <c r="J927" s="2"/>
      <c r="K927" s="2"/>
    </row>
    <row r="928" ht="15.75" customHeight="1">
      <c r="A928" s="2"/>
      <c r="B928" s="2"/>
      <c r="C928" s="2"/>
      <c r="D928" s="2"/>
      <c r="E928" s="2"/>
      <c r="F928" s="2"/>
      <c r="G928" s="2"/>
      <c r="H928" s="2"/>
      <c r="I928" s="2"/>
      <c r="J928" s="2"/>
      <c r="K928" s="2"/>
    </row>
    <row r="929" ht="15.75" customHeight="1">
      <c r="A929" s="2"/>
      <c r="B929" s="2"/>
      <c r="C929" s="2"/>
      <c r="D929" s="2"/>
      <c r="E929" s="2"/>
      <c r="F929" s="2"/>
      <c r="G929" s="2"/>
      <c r="H929" s="2"/>
      <c r="I929" s="2"/>
      <c r="J929" s="2"/>
      <c r="K929" s="2"/>
    </row>
    <row r="930" ht="15.75" customHeight="1">
      <c r="A930" s="2"/>
      <c r="B930" s="2"/>
      <c r="C930" s="2"/>
      <c r="D930" s="2"/>
      <c r="E930" s="2"/>
      <c r="F930" s="2"/>
      <c r="G930" s="2"/>
      <c r="H930" s="2"/>
      <c r="I930" s="2"/>
      <c r="J930" s="2"/>
      <c r="K930" s="2"/>
    </row>
    <row r="931" ht="15.75" customHeight="1">
      <c r="A931" s="2"/>
      <c r="B931" s="2"/>
      <c r="C931" s="2"/>
      <c r="D931" s="2"/>
      <c r="E931" s="2"/>
      <c r="F931" s="2"/>
      <c r="G931" s="2"/>
      <c r="H931" s="2"/>
      <c r="I931" s="2"/>
      <c r="J931" s="2"/>
      <c r="K931" s="2"/>
    </row>
    <row r="932" ht="15.75" customHeight="1">
      <c r="A932" s="2"/>
      <c r="B932" s="2"/>
      <c r="C932" s="2"/>
      <c r="D932" s="2"/>
      <c r="E932" s="2"/>
      <c r="F932" s="2"/>
      <c r="G932" s="2"/>
      <c r="H932" s="2"/>
      <c r="I932" s="2"/>
      <c r="J932" s="2"/>
      <c r="K932" s="2"/>
    </row>
    <row r="933" ht="15.75" customHeight="1">
      <c r="A933" s="2"/>
      <c r="B933" s="2"/>
      <c r="C933" s="2"/>
      <c r="D933" s="2"/>
      <c r="E933" s="2"/>
      <c r="F933" s="2"/>
      <c r="G933" s="2"/>
      <c r="H933" s="2"/>
      <c r="I933" s="2"/>
      <c r="J933" s="2"/>
      <c r="K933" s="2"/>
    </row>
    <row r="934" ht="15.75" customHeight="1">
      <c r="A934" s="2"/>
      <c r="B934" s="2"/>
      <c r="C934" s="2"/>
      <c r="D934" s="2"/>
      <c r="E934" s="2"/>
      <c r="F934" s="2"/>
      <c r="G934" s="2"/>
      <c r="H934" s="2"/>
      <c r="I934" s="2"/>
      <c r="J934" s="2"/>
      <c r="K934" s="2"/>
    </row>
    <row r="935" ht="15.75" customHeight="1">
      <c r="A935" s="2"/>
      <c r="B935" s="2"/>
      <c r="C935" s="2"/>
      <c r="D935" s="2"/>
      <c r="E935" s="2"/>
      <c r="F935" s="2"/>
      <c r="G935" s="2"/>
      <c r="H935" s="2"/>
      <c r="I935" s="2"/>
      <c r="J935" s="2"/>
      <c r="K935" s="2"/>
    </row>
    <row r="936" ht="15.75" customHeight="1">
      <c r="A936" s="2"/>
      <c r="B936" s="2"/>
      <c r="C936" s="2"/>
      <c r="D936" s="2"/>
      <c r="E936" s="2"/>
      <c r="F936" s="2"/>
      <c r="G936" s="2"/>
      <c r="H936" s="2"/>
      <c r="I936" s="2"/>
      <c r="J936" s="2"/>
      <c r="K936" s="2"/>
    </row>
    <row r="937" ht="15.75" customHeight="1">
      <c r="A937" s="2"/>
      <c r="B937" s="2"/>
      <c r="C937" s="2"/>
      <c r="D937" s="2"/>
      <c r="E937" s="2"/>
      <c r="F937" s="2"/>
      <c r="G937" s="2"/>
      <c r="H937" s="2"/>
      <c r="I937" s="2"/>
      <c r="J937" s="2"/>
      <c r="K937" s="2"/>
    </row>
    <row r="938" ht="15.75" customHeight="1">
      <c r="A938" s="2"/>
      <c r="B938" s="2"/>
      <c r="C938" s="2"/>
      <c r="D938" s="2"/>
      <c r="E938" s="2"/>
      <c r="F938" s="2"/>
      <c r="G938" s="2"/>
      <c r="H938" s="2"/>
      <c r="I938" s="2"/>
      <c r="J938" s="2"/>
      <c r="K938" s="2"/>
    </row>
    <row r="939" ht="15.75" customHeight="1">
      <c r="A939" s="2"/>
      <c r="B939" s="2"/>
      <c r="C939" s="2"/>
      <c r="D939" s="2"/>
      <c r="E939" s="2"/>
      <c r="F939" s="2"/>
      <c r="G939" s="2"/>
      <c r="H939" s="2"/>
      <c r="I939" s="2"/>
      <c r="J939" s="2"/>
      <c r="K939" s="2"/>
    </row>
    <row r="940" ht="15.75" customHeight="1">
      <c r="A940" s="2"/>
      <c r="B940" s="2"/>
      <c r="C940" s="2"/>
      <c r="D940" s="2"/>
      <c r="E940" s="2"/>
      <c r="F940" s="2"/>
      <c r="G940" s="2"/>
      <c r="H940" s="2"/>
      <c r="I940" s="2"/>
      <c r="J940" s="2"/>
      <c r="K940" s="2"/>
    </row>
    <row r="941" ht="15.75" customHeight="1">
      <c r="A941" s="2"/>
      <c r="B941" s="2"/>
      <c r="C941" s="2"/>
      <c r="D941" s="2"/>
      <c r="E941" s="2"/>
      <c r="F941" s="2"/>
      <c r="G941" s="2"/>
      <c r="H941" s="2"/>
      <c r="I941" s="2"/>
      <c r="J941" s="2"/>
      <c r="K941" s="2"/>
    </row>
    <row r="942" ht="15.75" customHeight="1">
      <c r="A942" s="2"/>
      <c r="B942" s="2"/>
      <c r="C942" s="2"/>
      <c r="D942" s="2"/>
      <c r="E942" s="2"/>
      <c r="F942" s="2"/>
      <c r="G942" s="2"/>
      <c r="H942" s="2"/>
      <c r="I942" s="2"/>
      <c r="J942" s="2"/>
      <c r="K942" s="2"/>
    </row>
    <row r="943" ht="15.75" customHeight="1">
      <c r="A943" s="2"/>
      <c r="B943" s="2"/>
      <c r="C943" s="2"/>
      <c r="D943" s="2"/>
      <c r="E943" s="2"/>
      <c r="F943" s="2"/>
      <c r="G943" s="2"/>
      <c r="H943" s="2"/>
      <c r="I943" s="2"/>
      <c r="J943" s="2"/>
      <c r="K943" s="2"/>
    </row>
    <row r="944" ht="15.75" customHeight="1">
      <c r="A944" s="2"/>
      <c r="B944" s="2"/>
      <c r="C944" s="2"/>
      <c r="D944" s="2"/>
      <c r="E944" s="2"/>
      <c r="F944" s="2"/>
      <c r="G944" s="2"/>
      <c r="H944" s="2"/>
      <c r="I944" s="2"/>
      <c r="J944" s="2"/>
      <c r="K944" s="2"/>
    </row>
    <row r="945" ht="15.75" customHeight="1">
      <c r="A945" s="2"/>
      <c r="B945" s="2"/>
      <c r="C945" s="2"/>
      <c r="D945" s="2"/>
      <c r="E945" s="2"/>
      <c r="F945" s="2"/>
      <c r="G945" s="2"/>
      <c r="H945" s="2"/>
      <c r="I945" s="2"/>
      <c r="J945" s="2"/>
      <c r="K945" s="2"/>
    </row>
    <row r="946" ht="15.75" customHeight="1">
      <c r="A946" s="2"/>
      <c r="B946" s="2"/>
      <c r="C946" s="2"/>
      <c r="D946" s="2"/>
      <c r="E946" s="2"/>
      <c r="F946" s="2"/>
      <c r="G946" s="2"/>
      <c r="H946" s="2"/>
      <c r="I946" s="2"/>
      <c r="J946" s="2"/>
      <c r="K946" s="2"/>
    </row>
    <row r="947" ht="15.75" customHeight="1">
      <c r="A947" s="2"/>
      <c r="B947" s="2"/>
      <c r="C947" s="2"/>
      <c r="D947" s="2"/>
      <c r="E947" s="2"/>
      <c r="F947" s="2"/>
      <c r="G947" s="2"/>
      <c r="H947" s="2"/>
      <c r="I947" s="2"/>
      <c r="J947" s="2"/>
      <c r="K947" s="2"/>
    </row>
    <row r="948" ht="15.75" customHeight="1">
      <c r="A948" s="2"/>
      <c r="B948" s="2"/>
      <c r="C948" s="2"/>
      <c r="D948" s="2"/>
      <c r="E948" s="2"/>
      <c r="F948" s="2"/>
      <c r="G948" s="2"/>
      <c r="H948" s="2"/>
      <c r="I948" s="2"/>
      <c r="J948" s="2"/>
      <c r="K948" s="2"/>
    </row>
    <row r="949" ht="15.75" customHeight="1">
      <c r="A949" s="2"/>
      <c r="B949" s="2"/>
      <c r="C949" s="2"/>
      <c r="D949" s="2"/>
      <c r="E949" s="2"/>
      <c r="F949" s="2"/>
      <c r="G949" s="2"/>
      <c r="H949" s="2"/>
      <c r="I949" s="2"/>
      <c r="J949" s="2"/>
      <c r="K949" s="2"/>
    </row>
    <row r="950" ht="15.75" customHeight="1">
      <c r="A950" s="2"/>
      <c r="B950" s="2"/>
      <c r="C950" s="2"/>
      <c r="D950" s="2"/>
      <c r="E950" s="2"/>
      <c r="F950" s="2"/>
      <c r="G950" s="2"/>
      <c r="H950" s="2"/>
      <c r="I950" s="2"/>
      <c r="J950" s="2"/>
      <c r="K950" s="2"/>
    </row>
    <row r="951" ht="15.75" customHeight="1">
      <c r="A951" s="2"/>
      <c r="B951" s="2"/>
      <c r="C951" s="2"/>
      <c r="D951" s="2"/>
      <c r="E951" s="2"/>
      <c r="F951" s="2"/>
      <c r="G951" s="2"/>
      <c r="H951" s="2"/>
      <c r="I951" s="2"/>
      <c r="J951" s="2"/>
      <c r="K951" s="2"/>
    </row>
    <row r="952" ht="15.75" customHeight="1">
      <c r="A952" s="2"/>
      <c r="B952" s="2"/>
      <c r="C952" s="2"/>
      <c r="D952" s="2"/>
      <c r="E952" s="2"/>
      <c r="F952" s="2"/>
      <c r="G952" s="2"/>
      <c r="H952" s="2"/>
      <c r="I952" s="2"/>
      <c r="J952" s="2"/>
      <c r="K952" s="2"/>
    </row>
    <row r="953" ht="15.75" customHeight="1">
      <c r="A953" s="2"/>
      <c r="B953" s="2"/>
      <c r="C953" s="2"/>
      <c r="D953" s="2"/>
      <c r="E953" s="2"/>
      <c r="F953" s="2"/>
      <c r="G953" s="2"/>
      <c r="H953" s="2"/>
      <c r="I953" s="2"/>
      <c r="J953" s="2"/>
      <c r="K953" s="2"/>
    </row>
    <row r="954" ht="15.75" customHeight="1">
      <c r="A954" s="2"/>
      <c r="B954" s="2"/>
      <c r="C954" s="2"/>
      <c r="D954" s="2"/>
      <c r="E954" s="2"/>
      <c r="F954" s="2"/>
      <c r="G954" s="2"/>
      <c r="H954" s="2"/>
      <c r="I954" s="2"/>
      <c r="J954" s="2"/>
      <c r="K954" s="2"/>
    </row>
    <row r="955" ht="15.75" customHeight="1">
      <c r="A955" s="2"/>
      <c r="B955" s="2"/>
      <c r="C955" s="2"/>
      <c r="D955" s="2"/>
      <c r="E955" s="2"/>
      <c r="F955" s="2"/>
      <c r="G955" s="2"/>
      <c r="H955" s="2"/>
      <c r="I955" s="2"/>
      <c r="J955" s="2"/>
      <c r="K955" s="2"/>
    </row>
    <row r="956" ht="15.75" customHeight="1">
      <c r="A956" s="2"/>
      <c r="B956" s="2"/>
      <c r="C956" s="2"/>
      <c r="D956" s="2"/>
      <c r="E956" s="2"/>
      <c r="F956" s="2"/>
      <c r="G956" s="2"/>
      <c r="H956" s="2"/>
      <c r="I956" s="2"/>
      <c r="J956" s="2"/>
      <c r="K956" s="2"/>
    </row>
    <row r="957" ht="15.75" customHeight="1">
      <c r="A957" s="2"/>
      <c r="B957" s="2"/>
      <c r="C957" s="2"/>
      <c r="D957" s="2"/>
      <c r="E957" s="2"/>
      <c r="F957" s="2"/>
      <c r="G957" s="2"/>
      <c r="H957" s="2"/>
      <c r="I957" s="2"/>
      <c r="J957" s="2"/>
      <c r="K957" s="2"/>
    </row>
    <row r="958" ht="15.75" customHeight="1">
      <c r="A958" s="2"/>
      <c r="B958" s="2"/>
      <c r="C958" s="2"/>
      <c r="D958" s="2"/>
      <c r="E958" s="2"/>
      <c r="F958" s="2"/>
      <c r="G958" s="2"/>
      <c r="H958" s="2"/>
      <c r="I958" s="2"/>
      <c r="J958" s="2"/>
      <c r="K958" s="2"/>
    </row>
    <row r="959" ht="15.75" customHeight="1">
      <c r="A959" s="2"/>
      <c r="B959" s="2"/>
      <c r="C959" s="2"/>
      <c r="D959" s="2"/>
      <c r="E959" s="2"/>
      <c r="F959" s="2"/>
      <c r="G959" s="2"/>
      <c r="H959" s="2"/>
      <c r="I959" s="2"/>
      <c r="J959" s="2"/>
      <c r="K959" s="2"/>
    </row>
    <row r="960" ht="15.75" customHeight="1">
      <c r="A960" s="2"/>
      <c r="B960" s="2"/>
      <c r="C960" s="2"/>
      <c r="D960" s="2"/>
      <c r="E960" s="2"/>
      <c r="F960" s="2"/>
      <c r="G960" s="2"/>
      <c r="H960" s="2"/>
      <c r="I960" s="2"/>
      <c r="J960" s="2"/>
      <c r="K960" s="2"/>
    </row>
    <row r="961" ht="15.75" customHeight="1">
      <c r="A961" s="2"/>
      <c r="B961" s="2"/>
      <c r="C961" s="2"/>
      <c r="D961" s="2"/>
      <c r="E961" s="2"/>
      <c r="F961" s="2"/>
      <c r="G961" s="2"/>
      <c r="H961" s="2"/>
      <c r="I961" s="2"/>
      <c r="J961" s="2"/>
      <c r="K961" s="2"/>
    </row>
    <row r="962" ht="15.75" customHeight="1">
      <c r="A962" s="2"/>
      <c r="B962" s="2"/>
      <c r="C962" s="2"/>
      <c r="D962" s="2"/>
      <c r="E962" s="2"/>
      <c r="F962" s="2"/>
      <c r="G962" s="2"/>
      <c r="H962" s="2"/>
      <c r="I962" s="2"/>
      <c r="J962" s="2"/>
      <c r="K962" s="2"/>
    </row>
    <row r="963" ht="15.75" customHeight="1">
      <c r="A963" s="2"/>
      <c r="B963" s="2"/>
      <c r="C963" s="2"/>
      <c r="D963" s="2"/>
      <c r="E963" s="2"/>
      <c r="F963" s="2"/>
      <c r="G963" s="2"/>
      <c r="H963" s="2"/>
      <c r="I963" s="2"/>
      <c r="J963" s="2"/>
      <c r="K963" s="2"/>
    </row>
    <row r="964" ht="15.75" customHeight="1">
      <c r="A964" s="2"/>
      <c r="B964" s="2"/>
      <c r="C964" s="2"/>
      <c r="D964" s="2"/>
      <c r="E964" s="2"/>
      <c r="F964" s="2"/>
      <c r="G964" s="2"/>
      <c r="H964" s="2"/>
      <c r="I964" s="2"/>
      <c r="J964" s="2"/>
      <c r="K964" s="2"/>
    </row>
    <row r="965" ht="15.75" customHeight="1">
      <c r="A965" s="2"/>
      <c r="B965" s="2"/>
      <c r="C965" s="2"/>
      <c r="D965" s="2"/>
      <c r="E965" s="2"/>
      <c r="F965" s="2"/>
      <c r="G965" s="2"/>
      <c r="H965" s="2"/>
      <c r="I965" s="2"/>
      <c r="J965" s="2"/>
      <c r="K965" s="2"/>
    </row>
    <row r="966" ht="15.75" customHeight="1">
      <c r="A966" s="2"/>
      <c r="B966" s="2"/>
      <c r="C966" s="2"/>
      <c r="D966" s="2"/>
      <c r="E966" s="2"/>
      <c r="F966" s="2"/>
      <c r="G966" s="2"/>
      <c r="H966" s="2"/>
      <c r="I966" s="2"/>
      <c r="J966" s="2"/>
      <c r="K966" s="2"/>
    </row>
    <row r="967" ht="15.75" customHeight="1">
      <c r="A967" s="2"/>
      <c r="B967" s="2"/>
      <c r="C967" s="2"/>
      <c r="D967" s="2"/>
      <c r="E967" s="2"/>
      <c r="F967" s="2"/>
      <c r="G967" s="2"/>
      <c r="H967" s="2"/>
      <c r="I967" s="2"/>
      <c r="J967" s="2"/>
      <c r="K967" s="2"/>
    </row>
    <row r="968" ht="15.75" customHeight="1">
      <c r="A968" s="2"/>
      <c r="B968" s="2"/>
      <c r="C968" s="2"/>
      <c r="D968" s="2"/>
      <c r="E968" s="2"/>
      <c r="F968" s="2"/>
      <c r="G968" s="2"/>
      <c r="H968" s="2"/>
      <c r="I968" s="2"/>
      <c r="J968" s="2"/>
      <c r="K968" s="2"/>
    </row>
    <row r="969" ht="15.75" customHeight="1">
      <c r="A969" s="2"/>
      <c r="B969" s="2"/>
      <c r="C969" s="2"/>
      <c r="D969" s="2"/>
      <c r="E969" s="2"/>
      <c r="F969" s="2"/>
      <c r="G969" s="2"/>
      <c r="H969" s="2"/>
      <c r="I969" s="2"/>
      <c r="J969" s="2"/>
      <c r="K969" s="2"/>
    </row>
    <row r="970" ht="15.75" customHeight="1">
      <c r="A970" s="2"/>
      <c r="B970" s="2"/>
      <c r="C970" s="2"/>
      <c r="D970" s="2"/>
      <c r="E970" s="2"/>
      <c r="F970" s="2"/>
      <c r="G970" s="2"/>
      <c r="H970" s="2"/>
      <c r="I970" s="2"/>
      <c r="J970" s="2"/>
      <c r="K970" s="2"/>
    </row>
    <row r="971" ht="15.75" customHeight="1">
      <c r="A971" s="2"/>
      <c r="B971" s="2"/>
      <c r="C971" s="2"/>
      <c r="D971" s="2"/>
      <c r="E971" s="2"/>
      <c r="F971" s="2"/>
      <c r="G971" s="2"/>
      <c r="H971" s="2"/>
      <c r="I971" s="2"/>
      <c r="J971" s="2"/>
      <c r="K971" s="2"/>
    </row>
    <row r="972" ht="15.75" customHeight="1">
      <c r="A972" s="2"/>
      <c r="B972" s="2"/>
      <c r="C972" s="2"/>
      <c r="D972" s="2"/>
      <c r="E972" s="2"/>
      <c r="F972" s="2"/>
      <c r="G972" s="2"/>
      <c r="H972" s="2"/>
      <c r="I972" s="2"/>
      <c r="J972" s="2"/>
      <c r="K972" s="2"/>
    </row>
    <row r="973" ht="15.75" customHeight="1">
      <c r="A973" s="2"/>
      <c r="B973" s="2"/>
      <c r="C973" s="2"/>
      <c r="D973" s="2"/>
      <c r="E973" s="2"/>
      <c r="F973" s="2"/>
      <c r="G973" s="2"/>
      <c r="H973" s="2"/>
      <c r="I973" s="2"/>
      <c r="J973" s="2"/>
      <c r="K973" s="2"/>
    </row>
    <row r="974" ht="15.75" customHeight="1">
      <c r="A974" s="2"/>
      <c r="B974" s="2"/>
      <c r="C974" s="2"/>
      <c r="D974" s="2"/>
      <c r="E974" s="2"/>
      <c r="F974" s="2"/>
      <c r="G974" s="2"/>
      <c r="H974" s="2"/>
      <c r="I974" s="2"/>
      <c r="J974" s="2"/>
      <c r="K974" s="2"/>
    </row>
    <row r="975" ht="15.75" customHeight="1">
      <c r="A975" s="2"/>
      <c r="B975" s="2"/>
      <c r="C975" s="2"/>
      <c r="D975" s="2"/>
      <c r="E975" s="2"/>
      <c r="F975" s="2"/>
      <c r="G975" s="2"/>
      <c r="H975" s="2"/>
      <c r="I975" s="2"/>
      <c r="J975" s="2"/>
      <c r="K975" s="2"/>
    </row>
    <row r="976" ht="15.75" customHeight="1">
      <c r="A976" s="2"/>
      <c r="B976" s="2"/>
      <c r="C976" s="2"/>
      <c r="D976" s="2"/>
      <c r="E976" s="2"/>
      <c r="F976" s="2"/>
      <c r="G976" s="2"/>
      <c r="H976" s="2"/>
      <c r="I976" s="2"/>
      <c r="J976" s="2"/>
      <c r="K976" s="2"/>
    </row>
    <row r="977" ht="15.75" customHeight="1">
      <c r="A977" s="2"/>
      <c r="B977" s="2"/>
      <c r="C977" s="2"/>
      <c r="D977" s="2"/>
      <c r="E977" s="2"/>
      <c r="F977" s="2"/>
      <c r="G977" s="2"/>
      <c r="H977" s="2"/>
      <c r="I977" s="2"/>
      <c r="J977" s="2"/>
      <c r="K977" s="2"/>
    </row>
    <row r="978" ht="15.75" customHeight="1">
      <c r="A978" s="2"/>
      <c r="B978" s="2"/>
      <c r="C978" s="2"/>
      <c r="D978" s="2"/>
      <c r="E978" s="2"/>
      <c r="F978" s="2"/>
      <c r="G978" s="2"/>
      <c r="H978" s="2"/>
      <c r="I978" s="2"/>
      <c r="J978" s="2"/>
      <c r="K978" s="2"/>
    </row>
    <row r="979" ht="15.75" customHeight="1">
      <c r="A979" s="2"/>
      <c r="B979" s="2"/>
      <c r="C979" s="2"/>
      <c r="D979" s="2"/>
      <c r="E979" s="2"/>
      <c r="F979" s="2"/>
      <c r="G979" s="2"/>
      <c r="H979" s="2"/>
      <c r="I979" s="2"/>
      <c r="J979" s="2"/>
      <c r="K979" s="2"/>
    </row>
    <row r="980" ht="15.75" customHeight="1">
      <c r="A980" s="2"/>
      <c r="B980" s="2"/>
      <c r="C980" s="2"/>
      <c r="D980" s="2"/>
      <c r="E980" s="2"/>
      <c r="F980" s="2"/>
      <c r="G980" s="2"/>
      <c r="H980" s="2"/>
      <c r="I980" s="2"/>
      <c r="J980" s="2"/>
      <c r="K980" s="2"/>
    </row>
    <row r="981" ht="15.75" customHeight="1">
      <c r="A981" s="2"/>
      <c r="B981" s="2"/>
      <c r="C981" s="2"/>
      <c r="D981" s="2"/>
      <c r="E981" s="2"/>
      <c r="F981" s="2"/>
      <c r="G981" s="2"/>
      <c r="H981" s="2"/>
      <c r="I981" s="2"/>
      <c r="J981" s="2"/>
      <c r="K981" s="2"/>
    </row>
    <row r="982" ht="15.75" customHeight="1">
      <c r="A982" s="2"/>
      <c r="B982" s="2"/>
      <c r="C982" s="2"/>
      <c r="D982" s="2"/>
      <c r="E982" s="2"/>
      <c r="F982" s="2"/>
      <c r="G982" s="2"/>
      <c r="H982" s="2"/>
      <c r="I982" s="2"/>
      <c r="J982" s="2"/>
      <c r="K982" s="2"/>
    </row>
    <row r="983" ht="15.75" customHeight="1">
      <c r="A983" s="2"/>
      <c r="B983" s="2"/>
      <c r="C983" s="2"/>
      <c r="D983" s="2"/>
      <c r="E983" s="2"/>
      <c r="F983" s="2"/>
      <c r="G983" s="2"/>
      <c r="H983" s="2"/>
      <c r="I983" s="2"/>
      <c r="J983" s="2"/>
      <c r="K983" s="2"/>
    </row>
    <row r="984" ht="15.75" customHeight="1">
      <c r="A984" s="2"/>
      <c r="B984" s="2"/>
      <c r="C984" s="2"/>
      <c r="D984" s="2"/>
      <c r="E984" s="2"/>
      <c r="F984" s="2"/>
      <c r="G984" s="2"/>
      <c r="H984" s="2"/>
      <c r="I984" s="2"/>
      <c r="J984" s="2"/>
      <c r="K984" s="2"/>
    </row>
    <row r="985" ht="15.75" customHeight="1">
      <c r="A985" s="2"/>
      <c r="B985" s="2"/>
      <c r="C985" s="2"/>
      <c r="D985" s="2"/>
      <c r="E985" s="2"/>
      <c r="F985" s="2"/>
      <c r="G985" s="2"/>
      <c r="H985" s="2"/>
      <c r="I985" s="2"/>
      <c r="J985" s="2"/>
      <c r="K985" s="2"/>
    </row>
    <row r="986" ht="15.75" customHeight="1">
      <c r="A986" s="2"/>
      <c r="B986" s="2"/>
      <c r="C986" s="2"/>
      <c r="D986" s="2"/>
      <c r="E986" s="2"/>
      <c r="F986" s="2"/>
      <c r="G986" s="2"/>
      <c r="H986" s="2"/>
      <c r="I986" s="2"/>
      <c r="J986" s="2"/>
      <c r="K986" s="2"/>
    </row>
    <row r="987" ht="15.75" customHeight="1">
      <c r="A987" s="2"/>
      <c r="B987" s="2"/>
      <c r="C987" s="2"/>
      <c r="D987" s="2"/>
      <c r="E987" s="2"/>
      <c r="F987" s="2"/>
      <c r="G987" s="2"/>
      <c r="H987" s="2"/>
      <c r="I987" s="2"/>
      <c r="J987" s="2"/>
      <c r="K987" s="2"/>
    </row>
    <row r="988" ht="15.75" customHeight="1">
      <c r="A988" s="2"/>
      <c r="B988" s="2"/>
      <c r="C988" s="2"/>
      <c r="D988" s="2"/>
      <c r="E988" s="2"/>
      <c r="F988" s="2"/>
      <c r="G988" s="2"/>
      <c r="H988" s="2"/>
      <c r="I988" s="2"/>
      <c r="J988" s="2"/>
      <c r="K988" s="2"/>
    </row>
    <row r="989" ht="15.75" customHeight="1">
      <c r="A989" s="2"/>
      <c r="B989" s="2"/>
      <c r="C989" s="2"/>
      <c r="D989" s="2"/>
      <c r="E989" s="2"/>
      <c r="F989" s="2"/>
      <c r="G989" s="2"/>
      <c r="H989" s="2"/>
      <c r="I989" s="2"/>
      <c r="J989" s="2"/>
      <c r="K989" s="2"/>
    </row>
    <row r="990" ht="15.75" customHeight="1">
      <c r="A990" s="2"/>
      <c r="B990" s="2"/>
      <c r="C990" s="2"/>
      <c r="D990" s="2"/>
      <c r="E990" s="2"/>
      <c r="F990" s="2"/>
      <c r="G990" s="2"/>
      <c r="H990" s="2"/>
      <c r="I990" s="2"/>
      <c r="J990" s="2"/>
      <c r="K990" s="2"/>
    </row>
    <row r="991" ht="15.75" customHeight="1">
      <c r="A991" s="2"/>
      <c r="B991" s="2"/>
      <c r="C991" s="2"/>
      <c r="D991" s="2"/>
      <c r="E991" s="2"/>
      <c r="F991" s="2"/>
      <c r="G991" s="2"/>
      <c r="H991" s="2"/>
      <c r="I991" s="2"/>
      <c r="J991" s="2"/>
      <c r="K991" s="2"/>
    </row>
    <row r="992" ht="15.75" customHeight="1">
      <c r="A992" s="2"/>
      <c r="B992" s="2"/>
      <c r="C992" s="2"/>
      <c r="D992" s="2"/>
      <c r="E992" s="2"/>
      <c r="F992" s="2"/>
      <c r="G992" s="2"/>
      <c r="H992" s="2"/>
      <c r="I992" s="2"/>
      <c r="J992" s="2"/>
      <c r="K992" s="2"/>
    </row>
    <row r="993" ht="15.75" customHeight="1">
      <c r="A993" s="2"/>
      <c r="B993" s="2"/>
      <c r="C993" s="2"/>
      <c r="D993" s="2"/>
      <c r="E993" s="2"/>
      <c r="F993" s="2"/>
      <c r="G993" s="2"/>
      <c r="H993" s="2"/>
      <c r="I993" s="2"/>
      <c r="J993" s="2"/>
      <c r="K993" s="2"/>
    </row>
    <row r="994" ht="15.75" customHeight="1">
      <c r="A994" s="2"/>
      <c r="B994" s="2"/>
      <c r="C994" s="2"/>
      <c r="D994" s="2"/>
      <c r="E994" s="2"/>
      <c r="F994" s="2"/>
      <c r="G994" s="2"/>
      <c r="H994" s="2"/>
      <c r="I994" s="2"/>
      <c r="J994" s="2"/>
      <c r="K994" s="2"/>
    </row>
    <row r="995" ht="15.75" customHeight="1">
      <c r="A995" s="2"/>
      <c r="B995" s="2"/>
      <c r="C995" s="2"/>
      <c r="D995" s="2"/>
      <c r="E995" s="2"/>
      <c r="F995" s="2"/>
      <c r="G995" s="2"/>
      <c r="H995" s="2"/>
      <c r="I995" s="2"/>
      <c r="J995" s="2"/>
      <c r="K995" s="2"/>
    </row>
    <row r="996" ht="15.75" customHeight="1">
      <c r="A996" s="2"/>
      <c r="B996" s="2"/>
      <c r="C996" s="2"/>
      <c r="D996" s="2"/>
      <c r="E996" s="2"/>
      <c r="F996" s="2"/>
      <c r="G996" s="2"/>
      <c r="H996" s="2"/>
      <c r="I996" s="2"/>
      <c r="J996" s="2"/>
      <c r="K996" s="2"/>
    </row>
    <row r="997" ht="15.75" customHeight="1">
      <c r="A997" s="2"/>
      <c r="B997" s="2"/>
      <c r="C997" s="2"/>
      <c r="D997" s="2"/>
      <c r="E997" s="2"/>
      <c r="F997" s="2"/>
      <c r="G997" s="2"/>
      <c r="H997" s="2"/>
      <c r="I997" s="2"/>
      <c r="J997" s="2"/>
      <c r="K997" s="2"/>
    </row>
    <row r="998" ht="15.75" customHeight="1">
      <c r="A998" s="2"/>
      <c r="B998" s="2"/>
      <c r="C998" s="2"/>
      <c r="D998" s="2"/>
      <c r="E998" s="2"/>
      <c r="F998" s="2"/>
      <c r="G998" s="2"/>
      <c r="H998" s="2"/>
      <c r="I998" s="2"/>
      <c r="J998" s="2"/>
      <c r="K998" s="2"/>
    </row>
    <row r="999" ht="15.75" customHeight="1">
      <c r="A999" s="2"/>
      <c r="B999" s="2"/>
      <c r="C999" s="2"/>
      <c r="D999" s="2"/>
      <c r="E999" s="2"/>
      <c r="F999" s="2"/>
      <c r="G999" s="2"/>
      <c r="H999" s="2"/>
      <c r="I999" s="2"/>
      <c r="J999" s="2"/>
      <c r="K999" s="2"/>
    </row>
    <row r="1000" ht="15.75" customHeight="1">
      <c r="A1000" s="2"/>
      <c r="B1000" s="2"/>
      <c r="C1000" s="2"/>
      <c r="D1000" s="2"/>
      <c r="E1000" s="2"/>
      <c r="F1000" s="2"/>
      <c r="G1000" s="2"/>
      <c r="H1000" s="2"/>
      <c r="I1000" s="2"/>
      <c r="J1000" s="2"/>
      <c r="K1000" s="2"/>
    </row>
  </sheetData>
  <mergeCells count="8">
    <mergeCell ref="A2:G2"/>
    <mergeCell ref="I32:K38"/>
    <mergeCell ref="C165:G168"/>
    <mergeCell ref="A172:G172"/>
    <mergeCell ref="A173:G173"/>
    <mergeCell ref="A174:G174"/>
    <mergeCell ref="A175:G175"/>
    <mergeCell ref="A176:G176"/>
  </mergeCells>
  <dataValidations>
    <dataValidation type="list" allowBlank="1" sqref="B4">
      <formula1>'Binder Setup'!$I$2:$I$401</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38"/>
    <col customWidth="1" min="2" max="2" width="9.75"/>
    <col customWidth="1" min="3" max="3" width="27.0"/>
    <col customWidth="1" min="4" max="4" width="33.63"/>
    <col customWidth="1" min="5" max="5" width="12.25"/>
    <col customWidth="1" min="6" max="6" width="26.0"/>
    <col customWidth="1" hidden="1" min="7" max="7" width="30.0"/>
    <col customWidth="1" min="8" max="8" width="9.5"/>
    <col customWidth="1" min="9" max="9" width="9.25"/>
    <col customWidth="1" min="10" max="10" width="11.13"/>
    <col customWidth="1" min="11" max="11" width="9.0"/>
    <col customWidth="1" min="12" max="12" width="34.25"/>
    <col customWidth="1" min="13" max="13" width="60.0"/>
    <col customWidth="1" min="14" max="15" width="13.0"/>
    <col customWidth="1" min="16" max="16" width="35.63"/>
    <col customWidth="1" min="17" max="27" width="10.88"/>
  </cols>
  <sheetData>
    <row r="1" ht="26.25" customHeight="1">
      <c r="A1" s="19" t="s">
        <v>106</v>
      </c>
      <c r="B1" s="19" t="s">
        <v>107</v>
      </c>
      <c r="C1" s="19" t="s">
        <v>108</v>
      </c>
      <c r="D1" s="19" t="s">
        <v>109</v>
      </c>
      <c r="E1" s="19" t="s">
        <v>110</v>
      </c>
      <c r="F1" s="19" t="s">
        <v>111</v>
      </c>
      <c r="G1" s="19" t="s">
        <v>112</v>
      </c>
      <c r="H1" s="19" t="s">
        <v>113</v>
      </c>
      <c r="I1" s="19" t="s">
        <v>114</v>
      </c>
      <c r="J1" s="19" t="s">
        <v>115</v>
      </c>
      <c r="K1" s="19" t="s">
        <v>116</v>
      </c>
      <c r="L1" s="19" t="s">
        <v>117</v>
      </c>
      <c r="M1" s="19" t="s">
        <v>118</v>
      </c>
      <c r="N1" s="19" t="s">
        <v>119</v>
      </c>
      <c r="O1" s="19" t="s">
        <v>120</v>
      </c>
      <c r="P1" s="30"/>
      <c r="Q1" s="5"/>
      <c r="R1" s="5"/>
      <c r="S1" s="5"/>
      <c r="T1" s="5"/>
      <c r="U1" s="5"/>
      <c r="V1" s="5"/>
      <c r="W1" s="5"/>
      <c r="X1" s="5"/>
      <c r="Y1" s="5"/>
      <c r="Z1" s="5"/>
      <c r="AA1" s="5"/>
    </row>
    <row r="2" ht="15.0" customHeight="1">
      <c r="A2" s="31" t="b">
        <v>0</v>
      </c>
      <c r="B2" s="32"/>
      <c r="C2" s="33"/>
      <c r="D2" s="33"/>
      <c r="E2" s="33"/>
      <c r="F2" s="34" t="str">
        <f t="array" ref="F2">IF(INDEX('Binder Data'!$A$2:$A$251,ROW()-1)="","",IF(INDEX('Binder Data'!$D$2:$D$251,ROW()-1)="Needed",INDEX('Binder Data'!$B$2:$B$251,ROW()-1),INDEX('Binder Data'!$D$2:$D$251,ROW()-1)))</f>
        <v/>
      </c>
      <c r="G2" s="33"/>
      <c r="H2" s="32"/>
      <c r="I2" s="33"/>
      <c r="J2" s="35"/>
      <c r="K2" s="36"/>
      <c r="L2" s="37"/>
      <c r="M2" s="38"/>
      <c r="N2" s="39"/>
      <c r="O2" s="39"/>
      <c r="P2" s="19"/>
      <c r="Q2" s="2"/>
      <c r="R2" s="2"/>
      <c r="S2" s="2"/>
      <c r="T2" s="2"/>
      <c r="U2" s="2"/>
      <c r="V2" s="2"/>
      <c r="W2" s="2"/>
      <c r="X2" s="2"/>
      <c r="Y2" s="2"/>
      <c r="Z2" s="2"/>
      <c r="AA2" s="2"/>
    </row>
    <row r="3" ht="15.0" customHeight="1">
      <c r="A3" s="31" t="b">
        <v>0</v>
      </c>
      <c r="B3" s="32"/>
      <c r="C3" s="33"/>
      <c r="D3" s="33"/>
      <c r="E3" s="33"/>
      <c r="F3" s="34" t="str">
        <f t="array" ref="F3">IF(INDEX('Binder Data'!$A$2:$A$251,ROW()-1)="","",IF(INDEX('Binder Data'!$D$2:$D$251,ROW()-1)="Needed",INDEX('Binder Data'!$B$2:$B$251,ROW()-1),INDEX('Binder Data'!$D$2:$D$251,ROW()-1)))</f>
        <v/>
      </c>
      <c r="G3" s="40"/>
      <c r="H3" s="32"/>
      <c r="I3" s="33"/>
      <c r="J3" s="35"/>
      <c r="K3" s="36"/>
      <c r="L3" s="37"/>
      <c r="M3" s="38"/>
      <c r="N3" s="39"/>
      <c r="O3" s="39"/>
      <c r="P3" s="19"/>
      <c r="Q3" s="2"/>
      <c r="R3" s="2"/>
      <c r="S3" s="2"/>
      <c r="T3" s="2"/>
      <c r="U3" s="2"/>
      <c r="V3" s="2"/>
      <c r="W3" s="2"/>
      <c r="X3" s="2"/>
      <c r="Y3" s="2"/>
      <c r="Z3" s="2"/>
      <c r="AA3" s="2"/>
    </row>
    <row r="4" ht="15.0" customHeight="1">
      <c r="A4" s="31" t="b">
        <v>0</v>
      </c>
      <c r="B4" s="32"/>
      <c r="C4" s="33"/>
      <c r="D4" s="33"/>
      <c r="E4" s="33"/>
      <c r="F4" s="34" t="str">
        <f t="array" ref="F4">IF(INDEX('Binder Data'!$A$2:$A$251,ROW()-1)="","",IF(INDEX('Binder Data'!$D$2:$D$251,ROW()-1)="Needed",INDEX('Binder Data'!$B$2:$B$251,ROW()-1),INDEX('Binder Data'!$D$2:$D$251,ROW()-1)))</f>
        <v/>
      </c>
      <c r="G4" s="40"/>
      <c r="H4" s="32"/>
      <c r="I4" s="33"/>
      <c r="J4" s="35"/>
      <c r="K4" s="36"/>
      <c r="L4" s="37"/>
      <c r="M4" s="38"/>
      <c r="N4" s="39"/>
      <c r="O4" s="39"/>
      <c r="P4" s="19"/>
      <c r="Q4" s="2"/>
      <c r="R4" s="2"/>
      <c r="S4" s="2"/>
      <c r="T4" s="2"/>
      <c r="U4" s="2"/>
      <c r="V4" s="2"/>
      <c r="W4" s="2"/>
      <c r="X4" s="2"/>
      <c r="Y4" s="2"/>
      <c r="Z4" s="2"/>
      <c r="AA4" s="2"/>
    </row>
    <row r="5" ht="15.0" customHeight="1">
      <c r="A5" s="31" t="b">
        <v>0</v>
      </c>
      <c r="B5" s="32"/>
      <c r="C5" s="33"/>
      <c r="D5" s="33"/>
      <c r="E5" s="33"/>
      <c r="F5" s="34" t="str">
        <f t="array" ref="F5">IF(INDEX('Binder Data'!$A$2:$A$251,ROW()-1)="","",IF(INDEX('Binder Data'!$D$2:$D$251,ROW()-1)="Needed",INDEX('Binder Data'!$B$2:$B$251,ROW()-1),INDEX('Binder Data'!$D$2:$D$251,ROW()-1)))</f>
        <v/>
      </c>
      <c r="G5" s="33"/>
      <c r="H5" s="32"/>
      <c r="I5" s="33"/>
      <c r="J5" s="35"/>
      <c r="K5" s="36"/>
      <c r="L5" s="37"/>
      <c r="M5" s="38"/>
      <c r="N5" s="39"/>
      <c r="O5" s="39"/>
      <c r="P5" s="19"/>
      <c r="Q5" s="2"/>
      <c r="R5" s="2"/>
      <c r="S5" s="2"/>
      <c r="T5" s="2"/>
      <c r="U5" s="2"/>
      <c r="V5" s="2"/>
      <c r="W5" s="2"/>
      <c r="X5" s="2"/>
      <c r="Y5" s="2"/>
      <c r="Z5" s="2"/>
      <c r="AA5" s="2"/>
    </row>
    <row r="6" ht="15.0" customHeight="1">
      <c r="A6" s="31" t="b">
        <v>0</v>
      </c>
      <c r="B6" s="32"/>
      <c r="C6" s="33"/>
      <c r="D6" s="33"/>
      <c r="E6" s="33"/>
      <c r="F6" s="34" t="str">
        <f t="array" ref="F6">IF(INDEX('Binder Data'!$A$2:$A$251,ROW()-1)="","",IF(INDEX('Binder Data'!$D$2:$D$251,ROW()-1)="Needed",INDEX('Binder Data'!$B$2:$B$251,ROW()-1),INDEX('Binder Data'!$D$2:$D$251,ROW()-1)))</f>
        <v/>
      </c>
      <c r="G6" s="33"/>
      <c r="H6" s="32"/>
      <c r="I6" s="33"/>
      <c r="J6" s="35"/>
      <c r="K6" s="36"/>
      <c r="L6" s="37"/>
      <c r="M6" s="38"/>
      <c r="N6" s="39"/>
      <c r="O6" s="39"/>
      <c r="P6" s="19"/>
      <c r="Q6" s="2"/>
      <c r="R6" s="2"/>
      <c r="S6" s="2"/>
      <c r="T6" s="2"/>
      <c r="U6" s="2"/>
      <c r="V6" s="2"/>
      <c r="W6" s="2"/>
      <c r="X6" s="2"/>
      <c r="Y6" s="2"/>
      <c r="Z6" s="2"/>
      <c r="AA6" s="2"/>
    </row>
    <row r="7" ht="15.0" customHeight="1">
      <c r="A7" s="31" t="b">
        <v>0</v>
      </c>
      <c r="B7" s="32"/>
      <c r="C7" s="33"/>
      <c r="D7" s="33"/>
      <c r="E7" s="33"/>
      <c r="F7" s="34" t="str">
        <f t="array" ref="F7">IF(INDEX('Binder Data'!$A$2:$A$251,ROW()-1)="","",IF(INDEX('Binder Data'!$D$2:$D$251,ROW()-1)="Needed",INDEX('Binder Data'!$B$2:$B$251,ROW()-1),INDEX('Binder Data'!$D$2:$D$251,ROW()-1)))</f>
        <v/>
      </c>
      <c r="G7" s="40"/>
      <c r="H7" s="32"/>
      <c r="I7" s="33"/>
      <c r="J7" s="35"/>
      <c r="K7" s="36"/>
      <c r="L7" s="36"/>
      <c r="M7" s="38"/>
      <c r="N7" s="39"/>
      <c r="O7" s="39"/>
      <c r="P7" s="19"/>
      <c r="Q7" s="2"/>
      <c r="R7" s="2"/>
      <c r="S7" s="2"/>
      <c r="T7" s="2"/>
      <c r="U7" s="2"/>
      <c r="V7" s="2"/>
      <c r="W7" s="2"/>
      <c r="X7" s="2"/>
      <c r="Y7" s="2"/>
      <c r="Z7" s="2"/>
      <c r="AA7" s="2"/>
    </row>
    <row r="8" ht="15.0" customHeight="1">
      <c r="A8" s="31" t="b">
        <v>0</v>
      </c>
      <c r="B8" s="32"/>
      <c r="C8" s="33"/>
      <c r="D8" s="33"/>
      <c r="E8" s="33"/>
      <c r="F8" s="34" t="str">
        <f t="array" ref="F8">IF(INDEX('Binder Data'!$A$2:$A$251,ROW()-1)="","",IF(INDEX('Binder Data'!$D$2:$D$251,ROW()-1)="Needed",INDEX('Binder Data'!$B$2:$B$251,ROW()-1),INDEX('Binder Data'!$D$2:$D$251,ROW()-1)))</f>
        <v/>
      </c>
      <c r="G8" s="40"/>
      <c r="H8" s="32"/>
      <c r="I8" s="33"/>
      <c r="J8" s="35"/>
      <c r="K8" s="36"/>
      <c r="L8" s="36"/>
      <c r="M8" s="38"/>
      <c r="N8" s="39"/>
      <c r="O8" s="39"/>
      <c r="P8" s="19"/>
      <c r="Q8" s="2"/>
      <c r="R8" s="2"/>
      <c r="S8" s="2"/>
      <c r="T8" s="2"/>
      <c r="U8" s="2"/>
      <c r="V8" s="2"/>
      <c r="W8" s="2"/>
      <c r="X8" s="2"/>
      <c r="Y8" s="2"/>
      <c r="Z8" s="2"/>
      <c r="AA8" s="2"/>
    </row>
    <row r="9" ht="15.0" customHeight="1">
      <c r="A9" s="31" t="b">
        <v>0</v>
      </c>
      <c r="B9" s="32"/>
      <c r="C9" s="33"/>
      <c r="D9" s="33"/>
      <c r="E9" s="33"/>
      <c r="F9" s="34" t="str">
        <f t="array" ref="F9">IF(INDEX('Binder Data'!$A$2:$A$251,ROW()-1)="","",IF(INDEX('Binder Data'!$D$2:$D$251,ROW()-1)="Needed",INDEX('Binder Data'!$B$2:$B$251,ROW()-1),INDEX('Binder Data'!$D$2:$D$251,ROW()-1)))</f>
        <v/>
      </c>
      <c r="G9" s="40"/>
      <c r="H9" s="32"/>
      <c r="I9" s="33"/>
      <c r="J9" s="35"/>
      <c r="K9" s="36"/>
      <c r="L9" s="37"/>
      <c r="M9" s="38"/>
      <c r="N9" s="39"/>
      <c r="O9" s="39"/>
      <c r="P9" s="19"/>
      <c r="Q9" s="2"/>
      <c r="R9" s="2"/>
      <c r="S9" s="2"/>
      <c r="T9" s="2"/>
      <c r="U9" s="2"/>
      <c r="V9" s="2"/>
      <c r="W9" s="2"/>
      <c r="X9" s="2"/>
      <c r="Y9" s="2"/>
      <c r="Z9" s="2"/>
      <c r="AA9" s="2"/>
    </row>
    <row r="10" ht="15.0" customHeight="1">
      <c r="A10" s="31" t="b">
        <v>0</v>
      </c>
      <c r="B10" s="32"/>
      <c r="C10" s="33"/>
      <c r="D10" s="33"/>
      <c r="E10" s="33"/>
      <c r="F10" s="34" t="str">
        <f t="array" ref="F10">IF(INDEX('Binder Data'!$A$2:$A$251,ROW()-1)="","",IF(INDEX('Binder Data'!$D$2:$D$251,ROW()-1)="Needed",INDEX('Binder Data'!$B$2:$B$251,ROW()-1),INDEX('Binder Data'!$D$2:$D$251,ROW()-1)))</f>
        <v/>
      </c>
      <c r="G10" s="33"/>
      <c r="H10" s="32"/>
      <c r="I10" s="33"/>
      <c r="J10" s="35"/>
      <c r="K10" s="36"/>
      <c r="L10" s="37"/>
      <c r="M10" s="38"/>
      <c r="N10" s="39"/>
      <c r="O10" s="39"/>
      <c r="P10" s="19"/>
      <c r="Q10" s="2"/>
      <c r="R10" s="2"/>
      <c r="S10" s="2"/>
      <c r="T10" s="2"/>
      <c r="U10" s="2"/>
      <c r="V10" s="2"/>
      <c r="W10" s="2"/>
      <c r="X10" s="2"/>
      <c r="Y10" s="2"/>
      <c r="Z10" s="2"/>
      <c r="AA10" s="2"/>
    </row>
    <row r="11" ht="15.0" customHeight="1">
      <c r="A11" s="31" t="b">
        <v>0</v>
      </c>
      <c r="B11" s="32"/>
      <c r="C11" s="33"/>
      <c r="D11" s="33"/>
      <c r="E11" s="33"/>
      <c r="F11" s="34" t="str">
        <f t="array" ref="F11">IF(INDEX('Binder Data'!$A$2:$A$251,ROW()-1)="","",IF(INDEX('Binder Data'!$D$2:$D$251,ROW()-1)="Needed",INDEX('Binder Data'!$B$2:$B$251,ROW()-1),INDEX('Binder Data'!$D$2:$D$251,ROW()-1)))</f>
        <v/>
      </c>
      <c r="G11" s="40"/>
      <c r="H11" s="32"/>
      <c r="I11" s="33"/>
      <c r="J11" s="35"/>
      <c r="K11" s="36"/>
      <c r="L11" s="36"/>
      <c r="M11" s="38"/>
      <c r="N11" s="39"/>
      <c r="O11" s="39"/>
      <c r="P11" s="19"/>
      <c r="Q11" s="2"/>
      <c r="R11" s="2"/>
      <c r="S11" s="2"/>
      <c r="T11" s="2"/>
      <c r="U11" s="2"/>
      <c r="V11" s="2"/>
      <c r="W11" s="2"/>
      <c r="X11" s="2"/>
      <c r="Y11" s="2"/>
      <c r="Z11" s="2"/>
      <c r="AA11" s="2"/>
    </row>
    <row r="12" ht="15.0" customHeight="1">
      <c r="A12" s="31" t="b">
        <v>0</v>
      </c>
      <c r="B12" s="32"/>
      <c r="C12" s="33"/>
      <c r="D12" s="33"/>
      <c r="E12" s="33"/>
      <c r="F12" s="34" t="str">
        <f t="array" ref="F12">IF(INDEX('Binder Data'!$A$2:$A$251,ROW()-1)="","",IF(INDEX('Binder Data'!$D$2:$D$251,ROW()-1)="Needed",INDEX('Binder Data'!$B$2:$B$251,ROW()-1),INDEX('Binder Data'!$D$2:$D$251,ROW()-1)))</f>
        <v/>
      </c>
      <c r="G12" s="40"/>
      <c r="H12" s="32"/>
      <c r="I12" s="33"/>
      <c r="J12" s="35"/>
      <c r="K12" s="36"/>
      <c r="L12" s="36"/>
      <c r="M12" s="38"/>
      <c r="N12" s="39"/>
      <c r="O12" s="39"/>
      <c r="P12" s="19"/>
      <c r="Q12" s="2"/>
      <c r="R12" s="2"/>
      <c r="S12" s="2"/>
      <c r="T12" s="2"/>
      <c r="U12" s="2"/>
      <c r="V12" s="2"/>
      <c r="W12" s="2"/>
      <c r="X12" s="2"/>
      <c r="Y12" s="2"/>
      <c r="Z12" s="2"/>
      <c r="AA12" s="2"/>
    </row>
    <row r="13" ht="15.0" customHeight="1">
      <c r="A13" s="31" t="b">
        <v>0</v>
      </c>
      <c r="B13" s="32"/>
      <c r="C13" s="33"/>
      <c r="D13" s="33"/>
      <c r="E13" s="33"/>
      <c r="F13" s="34" t="str">
        <f t="array" ref="F13">IF(INDEX('Binder Data'!$A$2:$A$251,ROW()-1)="","",IF(INDEX('Binder Data'!$D$2:$D$251,ROW()-1)="Needed",INDEX('Binder Data'!$B$2:$B$251,ROW()-1),INDEX('Binder Data'!$D$2:$D$251,ROW()-1)))</f>
        <v/>
      </c>
      <c r="G13" s="40"/>
      <c r="H13" s="32"/>
      <c r="I13" s="33"/>
      <c r="J13" s="35"/>
      <c r="K13" s="36"/>
      <c r="L13" s="36"/>
      <c r="M13" s="38"/>
      <c r="N13" s="39"/>
      <c r="O13" s="39"/>
      <c r="P13" s="19"/>
      <c r="Q13" s="2"/>
      <c r="R13" s="2"/>
      <c r="S13" s="2"/>
      <c r="T13" s="2"/>
      <c r="U13" s="2"/>
      <c r="V13" s="2"/>
      <c r="W13" s="2"/>
      <c r="X13" s="2"/>
      <c r="Y13" s="2"/>
      <c r="Z13" s="2"/>
      <c r="AA13" s="2"/>
    </row>
    <row r="14" ht="15.0" customHeight="1">
      <c r="A14" s="31" t="b">
        <v>0</v>
      </c>
      <c r="B14" s="32"/>
      <c r="C14" s="33"/>
      <c r="D14" s="33"/>
      <c r="E14" s="33"/>
      <c r="F14" s="34" t="str">
        <f t="array" ref="F14">IF(INDEX('Binder Data'!$A$2:$A$251,ROW()-1)="","",IF(INDEX('Binder Data'!$D$2:$D$251,ROW()-1)="Needed",INDEX('Binder Data'!$B$2:$B$251,ROW()-1),INDEX('Binder Data'!$D$2:$D$251,ROW()-1)))</f>
        <v/>
      </c>
      <c r="G14" s="40"/>
      <c r="H14" s="32"/>
      <c r="I14" s="33"/>
      <c r="J14" s="35"/>
      <c r="K14" s="36"/>
      <c r="L14" s="36"/>
      <c r="M14" s="38"/>
      <c r="N14" s="39"/>
      <c r="O14" s="39"/>
      <c r="P14" s="19"/>
      <c r="Q14" s="2"/>
      <c r="R14" s="2"/>
      <c r="S14" s="2"/>
      <c r="T14" s="2"/>
      <c r="U14" s="2"/>
      <c r="V14" s="2"/>
      <c r="W14" s="2"/>
      <c r="X14" s="2"/>
      <c r="Y14" s="2"/>
      <c r="Z14" s="2"/>
      <c r="AA14" s="2"/>
    </row>
    <row r="15" ht="15.0" customHeight="1">
      <c r="A15" s="31" t="b">
        <v>0</v>
      </c>
      <c r="B15" s="32"/>
      <c r="C15" s="33"/>
      <c r="D15" s="33"/>
      <c r="E15" s="33"/>
      <c r="F15" s="34" t="str">
        <f t="array" ref="F15">IF(INDEX('Binder Data'!$A$2:$A$251,ROW()-1)="","",IF(INDEX('Binder Data'!$D$2:$D$251,ROW()-1)="Needed",INDEX('Binder Data'!$B$2:$B$251,ROW()-1),INDEX('Binder Data'!$D$2:$D$251,ROW()-1)))</f>
        <v/>
      </c>
      <c r="G15" s="40"/>
      <c r="H15" s="32"/>
      <c r="I15" s="33"/>
      <c r="J15" s="35"/>
      <c r="K15" s="36"/>
      <c r="L15" s="37"/>
      <c r="M15" s="38"/>
      <c r="N15" s="39"/>
      <c r="O15" s="39"/>
      <c r="P15" s="19"/>
      <c r="Q15" s="2"/>
      <c r="R15" s="2"/>
      <c r="S15" s="2"/>
      <c r="T15" s="2"/>
      <c r="U15" s="2"/>
      <c r="V15" s="2"/>
      <c r="W15" s="2"/>
      <c r="X15" s="2"/>
      <c r="Y15" s="2"/>
      <c r="Z15" s="2"/>
      <c r="AA15" s="2"/>
    </row>
    <row r="16" ht="15.0" customHeight="1">
      <c r="A16" s="31" t="b">
        <v>0</v>
      </c>
      <c r="B16" s="32"/>
      <c r="C16" s="33"/>
      <c r="D16" s="33"/>
      <c r="E16" s="33"/>
      <c r="F16" s="34" t="str">
        <f t="array" ref="F16">IF(INDEX('Binder Data'!$A$2:$A$251,ROW()-1)="","",IF(INDEX('Binder Data'!$D$2:$D$251,ROW()-1)="Needed",INDEX('Binder Data'!$B$2:$B$251,ROW()-1),INDEX('Binder Data'!$D$2:$D$251,ROW()-1)))</f>
        <v/>
      </c>
      <c r="G16" s="40"/>
      <c r="H16" s="32"/>
      <c r="I16" s="33"/>
      <c r="J16" s="35"/>
      <c r="K16" s="36"/>
      <c r="L16" s="37"/>
      <c r="M16" s="38"/>
      <c r="N16" s="39"/>
      <c r="O16" s="39"/>
      <c r="P16" s="19"/>
      <c r="Q16" s="2"/>
      <c r="R16" s="2"/>
      <c r="S16" s="2"/>
      <c r="T16" s="2"/>
      <c r="U16" s="2"/>
      <c r="V16" s="2"/>
      <c r="W16" s="2"/>
      <c r="X16" s="2"/>
      <c r="Y16" s="2"/>
      <c r="Z16" s="2"/>
      <c r="AA16" s="2"/>
    </row>
    <row r="17" ht="15.0" customHeight="1">
      <c r="A17" s="31" t="b">
        <v>0</v>
      </c>
      <c r="B17" s="32"/>
      <c r="C17" s="33"/>
      <c r="D17" s="33"/>
      <c r="E17" s="33"/>
      <c r="F17" s="34" t="str">
        <f t="array" ref="F17">IF(INDEX('Binder Data'!$A$2:$A$251,ROW()-1)="","",IF(INDEX('Binder Data'!$D$2:$D$251,ROW()-1)="Needed",INDEX('Binder Data'!$B$2:$B$251,ROW()-1),INDEX('Binder Data'!$D$2:$D$251,ROW()-1)))</f>
        <v/>
      </c>
      <c r="G17" s="40"/>
      <c r="H17" s="32"/>
      <c r="I17" s="33"/>
      <c r="J17" s="35"/>
      <c r="K17" s="36"/>
      <c r="L17" s="36"/>
      <c r="M17" s="38"/>
      <c r="N17" s="39"/>
      <c r="O17" s="39"/>
      <c r="P17" s="19"/>
      <c r="Q17" s="2"/>
      <c r="R17" s="2"/>
      <c r="S17" s="2"/>
      <c r="T17" s="2"/>
      <c r="U17" s="2"/>
      <c r="V17" s="2"/>
      <c r="W17" s="2"/>
      <c r="X17" s="2"/>
      <c r="Y17" s="2"/>
      <c r="Z17" s="2"/>
      <c r="AA17" s="2"/>
    </row>
    <row r="18" ht="15.0" customHeight="1">
      <c r="A18" s="31" t="b">
        <v>0</v>
      </c>
      <c r="B18" s="32"/>
      <c r="C18" s="33"/>
      <c r="D18" s="33"/>
      <c r="E18" s="33"/>
      <c r="F18" s="34" t="str">
        <f t="array" ref="F18">IF(INDEX('Binder Data'!$A$2:$A$251,ROW()-1)="","",IF(INDEX('Binder Data'!$D$2:$D$251,ROW()-1)="Needed",INDEX('Binder Data'!$B$2:$B$251,ROW()-1),INDEX('Binder Data'!$D$2:$D$251,ROW()-1)))</f>
        <v/>
      </c>
      <c r="G18" s="40"/>
      <c r="H18" s="32"/>
      <c r="I18" s="33"/>
      <c r="J18" s="35"/>
      <c r="K18" s="36"/>
      <c r="L18" s="36"/>
      <c r="M18" s="38"/>
      <c r="N18" s="39"/>
      <c r="O18" s="39"/>
      <c r="P18" s="19"/>
      <c r="Q18" s="2"/>
      <c r="R18" s="2"/>
      <c r="S18" s="2"/>
      <c r="T18" s="2"/>
      <c r="U18" s="2"/>
      <c r="V18" s="2"/>
      <c r="W18" s="2"/>
      <c r="X18" s="2"/>
      <c r="Y18" s="2"/>
      <c r="Z18" s="2"/>
      <c r="AA18" s="2"/>
    </row>
    <row r="19" ht="15.0" customHeight="1">
      <c r="A19" s="31" t="b">
        <v>0</v>
      </c>
      <c r="B19" s="32"/>
      <c r="C19" s="33"/>
      <c r="D19" s="33"/>
      <c r="E19" s="33"/>
      <c r="F19" s="34" t="str">
        <f t="array" ref="F19">IF(INDEX('Binder Data'!$A$2:$A$251,ROW()-1)="","",IF(INDEX('Binder Data'!$D$2:$D$251,ROW()-1)="Needed",INDEX('Binder Data'!$B$2:$B$251,ROW()-1),INDEX('Binder Data'!$D$2:$D$251,ROW()-1)))</f>
        <v/>
      </c>
      <c r="G19" s="40"/>
      <c r="H19" s="32"/>
      <c r="I19" s="33"/>
      <c r="J19" s="35"/>
      <c r="K19" s="36"/>
      <c r="L19" s="36"/>
      <c r="M19" s="38"/>
      <c r="N19" s="39"/>
      <c r="O19" s="39"/>
      <c r="P19" s="19"/>
      <c r="Q19" s="2"/>
      <c r="R19" s="2"/>
      <c r="S19" s="2"/>
      <c r="T19" s="2"/>
      <c r="U19" s="2"/>
      <c r="V19" s="2"/>
      <c r="W19" s="2"/>
      <c r="X19" s="2"/>
      <c r="Y19" s="2"/>
      <c r="Z19" s="2"/>
      <c r="AA19" s="2"/>
    </row>
    <row r="20" ht="15.0" customHeight="1">
      <c r="A20" s="31" t="b">
        <v>0</v>
      </c>
      <c r="B20" s="32"/>
      <c r="C20" s="33"/>
      <c r="D20" s="33"/>
      <c r="E20" s="33"/>
      <c r="F20" s="34" t="str">
        <f t="array" ref="F20">IF(INDEX('Binder Data'!$A$2:$A$251,ROW()-1)="","",IF(INDEX('Binder Data'!$D$2:$D$251,ROW()-1)="Needed",INDEX('Binder Data'!$B$2:$B$251,ROW()-1),INDEX('Binder Data'!$D$2:$D$251,ROW()-1)))</f>
        <v/>
      </c>
      <c r="G20" s="40"/>
      <c r="H20" s="32"/>
      <c r="I20" s="33"/>
      <c r="J20" s="35"/>
      <c r="K20" s="36"/>
      <c r="L20" s="36"/>
      <c r="M20" s="38"/>
      <c r="N20" s="39"/>
      <c r="O20" s="39"/>
      <c r="P20" s="19"/>
      <c r="Q20" s="2"/>
      <c r="R20" s="2"/>
      <c r="S20" s="2"/>
      <c r="T20" s="2"/>
      <c r="U20" s="2"/>
      <c r="V20" s="2"/>
      <c r="W20" s="2"/>
      <c r="X20" s="2"/>
      <c r="Y20" s="2"/>
      <c r="Z20" s="2"/>
      <c r="AA20" s="2"/>
    </row>
    <row r="21" ht="15.0" customHeight="1">
      <c r="A21" s="31" t="b">
        <v>0</v>
      </c>
      <c r="B21" s="32"/>
      <c r="C21" s="33"/>
      <c r="D21" s="33"/>
      <c r="E21" s="33"/>
      <c r="F21" s="34" t="str">
        <f t="array" ref="F21">IF(INDEX('Binder Data'!$A$2:$A$251,ROW()-1)="","",IF(INDEX('Binder Data'!$D$2:$D$251,ROW()-1)="Needed",INDEX('Binder Data'!$B$2:$B$251,ROW()-1),INDEX('Binder Data'!$D$2:$D$251,ROW()-1)))</f>
        <v/>
      </c>
      <c r="G21" s="40"/>
      <c r="H21" s="32"/>
      <c r="I21" s="33"/>
      <c r="J21" s="35"/>
      <c r="K21" s="36"/>
      <c r="L21" s="36"/>
      <c r="M21" s="38"/>
      <c r="N21" s="39"/>
      <c r="O21" s="39"/>
      <c r="P21" s="19"/>
      <c r="Q21" s="2"/>
      <c r="R21" s="2"/>
      <c r="S21" s="2"/>
      <c r="T21" s="2"/>
      <c r="U21" s="2"/>
      <c r="V21" s="2"/>
      <c r="W21" s="2"/>
      <c r="X21" s="2"/>
      <c r="Y21" s="2"/>
      <c r="Z21" s="2"/>
      <c r="AA21" s="2"/>
    </row>
    <row r="22" ht="15.0" customHeight="1">
      <c r="A22" s="31" t="b">
        <v>0</v>
      </c>
      <c r="B22" s="32"/>
      <c r="C22" s="33"/>
      <c r="D22" s="33"/>
      <c r="E22" s="33"/>
      <c r="F22" s="34" t="str">
        <f t="array" ref="F22">IF(INDEX('Binder Data'!$A$2:$A$251,ROW()-1)="","",IF(INDEX('Binder Data'!$D$2:$D$251,ROW()-1)="Needed",INDEX('Binder Data'!$B$2:$B$251,ROW()-1),INDEX('Binder Data'!$D$2:$D$251,ROW()-1)))</f>
        <v/>
      </c>
      <c r="G22" s="40"/>
      <c r="H22" s="32"/>
      <c r="I22" s="33"/>
      <c r="J22" s="35"/>
      <c r="K22" s="36"/>
      <c r="L22" s="37"/>
      <c r="M22" s="38"/>
      <c r="N22" s="39"/>
      <c r="O22" s="39"/>
      <c r="P22" s="19"/>
      <c r="Q22" s="2"/>
      <c r="R22" s="2"/>
      <c r="S22" s="2"/>
      <c r="T22" s="2"/>
      <c r="U22" s="2"/>
      <c r="V22" s="2"/>
      <c r="W22" s="2"/>
      <c r="X22" s="2"/>
      <c r="Y22" s="2"/>
      <c r="Z22" s="2"/>
      <c r="AA22" s="2"/>
    </row>
    <row r="23" ht="15.0" customHeight="1">
      <c r="A23" s="31" t="b">
        <v>0</v>
      </c>
      <c r="B23" s="32"/>
      <c r="C23" s="33"/>
      <c r="D23" s="33"/>
      <c r="E23" s="33"/>
      <c r="F23" s="34" t="str">
        <f t="array" ref="F23">IF(INDEX('Binder Data'!$A$2:$A$251,ROW()-1)="","",IF(INDEX('Binder Data'!$D$2:$D$251,ROW()-1)="Needed",INDEX('Binder Data'!$B$2:$B$251,ROW()-1),INDEX('Binder Data'!$D$2:$D$251,ROW()-1)))</f>
        <v/>
      </c>
      <c r="G23" s="40"/>
      <c r="H23" s="32"/>
      <c r="I23" s="33"/>
      <c r="J23" s="35"/>
      <c r="K23" s="36"/>
      <c r="L23" s="37"/>
      <c r="M23" s="38"/>
      <c r="N23" s="39"/>
      <c r="O23" s="39"/>
      <c r="P23" s="19"/>
      <c r="Q23" s="2"/>
      <c r="R23" s="2"/>
      <c r="S23" s="2"/>
      <c r="T23" s="2"/>
      <c r="U23" s="2"/>
      <c r="V23" s="2"/>
      <c r="W23" s="2"/>
      <c r="X23" s="2"/>
      <c r="Y23" s="2"/>
      <c r="Z23" s="2"/>
      <c r="AA23" s="2"/>
    </row>
    <row r="24" ht="15.0" customHeight="1">
      <c r="A24" s="31" t="b">
        <v>0</v>
      </c>
      <c r="B24" s="32"/>
      <c r="C24" s="33"/>
      <c r="D24" s="33"/>
      <c r="E24" s="33"/>
      <c r="F24" s="34" t="str">
        <f t="array" ref="F24">IF(INDEX('Binder Data'!$A$2:$A$251,ROW()-1)="","",IF(INDEX('Binder Data'!$D$2:$D$251,ROW()-1)="Needed",INDEX('Binder Data'!$B$2:$B$251,ROW()-1),INDEX('Binder Data'!$D$2:$D$251,ROW()-1)))</f>
        <v/>
      </c>
      <c r="G24" s="40"/>
      <c r="H24" s="32"/>
      <c r="I24" s="33"/>
      <c r="J24" s="35"/>
      <c r="K24" s="36"/>
      <c r="L24" s="36"/>
      <c r="M24" s="38"/>
      <c r="N24" s="39"/>
      <c r="O24" s="39"/>
      <c r="P24" s="19"/>
      <c r="Q24" s="2"/>
      <c r="R24" s="2"/>
      <c r="S24" s="2"/>
      <c r="T24" s="2"/>
      <c r="U24" s="2"/>
      <c r="V24" s="2"/>
      <c r="W24" s="2"/>
      <c r="X24" s="2"/>
      <c r="Y24" s="2"/>
      <c r="Z24" s="2"/>
      <c r="AA24" s="2"/>
    </row>
    <row r="25" ht="15.0" customHeight="1">
      <c r="A25" s="31" t="b">
        <v>0</v>
      </c>
      <c r="B25" s="32"/>
      <c r="C25" s="33"/>
      <c r="D25" s="33"/>
      <c r="E25" s="33"/>
      <c r="F25" s="34" t="str">
        <f t="array" ref="F25">IF(INDEX('Binder Data'!$A$2:$A$251,ROW()-1)="","",IF(INDEX('Binder Data'!$D$2:$D$251,ROW()-1)="Needed",INDEX('Binder Data'!$B$2:$B$251,ROW()-1),INDEX('Binder Data'!$D$2:$D$251,ROW()-1)))</f>
        <v/>
      </c>
      <c r="G25" s="40"/>
      <c r="H25" s="32"/>
      <c r="I25" s="33"/>
      <c r="J25" s="35"/>
      <c r="K25" s="36"/>
      <c r="L25" s="37"/>
      <c r="M25" s="38"/>
      <c r="N25" s="39"/>
      <c r="O25" s="39"/>
      <c r="P25" s="19"/>
      <c r="Q25" s="2"/>
      <c r="R25" s="2"/>
      <c r="S25" s="2"/>
      <c r="T25" s="2"/>
      <c r="U25" s="2"/>
      <c r="V25" s="2"/>
      <c r="W25" s="2"/>
      <c r="X25" s="2"/>
      <c r="Y25" s="2"/>
      <c r="Z25" s="2"/>
      <c r="AA25" s="2"/>
    </row>
    <row r="26" ht="15.0" customHeight="1">
      <c r="A26" s="31" t="b">
        <v>0</v>
      </c>
      <c r="B26" s="32"/>
      <c r="C26" s="33"/>
      <c r="D26" s="33"/>
      <c r="E26" s="33"/>
      <c r="F26" s="34" t="str">
        <f t="array" ref="F26">IF(INDEX('Binder Data'!$A$2:$A$251,ROW()-1)="","",IF(INDEX('Binder Data'!$D$2:$D$251,ROW()-1)="Needed",INDEX('Binder Data'!$B$2:$B$251,ROW()-1),INDEX('Binder Data'!$D$2:$D$251,ROW()-1)))</f>
        <v/>
      </c>
      <c r="G26" s="40"/>
      <c r="H26" s="32"/>
      <c r="I26" s="33"/>
      <c r="J26" s="35"/>
      <c r="K26" s="36"/>
      <c r="L26" s="37"/>
      <c r="M26" s="38"/>
      <c r="N26" s="39"/>
      <c r="O26" s="39"/>
      <c r="P26" s="19"/>
      <c r="Q26" s="2"/>
      <c r="R26" s="2"/>
      <c r="S26" s="2"/>
      <c r="T26" s="2"/>
      <c r="U26" s="2"/>
      <c r="V26" s="2"/>
      <c r="W26" s="2"/>
      <c r="X26" s="2"/>
      <c r="Y26" s="2"/>
      <c r="Z26" s="2"/>
      <c r="AA26" s="2"/>
    </row>
    <row r="27" ht="15.0" customHeight="1">
      <c r="A27" s="31" t="b">
        <v>0</v>
      </c>
      <c r="B27" s="32"/>
      <c r="C27" s="33"/>
      <c r="D27" s="33"/>
      <c r="E27" s="33"/>
      <c r="F27" s="34" t="str">
        <f t="array" ref="F27">IF(INDEX('Binder Data'!$A$2:$A$251,ROW()-1)="","",IF(INDEX('Binder Data'!$D$2:$D$251,ROW()-1)="Needed",INDEX('Binder Data'!$B$2:$B$251,ROW()-1),INDEX('Binder Data'!$D$2:$D$251,ROW()-1)))</f>
        <v/>
      </c>
      <c r="G27" s="33"/>
      <c r="H27" s="32"/>
      <c r="I27" s="33"/>
      <c r="J27" s="35"/>
      <c r="K27" s="36"/>
      <c r="L27" s="37"/>
      <c r="M27" s="38"/>
      <c r="N27" s="39"/>
      <c r="O27" s="39"/>
      <c r="P27" s="19"/>
      <c r="Q27" s="2"/>
      <c r="R27" s="2"/>
      <c r="S27" s="2"/>
      <c r="T27" s="2"/>
      <c r="U27" s="2"/>
      <c r="V27" s="2"/>
      <c r="W27" s="2"/>
      <c r="X27" s="2"/>
      <c r="Y27" s="2"/>
      <c r="Z27" s="2"/>
      <c r="AA27" s="2"/>
    </row>
    <row r="28" ht="15.0" customHeight="1">
      <c r="A28" s="31" t="b">
        <v>0</v>
      </c>
      <c r="B28" s="32"/>
      <c r="C28" s="33"/>
      <c r="D28" s="33"/>
      <c r="E28" s="33"/>
      <c r="F28" s="34" t="str">
        <f t="array" ref="F28">IF(INDEX('Binder Data'!$A$2:$A$251,ROW()-1)="","",IF(INDEX('Binder Data'!$D$2:$D$251,ROW()-1)="Needed",INDEX('Binder Data'!$B$2:$B$251,ROW()-1),INDEX('Binder Data'!$D$2:$D$251,ROW()-1)))</f>
        <v/>
      </c>
      <c r="G28" s="40"/>
      <c r="H28" s="32"/>
      <c r="I28" s="33"/>
      <c r="J28" s="35"/>
      <c r="K28" s="36"/>
      <c r="L28" s="36"/>
      <c r="M28" s="38"/>
      <c r="N28" s="39"/>
      <c r="O28" s="39"/>
      <c r="P28" s="19"/>
      <c r="Q28" s="2"/>
      <c r="R28" s="2"/>
      <c r="S28" s="2"/>
      <c r="T28" s="2"/>
      <c r="U28" s="2"/>
      <c r="V28" s="2"/>
      <c r="W28" s="2"/>
      <c r="X28" s="2"/>
      <c r="Y28" s="2"/>
      <c r="Z28" s="2"/>
      <c r="AA28" s="2"/>
    </row>
    <row r="29" ht="15.0" customHeight="1">
      <c r="A29" s="31" t="b">
        <v>0</v>
      </c>
      <c r="B29" s="32"/>
      <c r="C29" s="33"/>
      <c r="D29" s="33"/>
      <c r="E29" s="33"/>
      <c r="F29" s="34" t="str">
        <f t="array" ref="F29">IF(INDEX('Binder Data'!$A$2:$A$251,ROW()-1)="","",IF(INDEX('Binder Data'!$D$2:$D$251,ROW()-1)="Needed",INDEX('Binder Data'!$B$2:$B$251,ROW()-1),INDEX('Binder Data'!$D$2:$D$251,ROW()-1)))</f>
        <v/>
      </c>
      <c r="G29" s="40"/>
      <c r="H29" s="32"/>
      <c r="I29" s="33"/>
      <c r="J29" s="35"/>
      <c r="K29" s="36"/>
      <c r="L29" s="37"/>
      <c r="M29" s="38"/>
      <c r="N29" s="39"/>
      <c r="O29" s="39"/>
      <c r="P29" s="19"/>
      <c r="Q29" s="2"/>
      <c r="R29" s="2"/>
      <c r="S29" s="2"/>
      <c r="T29" s="2"/>
      <c r="U29" s="2"/>
      <c r="V29" s="2"/>
      <c r="W29" s="2"/>
      <c r="X29" s="2"/>
      <c r="Y29" s="2"/>
      <c r="Z29" s="2"/>
      <c r="AA29" s="2"/>
    </row>
    <row r="30" ht="15.0" customHeight="1">
      <c r="A30" s="31" t="b">
        <v>0</v>
      </c>
      <c r="B30" s="32"/>
      <c r="C30" s="33"/>
      <c r="D30" s="33"/>
      <c r="E30" s="33"/>
      <c r="F30" s="34" t="str">
        <f t="array" ref="F30">IF(INDEX('Binder Data'!$A$2:$A$251,ROW()-1)="","",IF(INDEX('Binder Data'!$D$2:$D$251,ROW()-1)="Needed",INDEX('Binder Data'!$B$2:$B$251,ROW()-1),INDEX('Binder Data'!$D$2:$D$251,ROW()-1)))</f>
        <v/>
      </c>
      <c r="G30" s="40"/>
      <c r="H30" s="32"/>
      <c r="I30" s="33"/>
      <c r="J30" s="35"/>
      <c r="K30" s="36"/>
      <c r="L30" s="36"/>
      <c r="M30" s="38"/>
      <c r="N30" s="39"/>
      <c r="O30" s="39"/>
      <c r="P30" s="19"/>
      <c r="Q30" s="2"/>
      <c r="R30" s="2"/>
      <c r="S30" s="2"/>
      <c r="T30" s="2"/>
      <c r="U30" s="2"/>
      <c r="V30" s="2"/>
      <c r="W30" s="2"/>
      <c r="X30" s="2"/>
      <c r="Y30" s="2"/>
      <c r="Z30" s="2"/>
      <c r="AA30" s="2"/>
    </row>
    <row r="31" ht="15.0" customHeight="1">
      <c r="A31" s="31" t="b">
        <v>0</v>
      </c>
      <c r="B31" s="32"/>
      <c r="C31" s="33"/>
      <c r="D31" s="33"/>
      <c r="E31" s="33"/>
      <c r="F31" s="34" t="str">
        <f t="array" ref="F31">IF(INDEX('Binder Data'!$A$2:$A$251,ROW()-1)="","",IF(INDEX('Binder Data'!$D$2:$D$251,ROW()-1)="Needed",INDEX('Binder Data'!$B$2:$B$251,ROW()-1),INDEX('Binder Data'!$D$2:$D$251,ROW()-1)))</f>
        <v/>
      </c>
      <c r="G31" s="40"/>
      <c r="H31" s="32"/>
      <c r="I31" s="33"/>
      <c r="J31" s="35"/>
      <c r="K31" s="36"/>
      <c r="L31" s="36"/>
      <c r="M31" s="38"/>
      <c r="N31" s="39"/>
      <c r="O31" s="39"/>
      <c r="P31" s="19"/>
      <c r="Q31" s="2"/>
      <c r="R31" s="2"/>
      <c r="S31" s="2"/>
      <c r="T31" s="2"/>
      <c r="U31" s="2"/>
      <c r="V31" s="2"/>
      <c r="W31" s="2"/>
      <c r="X31" s="2"/>
      <c r="Y31" s="2"/>
      <c r="Z31" s="2"/>
      <c r="AA31" s="2"/>
    </row>
    <row r="32" ht="15.0" customHeight="1">
      <c r="A32" s="31" t="b">
        <v>0</v>
      </c>
      <c r="B32" s="32"/>
      <c r="C32" s="33"/>
      <c r="D32" s="33"/>
      <c r="E32" s="33"/>
      <c r="F32" s="34" t="str">
        <f t="array" ref="F32">IF(INDEX('Binder Data'!$A$2:$A$251,ROW()-1)="","",IF(INDEX('Binder Data'!$D$2:$D$251,ROW()-1)="Needed",INDEX('Binder Data'!$B$2:$B$251,ROW()-1),INDEX('Binder Data'!$D$2:$D$251,ROW()-1)))</f>
        <v/>
      </c>
      <c r="G32" s="40"/>
      <c r="H32" s="32"/>
      <c r="I32" s="33"/>
      <c r="J32" s="35"/>
      <c r="K32" s="36"/>
      <c r="L32" s="37"/>
      <c r="M32" s="38"/>
      <c r="N32" s="39"/>
      <c r="O32" s="39"/>
      <c r="P32" s="19"/>
      <c r="Q32" s="2"/>
      <c r="R32" s="2"/>
      <c r="S32" s="2"/>
      <c r="T32" s="2"/>
      <c r="U32" s="2"/>
      <c r="V32" s="2"/>
      <c r="W32" s="2"/>
      <c r="X32" s="2"/>
      <c r="Y32" s="2"/>
      <c r="Z32" s="2"/>
      <c r="AA32" s="2"/>
    </row>
    <row r="33" ht="15.0" customHeight="1">
      <c r="A33" s="31" t="b">
        <v>0</v>
      </c>
      <c r="B33" s="32"/>
      <c r="C33" s="33"/>
      <c r="D33" s="33"/>
      <c r="E33" s="33"/>
      <c r="F33" s="34" t="str">
        <f t="array" ref="F33">IF(INDEX('Binder Data'!$A$2:$A$251,ROW()-1)="","",IF(INDEX('Binder Data'!$D$2:$D$251,ROW()-1)="Needed",INDEX('Binder Data'!$B$2:$B$251,ROW()-1),INDEX('Binder Data'!$D$2:$D$251,ROW()-1)))</f>
        <v/>
      </c>
      <c r="G33" s="40"/>
      <c r="H33" s="32"/>
      <c r="I33" s="33"/>
      <c r="J33" s="35"/>
      <c r="K33" s="36"/>
      <c r="L33" s="36"/>
      <c r="M33" s="38"/>
      <c r="N33" s="39"/>
      <c r="O33" s="39"/>
      <c r="P33" s="19"/>
      <c r="Q33" s="2"/>
      <c r="R33" s="2"/>
      <c r="S33" s="2"/>
      <c r="T33" s="2"/>
      <c r="U33" s="2"/>
      <c r="V33" s="2"/>
      <c r="W33" s="2"/>
      <c r="X33" s="2"/>
      <c r="Y33" s="2"/>
      <c r="Z33" s="2"/>
      <c r="AA33" s="2"/>
    </row>
    <row r="34" ht="15.0" customHeight="1">
      <c r="A34" s="31" t="b">
        <v>0</v>
      </c>
      <c r="B34" s="32"/>
      <c r="C34" s="33"/>
      <c r="D34" s="33"/>
      <c r="E34" s="33"/>
      <c r="F34" s="34" t="str">
        <f t="array" ref="F34">IF(INDEX('Binder Data'!$A$2:$A$251,ROW()-1)="","",IF(INDEX('Binder Data'!$D$2:$D$251,ROW()-1)="Needed",INDEX('Binder Data'!$B$2:$B$251,ROW()-1),INDEX('Binder Data'!$D$2:$D$251,ROW()-1)))</f>
        <v/>
      </c>
      <c r="G34" s="40"/>
      <c r="H34" s="32"/>
      <c r="I34" s="33"/>
      <c r="J34" s="35"/>
      <c r="K34" s="36"/>
      <c r="L34" s="37"/>
      <c r="M34" s="38"/>
      <c r="N34" s="39"/>
      <c r="O34" s="39"/>
      <c r="P34" s="19"/>
      <c r="Q34" s="2"/>
      <c r="R34" s="2"/>
      <c r="S34" s="2"/>
      <c r="T34" s="2"/>
      <c r="U34" s="2"/>
      <c r="V34" s="2"/>
      <c r="W34" s="2"/>
      <c r="X34" s="2"/>
      <c r="Y34" s="2"/>
      <c r="Z34" s="2"/>
      <c r="AA34" s="2"/>
    </row>
    <row r="35" ht="15.0" customHeight="1">
      <c r="A35" s="31" t="b">
        <v>0</v>
      </c>
      <c r="B35" s="32"/>
      <c r="C35" s="33"/>
      <c r="D35" s="33"/>
      <c r="E35" s="33"/>
      <c r="F35" s="34" t="str">
        <f t="array" ref="F35">IF(INDEX('Binder Data'!$A$2:$A$251,ROW()-1)="","",IF(INDEX('Binder Data'!$D$2:$D$251,ROW()-1)="Needed",INDEX('Binder Data'!$B$2:$B$251,ROW()-1),INDEX('Binder Data'!$D$2:$D$251,ROW()-1)))</f>
        <v/>
      </c>
      <c r="G35" s="40"/>
      <c r="H35" s="32"/>
      <c r="I35" s="33"/>
      <c r="J35" s="35"/>
      <c r="K35" s="36"/>
      <c r="L35" s="37"/>
      <c r="M35" s="38"/>
      <c r="N35" s="39"/>
      <c r="O35" s="39"/>
      <c r="P35" s="19"/>
      <c r="Q35" s="2"/>
      <c r="R35" s="2"/>
      <c r="S35" s="2"/>
      <c r="T35" s="2"/>
      <c r="U35" s="2"/>
      <c r="V35" s="2"/>
      <c r="W35" s="2"/>
      <c r="X35" s="2"/>
      <c r="Y35" s="2"/>
      <c r="Z35" s="2"/>
      <c r="AA35" s="2"/>
    </row>
    <row r="36" ht="15.0" customHeight="1">
      <c r="A36" s="31" t="b">
        <v>0</v>
      </c>
      <c r="B36" s="32"/>
      <c r="C36" s="33"/>
      <c r="D36" s="33"/>
      <c r="E36" s="33"/>
      <c r="F36" s="34" t="str">
        <f t="array" ref="F36">IF(INDEX('Binder Data'!$A$2:$A$251,ROW()-1)="","",IF(INDEX('Binder Data'!$D$2:$D$251,ROW()-1)="Needed",INDEX('Binder Data'!$B$2:$B$251,ROW()-1),INDEX('Binder Data'!$D$2:$D$251,ROW()-1)))</f>
        <v/>
      </c>
      <c r="G36" s="40"/>
      <c r="H36" s="32"/>
      <c r="I36" s="33"/>
      <c r="J36" s="35"/>
      <c r="K36" s="36"/>
      <c r="L36" s="37"/>
      <c r="M36" s="38"/>
      <c r="N36" s="39"/>
      <c r="O36" s="39"/>
      <c r="P36" s="19"/>
      <c r="Q36" s="2"/>
      <c r="R36" s="2"/>
      <c r="S36" s="2"/>
      <c r="T36" s="2"/>
      <c r="U36" s="2"/>
      <c r="V36" s="2"/>
      <c r="W36" s="2"/>
      <c r="X36" s="2"/>
      <c r="Y36" s="2"/>
      <c r="Z36" s="2"/>
      <c r="AA36" s="2"/>
    </row>
    <row r="37" ht="15.0" customHeight="1">
      <c r="A37" s="31" t="b">
        <v>0</v>
      </c>
      <c r="B37" s="32"/>
      <c r="C37" s="33"/>
      <c r="D37" s="33"/>
      <c r="E37" s="33"/>
      <c r="F37" s="34" t="str">
        <f t="array" ref="F37">IF(INDEX('Binder Data'!$A$2:$A$251,ROW()-1)="","",IF(INDEX('Binder Data'!$D$2:$D$251,ROW()-1)="Needed",INDEX('Binder Data'!$B$2:$B$251,ROW()-1),INDEX('Binder Data'!$D$2:$D$251,ROW()-1)))</f>
        <v/>
      </c>
      <c r="G37" s="40"/>
      <c r="H37" s="32"/>
      <c r="I37" s="33"/>
      <c r="J37" s="35"/>
      <c r="K37" s="36"/>
      <c r="L37" s="36"/>
      <c r="M37" s="38"/>
      <c r="N37" s="39"/>
      <c r="O37" s="39"/>
      <c r="P37" s="19"/>
      <c r="Q37" s="2"/>
      <c r="R37" s="2"/>
      <c r="S37" s="2"/>
      <c r="T37" s="2"/>
      <c r="U37" s="2"/>
      <c r="V37" s="2"/>
      <c r="W37" s="2"/>
      <c r="X37" s="2"/>
      <c r="Y37" s="2"/>
      <c r="Z37" s="2"/>
      <c r="AA37" s="2"/>
    </row>
    <row r="38" ht="15.0" customHeight="1">
      <c r="A38" s="31" t="b">
        <v>0</v>
      </c>
      <c r="B38" s="32"/>
      <c r="C38" s="33"/>
      <c r="D38" s="33"/>
      <c r="E38" s="33"/>
      <c r="F38" s="34" t="str">
        <f t="array" ref="F38">IF(INDEX('Binder Data'!$A$2:$A$251,ROW()-1)="","",IF(INDEX('Binder Data'!$D$2:$D$251,ROW()-1)="Needed",INDEX('Binder Data'!$B$2:$B$251,ROW()-1),INDEX('Binder Data'!$D$2:$D$251,ROW()-1)))</f>
        <v/>
      </c>
      <c r="G38" s="40"/>
      <c r="H38" s="32"/>
      <c r="I38" s="33"/>
      <c r="J38" s="35"/>
      <c r="K38" s="36"/>
      <c r="L38" s="36"/>
      <c r="M38" s="38"/>
      <c r="N38" s="39"/>
      <c r="O38" s="39"/>
      <c r="P38" s="19"/>
      <c r="Q38" s="2"/>
      <c r="R38" s="2"/>
      <c r="S38" s="2"/>
      <c r="T38" s="2"/>
      <c r="U38" s="2"/>
      <c r="V38" s="2"/>
      <c r="W38" s="2"/>
      <c r="X38" s="2"/>
      <c r="Y38" s="2"/>
      <c r="Z38" s="2"/>
      <c r="AA38" s="2"/>
    </row>
    <row r="39" ht="15.0" customHeight="1">
      <c r="A39" s="31" t="b">
        <v>0</v>
      </c>
      <c r="B39" s="32"/>
      <c r="C39" s="33"/>
      <c r="D39" s="33"/>
      <c r="E39" s="33"/>
      <c r="F39" s="34" t="str">
        <f t="array" ref="F39">IF(INDEX('Binder Data'!$A$2:$A$251,ROW()-1)="","",IF(INDEX('Binder Data'!$D$2:$D$251,ROW()-1)="Needed",INDEX('Binder Data'!$B$2:$B$251,ROW()-1),INDEX('Binder Data'!$D$2:$D$251,ROW()-1)))</f>
        <v/>
      </c>
      <c r="G39" s="40"/>
      <c r="H39" s="32"/>
      <c r="I39" s="33"/>
      <c r="J39" s="35"/>
      <c r="K39" s="36"/>
      <c r="L39" s="36"/>
      <c r="M39" s="38"/>
      <c r="N39" s="39"/>
      <c r="O39" s="39"/>
      <c r="P39" s="19"/>
      <c r="Q39" s="2"/>
      <c r="R39" s="2"/>
      <c r="S39" s="2"/>
      <c r="T39" s="2"/>
      <c r="U39" s="2"/>
      <c r="V39" s="2"/>
      <c r="W39" s="2"/>
      <c r="X39" s="2"/>
      <c r="Y39" s="2"/>
      <c r="Z39" s="2"/>
      <c r="AA39" s="2"/>
    </row>
    <row r="40" ht="15.0" customHeight="1">
      <c r="A40" s="31" t="b">
        <v>0</v>
      </c>
      <c r="B40" s="32"/>
      <c r="C40" s="33"/>
      <c r="D40" s="33"/>
      <c r="E40" s="33"/>
      <c r="F40" s="34" t="str">
        <f t="array" ref="F40">IF(INDEX('Binder Data'!$A$2:$A$251,ROW()-1)="","",IF(INDEX('Binder Data'!$D$2:$D$251,ROW()-1)="Needed",INDEX('Binder Data'!$B$2:$B$251,ROW()-1),INDEX('Binder Data'!$D$2:$D$251,ROW()-1)))</f>
        <v/>
      </c>
      <c r="G40" s="33"/>
      <c r="H40" s="32"/>
      <c r="I40" s="33"/>
      <c r="J40" s="35"/>
      <c r="K40" s="36"/>
      <c r="L40" s="37"/>
      <c r="M40" s="38"/>
      <c r="N40" s="39"/>
      <c r="O40" s="39"/>
      <c r="P40" s="19"/>
      <c r="Q40" s="2"/>
      <c r="R40" s="2"/>
      <c r="S40" s="2"/>
      <c r="T40" s="2"/>
      <c r="U40" s="2"/>
      <c r="V40" s="2"/>
      <c r="W40" s="2"/>
      <c r="X40" s="2"/>
      <c r="Y40" s="2"/>
      <c r="Z40" s="2"/>
      <c r="AA40" s="2"/>
    </row>
    <row r="41" ht="15.0" customHeight="1">
      <c r="A41" s="31" t="b">
        <v>0</v>
      </c>
      <c r="B41" s="32"/>
      <c r="C41" s="33"/>
      <c r="D41" s="33"/>
      <c r="E41" s="33"/>
      <c r="F41" s="34" t="str">
        <f t="array" ref="F41">IF(INDEX('Binder Data'!$A$2:$A$251,ROW()-1)="","",IF(INDEX('Binder Data'!$D$2:$D$251,ROW()-1)="Needed",INDEX('Binder Data'!$B$2:$B$251,ROW()-1),INDEX('Binder Data'!$D$2:$D$251,ROW()-1)))</f>
        <v/>
      </c>
      <c r="G41" s="40"/>
      <c r="H41" s="32"/>
      <c r="I41" s="33"/>
      <c r="J41" s="35"/>
      <c r="K41" s="36"/>
      <c r="L41" s="36"/>
      <c r="M41" s="38"/>
      <c r="N41" s="39"/>
      <c r="O41" s="39"/>
      <c r="P41" s="19"/>
      <c r="Q41" s="2"/>
      <c r="R41" s="2"/>
      <c r="S41" s="2"/>
      <c r="T41" s="2"/>
      <c r="U41" s="2"/>
      <c r="V41" s="2"/>
      <c r="W41" s="2"/>
      <c r="X41" s="2"/>
      <c r="Y41" s="2"/>
      <c r="Z41" s="2"/>
      <c r="AA41" s="2"/>
    </row>
    <row r="42" ht="15.0" customHeight="1">
      <c r="A42" s="31" t="b">
        <v>0</v>
      </c>
      <c r="B42" s="32"/>
      <c r="C42" s="33"/>
      <c r="D42" s="33"/>
      <c r="E42" s="33"/>
      <c r="F42" s="34" t="str">
        <f t="array" ref="F42">IF(INDEX('Binder Data'!$A$2:$A$251,ROW()-1)="","",IF(INDEX('Binder Data'!$D$2:$D$251,ROW()-1)="Needed",INDEX('Binder Data'!$B$2:$B$251,ROW()-1),INDEX('Binder Data'!$D$2:$D$251,ROW()-1)))</f>
        <v/>
      </c>
      <c r="G42" s="33"/>
      <c r="H42" s="32"/>
      <c r="I42" s="33"/>
      <c r="J42" s="35"/>
      <c r="K42" s="36"/>
      <c r="L42" s="36"/>
      <c r="M42" s="38"/>
      <c r="N42" s="39"/>
      <c r="O42" s="39"/>
      <c r="P42" s="19"/>
      <c r="Q42" s="2"/>
      <c r="R42" s="2"/>
      <c r="S42" s="2"/>
      <c r="T42" s="2"/>
      <c r="U42" s="2"/>
      <c r="V42" s="2"/>
      <c r="W42" s="2"/>
      <c r="X42" s="2"/>
      <c r="Y42" s="2"/>
      <c r="Z42" s="2"/>
      <c r="AA42" s="2"/>
    </row>
    <row r="43" ht="15.0" customHeight="1">
      <c r="A43" s="31" t="b">
        <v>0</v>
      </c>
      <c r="B43" s="32"/>
      <c r="C43" s="33"/>
      <c r="D43" s="33"/>
      <c r="E43" s="33"/>
      <c r="F43" s="34" t="str">
        <f t="array" ref="F43">IF(INDEX('Binder Data'!$A$2:$A$251,ROW()-1)="","",IF(INDEX('Binder Data'!$D$2:$D$251,ROW()-1)="Needed",INDEX('Binder Data'!$B$2:$B$251,ROW()-1),INDEX('Binder Data'!$D$2:$D$251,ROW()-1)))</f>
        <v/>
      </c>
      <c r="G43" s="40"/>
      <c r="H43" s="32"/>
      <c r="I43" s="33"/>
      <c r="J43" s="35"/>
      <c r="K43" s="36"/>
      <c r="L43" s="36"/>
      <c r="M43" s="38"/>
      <c r="N43" s="39"/>
      <c r="O43" s="39"/>
      <c r="P43" s="19"/>
      <c r="Q43" s="2"/>
      <c r="R43" s="2"/>
      <c r="S43" s="2"/>
      <c r="T43" s="2"/>
      <c r="U43" s="2"/>
      <c r="V43" s="2"/>
      <c r="W43" s="2"/>
      <c r="X43" s="2"/>
      <c r="Y43" s="2"/>
      <c r="Z43" s="2"/>
      <c r="AA43" s="2"/>
    </row>
    <row r="44" ht="15.0" customHeight="1">
      <c r="A44" s="31" t="b">
        <v>0</v>
      </c>
      <c r="B44" s="32"/>
      <c r="C44" s="33"/>
      <c r="D44" s="33"/>
      <c r="E44" s="33"/>
      <c r="F44" s="34" t="str">
        <f t="array" ref="F44">IF(INDEX('Binder Data'!$A$2:$A$251,ROW()-1)="","",IF(INDEX('Binder Data'!$D$2:$D$251,ROW()-1)="Needed",INDEX('Binder Data'!$B$2:$B$251,ROW()-1),INDEX('Binder Data'!$D$2:$D$251,ROW()-1)))</f>
        <v/>
      </c>
      <c r="G44" s="40"/>
      <c r="H44" s="32"/>
      <c r="I44" s="33"/>
      <c r="J44" s="35"/>
      <c r="K44" s="36"/>
      <c r="L44" s="37"/>
      <c r="M44" s="38"/>
      <c r="N44" s="39"/>
      <c r="O44" s="33"/>
      <c r="P44" s="19"/>
      <c r="Q44" s="2"/>
      <c r="R44" s="2"/>
      <c r="S44" s="2"/>
      <c r="T44" s="2"/>
      <c r="U44" s="2"/>
      <c r="V44" s="2"/>
      <c r="W44" s="2"/>
      <c r="X44" s="2"/>
      <c r="Y44" s="2"/>
      <c r="Z44" s="2"/>
      <c r="AA44" s="2"/>
    </row>
    <row r="45" ht="15.0" customHeight="1">
      <c r="A45" s="31" t="b">
        <v>0</v>
      </c>
      <c r="B45" s="32"/>
      <c r="C45" s="33"/>
      <c r="D45" s="33"/>
      <c r="E45" s="33"/>
      <c r="F45" s="34" t="str">
        <f t="array" ref="F45">IF(INDEX('Binder Data'!$A$2:$A$251,ROW()-1)="","",IF(INDEX('Binder Data'!$D$2:$D$251,ROW()-1)="Needed",INDEX('Binder Data'!$B$2:$B$251,ROW()-1),INDEX('Binder Data'!$D$2:$D$251,ROW()-1)))</f>
        <v/>
      </c>
      <c r="G45" s="33"/>
      <c r="H45" s="32"/>
      <c r="I45" s="33"/>
      <c r="J45" s="35"/>
      <c r="K45" s="36"/>
      <c r="L45" s="37"/>
      <c r="M45" s="38"/>
      <c r="N45" s="39"/>
      <c r="O45" s="39"/>
      <c r="P45" s="19"/>
      <c r="Q45" s="2"/>
      <c r="R45" s="2"/>
      <c r="S45" s="2"/>
      <c r="T45" s="2"/>
      <c r="U45" s="2"/>
      <c r="V45" s="2"/>
      <c r="W45" s="2"/>
      <c r="X45" s="2"/>
      <c r="Y45" s="2"/>
      <c r="Z45" s="2"/>
      <c r="AA45" s="2"/>
    </row>
    <row r="46" ht="15.0" customHeight="1">
      <c r="A46" s="31" t="b">
        <v>0</v>
      </c>
      <c r="B46" s="32"/>
      <c r="C46" s="33"/>
      <c r="D46" s="33"/>
      <c r="E46" s="33"/>
      <c r="F46" s="34" t="str">
        <f t="array" ref="F46">IF(INDEX('Binder Data'!$A$2:$A$251,ROW()-1)="","",IF(INDEX('Binder Data'!$D$2:$D$251,ROW()-1)="Needed",INDEX('Binder Data'!$B$2:$B$251,ROW()-1),INDEX('Binder Data'!$D$2:$D$251,ROW()-1)))</f>
        <v/>
      </c>
      <c r="G46" s="40"/>
      <c r="H46" s="32"/>
      <c r="I46" s="33"/>
      <c r="J46" s="35"/>
      <c r="K46" s="36"/>
      <c r="L46" s="36"/>
      <c r="M46" s="38"/>
      <c r="N46" s="39"/>
      <c r="O46" s="39"/>
      <c r="P46" s="19"/>
      <c r="Q46" s="2"/>
      <c r="R46" s="2"/>
      <c r="S46" s="2"/>
      <c r="T46" s="2"/>
      <c r="U46" s="2"/>
      <c r="V46" s="2"/>
      <c r="W46" s="2"/>
      <c r="X46" s="2"/>
      <c r="Y46" s="2"/>
      <c r="Z46" s="2"/>
      <c r="AA46" s="2"/>
    </row>
    <row r="47" ht="15.0" customHeight="1">
      <c r="A47" s="31" t="b">
        <v>0</v>
      </c>
      <c r="B47" s="32"/>
      <c r="C47" s="33"/>
      <c r="D47" s="33"/>
      <c r="E47" s="33"/>
      <c r="F47" s="34" t="str">
        <f t="array" ref="F47">IF(INDEX('Binder Data'!$A$2:$A$251,ROW()-1)="","",IF(INDEX('Binder Data'!$D$2:$D$251,ROW()-1)="Needed",INDEX('Binder Data'!$B$2:$B$251,ROW()-1),INDEX('Binder Data'!$D$2:$D$251,ROW()-1)))</f>
        <v/>
      </c>
      <c r="G47" s="40"/>
      <c r="H47" s="32"/>
      <c r="I47" s="33"/>
      <c r="J47" s="35"/>
      <c r="K47" s="36"/>
      <c r="L47" s="37"/>
      <c r="M47" s="38"/>
      <c r="N47" s="39"/>
      <c r="O47" s="39"/>
      <c r="P47" s="19"/>
      <c r="Q47" s="2"/>
      <c r="R47" s="2"/>
      <c r="S47" s="2"/>
      <c r="T47" s="2"/>
      <c r="U47" s="2"/>
      <c r="V47" s="2"/>
      <c r="W47" s="2"/>
      <c r="X47" s="2"/>
      <c r="Y47" s="2"/>
      <c r="Z47" s="2"/>
      <c r="AA47" s="2"/>
    </row>
    <row r="48" ht="15.0" customHeight="1">
      <c r="A48" s="31" t="b">
        <v>0</v>
      </c>
      <c r="B48" s="32"/>
      <c r="C48" s="33"/>
      <c r="D48" s="33"/>
      <c r="E48" s="33"/>
      <c r="F48" s="34" t="str">
        <f t="array" ref="F48">IF(INDEX('Binder Data'!$A$2:$A$251,ROW()-1)="","",IF(INDEX('Binder Data'!$D$2:$D$251,ROW()-1)="Needed",INDEX('Binder Data'!$B$2:$B$251,ROW()-1),INDEX('Binder Data'!$D$2:$D$251,ROW()-1)))</f>
        <v/>
      </c>
      <c r="G48" s="33"/>
      <c r="H48" s="32"/>
      <c r="I48" s="33"/>
      <c r="J48" s="35"/>
      <c r="K48" s="36"/>
      <c r="L48" s="36"/>
      <c r="M48" s="38"/>
      <c r="N48" s="39"/>
      <c r="O48" s="39"/>
      <c r="P48" s="19"/>
      <c r="Q48" s="2"/>
      <c r="R48" s="2"/>
      <c r="S48" s="2"/>
      <c r="T48" s="2"/>
      <c r="U48" s="2"/>
      <c r="V48" s="2"/>
      <c r="W48" s="2"/>
      <c r="X48" s="2"/>
      <c r="Y48" s="2"/>
      <c r="Z48" s="2"/>
      <c r="AA48" s="2"/>
    </row>
    <row r="49" ht="15.0" customHeight="1">
      <c r="A49" s="31" t="b">
        <v>0</v>
      </c>
      <c r="B49" s="32"/>
      <c r="C49" s="33"/>
      <c r="D49" s="33"/>
      <c r="E49" s="33"/>
      <c r="F49" s="34" t="str">
        <f t="array" ref="F49">IF(INDEX('Binder Data'!$A$2:$A$251,ROW()-1)="","",IF(INDEX('Binder Data'!$D$2:$D$251,ROW()-1)="Needed",INDEX('Binder Data'!$B$2:$B$251,ROW()-1),INDEX('Binder Data'!$D$2:$D$251,ROW()-1)))</f>
        <v/>
      </c>
      <c r="G49" s="33"/>
      <c r="H49" s="32"/>
      <c r="I49" s="33"/>
      <c r="J49" s="35"/>
      <c r="K49" s="36"/>
      <c r="L49" s="37"/>
      <c r="M49" s="38"/>
      <c r="N49" s="39"/>
      <c r="O49" s="39"/>
      <c r="P49" s="19"/>
      <c r="Q49" s="2"/>
      <c r="R49" s="2"/>
      <c r="S49" s="2"/>
      <c r="T49" s="2"/>
      <c r="U49" s="2"/>
      <c r="V49" s="2"/>
      <c r="W49" s="2"/>
      <c r="X49" s="2"/>
      <c r="Y49" s="2"/>
      <c r="Z49" s="2"/>
      <c r="AA49" s="2"/>
    </row>
    <row r="50" ht="15.0" customHeight="1">
      <c r="A50" s="31" t="b">
        <v>0</v>
      </c>
      <c r="B50" s="32"/>
      <c r="C50" s="33"/>
      <c r="D50" s="33"/>
      <c r="E50" s="33"/>
      <c r="F50" s="34" t="str">
        <f t="array" ref="F50">IF(INDEX('Binder Data'!$A$2:$A$251,ROW()-1)="","",IF(INDEX('Binder Data'!$D$2:$D$251,ROW()-1)="Needed",INDEX('Binder Data'!$B$2:$B$251,ROW()-1),INDEX('Binder Data'!$D$2:$D$251,ROW()-1)))</f>
        <v/>
      </c>
      <c r="G50" s="40"/>
      <c r="H50" s="32"/>
      <c r="I50" s="33"/>
      <c r="J50" s="35"/>
      <c r="K50" s="36"/>
      <c r="L50" s="37"/>
      <c r="M50" s="38"/>
      <c r="N50" s="39"/>
      <c r="O50" s="39"/>
      <c r="P50" s="19"/>
      <c r="Q50" s="2"/>
      <c r="R50" s="2"/>
      <c r="S50" s="2"/>
      <c r="T50" s="2"/>
      <c r="U50" s="2"/>
      <c r="V50" s="2"/>
      <c r="W50" s="2"/>
      <c r="X50" s="2"/>
      <c r="Y50" s="2"/>
      <c r="Z50" s="2"/>
      <c r="AA50" s="2"/>
    </row>
    <row r="51" ht="15.0" customHeight="1">
      <c r="A51" s="31" t="b">
        <v>0</v>
      </c>
      <c r="B51" s="32"/>
      <c r="C51" s="33"/>
      <c r="D51" s="33"/>
      <c r="E51" s="33"/>
      <c r="F51" s="34" t="str">
        <f t="array" ref="F51">IF(INDEX('Binder Data'!$A$2:$A$251,ROW()-1)="","",IF(INDEX('Binder Data'!$D$2:$D$251,ROW()-1)="Needed",INDEX('Binder Data'!$B$2:$B$251,ROW()-1),INDEX('Binder Data'!$D$2:$D$251,ROW()-1)))</f>
        <v/>
      </c>
      <c r="G51" s="33"/>
      <c r="H51" s="32"/>
      <c r="I51" s="33"/>
      <c r="J51" s="35"/>
      <c r="K51" s="36"/>
      <c r="L51" s="37"/>
      <c r="M51" s="38"/>
      <c r="N51" s="39"/>
      <c r="O51" s="39"/>
      <c r="P51" s="19"/>
      <c r="Q51" s="2"/>
      <c r="R51" s="2"/>
      <c r="S51" s="2"/>
      <c r="T51" s="2"/>
      <c r="U51" s="2"/>
      <c r="V51" s="2"/>
      <c r="W51" s="2"/>
      <c r="X51" s="2"/>
      <c r="Y51" s="2"/>
      <c r="Z51" s="2"/>
      <c r="AA51" s="2"/>
    </row>
    <row r="52" ht="15.0" customHeight="1">
      <c r="A52" s="31" t="b">
        <v>0</v>
      </c>
      <c r="B52" s="32"/>
      <c r="C52" s="33"/>
      <c r="D52" s="33"/>
      <c r="E52" s="33"/>
      <c r="F52" s="34" t="str">
        <f t="array" ref="F52">IF(INDEX('Binder Data'!$A$2:$A$251,ROW()-1)="","",IF(INDEX('Binder Data'!$D$2:$D$251,ROW()-1)="Needed",INDEX('Binder Data'!$B$2:$B$251,ROW()-1),INDEX('Binder Data'!$D$2:$D$251,ROW()-1)))</f>
        <v/>
      </c>
      <c r="G52" s="40"/>
      <c r="H52" s="32"/>
      <c r="I52" s="33"/>
      <c r="J52" s="35"/>
      <c r="K52" s="36"/>
      <c r="L52" s="36"/>
      <c r="M52" s="38"/>
      <c r="N52" s="39"/>
      <c r="O52" s="39"/>
      <c r="P52" s="19"/>
      <c r="Q52" s="2"/>
      <c r="R52" s="2"/>
      <c r="S52" s="2"/>
      <c r="T52" s="2"/>
      <c r="U52" s="2"/>
      <c r="V52" s="2"/>
      <c r="W52" s="2"/>
      <c r="X52" s="2"/>
      <c r="Y52" s="2"/>
      <c r="Z52" s="2"/>
      <c r="AA52" s="2"/>
    </row>
    <row r="53" ht="15.0" customHeight="1">
      <c r="A53" s="31" t="b">
        <v>0</v>
      </c>
      <c r="B53" s="32"/>
      <c r="C53" s="33"/>
      <c r="D53" s="33"/>
      <c r="E53" s="33"/>
      <c r="F53" s="34" t="str">
        <f t="array" ref="F53">IF(INDEX('Binder Data'!$A$2:$A$251,ROW()-1)="","",IF(INDEX('Binder Data'!$D$2:$D$251,ROW()-1)="Needed",INDEX('Binder Data'!$B$2:$B$251,ROW()-1),INDEX('Binder Data'!$D$2:$D$251,ROW()-1)))</f>
        <v/>
      </c>
      <c r="G53" s="33"/>
      <c r="H53" s="32"/>
      <c r="I53" s="33"/>
      <c r="J53" s="35"/>
      <c r="K53" s="36"/>
      <c r="L53" s="37"/>
      <c r="M53" s="38"/>
      <c r="N53" s="39"/>
      <c r="O53" s="39"/>
      <c r="P53" s="19"/>
      <c r="Q53" s="2"/>
      <c r="R53" s="2"/>
      <c r="S53" s="2"/>
      <c r="T53" s="2"/>
      <c r="U53" s="2"/>
      <c r="V53" s="2"/>
      <c r="W53" s="2"/>
      <c r="X53" s="2"/>
      <c r="Y53" s="2"/>
      <c r="Z53" s="2"/>
      <c r="AA53" s="2"/>
    </row>
    <row r="54" ht="15.0" customHeight="1">
      <c r="A54" s="31" t="b">
        <v>0</v>
      </c>
      <c r="B54" s="32"/>
      <c r="C54" s="33"/>
      <c r="D54" s="33"/>
      <c r="E54" s="33"/>
      <c r="F54" s="34" t="str">
        <f t="array" ref="F54">IF(INDEX('Binder Data'!$A$2:$A$251,ROW()-1)="","",IF(INDEX('Binder Data'!$D$2:$D$251,ROW()-1)="Needed",INDEX('Binder Data'!$B$2:$B$251,ROW()-1),INDEX('Binder Data'!$D$2:$D$251,ROW()-1)))</f>
        <v/>
      </c>
      <c r="G54" s="33"/>
      <c r="H54" s="32"/>
      <c r="I54" s="33"/>
      <c r="J54" s="35"/>
      <c r="K54" s="36"/>
      <c r="L54" s="37"/>
      <c r="M54" s="38"/>
      <c r="N54" s="39"/>
      <c r="O54" s="39"/>
      <c r="P54" s="19"/>
      <c r="Q54" s="2"/>
      <c r="R54" s="2"/>
      <c r="S54" s="2"/>
      <c r="T54" s="2"/>
      <c r="U54" s="2"/>
      <c r="V54" s="2"/>
      <c r="W54" s="2"/>
      <c r="X54" s="2"/>
      <c r="Y54" s="2"/>
      <c r="Z54" s="2"/>
      <c r="AA54" s="2"/>
    </row>
    <row r="55" ht="15.0" customHeight="1">
      <c r="A55" s="31" t="b">
        <v>0</v>
      </c>
      <c r="B55" s="32"/>
      <c r="C55" s="33"/>
      <c r="D55" s="33"/>
      <c r="E55" s="33"/>
      <c r="F55" s="34" t="str">
        <f t="array" ref="F55">IF(INDEX('Binder Data'!$A$2:$A$251,ROW()-1)="","",IF(INDEX('Binder Data'!$D$2:$D$251,ROW()-1)="Needed",INDEX('Binder Data'!$B$2:$B$251,ROW()-1),INDEX('Binder Data'!$D$2:$D$251,ROW()-1)))</f>
        <v/>
      </c>
      <c r="G55" s="40"/>
      <c r="H55" s="32"/>
      <c r="I55" s="33"/>
      <c r="J55" s="35"/>
      <c r="K55" s="36"/>
      <c r="L55" s="37"/>
      <c r="M55" s="38"/>
      <c r="N55" s="39"/>
      <c r="O55" s="39"/>
      <c r="P55" s="19"/>
      <c r="Q55" s="2"/>
      <c r="R55" s="2"/>
      <c r="S55" s="2"/>
      <c r="T55" s="2"/>
      <c r="U55" s="2"/>
      <c r="V55" s="2"/>
      <c r="W55" s="2"/>
      <c r="X55" s="2"/>
      <c r="Y55" s="2"/>
      <c r="Z55" s="2"/>
      <c r="AA55" s="2"/>
    </row>
    <row r="56" ht="15.0" customHeight="1">
      <c r="A56" s="31" t="b">
        <v>0</v>
      </c>
      <c r="B56" s="32"/>
      <c r="C56" s="33"/>
      <c r="D56" s="33"/>
      <c r="E56" s="33"/>
      <c r="F56" s="34" t="str">
        <f t="array" ref="F56">IF(INDEX('Binder Data'!$A$2:$A$251,ROW()-1)="","",IF(INDEX('Binder Data'!$D$2:$D$251,ROW()-1)="Needed",INDEX('Binder Data'!$B$2:$B$251,ROW()-1),INDEX('Binder Data'!$D$2:$D$251,ROW()-1)))</f>
        <v/>
      </c>
      <c r="G56" s="40"/>
      <c r="H56" s="32"/>
      <c r="I56" s="33"/>
      <c r="J56" s="35"/>
      <c r="K56" s="36"/>
      <c r="L56" s="37"/>
      <c r="M56" s="38"/>
      <c r="N56" s="39"/>
      <c r="O56" s="39"/>
      <c r="P56" s="19"/>
      <c r="Q56" s="2"/>
      <c r="R56" s="2"/>
      <c r="S56" s="2"/>
      <c r="T56" s="2"/>
      <c r="U56" s="2"/>
      <c r="V56" s="2"/>
      <c r="W56" s="2"/>
      <c r="X56" s="2"/>
      <c r="Y56" s="2"/>
      <c r="Z56" s="2"/>
      <c r="AA56" s="2"/>
    </row>
    <row r="57" ht="15.0" customHeight="1">
      <c r="A57" s="31" t="b">
        <v>0</v>
      </c>
      <c r="B57" s="32"/>
      <c r="C57" s="33"/>
      <c r="D57" s="33"/>
      <c r="E57" s="33"/>
      <c r="F57" s="34" t="str">
        <f t="array" ref="F57">IF(INDEX('Binder Data'!$A$2:$A$251,ROW()-1)="","",IF(INDEX('Binder Data'!$D$2:$D$251,ROW()-1)="Needed",INDEX('Binder Data'!$B$2:$B$251,ROW()-1),INDEX('Binder Data'!$D$2:$D$251,ROW()-1)))</f>
        <v/>
      </c>
      <c r="G57" s="40"/>
      <c r="H57" s="32"/>
      <c r="I57" s="33"/>
      <c r="J57" s="35"/>
      <c r="K57" s="36"/>
      <c r="L57" s="37"/>
      <c r="M57" s="38"/>
      <c r="N57" s="39"/>
      <c r="O57" s="39"/>
      <c r="P57" s="19"/>
      <c r="Q57" s="2"/>
      <c r="R57" s="2"/>
      <c r="S57" s="2"/>
      <c r="T57" s="2"/>
      <c r="U57" s="2"/>
      <c r="V57" s="2"/>
      <c r="W57" s="2"/>
      <c r="X57" s="2"/>
      <c r="Y57" s="2"/>
      <c r="Z57" s="2"/>
      <c r="AA57" s="2"/>
    </row>
    <row r="58" ht="15.0" customHeight="1">
      <c r="A58" s="31" t="b">
        <v>0</v>
      </c>
      <c r="B58" s="32"/>
      <c r="C58" s="33"/>
      <c r="D58" s="33"/>
      <c r="E58" s="33"/>
      <c r="F58" s="34" t="str">
        <f t="array" ref="F58">IF(INDEX('Binder Data'!$A$2:$A$251,ROW()-1)="","",IF(INDEX('Binder Data'!$D$2:$D$251,ROW()-1)="Needed",INDEX('Binder Data'!$B$2:$B$251,ROW()-1),INDEX('Binder Data'!$D$2:$D$251,ROW()-1)))</f>
        <v/>
      </c>
      <c r="G58" s="40"/>
      <c r="H58" s="32"/>
      <c r="I58" s="33"/>
      <c r="J58" s="35"/>
      <c r="K58" s="36"/>
      <c r="L58" s="37"/>
      <c r="M58" s="38"/>
      <c r="N58" s="39"/>
      <c r="O58" s="39"/>
      <c r="P58" s="19"/>
      <c r="Q58" s="2"/>
      <c r="R58" s="2"/>
      <c r="S58" s="2"/>
      <c r="T58" s="2"/>
      <c r="U58" s="2"/>
      <c r="V58" s="2"/>
      <c r="W58" s="2"/>
      <c r="X58" s="2"/>
      <c r="Y58" s="2"/>
      <c r="Z58" s="2"/>
      <c r="AA58" s="2"/>
    </row>
    <row r="59" ht="15.0" customHeight="1">
      <c r="A59" s="31" t="b">
        <v>0</v>
      </c>
      <c r="B59" s="32"/>
      <c r="C59" s="33"/>
      <c r="D59" s="33"/>
      <c r="E59" s="33"/>
      <c r="F59" s="34" t="str">
        <f t="array" ref="F59">IF(INDEX('Binder Data'!$A$2:$A$251,ROW()-1)="","",IF(INDEX('Binder Data'!$D$2:$D$251,ROW()-1)="Needed",INDEX('Binder Data'!$B$2:$B$251,ROW()-1),INDEX('Binder Data'!$D$2:$D$251,ROW()-1)))</f>
        <v/>
      </c>
      <c r="G59" s="40"/>
      <c r="H59" s="32"/>
      <c r="I59" s="33"/>
      <c r="J59" s="35"/>
      <c r="K59" s="36"/>
      <c r="L59" s="37"/>
      <c r="M59" s="38"/>
      <c r="N59" s="39"/>
      <c r="O59" s="39"/>
      <c r="P59" s="19"/>
      <c r="Q59" s="2"/>
      <c r="R59" s="2"/>
      <c r="S59" s="2"/>
      <c r="T59" s="2"/>
      <c r="U59" s="2"/>
      <c r="V59" s="2"/>
      <c r="W59" s="2"/>
      <c r="X59" s="2"/>
      <c r="Y59" s="2"/>
      <c r="Z59" s="2"/>
      <c r="AA59" s="2"/>
    </row>
    <row r="60" ht="15.0" customHeight="1">
      <c r="A60" s="31" t="b">
        <v>0</v>
      </c>
      <c r="B60" s="32"/>
      <c r="C60" s="33"/>
      <c r="D60" s="33"/>
      <c r="E60" s="33"/>
      <c r="F60" s="34" t="str">
        <f t="array" ref="F60">IF(INDEX('Binder Data'!$A$2:$A$251,ROW()-1)="","",IF(INDEX('Binder Data'!$D$2:$D$251,ROW()-1)="Needed",INDEX('Binder Data'!$B$2:$B$251,ROW()-1),INDEX('Binder Data'!$D$2:$D$251,ROW()-1)))</f>
        <v/>
      </c>
      <c r="G60" s="40"/>
      <c r="H60" s="32"/>
      <c r="I60" s="33"/>
      <c r="J60" s="35"/>
      <c r="K60" s="36"/>
      <c r="L60" s="37"/>
      <c r="M60" s="38"/>
      <c r="N60" s="39"/>
      <c r="O60" s="39"/>
      <c r="P60" s="19"/>
      <c r="Q60" s="2"/>
      <c r="R60" s="2"/>
      <c r="S60" s="2"/>
      <c r="T60" s="2"/>
      <c r="U60" s="2"/>
      <c r="V60" s="2"/>
      <c r="W60" s="2"/>
      <c r="X60" s="2"/>
      <c r="Y60" s="2"/>
      <c r="Z60" s="2"/>
      <c r="AA60" s="2"/>
    </row>
    <row r="61" ht="15.0" customHeight="1">
      <c r="A61" s="31" t="b">
        <v>0</v>
      </c>
      <c r="B61" s="32"/>
      <c r="C61" s="33"/>
      <c r="D61" s="33"/>
      <c r="E61" s="33"/>
      <c r="F61" s="34" t="str">
        <f t="array" ref="F61">IF(INDEX('Binder Data'!$A$2:$A$251,ROW()-1)="","",IF(INDEX('Binder Data'!$D$2:$D$251,ROW()-1)="Needed",INDEX('Binder Data'!$B$2:$B$251,ROW()-1),INDEX('Binder Data'!$D$2:$D$251,ROW()-1)))</f>
        <v/>
      </c>
      <c r="G61" s="40"/>
      <c r="H61" s="32"/>
      <c r="I61" s="33"/>
      <c r="J61" s="35"/>
      <c r="K61" s="36"/>
      <c r="L61" s="37"/>
      <c r="M61" s="38"/>
      <c r="N61" s="39"/>
      <c r="O61" s="39"/>
      <c r="P61" s="19"/>
      <c r="Q61" s="2"/>
      <c r="R61" s="2"/>
      <c r="S61" s="2"/>
      <c r="T61" s="2"/>
      <c r="U61" s="2"/>
      <c r="V61" s="2"/>
      <c r="W61" s="2"/>
      <c r="X61" s="2"/>
      <c r="Y61" s="2"/>
      <c r="Z61" s="2"/>
      <c r="AA61" s="2"/>
    </row>
    <row r="62" ht="15.0" customHeight="1">
      <c r="A62" s="31" t="b">
        <v>0</v>
      </c>
      <c r="B62" s="32"/>
      <c r="C62" s="33"/>
      <c r="D62" s="33"/>
      <c r="E62" s="33"/>
      <c r="F62" s="34" t="str">
        <f t="array" ref="F62">IF(INDEX('Binder Data'!$A$2:$A$251,ROW()-1)="","",IF(INDEX('Binder Data'!$D$2:$D$251,ROW()-1)="Needed",INDEX('Binder Data'!$B$2:$B$251,ROW()-1),INDEX('Binder Data'!$D$2:$D$251,ROW()-1)))</f>
        <v/>
      </c>
      <c r="G62" s="40"/>
      <c r="H62" s="32"/>
      <c r="I62" s="33"/>
      <c r="J62" s="35"/>
      <c r="K62" s="36"/>
      <c r="L62" s="37"/>
      <c r="M62" s="38"/>
      <c r="N62" s="39"/>
      <c r="O62" s="33"/>
      <c r="P62" s="19"/>
      <c r="Q62" s="2"/>
      <c r="R62" s="2"/>
      <c r="S62" s="2"/>
      <c r="T62" s="2"/>
      <c r="U62" s="2"/>
      <c r="V62" s="2"/>
      <c r="W62" s="2"/>
      <c r="X62" s="2"/>
      <c r="Y62" s="2"/>
      <c r="Z62" s="2"/>
      <c r="AA62" s="2"/>
    </row>
    <row r="63" ht="15.0" customHeight="1">
      <c r="A63" s="31" t="b">
        <v>0</v>
      </c>
      <c r="B63" s="32"/>
      <c r="C63" s="33"/>
      <c r="D63" s="33"/>
      <c r="E63" s="33"/>
      <c r="F63" s="34" t="str">
        <f t="array" ref="F63">IF(INDEX('Binder Data'!$A$2:$A$251,ROW()-1)="","",IF(INDEX('Binder Data'!$D$2:$D$251,ROW()-1)="Needed",INDEX('Binder Data'!$B$2:$B$251,ROW()-1),INDEX('Binder Data'!$D$2:$D$251,ROW()-1)))</f>
        <v/>
      </c>
      <c r="G63" s="40"/>
      <c r="H63" s="32"/>
      <c r="I63" s="33"/>
      <c r="J63" s="35"/>
      <c r="K63" s="36"/>
      <c r="L63" s="37"/>
      <c r="M63" s="38"/>
      <c r="N63" s="39"/>
      <c r="O63" s="39"/>
      <c r="P63" s="19"/>
      <c r="Q63" s="2"/>
      <c r="R63" s="2"/>
      <c r="S63" s="2"/>
      <c r="T63" s="2"/>
      <c r="U63" s="2"/>
      <c r="V63" s="2"/>
      <c r="W63" s="2"/>
      <c r="X63" s="2"/>
      <c r="Y63" s="2"/>
      <c r="Z63" s="2"/>
      <c r="AA63" s="2"/>
    </row>
    <row r="64" ht="15.0" customHeight="1">
      <c r="A64" s="31" t="b">
        <v>0</v>
      </c>
      <c r="B64" s="32"/>
      <c r="C64" s="33"/>
      <c r="D64" s="33"/>
      <c r="E64" s="33"/>
      <c r="F64" s="34" t="str">
        <f t="array" ref="F64">IF(INDEX('Binder Data'!$A$2:$A$251,ROW()-1)="","",IF(INDEX('Binder Data'!$D$2:$D$251,ROW()-1)="Needed",INDEX('Binder Data'!$B$2:$B$251,ROW()-1),INDEX('Binder Data'!$D$2:$D$251,ROW()-1)))</f>
        <v/>
      </c>
      <c r="G64" s="40"/>
      <c r="H64" s="32"/>
      <c r="I64" s="33"/>
      <c r="J64" s="35"/>
      <c r="K64" s="36"/>
      <c r="L64" s="37"/>
      <c r="M64" s="38"/>
      <c r="N64" s="39"/>
      <c r="O64" s="39"/>
      <c r="P64" s="19"/>
      <c r="Q64" s="2"/>
      <c r="R64" s="2"/>
      <c r="S64" s="2"/>
      <c r="T64" s="2"/>
      <c r="U64" s="2"/>
      <c r="V64" s="2"/>
      <c r="W64" s="2"/>
      <c r="X64" s="2"/>
      <c r="Y64" s="2"/>
      <c r="Z64" s="2"/>
      <c r="AA64" s="2"/>
    </row>
    <row r="65" ht="15.0" customHeight="1">
      <c r="A65" s="31" t="b">
        <v>0</v>
      </c>
      <c r="B65" s="32"/>
      <c r="C65" s="33"/>
      <c r="D65" s="33"/>
      <c r="E65" s="33"/>
      <c r="F65" s="34" t="str">
        <f t="array" ref="F65">IF(INDEX('Binder Data'!$A$2:$A$251,ROW()-1)="","",IF(INDEX('Binder Data'!$D$2:$D$251,ROW()-1)="Needed",INDEX('Binder Data'!$B$2:$B$251,ROW()-1),INDEX('Binder Data'!$D$2:$D$251,ROW()-1)))</f>
        <v/>
      </c>
      <c r="G65" s="40"/>
      <c r="H65" s="32"/>
      <c r="I65" s="33"/>
      <c r="J65" s="35"/>
      <c r="K65" s="36"/>
      <c r="L65" s="36"/>
      <c r="M65" s="38"/>
      <c r="N65" s="39"/>
      <c r="O65" s="39"/>
      <c r="P65" s="19"/>
      <c r="Q65" s="2"/>
      <c r="R65" s="2"/>
      <c r="S65" s="2"/>
      <c r="T65" s="2"/>
      <c r="U65" s="2"/>
      <c r="V65" s="2"/>
      <c r="W65" s="2"/>
      <c r="X65" s="2"/>
      <c r="Y65" s="2"/>
      <c r="Z65" s="2"/>
      <c r="AA65" s="2"/>
    </row>
    <row r="66" ht="15.0" customHeight="1">
      <c r="A66" s="31" t="b">
        <v>0</v>
      </c>
      <c r="B66" s="32"/>
      <c r="C66" s="33"/>
      <c r="D66" s="33"/>
      <c r="E66" s="33"/>
      <c r="F66" s="34" t="str">
        <f t="array" ref="F66">IF(INDEX('Binder Data'!$A$2:$A$251,ROW()-1)="","",IF(INDEX('Binder Data'!$D$2:$D$251,ROW()-1)="Needed",INDEX('Binder Data'!$B$2:$B$251,ROW()-1),INDEX('Binder Data'!$D$2:$D$251,ROW()-1)))</f>
        <v/>
      </c>
      <c r="G66" s="40"/>
      <c r="H66" s="32"/>
      <c r="I66" s="33"/>
      <c r="J66" s="35"/>
      <c r="K66" s="36"/>
      <c r="L66" s="36"/>
      <c r="M66" s="38"/>
      <c r="N66" s="39"/>
      <c r="O66" s="39"/>
      <c r="P66" s="19"/>
      <c r="Q66" s="2"/>
      <c r="R66" s="2"/>
      <c r="S66" s="2"/>
      <c r="T66" s="2"/>
      <c r="U66" s="2"/>
      <c r="V66" s="2"/>
      <c r="W66" s="2"/>
      <c r="X66" s="2"/>
      <c r="Y66" s="2"/>
      <c r="Z66" s="2"/>
      <c r="AA66" s="2"/>
    </row>
    <row r="67" ht="15.0" customHeight="1">
      <c r="A67" s="31" t="b">
        <v>0</v>
      </c>
      <c r="B67" s="32"/>
      <c r="C67" s="33"/>
      <c r="D67" s="33"/>
      <c r="E67" s="33"/>
      <c r="F67" s="34" t="str">
        <f t="array" ref="F67">IF(INDEX('Binder Data'!$A$2:$A$251,ROW()-1)="","",IF(INDEX('Binder Data'!$D$2:$D$251,ROW()-1)="Needed",INDEX('Binder Data'!$B$2:$B$251,ROW()-1),INDEX('Binder Data'!$D$2:$D$251,ROW()-1)))</f>
        <v/>
      </c>
      <c r="G67" s="40"/>
      <c r="H67" s="32"/>
      <c r="I67" s="33"/>
      <c r="J67" s="35"/>
      <c r="K67" s="36"/>
      <c r="L67" s="37"/>
      <c r="M67" s="38"/>
      <c r="N67" s="39"/>
      <c r="O67" s="39"/>
      <c r="P67" s="19"/>
      <c r="Q67" s="2"/>
      <c r="R67" s="2"/>
      <c r="S67" s="2"/>
      <c r="T67" s="2"/>
      <c r="U67" s="2"/>
      <c r="V67" s="2"/>
      <c r="W67" s="2"/>
      <c r="X67" s="2"/>
      <c r="Y67" s="2"/>
      <c r="Z67" s="2"/>
      <c r="AA67" s="2"/>
    </row>
    <row r="68" ht="15.0" customHeight="1">
      <c r="A68" s="31" t="b">
        <v>0</v>
      </c>
      <c r="B68" s="32"/>
      <c r="C68" s="33"/>
      <c r="D68" s="33"/>
      <c r="E68" s="33"/>
      <c r="F68" s="34" t="str">
        <f t="array" ref="F68">IF(INDEX('Binder Data'!$A$2:$A$251,ROW()-1)="","",IF(INDEX('Binder Data'!$D$2:$D$251,ROW()-1)="Needed",INDEX('Binder Data'!$B$2:$B$251,ROW()-1),INDEX('Binder Data'!$D$2:$D$251,ROW()-1)))</f>
        <v/>
      </c>
      <c r="G68" s="40"/>
      <c r="H68" s="32"/>
      <c r="I68" s="33"/>
      <c r="J68" s="35"/>
      <c r="K68" s="36"/>
      <c r="L68" s="36"/>
      <c r="M68" s="38"/>
      <c r="N68" s="39"/>
      <c r="O68" s="39"/>
      <c r="P68" s="19"/>
      <c r="Q68" s="2"/>
      <c r="R68" s="2"/>
      <c r="S68" s="2"/>
      <c r="T68" s="2"/>
      <c r="U68" s="2"/>
      <c r="V68" s="2"/>
      <c r="W68" s="2"/>
      <c r="X68" s="2"/>
      <c r="Y68" s="2"/>
      <c r="Z68" s="2"/>
      <c r="AA68" s="2"/>
    </row>
    <row r="69" ht="15.0" customHeight="1">
      <c r="A69" s="31" t="b">
        <v>0</v>
      </c>
      <c r="B69" s="32"/>
      <c r="C69" s="33"/>
      <c r="D69" s="33"/>
      <c r="E69" s="33"/>
      <c r="F69" s="34" t="str">
        <f t="array" ref="F69">IF(INDEX('Binder Data'!$A$2:$A$251,ROW()-1)="","",IF(INDEX('Binder Data'!$D$2:$D$251,ROW()-1)="Needed",INDEX('Binder Data'!$B$2:$B$251,ROW()-1),INDEX('Binder Data'!$D$2:$D$251,ROW()-1)))</f>
        <v/>
      </c>
      <c r="G69" s="40"/>
      <c r="H69" s="32"/>
      <c r="I69" s="33"/>
      <c r="J69" s="35"/>
      <c r="K69" s="36"/>
      <c r="L69" s="37"/>
      <c r="M69" s="38"/>
      <c r="N69" s="39"/>
      <c r="O69" s="39"/>
      <c r="P69" s="19"/>
      <c r="Q69" s="2"/>
      <c r="R69" s="2"/>
      <c r="S69" s="2"/>
      <c r="T69" s="2"/>
      <c r="U69" s="2"/>
      <c r="V69" s="2"/>
      <c r="W69" s="2"/>
      <c r="X69" s="2"/>
      <c r="Y69" s="2"/>
      <c r="Z69" s="2"/>
      <c r="AA69" s="2"/>
    </row>
    <row r="70" ht="15.0" customHeight="1">
      <c r="A70" s="31" t="b">
        <v>0</v>
      </c>
      <c r="B70" s="32"/>
      <c r="C70" s="33"/>
      <c r="D70" s="33"/>
      <c r="E70" s="33"/>
      <c r="F70" s="34" t="str">
        <f t="array" ref="F70">IF(INDEX('Binder Data'!$A$2:$A$251,ROW()-1)="","",IF(INDEX('Binder Data'!$D$2:$D$251,ROW()-1)="Needed",INDEX('Binder Data'!$B$2:$B$251,ROW()-1),INDEX('Binder Data'!$D$2:$D$251,ROW()-1)))</f>
        <v/>
      </c>
      <c r="G70" s="40"/>
      <c r="H70" s="32"/>
      <c r="I70" s="33"/>
      <c r="J70" s="35"/>
      <c r="K70" s="36"/>
      <c r="L70" s="36"/>
      <c r="M70" s="38"/>
      <c r="N70" s="39"/>
      <c r="O70" s="39"/>
      <c r="P70" s="19"/>
      <c r="Q70" s="2"/>
      <c r="R70" s="2"/>
      <c r="S70" s="2"/>
      <c r="T70" s="2"/>
      <c r="U70" s="2"/>
      <c r="V70" s="2"/>
      <c r="W70" s="2"/>
      <c r="X70" s="2"/>
      <c r="Y70" s="2"/>
      <c r="Z70" s="2"/>
      <c r="AA70" s="2"/>
    </row>
    <row r="71" ht="15.0" customHeight="1">
      <c r="A71" s="31" t="b">
        <v>0</v>
      </c>
      <c r="B71" s="32"/>
      <c r="C71" s="33"/>
      <c r="D71" s="33"/>
      <c r="E71" s="33"/>
      <c r="F71" s="34" t="str">
        <f t="array" ref="F71">IF(INDEX('Binder Data'!$A$2:$A$251,ROW()-1)="","",IF(INDEX('Binder Data'!$D$2:$D$251,ROW()-1)="Needed",INDEX('Binder Data'!$B$2:$B$251,ROW()-1),INDEX('Binder Data'!$D$2:$D$251,ROW()-1)))</f>
        <v/>
      </c>
      <c r="G71" s="40"/>
      <c r="H71" s="32"/>
      <c r="I71" s="33"/>
      <c r="J71" s="35"/>
      <c r="K71" s="36"/>
      <c r="L71" s="36"/>
      <c r="M71" s="38"/>
      <c r="N71" s="39"/>
      <c r="O71" s="39"/>
      <c r="P71" s="19"/>
      <c r="Q71" s="2"/>
      <c r="R71" s="2"/>
      <c r="S71" s="2"/>
      <c r="T71" s="2"/>
      <c r="U71" s="2"/>
      <c r="V71" s="2"/>
      <c r="W71" s="2"/>
      <c r="X71" s="2"/>
      <c r="Y71" s="2"/>
      <c r="Z71" s="2"/>
      <c r="AA71" s="2"/>
    </row>
    <row r="72" ht="15.0" customHeight="1">
      <c r="A72" s="31" t="b">
        <v>0</v>
      </c>
      <c r="B72" s="32"/>
      <c r="C72" s="33"/>
      <c r="D72" s="33"/>
      <c r="E72" s="33"/>
      <c r="F72" s="34" t="str">
        <f t="array" ref="F72">IF(INDEX('Binder Data'!$A$2:$A$251,ROW()-1)="","",IF(INDEX('Binder Data'!$D$2:$D$251,ROW()-1)="Needed",INDEX('Binder Data'!$B$2:$B$251,ROW()-1),INDEX('Binder Data'!$D$2:$D$251,ROW()-1)))</f>
        <v/>
      </c>
      <c r="G72" s="40"/>
      <c r="H72" s="32"/>
      <c r="I72" s="33"/>
      <c r="J72" s="35"/>
      <c r="K72" s="36"/>
      <c r="L72" s="37"/>
      <c r="M72" s="38"/>
      <c r="N72" s="39"/>
      <c r="O72" s="39"/>
      <c r="P72" s="19"/>
      <c r="Q72" s="2"/>
      <c r="R72" s="2"/>
      <c r="S72" s="2"/>
      <c r="T72" s="2"/>
      <c r="U72" s="2"/>
      <c r="V72" s="2"/>
      <c r="W72" s="2"/>
      <c r="X72" s="2"/>
      <c r="Y72" s="2"/>
      <c r="Z72" s="2"/>
      <c r="AA72" s="2"/>
    </row>
    <row r="73" ht="15.0" customHeight="1">
      <c r="A73" s="31" t="b">
        <v>0</v>
      </c>
      <c r="B73" s="32"/>
      <c r="C73" s="33"/>
      <c r="D73" s="33"/>
      <c r="E73" s="33"/>
      <c r="F73" s="34" t="str">
        <f t="array" ref="F73">IF(INDEX('Binder Data'!$A$2:$A$251,ROW()-1)="","",IF(INDEX('Binder Data'!$D$2:$D$251,ROW()-1)="Needed",INDEX('Binder Data'!$B$2:$B$251,ROW()-1),INDEX('Binder Data'!$D$2:$D$251,ROW()-1)))</f>
        <v/>
      </c>
      <c r="G73" s="40"/>
      <c r="H73" s="32"/>
      <c r="I73" s="33"/>
      <c r="J73" s="35"/>
      <c r="K73" s="36"/>
      <c r="L73" s="36"/>
      <c r="M73" s="38"/>
      <c r="N73" s="39"/>
      <c r="O73" s="39"/>
      <c r="P73" s="19"/>
      <c r="Q73" s="2"/>
      <c r="R73" s="2"/>
      <c r="S73" s="2"/>
      <c r="T73" s="2"/>
      <c r="U73" s="2"/>
      <c r="V73" s="2"/>
      <c r="W73" s="2"/>
      <c r="X73" s="2"/>
      <c r="Y73" s="2"/>
      <c r="Z73" s="2"/>
      <c r="AA73" s="2"/>
    </row>
    <row r="74" ht="15.0" customHeight="1">
      <c r="A74" s="31" t="b">
        <v>0</v>
      </c>
      <c r="B74" s="32"/>
      <c r="C74" s="33"/>
      <c r="D74" s="33"/>
      <c r="E74" s="33"/>
      <c r="F74" s="34" t="str">
        <f t="array" ref="F74">IF(INDEX('Binder Data'!$A$2:$A$251,ROW()-1)="","",IF(INDEX('Binder Data'!$D$2:$D$251,ROW()-1)="Needed",INDEX('Binder Data'!$B$2:$B$251,ROW()-1),INDEX('Binder Data'!$D$2:$D$251,ROW()-1)))</f>
        <v/>
      </c>
      <c r="G74" s="40"/>
      <c r="H74" s="32"/>
      <c r="I74" s="33"/>
      <c r="J74" s="36"/>
      <c r="K74" s="36"/>
      <c r="L74" s="37"/>
      <c r="M74" s="38"/>
      <c r="N74" s="39"/>
      <c r="O74" s="39"/>
      <c r="P74" s="19"/>
      <c r="Q74" s="2"/>
      <c r="R74" s="2"/>
      <c r="S74" s="2"/>
      <c r="T74" s="2"/>
      <c r="U74" s="2"/>
      <c r="V74" s="2"/>
      <c r="W74" s="2"/>
      <c r="X74" s="2"/>
      <c r="Y74" s="2"/>
      <c r="Z74" s="2"/>
      <c r="AA74" s="2"/>
    </row>
    <row r="75" ht="15.0" customHeight="1">
      <c r="A75" s="31" t="b">
        <v>0</v>
      </c>
      <c r="B75" s="32"/>
      <c r="C75" s="33"/>
      <c r="D75" s="33"/>
      <c r="E75" s="33"/>
      <c r="F75" s="34" t="str">
        <f t="array" ref="F75">IF(INDEX('Binder Data'!$A$2:$A$251,ROW()-1)="","",IF(INDEX('Binder Data'!$D$2:$D$251,ROW()-1)="Needed",INDEX('Binder Data'!$B$2:$B$251,ROW()-1),INDEX('Binder Data'!$D$2:$D$251,ROW()-1)))</f>
        <v/>
      </c>
      <c r="G75" s="40"/>
      <c r="H75" s="32"/>
      <c r="I75" s="33"/>
      <c r="J75" s="35"/>
      <c r="K75" s="36"/>
      <c r="L75" s="37"/>
      <c r="M75" s="38"/>
      <c r="N75" s="39"/>
      <c r="O75" s="39"/>
      <c r="P75" s="19"/>
      <c r="Q75" s="2"/>
      <c r="R75" s="2"/>
      <c r="S75" s="2"/>
      <c r="T75" s="2"/>
      <c r="U75" s="2"/>
      <c r="V75" s="2"/>
      <c r="W75" s="2"/>
      <c r="X75" s="2"/>
      <c r="Y75" s="2"/>
      <c r="Z75" s="2"/>
      <c r="AA75" s="2"/>
    </row>
    <row r="76" ht="15.0" customHeight="1">
      <c r="A76" s="31" t="b">
        <v>0</v>
      </c>
      <c r="B76" s="32"/>
      <c r="C76" s="33"/>
      <c r="D76" s="33"/>
      <c r="E76" s="33"/>
      <c r="F76" s="34" t="str">
        <f t="array" ref="F76">IF(INDEX('Binder Data'!$A$2:$A$251,ROW()-1)="","",IF(INDEX('Binder Data'!$D$2:$D$251,ROW()-1)="Needed",INDEX('Binder Data'!$B$2:$B$251,ROW()-1),INDEX('Binder Data'!$D$2:$D$251,ROW()-1)))</f>
        <v/>
      </c>
      <c r="G76" s="40"/>
      <c r="H76" s="32"/>
      <c r="I76" s="33"/>
      <c r="J76" s="35"/>
      <c r="K76" s="36"/>
      <c r="L76" s="37"/>
      <c r="M76" s="38"/>
      <c r="N76" s="39"/>
      <c r="O76" s="39"/>
      <c r="P76" s="19"/>
      <c r="Q76" s="2"/>
      <c r="R76" s="2"/>
      <c r="S76" s="2"/>
      <c r="T76" s="2"/>
      <c r="U76" s="2"/>
      <c r="V76" s="2"/>
      <c r="W76" s="2"/>
      <c r="X76" s="2"/>
      <c r="Y76" s="2"/>
      <c r="Z76" s="2"/>
      <c r="AA76" s="2"/>
    </row>
    <row r="77" ht="15.0" customHeight="1">
      <c r="A77" s="31" t="b">
        <v>0</v>
      </c>
      <c r="B77" s="32"/>
      <c r="C77" s="33"/>
      <c r="D77" s="33"/>
      <c r="E77" s="33"/>
      <c r="F77" s="34" t="str">
        <f t="array" ref="F77">IF(INDEX('Binder Data'!$A$2:$A$251,ROW()-1)="","",IF(INDEX('Binder Data'!$D$2:$D$251,ROW()-1)="Needed",INDEX('Binder Data'!$B$2:$B$251,ROW()-1),INDEX('Binder Data'!$D$2:$D$251,ROW()-1)))</f>
        <v/>
      </c>
      <c r="G77" s="40"/>
      <c r="H77" s="32"/>
      <c r="I77" s="33"/>
      <c r="J77" s="35"/>
      <c r="K77" s="36"/>
      <c r="L77" s="37"/>
      <c r="M77" s="38"/>
      <c r="N77" s="39"/>
      <c r="O77" s="39"/>
      <c r="P77" s="19"/>
      <c r="Q77" s="2"/>
      <c r="R77" s="2"/>
      <c r="S77" s="2"/>
      <c r="T77" s="2"/>
      <c r="U77" s="2"/>
      <c r="V77" s="2"/>
      <c r="W77" s="2"/>
      <c r="X77" s="2"/>
      <c r="Y77" s="2"/>
      <c r="Z77" s="2"/>
      <c r="AA77" s="2"/>
    </row>
    <row r="78" ht="15.0" customHeight="1">
      <c r="A78" s="31" t="b">
        <v>0</v>
      </c>
      <c r="B78" s="32"/>
      <c r="C78" s="33"/>
      <c r="D78" s="33"/>
      <c r="E78" s="33"/>
      <c r="F78" s="34" t="str">
        <f t="array" ref="F78">IF(INDEX('Binder Data'!$A$2:$A$251,ROW()-1)="","",IF(INDEX('Binder Data'!$D$2:$D$251,ROW()-1)="Needed",INDEX('Binder Data'!$B$2:$B$251,ROW()-1),INDEX('Binder Data'!$D$2:$D$251,ROW()-1)))</f>
        <v/>
      </c>
      <c r="G78" s="40"/>
      <c r="H78" s="32"/>
      <c r="I78" s="33"/>
      <c r="J78" s="35"/>
      <c r="K78" s="36"/>
      <c r="L78" s="36"/>
      <c r="M78" s="38"/>
      <c r="N78" s="39"/>
      <c r="O78" s="39"/>
      <c r="P78" s="19"/>
      <c r="Q78" s="2"/>
      <c r="R78" s="2"/>
      <c r="S78" s="2"/>
      <c r="T78" s="2"/>
      <c r="U78" s="2"/>
      <c r="V78" s="2"/>
      <c r="W78" s="2"/>
      <c r="X78" s="2"/>
      <c r="Y78" s="2"/>
      <c r="Z78" s="2"/>
      <c r="AA78" s="2"/>
    </row>
    <row r="79" ht="15.0" customHeight="1">
      <c r="A79" s="31" t="b">
        <v>0</v>
      </c>
      <c r="B79" s="32"/>
      <c r="C79" s="33"/>
      <c r="D79" s="33"/>
      <c r="E79" s="33"/>
      <c r="F79" s="34" t="str">
        <f t="array" ref="F79">IF(INDEX('Binder Data'!$A$2:$A$251,ROW()-1)="","",IF(INDEX('Binder Data'!$D$2:$D$251,ROW()-1)="Needed",INDEX('Binder Data'!$B$2:$B$251,ROW()-1),INDEX('Binder Data'!$D$2:$D$251,ROW()-1)))</f>
        <v/>
      </c>
      <c r="G79" s="40"/>
      <c r="H79" s="32"/>
      <c r="I79" s="33"/>
      <c r="J79" s="35"/>
      <c r="K79" s="36"/>
      <c r="L79" s="36"/>
      <c r="M79" s="38"/>
      <c r="N79" s="39"/>
      <c r="O79" s="39"/>
      <c r="P79" s="19"/>
      <c r="Q79" s="2"/>
      <c r="R79" s="2"/>
      <c r="S79" s="2"/>
      <c r="T79" s="2"/>
      <c r="U79" s="2"/>
      <c r="V79" s="2"/>
      <c r="W79" s="2"/>
      <c r="X79" s="2"/>
      <c r="Y79" s="2"/>
      <c r="Z79" s="2"/>
      <c r="AA79" s="2"/>
    </row>
    <row r="80" ht="15.0" customHeight="1">
      <c r="A80" s="31" t="b">
        <v>0</v>
      </c>
      <c r="B80" s="32"/>
      <c r="C80" s="33"/>
      <c r="D80" s="33"/>
      <c r="E80" s="33"/>
      <c r="F80" s="34" t="str">
        <f t="array" ref="F80">IF(INDEX('Binder Data'!$A$2:$A$251,ROW()-1)="","",IF(INDEX('Binder Data'!$D$2:$D$251,ROW()-1)="Needed",INDEX('Binder Data'!$B$2:$B$251,ROW()-1),INDEX('Binder Data'!$D$2:$D$251,ROW()-1)))</f>
        <v/>
      </c>
      <c r="G80" s="40"/>
      <c r="H80" s="32"/>
      <c r="I80" s="33"/>
      <c r="J80" s="35"/>
      <c r="K80" s="36"/>
      <c r="L80" s="36"/>
      <c r="M80" s="38"/>
      <c r="N80" s="39"/>
      <c r="O80" s="39"/>
      <c r="P80" s="19"/>
      <c r="Q80" s="2"/>
      <c r="R80" s="2"/>
      <c r="S80" s="2"/>
      <c r="T80" s="2"/>
      <c r="U80" s="2"/>
      <c r="V80" s="2"/>
      <c r="W80" s="2"/>
      <c r="X80" s="2"/>
      <c r="Y80" s="2"/>
      <c r="Z80" s="2"/>
      <c r="AA80" s="2"/>
    </row>
    <row r="81" ht="15.0" customHeight="1">
      <c r="A81" s="31" t="b">
        <v>0</v>
      </c>
      <c r="B81" s="32"/>
      <c r="C81" s="33"/>
      <c r="D81" s="33"/>
      <c r="E81" s="33"/>
      <c r="F81" s="34" t="str">
        <f t="array" ref="F81">IF(INDEX('Binder Data'!$A$2:$A$251,ROW()-1)="","",IF(INDEX('Binder Data'!$D$2:$D$251,ROW()-1)="Needed",INDEX('Binder Data'!$B$2:$B$251,ROW()-1),INDEX('Binder Data'!$D$2:$D$251,ROW()-1)))</f>
        <v/>
      </c>
      <c r="G81" s="33"/>
      <c r="H81" s="32"/>
      <c r="I81" s="33"/>
      <c r="J81" s="35"/>
      <c r="K81" s="36"/>
      <c r="L81" s="37"/>
      <c r="M81" s="38"/>
      <c r="N81" s="39"/>
      <c r="O81" s="39"/>
      <c r="P81" s="19"/>
      <c r="Q81" s="2"/>
      <c r="R81" s="2"/>
      <c r="S81" s="2"/>
      <c r="T81" s="2"/>
      <c r="U81" s="2"/>
      <c r="V81" s="2"/>
      <c r="W81" s="2"/>
      <c r="X81" s="2"/>
      <c r="Y81" s="2"/>
      <c r="Z81" s="2"/>
      <c r="AA81" s="2"/>
    </row>
    <row r="82" ht="15.0" customHeight="1">
      <c r="A82" s="31" t="b">
        <v>0</v>
      </c>
      <c r="B82" s="32"/>
      <c r="C82" s="33"/>
      <c r="D82" s="33"/>
      <c r="E82" s="33"/>
      <c r="F82" s="34" t="str">
        <f t="array" ref="F82">IF(INDEX('Binder Data'!$A$2:$A$251,ROW()-1)="","",IF(INDEX('Binder Data'!$D$2:$D$251,ROW()-1)="Needed",INDEX('Binder Data'!$B$2:$B$251,ROW()-1),INDEX('Binder Data'!$D$2:$D$251,ROW()-1)))</f>
        <v/>
      </c>
      <c r="G82" s="33"/>
      <c r="H82" s="32"/>
      <c r="I82" s="33"/>
      <c r="J82" s="35"/>
      <c r="K82" s="36"/>
      <c r="L82" s="36"/>
      <c r="M82" s="38"/>
      <c r="N82" s="39"/>
      <c r="O82" s="39"/>
      <c r="P82" s="19"/>
      <c r="Q82" s="2"/>
      <c r="R82" s="2"/>
      <c r="S82" s="2"/>
      <c r="T82" s="2"/>
      <c r="U82" s="2"/>
      <c r="V82" s="2"/>
      <c r="W82" s="2"/>
      <c r="X82" s="2"/>
      <c r="Y82" s="2"/>
      <c r="Z82" s="2"/>
      <c r="AA82" s="2"/>
    </row>
    <row r="83" ht="15.0" customHeight="1">
      <c r="A83" s="31" t="b">
        <v>0</v>
      </c>
      <c r="B83" s="32"/>
      <c r="C83" s="33"/>
      <c r="D83" s="33"/>
      <c r="E83" s="33"/>
      <c r="F83" s="34" t="str">
        <f t="array" ref="F83">IF(INDEX('Binder Data'!$A$2:$A$251,ROW()-1)="","",IF(INDEX('Binder Data'!$D$2:$D$251,ROW()-1)="Needed",INDEX('Binder Data'!$B$2:$B$251,ROW()-1),INDEX('Binder Data'!$D$2:$D$251,ROW()-1)))</f>
        <v/>
      </c>
      <c r="G83" s="33"/>
      <c r="H83" s="32"/>
      <c r="I83" s="33"/>
      <c r="J83" s="35"/>
      <c r="K83" s="36"/>
      <c r="L83" s="37"/>
      <c r="M83" s="38"/>
      <c r="N83" s="39"/>
      <c r="O83" s="39"/>
      <c r="P83" s="19"/>
      <c r="Q83" s="2"/>
      <c r="R83" s="2"/>
      <c r="S83" s="2"/>
      <c r="T83" s="2"/>
      <c r="U83" s="2"/>
      <c r="V83" s="2"/>
      <c r="W83" s="2"/>
      <c r="X83" s="2"/>
      <c r="Y83" s="2"/>
      <c r="Z83" s="2"/>
      <c r="AA83" s="2"/>
    </row>
    <row r="84" ht="15.0" customHeight="1">
      <c r="A84" s="31" t="b">
        <v>0</v>
      </c>
      <c r="B84" s="32"/>
      <c r="C84" s="33"/>
      <c r="D84" s="33"/>
      <c r="E84" s="33"/>
      <c r="F84" s="34" t="str">
        <f t="array" ref="F84">IF(INDEX('Binder Data'!$A$2:$A$251,ROW()-1)="","",IF(INDEX('Binder Data'!$D$2:$D$251,ROW()-1)="Needed",INDEX('Binder Data'!$B$2:$B$251,ROW()-1),INDEX('Binder Data'!$D$2:$D$251,ROW()-1)))</f>
        <v/>
      </c>
      <c r="G84" s="33"/>
      <c r="H84" s="32"/>
      <c r="I84" s="33"/>
      <c r="J84" s="35"/>
      <c r="K84" s="36"/>
      <c r="L84" s="36"/>
      <c r="M84" s="38"/>
      <c r="N84" s="39"/>
      <c r="O84" s="39"/>
      <c r="P84" s="19"/>
      <c r="Q84" s="2"/>
      <c r="R84" s="2"/>
      <c r="S84" s="2"/>
      <c r="T84" s="2"/>
      <c r="U84" s="2"/>
      <c r="V84" s="2"/>
      <c r="W84" s="2"/>
      <c r="X84" s="2"/>
      <c r="Y84" s="2"/>
      <c r="Z84" s="2"/>
      <c r="AA84" s="2"/>
    </row>
    <row r="85" ht="15.0" customHeight="1">
      <c r="A85" s="31" t="b">
        <v>0</v>
      </c>
      <c r="B85" s="32"/>
      <c r="C85" s="33"/>
      <c r="D85" s="33"/>
      <c r="E85" s="33"/>
      <c r="F85" s="34" t="str">
        <f t="array" ref="F85">IF(INDEX('Binder Data'!$A$2:$A$251,ROW()-1)="","",IF(INDEX('Binder Data'!$D$2:$D$251,ROW()-1)="Needed",INDEX('Binder Data'!$B$2:$B$251,ROW()-1),INDEX('Binder Data'!$D$2:$D$251,ROW()-1)))</f>
        <v/>
      </c>
      <c r="G85" s="40"/>
      <c r="H85" s="32"/>
      <c r="I85" s="33"/>
      <c r="J85" s="35"/>
      <c r="K85" s="36"/>
      <c r="L85" s="37"/>
      <c r="M85" s="38"/>
      <c r="N85" s="39"/>
      <c r="O85" s="39"/>
      <c r="P85" s="19"/>
      <c r="Q85" s="2"/>
      <c r="R85" s="2"/>
      <c r="S85" s="2"/>
      <c r="T85" s="2"/>
      <c r="U85" s="2"/>
      <c r="V85" s="2"/>
      <c r="W85" s="2"/>
      <c r="X85" s="2"/>
      <c r="Y85" s="2"/>
      <c r="Z85" s="2"/>
      <c r="AA85" s="2"/>
    </row>
    <row r="86" ht="15.0" customHeight="1">
      <c r="A86" s="31" t="b">
        <v>0</v>
      </c>
      <c r="B86" s="32"/>
      <c r="C86" s="33"/>
      <c r="D86" s="33"/>
      <c r="E86" s="33"/>
      <c r="F86" s="34" t="str">
        <f t="array" ref="F86">IF(INDEX('Binder Data'!$A$2:$A$251,ROW()-1)="","",IF(INDEX('Binder Data'!$D$2:$D$251,ROW()-1)="Needed",INDEX('Binder Data'!$B$2:$B$251,ROW()-1),INDEX('Binder Data'!$D$2:$D$251,ROW()-1)))</f>
        <v/>
      </c>
      <c r="G86" s="40"/>
      <c r="H86" s="32"/>
      <c r="I86" s="33"/>
      <c r="J86" s="35"/>
      <c r="K86" s="36"/>
      <c r="L86" s="37"/>
      <c r="M86" s="38"/>
      <c r="N86" s="39"/>
      <c r="O86" s="39"/>
      <c r="P86" s="19"/>
      <c r="Q86" s="2"/>
      <c r="R86" s="2"/>
      <c r="S86" s="2"/>
      <c r="T86" s="2"/>
      <c r="U86" s="2"/>
      <c r="V86" s="2"/>
      <c r="W86" s="2"/>
      <c r="X86" s="2"/>
      <c r="Y86" s="2"/>
      <c r="Z86" s="2"/>
      <c r="AA86" s="2"/>
    </row>
    <row r="87" ht="15.0" customHeight="1">
      <c r="A87" s="31" t="b">
        <v>0</v>
      </c>
      <c r="B87" s="32"/>
      <c r="C87" s="33"/>
      <c r="D87" s="33"/>
      <c r="E87" s="33"/>
      <c r="F87" s="34" t="str">
        <f t="array" ref="F87">IF(INDEX('Binder Data'!$A$2:$A$251,ROW()-1)="","",IF(INDEX('Binder Data'!$D$2:$D$251,ROW()-1)="Needed",INDEX('Binder Data'!$B$2:$B$251,ROW()-1),INDEX('Binder Data'!$D$2:$D$251,ROW()-1)))</f>
        <v/>
      </c>
      <c r="G87" s="40"/>
      <c r="H87" s="32"/>
      <c r="I87" s="33"/>
      <c r="J87" s="35"/>
      <c r="K87" s="36"/>
      <c r="L87" s="37"/>
      <c r="M87" s="38"/>
      <c r="N87" s="39"/>
      <c r="O87" s="39"/>
      <c r="P87" s="19"/>
      <c r="Q87" s="2"/>
      <c r="R87" s="2"/>
      <c r="S87" s="2"/>
      <c r="T87" s="2"/>
      <c r="U87" s="2"/>
      <c r="V87" s="2"/>
      <c r="W87" s="2"/>
      <c r="X87" s="2"/>
      <c r="Y87" s="2"/>
      <c r="Z87" s="2"/>
      <c r="AA87" s="2"/>
    </row>
    <row r="88" ht="15.0" customHeight="1">
      <c r="A88" s="31" t="b">
        <v>0</v>
      </c>
      <c r="B88" s="32"/>
      <c r="C88" s="33"/>
      <c r="D88" s="33"/>
      <c r="E88" s="33"/>
      <c r="F88" s="34" t="str">
        <f t="array" ref="F88">IF(INDEX('Binder Data'!$A$2:$A$251,ROW()-1)="","",IF(INDEX('Binder Data'!$D$2:$D$251,ROW()-1)="Needed",INDEX('Binder Data'!$B$2:$B$251,ROW()-1),INDEX('Binder Data'!$D$2:$D$251,ROW()-1)))</f>
        <v/>
      </c>
      <c r="G88" s="40"/>
      <c r="H88" s="32"/>
      <c r="I88" s="33"/>
      <c r="J88" s="36"/>
      <c r="K88" s="36"/>
      <c r="L88" s="36"/>
      <c r="M88" s="38"/>
      <c r="N88" s="39"/>
      <c r="O88" s="39"/>
      <c r="P88" s="19"/>
      <c r="Q88" s="2"/>
      <c r="R88" s="2"/>
      <c r="S88" s="2"/>
      <c r="T88" s="2"/>
      <c r="U88" s="2"/>
      <c r="V88" s="2"/>
      <c r="W88" s="2"/>
      <c r="X88" s="2"/>
      <c r="Y88" s="2"/>
      <c r="Z88" s="2"/>
      <c r="AA88" s="2"/>
    </row>
    <row r="89" ht="15.0" customHeight="1">
      <c r="A89" s="31" t="b">
        <v>0</v>
      </c>
      <c r="B89" s="32"/>
      <c r="C89" s="33"/>
      <c r="D89" s="33"/>
      <c r="E89" s="33"/>
      <c r="F89" s="34" t="str">
        <f t="array" ref="F89">IF(INDEX('Binder Data'!$A$2:$A$251,ROW()-1)="","",IF(INDEX('Binder Data'!$D$2:$D$251,ROW()-1)="Needed",INDEX('Binder Data'!$B$2:$B$251,ROW()-1),INDEX('Binder Data'!$D$2:$D$251,ROW()-1)))</f>
        <v/>
      </c>
      <c r="G89" s="40"/>
      <c r="H89" s="32"/>
      <c r="I89" s="33"/>
      <c r="J89" s="36"/>
      <c r="K89" s="36"/>
      <c r="L89" s="36"/>
      <c r="M89" s="38"/>
      <c r="N89" s="39"/>
      <c r="O89" s="39"/>
      <c r="P89" s="19"/>
      <c r="Q89" s="2"/>
      <c r="R89" s="2"/>
      <c r="S89" s="2"/>
      <c r="T89" s="2"/>
      <c r="U89" s="2"/>
      <c r="V89" s="2"/>
      <c r="W89" s="2"/>
      <c r="X89" s="2"/>
      <c r="Y89" s="2"/>
      <c r="Z89" s="2"/>
      <c r="AA89" s="2"/>
    </row>
    <row r="90" ht="15.0" customHeight="1">
      <c r="A90" s="31"/>
      <c r="B90" s="31"/>
      <c r="C90" s="41"/>
      <c r="D90" s="39"/>
      <c r="E90" s="39"/>
      <c r="F90" s="34" t="str">
        <f t="array" ref="F90">IF(INDEX('Binder Data'!$A$2:$A$251,ROW()-1)="","",IF(INDEX('Binder Data'!$D$2:$D$251,ROW()-1)="Needed",INDEX('Binder Data'!$B$2:$B$251,ROW()-1),INDEX('Binder Data'!$D$2:$D$251,ROW()-1)))</f>
        <v/>
      </c>
      <c r="G90" s="39"/>
      <c r="H90" s="42"/>
      <c r="I90" s="39"/>
      <c r="J90" s="43"/>
      <c r="K90" s="44"/>
      <c r="L90" s="44"/>
      <c r="M90" s="44"/>
      <c r="N90" s="39"/>
      <c r="O90" s="39"/>
      <c r="P90" s="19"/>
      <c r="Q90" s="2"/>
      <c r="R90" s="2"/>
      <c r="S90" s="2"/>
      <c r="T90" s="2"/>
      <c r="U90" s="2"/>
      <c r="V90" s="2"/>
      <c r="W90" s="2"/>
      <c r="X90" s="2"/>
      <c r="Y90" s="2"/>
      <c r="Z90" s="2"/>
      <c r="AA90" s="2"/>
    </row>
    <row r="91" ht="15.0" customHeight="1">
      <c r="A91" s="31"/>
      <c r="B91" s="31"/>
      <c r="C91" s="45"/>
      <c r="D91" s="5"/>
      <c r="E91" s="5"/>
      <c r="F91" s="34" t="str">
        <f t="array" ref="F91">IF(INDEX('Binder Data'!$A$2:$A$251,ROW()-1)="","",IF(INDEX('Binder Data'!$D$2:$D$251,ROW()-1)="Needed",INDEX('Binder Data'!$B$2:$B$251,ROW()-1),INDEX('Binder Data'!$D$2:$D$251,ROW()-1)))</f>
        <v/>
      </c>
      <c r="G91" s="5"/>
      <c r="H91" s="19"/>
      <c r="I91" s="5"/>
      <c r="J91" s="43"/>
      <c r="K91" s="44"/>
      <c r="L91" s="44"/>
      <c r="M91" s="44"/>
      <c r="N91" s="5"/>
      <c r="O91" s="5"/>
      <c r="P91" s="19"/>
      <c r="Q91" s="2"/>
      <c r="R91" s="2"/>
      <c r="S91" s="2"/>
      <c r="T91" s="2"/>
      <c r="U91" s="2"/>
      <c r="V91" s="2"/>
      <c r="W91" s="2"/>
      <c r="X91" s="2"/>
      <c r="Y91" s="2"/>
      <c r="Z91" s="2"/>
      <c r="AA91" s="2"/>
    </row>
    <row r="92" ht="15.0" customHeight="1">
      <c r="A92" s="31"/>
      <c r="B92" s="31"/>
      <c r="C92" s="45"/>
      <c r="D92" s="5"/>
      <c r="E92" s="5"/>
      <c r="F92" s="34" t="str">
        <f t="array" ref="F92">IF(INDEX('Binder Data'!$A$2:$A$251,ROW()-1)="","",IF(INDEX('Binder Data'!$D$2:$D$251,ROW()-1)="Needed",INDEX('Binder Data'!$B$2:$B$251,ROW()-1),INDEX('Binder Data'!$D$2:$D$251,ROW()-1)))</f>
        <v/>
      </c>
      <c r="G92" s="5"/>
      <c r="H92" s="19"/>
      <c r="I92" s="5"/>
      <c r="J92" s="43"/>
      <c r="K92" s="44"/>
      <c r="L92" s="44"/>
      <c r="M92" s="44"/>
      <c r="N92" s="5"/>
      <c r="O92" s="5"/>
      <c r="P92" s="19"/>
      <c r="Q92" s="2"/>
      <c r="R92" s="2"/>
      <c r="S92" s="2"/>
      <c r="T92" s="2"/>
      <c r="U92" s="2"/>
      <c r="V92" s="2"/>
      <c r="W92" s="2"/>
      <c r="X92" s="2"/>
      <c r="Y92" s="2"/>
      <c r="Z92" s="2"/>
      <c r="AA92" s="2"/>
    </row>
    <row r="93" ht="15.0" customHeight="1">
      <c r="A93" s="31"/>
      <c r="B93" s="31"/>
      <c r="C93" s="45"/>
      <c r="D93" s="5"/>
      <c r="E93" s="5"/>
      <c r="F93" s="34" t="str">
        <f t="array" ref="F93">IF(INDEX('Binder Data'!$A$2:$A$251,ROW()-1)="","",IF(INDEX('Binder Data'!$D$2:$D$251,ROW()-1)="Needed",INDEX('Binder Data'!$B$2:$B$251,ROW()-1),INDEX('Binder Data'!$D$2:$D$251,ROW()-1)))</f>
        <v/>
      </c>
      <c r="G93" s="5"/>
      <c r="H93" s="19"/>
      <c r="I93" s="5"/>
      <c r="J93" s="43"/>
      <c r="K93" s="44"/>
      <c r="L93" s="44"/>
      <c r="M93" s="44"/>
      <c r="N93" s="5"/>
      <c r="O93" s="5"/>
      <c r="P93" s="19"/>
      <c r="Q93" s="2"/>
      <c r="R93" s="2"/>
      <c r="S93" s="2"/>
      <c r="T93" s="2"/>
      <c r="U93" s="2"/>
      <c r="V93" s="2"/>
      <c r="W93" s="2"/>
      <c r="X93" s="2"/>
      <c r="Y93" s="2"/>
      <c r="Z93" s="2"/>
      <c r="AA93" s="2"/>
    </row>
    <row r="94" ht="15.0" customHeight="1">
      <c r="A94" s="31"/>
      <c r="B94" s="31"/>
      <c r="C94" s="45"/>
      <c r="D94" s="5"/>
      <c r="E94" s="5"/>
      <c r="F94" s="34" t="str">
        <f t="array" ref="F94">IF(INDEX('Binder Data'!$A$2:$A$251,ROW()-1)="","",IF(INDEX('Binder Data'!$D$2:$D$251,ROW()-1)="Needed",INDEX('Binder Data'!$B$2:$B$251,ROW()-1),INDEX('Binder Data'!$D$2:$D$251,ROW()-1)))</f>
        <v/>
      </c>
      <c r="G94" s="5"/>
      <c r="H94" s="19"/>
      <c r="I94" s="5"/>
      <c r="J94" s="43"/>
      <c r="K94" s="44"/>
      <c r="L94" s="44"/>
      <c r="M94" s="44"/>
      <c r="N94" s="5"/>
      <c r="O94" s="5"/>
      <c r="P94" s="19"/>
      <c r="Q94" s="2"/>
      <c r="R94" s="2"/>
      <c r="S94" s="2"/>
      <c r="T94" s="2"/>
      <c r="U94" s="2"/>
      <c r="V94" s="2"/>
      <c r="W94" s="2"/>
      <c r="X94" s="2"/>
      <c r="Y94" s="2"/>
      <c r="Z94" s="2"/>
      <c r="AA94" s="2"/>
    </row>
    <row r="95" ht="15.0" customHeight="1">
      <c r="A95" s="31"/>
      <c r="B95" s="31"/>
      <c r="C95" s="45"/>
      <c r="D95" s="5"/>
      <c r="E95" s="5"/>
      <c r="F95" s="34" t="str">
        <f t="array" ref="F95">IF(INDEX('Binder Data'!$A$2:$A$251,ROW()-1)="","",IF(INDEX('Binder Data'!$D$2:$D$251,ROW()-1)="Needed",INDEX('Binder Data'!$B$2:$B$251,ROW()-1),INDEX('Binder Data'!$D$2:$D$251,ROW()-1)))</f>
        <v/>
      </c>
      <c r="G95" s="5"/>
      <c r="H95" s="19"/>
      <c r="I95" s="5"/>
      <c r="J95" s="43"/>
      <c r="K95" s="46"/>
      <c r="L95" s="35"/>
      <c r="M95" s="44"/>
      <c r="N95" s="5"/>
      <c r="O95" s="47"/>
      <c r="P95" s="19"/>
      <c r="Q95" s="2"/>
      <c r="R95" s="2"/>
      <c r="S95" s="2"/>
      <c r="T95" s="2"/>
      <c r="U95" s="2"/>
      <c r="V95" s="2"/>
      <c r="W95" s="2"/>
      <c r="X95" s="2"/>
      <c r="Y95" s="2"/>
      <c r="Z95" s="2"/>
      <c r="AA95" s="2"/>
    </row>
    <row r="96" ht="15.0" customHeight="1">
      <c r="A96" s="31"/>
      <c r="B96" s="31"/>
      <c r="C96" s="45"/>
      <c r="D96" s="5"/>
      <c r="E96" s="5"/>
      <c r="F96" s="34" t="str">
        <f t="array" ref="F96">IF(INDEX('Binder Data'!$A$2:$A$251,ROW()-1)="","",IF(INDEX('Binder Data'!$D$2:$D$251,ROW()-1)="Needed",INDEX('Binder Data'!$B$2:$B$251,ROW()-1),INDEX('Binder Data'!$D$2:$D$251,ROW()-1)))</f>
        <v/>
      </c>
      <c r="G96" s="5"/>
      <c r="H96" s="19"/>
      <c r="I96" s="5"/>
      <c r="J96" s="43"/>
      <c r="K96" s="46"/>
      <c r="L96" s="35"/>
      <c r="M96" s="44"/>
      <c r="N96" s="5"/>
      <c r="O96" s="47"/>
      <c r="P96" s="19"/>
      <c r="Q96" s="2"/>
      <c r="R96" s="2"/>
      <c r="S96" s="2"/>
      <c r="T96" s="2"/>
      <c r="U96" s="2"/>
      <c r="V96" s="2"/>
      <c r="W96" s="2"/>
      <c r="X96" s="2"/>
      <c r="Y96" s="2"/>
      <c r="Z96" s="2"/>
      <c r="AA96" s="2"/>
    </row>
    <row r="97" ht="15.0" customHeight="1">
      <c r="A97" s="19"/>
      <c r="B97" s="19"/>
      <c r="C97" s="48"/>
      <c r="D97" s="39"/>
      <c r="E97" s="39"/>
      <c r="F97" s="34" t="str">
        <f t="array" ref="F97">IF(INDEX('Binder Data'!$A$2:$A$251,ROW()-1)="","",IF(INDEX('Binder Data'!$D$2:$D$251,ROW()-1)="Needed",INDEX('Binder Data'!$B$2:$B$251,ROW()-1),INDEX('Binder Data'!$D$2:$D$251,ROW()-1)))</f>
        <v/>
      </c>
      <c r="G97" s="19"/>
      <c r="H97" s="19"/>
      <c r="I97" s="19"/>
      <c r="J97" s="19"/>
      <c r="K97" s="19"/>
      <c r="L97" s="19"/>
      <c r="M97" s="19"/>
      <c r="N97" s="5"/>
      <c r="O97" s="19"/>
      <c r="P97" s="19"/>
      <c r="Q97" s="2"/>
      <c r="R97" s="2"/>
      <c r="S97" s="2"/>
      <c r="T97" s="2"/>
      <c r="U97" s="2"/>
      <c r="V97" s="2"/>
      <c r="W97" s="2"/>
      <c r="X97" s="2"/>
      <c r="Y97" s="2"/>
      <c r="Z97" s="2"/>
      <c r="AA97" s="2"/>
    </row>
    <row r="98" ht="15.0" customHeight="1">
      <c r="A98" s="19"/>
      <c r="B98" s="19"/>
      <c r="C98" s="48"/>
      <c r="D98" s="39"/>
      <c r="E98" s="39"/>
      <c r="F98" s="34" t="str">
        <f t="array" ref="F98">IF(INDEX('Binder Data'!$A$2:$A$251,ROW()-1)="","",IF(INDEX('Binder Data'!$D$2:$D$251,ROW()-1)="Needed",INDEX('Binder Data'!$B$2:$B$251,ROW()-1),INDEX('Binder Data'!$D$2:$D$251,ROW()-1)))</f>
        <v/>
      </c>
      <c r="G98" s="19"/>
      <c r="H98" s="19"/>
      <c r="I98" s="19"/>
      <c r="J98" s="19"/>
      <c r="K98" s="19"/>
      <c r="L98" s="32"/>
      <c r="M98" s="32"/>
      <c r="N98" s="5"/>
      <c r="O98" s="47"/>
      <c r="P98" s="19"/>
      <c r="Q98" s="2"/>
      <c r="R98" s="2"/>
      <c r="S98" s="2"/>
      <c r="T98" s="2"/>
      <c r="U98" s="2"/>
      <c r="V98" s="2"/>
      <c r="W98" s="2"/>
      <c r="X98" s="2"/>
      <c r="Y98" s="2"/>
      <c r="Z98" s="2"/>
      <c r="AA98" s="2"/>
    </row>
    <row r="99" ht="15.0" customHeight="1">
      <c r="A99" s="19"/>
      <c r="B99" s="19"/>
      <c r="C99" s="48"/>
      <c r="D99" s="39"/>
      <c r="E99" s="39"/>
      <c r="F99" s="34" t="str">
        <f t="array" ref="F99">IF(INDEX('Binder Data'!$A$2:$A$251,ROW()-1)="","",IF(INDEX('Binder Data'!$D$2:$D$251,ROW()-1)="Needed",INDEX('Binder Data'!$B$2:$B$251,ROW()-1),INDEX('Binder Data'!$D$2:$D$251,ROW()-1)))</f>
        <v/>
      </c>
      <c r="G99" s="19"/>
      <c r="H99" s="19"/>
      <c r="I99" s="19"/>
      <c r="J99" s="19"/>
      <c r="K99" s="19"/>
      <c r="L99" s="32"/>
      <c r="M99" s="32"/>
      <c r="N99" s="5"/>
      <c r="O99" s="47"/>
      <c r="P99" s="19"/>
      <c r="Q99" s="2"/>
      <c r="R99" s="2"/>
      <c r="S99" s="2"/>
      <c r="T99" s="2"/>
      <c r="U99" s="2"/>
      <c r="V99" s="2"/>
      <c r="W99" s="2"/>
      <c r="X99" s="2"/>
      <c r="Y99" s="2"/>
      <c r="Z99" s="2"/>
      <c r="AA99" s="2"/>
    </row>
    <row r="100" ht="15.0" customHeight="1">
      <c r="A100" s="19"/>
      <c r="B100" s="19"/>
      <c r="C100" s="48"/>
      <c r="D100" s="39"/>
      <c r="E100" s="39"/>
      <c r="F100" s="34" t="str">
        <f t="array" ref="F100">IF(INDEX('Binder Data'!$A$2:$A$251,ROW()-1)="","",IF(INDEX('Binder Data'!$D$2:$D$251,ROW()-1)="Needed",INDEX('Binder Data'!$B$2:$B$251,ROW()-1),INDEX('Binder Data'!$D$2:$D$251,ROW()-1)))</f>
        <v/>
      </c>
      <c r="G100" s="19"/>
      <c r="H100" s="19"/>
      <c r="I100" s="19"/>
      <c r="J100" s="19"/>
      <c r="K100" s="19"/>
      <c r="L100" s="32"/>
      <c r="M100" s="32"/>
      <c r="N100" s="5"/>
      <c r="O100" s="47"/>
      <c r="P100" s="19"/>
      <c r="Q100" s="2"/>
      <c r="R100" s="2"/>
      <c r="S100" s="2"/>
      <c r="T100" s="2"/>
      <c r="U100" s="2"/>
      <c r="V100" s="2"/>
      <c r="W100" s="2"/>
      <c r="X100" s="2"/>
      <c r="Y100" s="2"/>
      <c r="Z100" s="2"/>
      <c r="AA100" s="2"/>
    </row>
    <row r="101" ht="15.0" customHeight="1">
      <c r="A101" s="19"/>
      <c r="B101" s="19"/>
      <c r="C101" s="48"/>
      <c r="D101" s="39"/>
      <c r="E101" s="39"/>
      <c r="F101" s="34" t="str">
        <f t="array" ref="F101">IF(INDEX('Binder Data'!$A$2:$A$251,ROW()-1)="","",IF(INDEX('Binder Data'!$D$2:$D$251,ROW()-1)="Needed",INDEX('Binder Data'!$B$2:$B$251,ROW()-1),INDEX('Binder Data'!$D$2:$D$251,ROW()-1)))</f>
        <v/>
      </c>
      <c r="G101" s="19"/>
      <c r="H101" s="19"/>
      <c r="I101" s="19"/>
      <c r="J101" s="19"/>
      <c r="K101" s="19"/>
      <c r="L101" s="32"/>
      <c r="M101" s="32"/>
      <c r="N101" s="5"/>
      <c r="O101" s="47"/>
      <c r="P101" s="19"/>
      <c r="Q101" s="2"/>
      <c r="R101" s="2"/>
      <c r="S101" s="2"/>
      <c r="T101" s="2"/>
      <c r="U101" s="2"/>
      <c r="V101" s="2"/>
      <c r="W101" s="2"/>
      <c r="X101" s="2"/>
      <c r="Y101" s="2"/>
      <c r="Z101" s="2"/>
      <c r="AA101" s="2"/>
    </row>
    <row r="102" ht="15.0" customHeight="1">
      <c r="A102" s="19"/>
      <c r="B102" s="19"/>
      <c r="C102" s="48"/>
      <c r="D102" s="39"/>
      <c r="E102" s="39"/>
      <c r="F102" s="34" t="str">
        <f t="array" ref="F102">IF(INDEX('Binder Data'!$A$2:$A$251,ROW()-1)="","",IF(INDEX('Binder Data'!$D$2:$D$251,ROW()-1)="Needed",INDEX('Binder Data'!$B$2:$B$251,ROW()-1),INDEX('Binder Data'!$D$2:$D$251,ROW()-1)))</f>
        <v/>
      </c>
      <c r="G102" s="19"/>
      <c r="H102" s="19"/>
      <c r="I102" s="19"/>
      <c r="J102" s="19"/>
      <c r="K102" s="19"/>
      <c r="L102" s="32"/>
      <c r="M102" s="32"/>
      <c r="N102" s="5"/>
      <c r="O102" s="47"/>
      <c r="P102" s="19"/>
      <c r="Q102" s="2"/>
      <c r="R102" s="2"/>
      <c r="S102" s="2"/>
      <c r="T102" s="2"/>
      <c r="U102" s="2"/>
      <c r="V102" s="2"/>
      <c r="W102" s="2"/>
      <c r="X102" s="2"/>
      <c r="Y102" s="2"/>
      <c r="Z102" s="2"/>
      <c r="AA102" s="2"/>
    </row>
    <row r="103" ht="15.0" customHeight="1">
      <c r="A103" s="19"/>
      <c r="B103" s="19"/>
      <c r="C103" s="48"/>
      <c r="D103" s="39"/>
      <c r="E103" s="39"/>
      <c r="F103" s="34" t="str">
        <f t="array" ref="F103">IF(INDEX('Binder Data'!$A$2:$A$251,ROW()-1)="","",IF(INDEX('Binder Data'!$D$2:$D$251,ROW()-1)="Needed",INDEX('Binder Data'!$B$2:$B$251,ROW()-1),INDEX('Binder Data'!$D$2:$D$251,ROW()-1)))</f>
        <v/>
      </c>
      <c r="G103" s="19"/>
      <c r="H103" s="19"/>
      <c r="I103" s="19"/>
      <c r="J103" s="19"/>
      <c r="K103" s="19"/>
      <c r="L103" s="32"/>
      <c r="M103" s="32"/>
      <c r="N103" s="5"/>
      <c r="O103" s="47"/>
      <c r="P103" s="19"/>
      <c r="Q103" s="2"/>
      <c r="R103" s="2"/>
      <c r="S103" s="2"/>
      <c r="T103" s="2"/>
      <c r="U103" s="2"/>
      <c r="V103" s="2"/>
      <c r="W103" s="2"/>
      <c r="X103" s="2"/>
      <c r="Y103" s="2"/>
      <c r="Z103" s="2"/>
      <c r="AA103" s="2"/>
    </row>
    <row r="104" ht="15.0" customHeight="1">
      <c r="A104" s="19"/>
      <c r="B104" s="19"/>
      <c r="C104" s="48"/>
      <c r="D104" s="39"/>
      <c r="E104" s="39"/>
      <c r="F104" s="34" t="str">
        <f t="array" ref="F104">IF(INDEX('Binder Data'!$A$2:$A$251,ROW()-1)="","",IF(INDEX('Binder Data'!$D$2:$D$251,ROW()-1)="Needed",INDEX('Binder Data'!$B$2:$B$251,ROW()-1),INDEX('Binder Data'!$D$2:$D$251,ROW()-1)))</f>
        <v/>
      </c>
      <c r="G104" s="19"/>
      <c r="H104" s="19"/>
      <c r="I104" s="19"/>
      <c r="J104" s="19"/>
      <c r="K104" s="19"/>
      <c r="L104" s="32"/>
      <c r="M104" s="32"/>
      <c r="N104" s="5"/>
      <c r="O104" s="47"/>
      <c r="P104" s="19"/>
      <c r="Q104" s="2"/>
      <c r="R104" s="2"/>
      <c r="S104" s="2"/>
      <c r="T104" s="2"/>
      <c r="U104" s="2"/>
      <c r="V104" s="2"/>
      <c r="W104" s="2"/>
      <c r="X104" s="2"/>
      <c r="Y104" s="2"/>
      <c r="Z104" s="2"/>
      <c r="AA104" s="2"/>
    </row>
    <row r="105" ht="15.0" customHeight="1">
      <c r="A105" s="19"/>
      <c r="B105" s="19"/>
      <c r="C105" s="48"/>
      <c r="D105" s="39"/>
      <c r="E105" s="39"/>
      <c r="F105" s="34" t="str">
        <f t="array" ref="F105">IF(INDEX('Binder Data'!$A$2:$A$251,ROW()-1)="","",IF(INDEX('Binder Data'!$D$2:$D$251,ROW()-1)="Needed",INDEX('Binder Data'!$B$2:$B$251,ROW()-1),INDEX('Binder Data'!$D$2:$D$251,ROW()-1)))</f>
        <v/>
      </c>
      <c r="G105" s="19"/>
      <c r="H105" s="19"/>
      <c r="I105" s="19"/>
      <c r="J105" s="19"/>
      <c r="K105" s="19"/>
      <c r="L105" s="32"/>
      <c r="M105" s="32"/>
      <c r="N105" s="5"/>
      <c r="O105" s="47"/>
      <c r="P105" s="19"/>
      <c r="Q105" s="2"/>
      <c r="R105" s="2"/>
      <c r="S105" s="2"/>
      <c r="T105" s="2"/>
      <c r="U105" s="2"/>
      <c r="V105" s="2"/>
      <c r="W105" s="2"/>
      <c r="X105" s="2"/>
      <c r="Y105" s="2"/>
      <c r="Z105" s="2"/>
      <c r="AA105" s="2"/>
    </row>
    <row r="106" ht="15.0" customHeight="1">
      <c r="A106" s="19"/>
      <c r="B106" s="19"/>
      <c r="C106" s="48"/>
      <c r="D106" s="39"/>
      <c r="E106" s="39"/>
      <c r="F106" s="34" t="str">
        <f t="array" ref="F106">IF(INDEX('Binder Data'!$A$2:$A$251,ROW()-1)="","",IF(INDEX('Binder Data'!$D$2:$D$251,ROW()-1)="Needed",INDEX('Binder Data'!$B$2:$B$251,ROW()-1),INDEX('Binder Data'!$D$2:$D$251,ROW()-1)))</f>
        <v/>
      </c>
      <c r="G106" s="19"/>
      <c r="H106" s="19"/>
      <c r="I106" s="19"/>
      <c r="J106" s="19"/>
      <c r="K106" s="19"/>
      <c r="L106" s="32"/>
      <c r="M106" s="32"/>
      <c r="N106" s="5"/>
      <c r="O106" s="5"/>
      <c r="P106" s="19"/>
      <c r="Q106" s="2"/>
      <c r="R106" s="2"/>
      <c r="S106" s="2"/>
      <c r="T106" s="2"/>
      <c r="U106" s="2"/>
      <c r="V106" s="2"/>
      <c r="W106" s="2"/>
      <c r="X106" s="2"/>
      <c r="Y106" s="2"/>
      <c r="Z106" s="2"/>
      <c r="AA106" s="2"/>
    </row>
    <row r="107" ht="15.0" customHeight="1">
      <c r="A107" s="19"/>
      <c r="B107" s="19"/>
      <c r="C107" s="48"/>
      <c r="D107" s="39"/>
      <c r="E107" s="39"/>
      <c r="F107" s="34" t="str">
        <f t="array" ref="F107">IF(INDEX('Binder Data'!$A$2:$A$251,ROW()-1)="","",IF(INDEX('Binder Data'!$D$2:$D$251,ROW()-1)="Needed",INDEX('Binder Data'!$B$2:$B$251,ROW()-1),INDEX('Binder Data'!$D$2:$D$251,ROW()-1)))</f>
        <v/>
      </c>
      <c r="G107" s="19"/>
      <c r="H107" s="19"/>
      <c r="I107" s="19"/>
      <c r="J107" s="19"/>
      <c r="K107" s="19"/>
      <c r="L107" s="32"/>
      <c r="M107" s="32"/>
      <c r="N107" s="5"/>
      <c r="O107" s="5"/>
      <c r="P107" s="19"/>
      <c r="Q107" s="2"/>
      <c r="R107" s="2"/>
      <c r="S107" s="2"/>
      <c r="T107" s="2"/>
      <c r="U107" s="2"/>
      <c r="V107" s="2"/>
      <c r="W107" s="2"/>
      <c r="X107" s="2"/>
      <c r="Y107" s="2"/>
      <c r="Z107" s="2"/>
      <c r="AA107" s="2"/>
    </row>
    <row r="108" ht="15.0" customHeight="1">
      <c r="A108" s="19"/>
      <c r="B108" s="19"/>
      <c r="C108" s="48"/>
      <c r="D108" s="39"/>
      <c r="E108" s="39"/>
      <c r="F108" s="34" t="str">
        <f t="array" ref="F108">IF(INDEX('Binder Data'!$A$2:$A$251,ROW()-1)="","",IF(INDEX('Binder Data'!$D$2:$D$251,ROW()-1)="Needed",INDEX('Binder Data'!$B$2:$B$251,ROW()-1),INDEX('Binder Data'!$D$2:$D$251,ROW()-1)))</f>
        <v/>
      </c>
      <c r="G108" s="19"/>
      <c r="H108" s="19"/>
      <c r="I108" s="19"/>
      <c r="J108" s="19"/>
      <c r="K108" s="19"/>
      <c r="L108" s="32"/>
      <c r="M108" s="32"/>
      <c r="N108" s="5"/>
      <c r="O108" s="5"/>
      <c r="P108" s="19"/>
      <c r="Q108" s="2"/>
      <c r="R108" s="2"/>
      <c r="S108" s="2"/>
      <c r="T108" s="2"/>
      <c r="U108" s="2"/>
      <c r="V108" s="2"/>
      <c r="W108" s="2"/>
      <c r="X108" s="2"/>
      <c r="Y108" s="2"/>
      <c r="Z108" s="2"/>
      <c r="AA108" s="2"/>
    </row>
    <row r="109" ht="15.0" customHeight="1">
      <c r="A109" s="19"/>
      <c r="B109" s="19"/>
      <c r="C109" s="48"/>
      <c r="D109" s="39"/>
      <c r="E109" s="39"/>
      <c r="F109" s="34" t="str">
        <f t="array" ref="F109">IF(INDEX('Binder Data'!$A$2:$A$251,ROW()-1)="","",IF(INDEX('Binder Data'!$D$2:$D$251,ROW()-1)="Needed",INDEX('Binder Data'!$B$2:$B$251,ROW()-1),INDEX('Binder Data'!$D$2:$D$251,ROW()-1)))</f>
        <v/>
      </c>
      <c r="G109" s="19"/>
      <c r="H109" s="19"/>
      <c r="I109" s="19"/>
      <c r="J109" s="19"/>
      <c r="K109" s="19"/>
      <c r="L109" s="32"/>
      <c r="M109" s="32"/>
      <c r="N109" s="5"/>
      <c r="O109" s="5"/>
      <c r="P109" s="19"/>
      <c r="Q109" s="2"/>
      <c r="R109" s="2"/>
      <c r="S109" s="2"/>
      <c r="T109" s="2"/>
      <c r="U109" s="2"/>
      <c r="V109" s="2"/>
      <c r="W109" s="2"/>
      <c r="X109" s="2"/>
      <c r="Y109" s="2"/>
      <c r="Z109" s="2"/>
      <c r="AA109" s="2"/>
    </row>
    <row r="110" ht="15.0" customHeight="1">
      <c r="A110" s="19"/>
      <c r="B110" s="19"/>
      <c r="C110" s="48"/>
      <c r="D110" s="39"/>
      <c r="E110" s="39"/>
      <c r="F110" s="34" t="str">
        <f t="array" ref="F110">IF(INDEX('Binder Data'!$A$2:$A$251,ROW()-1)="","",IF(INDEX('Binder Data'!$D$2:$D$251,ROW()-1)="Needed",INDEX('Binder Data'!$B$2:$B$251,ROW()-1),INDEX('Binder Data'!$D$2:$D$251,ROW()-1)))</f>
        <v/>
      </c>
      <c r="G110" s="19"/>
      <c r="H110" s="19"/>
      <c r="I110" s="19"/>
      <c r="J110" s="19"/>
      <c r="K110" s="19"/>
      <c r="L110" s="32"/>
      <c r="M110" s="32"/>
      <c r="N110" s="5"/>
      <c r="O110" s="5"/>
      <c r="P110" s="19"/>
      <c r="Q110" s="2"/>
      <c r="R110" s="2"/>
      <c r="S110" s="2"/>
      <c r="T110" s="2"/>
      <c r="U110" s="2"/>
      <c r="V110" s="2"/>
      <c r="W110" s="2"/>
      <c r="X110" s="2"/>
      <c r="Y110" s="2"/>
      <c r="Z110" s="2"/>
      <c r="AA110" s="2"/>
    </row>
    <row r="111" ht="15.0" customHeight="1">
      <c r="A111" s="19"/>
      <c r="B111" s="19"/>
      <c r="C111" s="48"/>
      <c r="D111" s="39"/>
      <c r="E111" s="39"/>
      <c r="F111" s="34" t="str">
        <f t="array" ref="F111">IF(INDEX('Binder Data'!$A$2:$A$251,ROW()-1)="","",IF(INDEX('Binder Data'!$D$2:$D$251,ROW()-1)="Needed",INDEX('Binder Data'!$B$2:$B$251,ROW()-1),INDEX('Binder Data'!$D$2:$D$251,ROW()-1)))</f>
        <v/>
      </c>
      <c r="G111" s="19"/>
      <c r="H111" s="19"/>
      <c r="I111" s="19"/>
      <c r="J111" s="19"/>
      <c r="K111" s="19"/>
      <c r="L111" s="32"/>
      <c r="M111" s="32"/>
      <c r="N111" s="5"/>
      <c r="O111" s="5"/>
      <c r="P111" s="19"/>
      <c r="Q111" s="2"/>
      <c r="R111" s="2"/>
      <c r="S111" s="2"/>
      <c r="T111" s="2"/>
      <c r="U111" s="2"/>
      <c r="V111" s="2"/>
      <c r="W111" s="2"/>
      <c r="X111" s="2"/>
      <c r="Y111" s="2"/>
      <c r="Z111" s="2"/>
      <c r="AA111" s="2"/>
    </row>
    <row r="112" ht="15.0" customHeight="1">
      <c r="A112" s="19"/>
      <c r="B112" s="19"/>
      <c r="C112" s="48"/>
      <c r="D112" s="39"/>
      <c r="E112" s="39"/>
      <c r="F112" s="34" t="str">
        <f t="array" ref="F112">IF(INDEX('Binder Data'!$A$2:$A$251,ROW()-1)="","",IF(INDEX('Binder Data'!$D$2:$D$251,ROW()-1)="Needed",INDEX('Binder Data'!$B$2:$B$251,ROW()-1),INDEX('Binder Data'!$D$2:$D$251,ROW()-1)))</f>
        <v/>
      </c>
      <c r="G112" s="19"/>
      <c r="H112" s="19"/>
      <c r="I112" s="19"/>
      <c r="J112" s="19"/>
      <c r="K112" s="19"/>
      <c r="L112" s="32"/>
      <c r="M112" s="32"/>
      <c r="N112" s="5"/>
      <c r="O112" s="5"/>
      <c r="P112" s="19"/>
      <c r="Q112" s="2"/>
      <c r="R112" s="2"/>
      <c r="S112" s="2"/>
      <c r="T112" s="2"/>
      <c r="U112" s="2"/>
      <c r="V112" s="2"/>
      <c r="W112" s="2"/>
      <c r="X112" s="2"/>
      <c r="Y112" s="2"/>
      <c r="Z112" s="2"/>
      <c r="AA112" s="2"/>
    </row>
    <row r="113" ht="15.0" customHeight="1">
      <c r="A113" s="19"/>
      <c r="B113" s="19"/>
      <c r="C113" s="48"/>
      <c r="D113" s="39"/>
      <c r="E113" s="39"/>
      <c r="F113" s="34" t="str">
        <f t="array" ref="F113">IF(INDEX('Binder Data'!$A$2:$A$251,ROW()-1)="","",IF(INDEX('Binder Data'!$D$2:$D$251,ROW()-1)="Needed",INDEX('Binder Data'!$B$2:$B$251,ROW()-1),INDEX('Binder Data'!$D$2:$D$251,ROW()-1)))</f>
        <v/>
      </c>
      <c r="G113" s="19"/>
      <c r="H113" s="19"/>
      <c r="I113" s="19"/>
      <c r="J113" s="19"/>
      <c r="K113" s="19"/>
      <c r="L113" s="32"/>
      <c r="M113" s="32"/>
      <c r="N113" s="5"/>
      <c r="O113" s="5"/>
      <c r="P113" s="19"/>
      <c r="Q113" s="2"/>
      <c r="R113" s="2"/>
      <c r="S113" s="2"/>
      <c r="T113" s="2"/>
      <c r="U113" s="2"/>
      <c r="V113" s="2"/>
      <c r="W113" s="2"/>
      <c r="X113" s="2"/>
      <c r="Y113" s="2"/>
      <c r="Z113" s="2"/>
      <c r="AA113" s="2"/>
    </row>
    <row r="114" ht="15.0" customHeight="1">
      <c r="A114" s="19"/>
      <c r="B114" s="19"/>
      <c r="C114" s="48"/>
      <c r="D114" s="39"/>
      <c r="E114" s="39"/>
      <c r="F114" s="34" t="str">
        <f t="array" ref="F114">IF(INDEX('Binder Data'!$A$2:$A$251,ROW()-1)="","",IF(INDEX('Binder Data'!$D$2:$D$251,ROW()-1)="Needed",INDEX('Binder Data'!$B$2:$B$251,ROW()-1),INDEX('Binder Data'!$D$2:$D$251,ROW()-1)))</f>
        <v/>
      </c>
      <c r="G114" s="19"/>
      <c r="H114" s="19"/>
      <c r="I114" s="19"/>
      <c r="J114" s="19"/>
      <c r="K114" s="19"/>
      <c r="L114" s="32"/>
      <c r="M114" s="32"/>
      <c r="N114" s="5"/>
      <c r="O114" s="5"/>
      <c r="P114" s="19"/>
      <c r="Q114" s="2"/>
      <c r="R114" s="2"/>
      <c r="S114" s="2"/>
      <c r="T114" s="2"/>
      <c r="U114" s="2"/>
      <c r="V114" s="2"/>
      <c r="W114" s="2"/>
      <c r="X114" s="2"/>
      <c r="Y114" s="2"/>
      <c r="Z114" s="2"/>
      <c r="AA114" s="2"/>
    </row>
    <row r="115" ht="15.0" customHeight="1">
      <c r="A115" s="19"/>
      <c r="B115" s="19"/>
      <c r="C115" s="48"/>
      <c r="D115" s="39"/>
      <c r="E115" s="39"/>
      <c r="F115" s="34" t="str">
        <f t="array" ref="F115">IF(INDEX('Binder Data'!$A$2:$A$251,ROW()-1)="","",IF(INDEX('Binder Data'!$D$2:$D$251,ROW()-1)="Needed",INDEX('Binder Data'!$B$2:$B$251,ROW()-1),INDEX('Binder Data'!$D$2:$D$251,ROW()-1)))</f>
        <v/>
      </c>
      <c r="G115" s="19"/>
      <c r="H115" s="19"/>
      <c r="I115" s="19"/>
      <c r="J115" s="19"/>
      <c r="K115" s="19"/>
      <c r="L115" s="32"/>
      <c r="M115" s="32"/>
      <c r="N115" s="5"/>
      <c r="O115" s="5"/>
      <c r="P115" s="19"/>
      <c r="Q115" s="2"/>
      <c r="R115" s="2"/>
      <c r="S115" s="2"/>
      <c r="T115" s="2"/>
      <c r="U115" s="2"/>
      <c r="V115" s="2"/>
      <c r="W115" s="2"/>
      <c r="X115" s="2"/>
      <c r="Y115" s="2"/>
      <c r="Z115" s="2"/>
      <c r="AA115" s="2"/>
    </row>
    <row r="116" ht="15.0" customHeight="1">
      <c r="A116" s="19"/>
      <c r="B116" s="19"/>
      <c r="C116" s="48"/>
      <c r="D116" s="39"/>
      <c r="E116" s="39"/>
      <c r="F116" s="34" t="str">
        <f t="array" ref="F116">IF(INDEX('Binder Data'!$A$2:$A$251,ROW()-1)="","",IF(INDEX('Binder Data'!$D$2:$D$251,ROW()-1)="Needed",INDEX('Binder Data'!$B$2:$B$251,ROW()-1),INDEX('Binder Data'!$D$2:$D$251,ROW()-1)))</f>
        <v/>
      </c>
      <c r="G116" s="19"/>
      <c r="H116" s="19"/>
      <c r="I116" s="19"/>
      <c r="J116" s="19"/>
      <c r="K116" s="19"/>
      <c r="L116" s="32"/>
      <c r="M116" s="32"/>
      <c r="N116" s="5"/>
      <c r="O116" s="5"/>
      <c r="P116" s="19"/>
      <c r="Q116" s="2"/>
      <c r="R116" s="2"/>
      <c r="S116" s="2"/>
      <c r="T116" s="2"/>
      <c r="U116" s="2"/>
      <c r="V116" s="2"/>
      <c r="W116" s="2"/>
      <c r="X116" s="2"/>
      <c r="Y116" s="2"/>
      <c r="Z116" s="2"/>
      <c r="AA116" s="2"/>
    </row>
    <row r="117" ht="15.0" customHeight="1">
      <c r="A117" s="19"/>
      <c r="B117" s="19"/>
      <c r="C117" s="48"/>
      <c r="D117" s="39"/>
      <c r="E117" s="39"/>
      <c r="F117" s="34" t="str">
        <f t="array" ref="F117">IF(INDEX('Binder Data'!$A$2:$A$251,ROW()-1)="","",IF(INDEX('Binder Data'!$D$2:$D$251,ROW()-1)="Needed",INDEX('Binder Data'!$B$2:$B$251,ROW()-1),INDEX('Binder Data'!$D$2:$D$251,ROW()-1)))</f>
        <v/>
      </c>
      <c r="G117" s="19"/>
      <c r="H117" s="19"/>
      <c r="I117" s="19"/>
      <c r="J117" s="19"/>
      <c r="K117" s="19"/>
      <c r="L117" s="32"/>
      <c r="M117" s="32"/>
      <c r="N117" s="5"/>
      <c r="O117" s="5"/>
      <c r="P117" s="19"/>
      <c r="Q117" s="2"/>
      <c r="R117" s="2"/>
      <c r="S117" s="2"/>
      <c r="T117" s="2"/>
      <c r="U117" s="2"/>
      <c r="V117" s="2"/>
      <c r="W117" s="2"/>
      <c r="X117" s="2"/>
      <c r="Y117" s="2"/>
      <c r="Z117" s="2"/>
      <c r="AA117" s="2"/>
    </row>
    <row r="118" ht="15.0" customHeight="1">
      <c r="A118" s="19"/>
      <c r="B118" s="19"/>
      <c r="C118" s="48"/>
      <c r="D118" s="39"/>
      <c r="E118" s="39"/>
      <c r="F118" s="34" t="str">
        <f t="array" ref="F118">IF(INDEX('Binder Data'!$A$2:$A$251,ROW()-1)="","",IF(INDEX('Binder Data'!$D$2:$D$251,ROW()-1)="Needed",INDEX('Binder Data'!$B$2:$B$251,ROW()-1),INDEX('Binder Data'!$D$2:$D$251,ROW()-1)))</f>
        <v/>
      </c>
      <c r="G118" s="19"/>
      <c r="H118" s="19"/>
      <c r="I118" s="19"/>
      <c r="J118" s="19"/>
      <c r="K118" s="19"/>
      <c r="L118" s="32"/>
      <c r="M118" s="32"/>
      <c r="N118" s="5"/>
      <c r="O118" s="5"/>
      <c r="P118" s="19"/>
      <c r="Q118" s="2"/>
      <c r="R118" s="2"/>
      <c r="S118" s="2"/>
      <c r="T118" s="2"/>
      <c r="U118" s="2"/>
      <c r="V118" s="2"/>
      <c r="W118" s="2"/>
      <c r="X118" s="2"/>
      <c r="Y118" s="2"/>
      <c r="Z118" s="2"/>
      <c r="AA118" s="2"/>
    </row>
    <row r="119" ht="15.0" customHeight="1">
      <c r="A119" s="19"/>
      <c r="B119" s="19"/>
      <c r="C119" s="48"/>
      <c r="D119" s="39"/>
      <c r="E119" s="39"/>
      <c r="F119" s="34" t="str">
        <f t="array" ref="F119">IF(INDEX('Binder Data'!$A$2:$A$251,ROW()-1)="","",IF(INDEX('Binder Data'!$D$2:$D$251,ROW()-1)="Needed",INDEX('Binder Data'!$B$2:$B$251,ROW()-1),INDEX('Binder Data'!$D$2:$D$251,ROW()-1)))</f>
        <v/>
      </c>
      <c r="G119" s="19"/>
      <c r="H119" s="19"/>
      <c r="I119" s="19"/>
      <c r="J119" s="19"/>
      <c r="K119" s="19"/>
      <c r="L119" s="32"/>
      <c r="M119" s="32"/>
      <c r="N119" s="5"/>
      <c r="O119" s="5"/>
      <c r="P119" s="19"/>
      <c r="Q119" s="2"/>
      <c r="R119" s="2"/>
      <c r="S119" s="2"/>
      <c r="T119" s="2"/>
      <c r="U119" s="2"/>
      <c r="V119" s="2"/>
      <c r="W119" s="2"/>
      <c r="X119" s="2"/>
      <c r="Y119" s="2"/>
      <c r="Z119" s="2"/>
      <c r="AA119" s="2"/>
    </row>
    <row r="120" ht="15.0" customHeight="1">
      <c r="A120" s="19"/>
      <c r="B120" s="19"/>
      <c r="C120" s="48"/>
      <c r="D120" s="39"/>
      <c r="E120" s="39"/>
      <c r="F120" s="34" t="str">
        <f t="array" ref="F120">IF(INDEX('Binder Data'!$A$2:$A$251,ROW()-1)="","",IF(INDEX('Binder Data'!$D$2:$D$251,ROW()-1)="Needed",INDEX('Binder Data'!$B$2:$B$251,ROW()-1),INDEX('Binder Data'!$D$2:$D$251,ROW()-1)))</f>
        <v/>
      </c>
      <c r="G120" s="19"/>
      <c r="H120" s="19"/>
      <c r="I120" s="19"/>
      <c r="J120" s="19"/>
      <c r="K120" s="19"/>
      <c r="L120" s="32"/>
      <c r="M120" s="32"/>
      <c r="N120" s="5"/>
      <c r="O120" s="5"/>
      <c r="P120" s="19"/>
      <c r="Q120" s="2"/>
      <c r="R120" s="2"/>
      <c r="S120" s="2"/>
      <c r="T120" s="2"/>
      <c r="U120" s="2"/>
      <c r="V120" s="2"/>
      <c r="W120" s="2"/>
      <c r="X120" s="2"/>
      <c r="Y120" s="2"/>
      <c r="Z120" s="2"/>
      <c r="AA120" s="2"/>
    </row>
    <row r="121" ht="15.0" customHeight="1">
      <c r="A121" s="19"/>
      <c r="B121" s="19"/>
      <c r="C121" s="48"/>
      <c r="D121" s="39"/>
      <c r="E121" s="39"/>
      <c r="F121" s="34" t="str">
        <f t="array" ref="F121">IF(INDEX('Binder Data'!$A$2:$A$251,ROW()-1)="","",IF(INDEX('Binder Data'!$D$2:$D$251,ROW()-1)="Needed",INDEX('Binder Data'!$B$2:$B$251,ROW()-1),INDEX('Binder Data'!$D$2:$D$251,ROW()-1)))</f>
        <v/>
      </c>
      <c r="G121" s="19"/>
      <c r="H121" s="19"/>
      <c r="I121" s="19"/>
      <c r="J121" s="19"/>
      <c r="K121" s="19"/>
      <c r="L121" s="32"/>
      <c r="M121" s="32"/>
      <c r="N121" s="5"/>
      <c r="O121" s="5"/>
      <c r="P121" s="19"/>
      <c r="Q121" s="2"/>
      <c r="R121" s="2"/>
      <c r="S121" s="2"/>
      <c r="T121" s="2"/>
      <c r="U121" s="2"/>
      <c r="V121" s="2"/>
      <c r="W121" s="2"/>
      <c r="X121" s="2"/>
      <c r="Y121" s="2"/>
      <c r="Z121" s="2"/>
      <c r="AA121" s="2"/>
    </row>
    <row r="122" ht="15.0" customHeight="1">
      <c r="A122" s="19"/>
      <c r="B122" s="19"/>
      <c r="C122" s="48"/>
      <c r="D122" s="39"/>
      <c r="E122" s="39"/>
      <c r="F122" s="34" t="str">
        <f t="array" ref="F122">IF(INDEX('Binder Data'!$A$2:$A$251,ROW()-1)="","",IF(INDEX('Binder Data'!$D$2:$D$251,ROW()-1)="Needed",INDEX('Binder Data'!$B$2:$B$251,ROW()-1),INDEX('Binder Data'!$D$2:$D$251,ROW()-1)))</f>
        <v/>
      </c>
      <c r="G122" s="19"/>
      <c r="H122" s="19"/>
      <c r="I122" s="19"/>
      <c r="J122" s="19"/>
      <c r="K122" s="19"/>
      <c r="L122" s="32"/>
      <c r="M122" s="32"/>
      <c r="N122" s="5"/>
      <c r="O122" s="5"/>
      <c r="P122" s="19"/>
      <c r="Q122" s="2"/>
      <c r="R122" s="2"/>
      <c r="S122" s="2"/>
      <c r="T122" s="2"/>
      <c r="U122" s="2"/>
      <c r="V122" s="2"/>
      <c r="W122" s="2"/>
      <c r="X122" s="2"/>
      <c r="Y122" s="2"/>
      <c r="Z122" s="2"/>
      <c r="AA122" s="2"/>
    </row>
    <row r="123" ht="15.0" customHeight="1">
      <c r="A123" s="19"/>
      <c r="B123" s="19"/>
      <c r="C123" s="48"/>
      <c r="D123" s="39"/>
      <c r="E123" s="39"/>
      <c r="F123" s="34" t="str">
        <f t="array" ref="F123">IF(INDEX('Binder Data'!$A$2:$A$251,ROW()-1)="","",IF(INDEX('Binder Data'!$D$2:$D$251,ROW()-1)="Needed",INDEX('Binder Data'!$B$2:$B$251,ROW()-1),INDEX('Binder Data'!$D$2:$D$251,ROW()-1)))</f>
        <v/>
      </c>
      <c r="G123" s="19"/>
      <c r="H123" s="19"/>
      <c r="I123" s="19"/>
      <c r="J123" s="19"/>
      <c r="K123" s="19"/>
      <c r="L123" s="32"/>
      <c r="M123" s="32"/>
      <c r="N123" s="5"/>
      <c r="O123" s="5"/>
      <c r="P123" s="19"/>
      <c r="Q123" s="2"/>
      <c r="R123" s="2"/>
      <c r="S123" s="2"/>
      <c r="T123" s="2"/>
      <c r="U123" s="2"/>
      <c r="V123" s="2"/>
      <c r="W123" s="2"/>
      <c r="X123" s="2"/>
      <c r="Y123" s="2"/>
      <c r="Z123" s="2"/>
      <c r="AA123" s="2"/>
    </row>
    <row r="124" ht="15.0" customHeight="1">
      <c r="A124" s="19"/>
      <c r="B124" s="19"/>
      <c r="C124" s="48"/>
      <c r="D124" s="39"/>
      <c r="E124" s="39"/>
      <c r="F124" s="34" t="str">
        <f t="array" ref="F124">IF(INDEX('Binder Data'!$A$2:$A$251,ROW()-1)="","",IF(INDEX('Binder Data'!$D$2:$D$251,ROW()-1)="Needed",INDEX('Binder Data'!$B$2:$B$251,ROW()-1),INDEX('Binder Data'!$D$2:$D$251,ROW()-1)))</f>
        <v/>
      </c>
      <c r="G124" s="19"/>
      <c r="H124" s="19"/>
      <c r="I124" s="19"/>
      <c r="J124" s="19"/>
      <c r="K124" s="19"/>
      <c r="L124" s="32"/>
      <c r="M124" s="32"/>
      <c r="N124" s="5"/>
      <c r="O124" s="5"/>
      <c r="P124" s="19"/>
      <c r="Q124" s="2"/>
      <c r="R124" s="2"/>
      <c r="S124" s="2"/>
      <c r="T124" s="2"/>
      <c r="U124" s="2"/>
      <c r="V124" s="2"/>
      <c r="W124" s="2"/>
      <c r="X124" s="2"/>
      <c r="Y124" s="2"/>
      <c r="Z124" s="2"/>
      <c r="AA124" s="2"/>
    </row>
    <row r="125" ht="15.0" customHeight="1">
      <c r="A125" s="19"/>
      <c r="B125" s="19"/>
      <c r="C125" s="48"/>
      <c r="D125" s="39"/>
      <c r="E125" s="39"/>
      <c r="F125" s="34" t="str">
        <f t="array" ref="F125">IF(INDEX('Binder Data'!$A$2:$A$251,ROW()-1)="","",IF(INDEX('Binder Data'!$D$2:$D$251,ROW()-1)="Needed",INDEX('Binder Data'!$B$2:$B$251,ROW()-1),INDEX('Binder Data'!$D$2:$D$251,ROW()-1)))</f>
        <v/>
      </c>
      <c r="G125" s="19"/>
      <c r="H125" s="19"/>
      <c r="I125" s="19"/>
      <c r="J125" s="19"/>
      <c r="K125" s="19"/>
      <c r="L125" s="32"/>
      <c r="M125" s="32"/>
      <c r="N125" s="5"/>
      <c r="O125" s="5"/>
      <c r="P125" s="19"/>
      <c r="Q125" s="2"/>
      <c r="R125" s="2"/>
      <c r="S125" s="2"/>
      <c r="T125" s="2"/>
      <c r="U125" s="2"/>
      <c r="V125" s="2"/>
      <c r="W125" s="2"/>
      <c r="X125" s="2"/>
      <c r="Y125" s="2"/>
      <c r="Z125" s="2"/>
      <c r="AA125" s="2"/>
    </row>
    <row r="126" ht="15.0" customHeight="1">
      <c r="A126" s="19"/>
      <c r="B126" s="19"/>
      <c r="C126" s="48"/>
      <c r="D126" s="39"/>
      <c r="E126" s="39"/>
      <c r="F126" s="34" t="str">
        <f t="array" ref="F126">IF(INDEX('Binder Data'!$A$2:$A$251,ROW()-1)="","",IF(INDEX('Binder Data'!$D$2:$D$251,ROW()-1)="Needed",INDEX('Binder Data'!$B$2:$B$251,ROW()-1),INDEX('Binder Data'!$D$2:$D$251,ROW()-1)))</f>
        <v/>
      </c>
      <c r="G126" s="19"/>
      <c r="H126" s="19"/>
      <c r="I126" s="19"/>
      <c r="J126" s="19"/>
      <c r="K126" s="19"/>
      <c r="L126" s="32"/>
      <c r="M126" s="32"/>
      <c r="N126" s="5"/>
      <c r="O126" s="5"/>
      <c r="P126" s="19"/>
      <c r="Q126" s="2"/>
      <c r="R126" s="2"/>
      <c r="S126" s="2"/>
      <c r="T126" s="2"/>
      <c r="U126" s="2"/>
      <c r="V126" s="2"/>
      <c r="W126" s="2"/>
      <c r="X126" s="2"/>
      <c r="Y126" s="2"/>
      <c r="Z126" s="2"/>
      <c r="AA126" s="2"/>
    </row>
    <row r="127" ht="15.0" customHeight="1">
      <c r="A127" s="19"/>
      <c r="B127" s="19"/>
      <c r="C127" s="48"/>
      <c r="D127" s="39"/>
      <c r="E127" s="39"/>
      <c r="F127" s="34" t="str">
        <f t="array" ref="F127">IF(INDEX('Binder Data'!$A$2:$A$251,ROW()-1)="","",IF(INDEX('Binder Data'!$D$2:$D$251,ROW()-1)="Needed",INDEX('Binder Data'!$B$2:$B$251,ROW()-1),INDEX('Binder Data'!$D$2:$D$251,ROW()-1)))</f>
        <v/>
      </c>
      <c r="G127" s="19"/>
      <c r="H127" s="19"/>
      <c r="I127" s="19"/>
      <c r="J127" s="19"/>
      <c r="K127" s="19"/>
      <c r="L127" s="32"/>
      <c r="M127" s="32"/>
      <c r="N127" s="5"/>
      <c r="O127" s="5"/>
      <c r="P127" s="19"/>
      <c r="Q127" s="2"/>
      <c r="R127" s="2"/>
      <c r="S127" s="2"/>
      <c r="T127" s="2"/>
      <c r="U127" s="2"/>
      <c r="V127" s="2"/>
      <c r="W127" s="2"/>
      <c r="X127" s="2"/>
      <c r="Y127" s="2"/>
      <c r="Z127" s="2"/>
      <c r="AA127" s="2"/>
    </row>
    <row r="128" ht="15.0" customHeight="1">
      <c r="A128" s="19"/>
      <c r="B128" s="19"/>
      <c r="C128" s="48"/>
      <c r="D128" s="39"/>
      <c r="E128" s="39"/>
      <c r="F128" s="34" t="str">
        <f t="array" ref="F128">IF(INDEX('Binder Data'!$A$2:$A$251,ROW()-1)="","",IF(INDEX('Binder Data'!$D$2:$D$251,ROW()-1)="Needed",INDEX('Binder Data'!$B$2:$B$251,ROW()-1),INDEX('Binder Data'!$D$2:$D$251,ROW()-1)))</f>
        <v/>
      </c>
      <c r="G128" s="19"/>
      <c r="H128" s="19"/>
      <c r="I128" s="19"/>
      <c r="J128" s="19"/>
      <c r="K128" s="19"/>
      <c r="L128" s="32"/>
      <c r="M128" s="32"/>
      <c r="N128" s="5"/>
      <c r="O128" s="5"/>
      <c r="P128" s="19"/>
      <c r="Q128" s="2"/>
      <c r="R128" s="2"/>
      <c r="S128" s="2"/>
      <c r="T128" s="2"/>
      <c r="U128" s="2"/>
      <c r="V128" s="2"/>
      <c r="W128" s="2"/>
      <c r="X128" s="2"/>
      <c r="Y128" s="2"/>
      <c r="Z128" s="2"/>
      <c r="AA128" s="2"/>
    </row>
    <row r="129" ht="15.0" customHeight="1">
      <c r="A129" s="19"/>
      <c r="B129" s="19"/>
      <c r="C129" s="48"/>
      <c r="D129" s="39"/>
      <c r="E129" s="39"/>
      <c r="F129" s="34" t="str">
        <f t="array" ref="F129">IF(INDEX('Binder Data'!$A$2:$A$251,ROW()-1)="","",IF(INDEX('Binder Data'!$D$2:$D$251,ROW()-1)="Needed",INDEX('Binder Data'!$B$2:$B$251,ROW()-1),INDEX('Binder Data'!$D$2:$D$251,ROW()-1)))</f>
        <v/>
      </c>
      <c r="G129" s="19"/>
      <c r="H129" s="19"/>
      <c r="I129" s="19"/>
      <c r="J129" s="19"/>
      <c r="K129" s="19"/>
      <c r="L129" s="32"/>
      <c r="M129" s="32"/>
      <c r="N129" s="5"/>
      <c r="O129" s="5"/>
      <c r="P129" s="19"/>
      <c r="Q129" s="2"/>
      <c r="R129" s="2"/>
      <c r="S129" s="2"/>
      <c r="T129" s="2"/>
      <c r="U129" s="2"/>
      <c r="V129" s="2"/>
      <c r="W129" s="2"/>
      <c r="X129" s="2"/>
      <c r="Y129" s="2"/>
      <c r="Z129" s="2"/>
      <c r="AA129" s="2"/>
    </row>
    <row r="130" ht="15.0" customHeight="1">
      <c r="A130" s="19"/>
      <c r="B130" s="19"/>
      <c r="C130" s="48"/>
      <c r="D130" s="39"/>
      <c r="E130" s="39"/>
      <c r="F130" s="34" t="str">
        <f t="array" ref="F130">IF(INDEX('Binder Data'!$A$2:$A$251,ROW()-1)="","",IF(INDEX('Binder Data'!$D$2:$D$251,ROW()-1)="Needed",INDEX('Binder Data'!$B$2:$B$251,ROW()-1),INDEX('Binder Data'!$D$2:$D$251,ROW()-1)))</f>
        <v/>
      </c>
      <c r="G130" s="19"/>
      <c r="H130" s="19"/>
      <c r="I130" s="19"/>
      <c r="J130" s="19"/>
      <c r="K130" s="19"/>
      <c r="L130" s="32"/>
      <c r="M130" s="32"/>
      <c r="N130" s="5"/>
      <c r="O130" s="5"/>
      <c r="P130" s="19"/>
      <c r="Q130" s="2"/>
      <c r="R130" s="2"/>
      <c r="S130" s="2"/>
      <c r="T130" s="2"/>
      <c r="U130" s="2"/>
      <c r="V130" s="2"/>
      <c r="W130" s="2"/>
      <c r="X130" s="2"/>
      <c r="Y130" s="2"/>
      <c r="Z130" s="2"/>
      <c r="AA130" s="2"/>
    </row>
    <row r="131" ht="15.0" customHeight="1">
      <c r="A131" s="19"/>
      <c r="B131" s="19"/>
      <c r="C131" s="48"/>
      <c r="D131" s="39"/>
      <c r="E131" s="39"/>
      <c r="F131" s="34" t="str">
        <f t="array" ref="F131">IF(INDEX('Binder Data'!$A$2:$A$251,ROW()-1)="","",IF(INDEX('Binder Data'!$D$2:$D$251,ROW()-1)="Needed",INDEX('Binder Data'!$B$2:$B$251,ROW()-1),INDEX('Binder Data'!$D$2:$D$251,ROW()-1)))</f>
        <v/>
      </c>
      <c r="G131" s="19"/>
      <c r="H131" s="19"/>
      <c r="I131" s="19"/>
      <c r="J131" s="19"/>
      <c r="K131" s="19"/>
      <c r="L131" s="32"/>
      <c r="M131" s="32"/>
      <c r="N131" s="5"/>
      <c r="O131" s="5"/>
      <c r="P131" s="19"/>
      <c r="Q131" s="2"/>
      <c r="R131" s="2"/>
      <c r="S131" s="2"/>
      <c r="T131" s="2"/>
      <c r="U131" s="2"/>
      <c r="V131" s="2"/>
      <c r="W131" s="2"/>
      <c r="X131" s="2"/>
      <c r="Y131" s="2"/>
      <c r="Z131" s="2"/>
      <c r="AA131" s="2"/>
    </row>
    <row r="132" ht="15.0" customHeight="1">
      <c r="A132" s="19"/>
      <c r="B132" s="19"/>
      <c r="C132" s="48"/>
      <c r="D132" s="39"/>
      <c r="E132" s="39"/>
      <c r="F132" s="34" t="str">
        <f t="array" ref="F132">IF(INDEX('Binder Data'!$A$2:$A$251,ROW()-1)="","",IF(INDEX('Binder Data'!$D$2:$D$251,ROW()-1)="Needed",INDEX('Binder Data'!$B$2:$B$251,ROW()-1),INDEX('Binder Data'!$D$2:$D$251,ROW()-1)))</f>
        <v/>
      </c>
      <c r="G132" s="19"/>
      <c r="H132" s="19"/>
      <c r="I132" s="19"/>
      <c r="J132" s="19"/>
      <c r="K132" s="19"/>
      <c r="L132" s="32"/>
      <c r="M132" s="32"/>
      <c r="N132" s="5"/>
      <c r="O132" s="5"/>
      <c r="P132" s="19"/>
      <c r="Q132" s="2"/>
      <c r="R132" s="2"/>
      <c r="S132" s="2"/>
      <c r="T132" s="2"/>
      <c r="U132" s="2"/>
      <c r="V132" s="2"/>
      <c r="W132" s="2"/>
      <c r="X132" s="2"/>
      <c r="Y132" s="2"/>
      <c r="Z132" s="2"/>
      <c r="AA132" s="2"/>
    </row>
    <row r="133" ht="15.0" customHeight="1">
      <c r="A133" s="19"/>
      <c r="B133" s="19"/>
      <c r="C133" s="48"/>
      <c r="D133" s="39"/>
      <c r="E133" s="39"/>
      <c r="F133" s="34" t="str">
        <f t="array" ref="F133">IF(INDEX('Binder Data'!$A$2:$A$251,ROW()-1)="","",IF(INDEX('Binder Data'!$D$2:$D$251,ROW()-1)="Needed",INDEX('Binder Data'!$B$2:$B$251,ROW()-1),INDEX('Binder Data'!$D$2:$D$251,ROW()-1)))</f>
        <v/>
      </c>
      <c r="G133" s="19"/>
      <c r="H133" s="19"/>
      <c r="I133" s="19"/>
      <c r="J133" s="19"/>
      <c r="K133" s="19"/>
      <c r="L133" s="32"/>
      <c r="M133" s="32"/>
      <c r="N133" s="5"/>
      <c r="O133" s="5"/>
      <c r="P133" s="19"/>
      <c r="Q133" s="2"/>
      <c r="R133" s="2"/>
      <c r="S133" s="2"/>
      <c r="T133" s="2"/>
      <c r="U133" s="2"/>
      <c r="V133" s="2"/>
      <c r="W133" s="2"/>
      <c r="X133" s="2"/>
      <c r="Y133" s="2"/>
      <c r="Z133" s="2"/>
      <c r="AA133" s="2"/>
    </row>
    <row r="134" ht="15.0" customHeight="1">
      <c r="A134" s="19"/>
      <c r="B134" s="19"/>
      <c r="C134" s="48"/>
      <c r="D134" s="39"/>
      <c r="E134" s="39"/>
      <c r="F134" s="34" t="str">
        <f t="array" ref="F134">IF(INDEX('Binder Data'!$A$2:$A$251,ROW()-1)="","",IF(INDEX('Binder Data'!$D$2:$D$251,ROW()-1)="Needed",INDEX('Binder Data'!$B$2:$B$251,ROW()-1),INDEX('Binder Data'!$D$2:$D$251,ROW()-1)))</f>
        <v/>
      </c>
      <c r="G134" s="19"/>
      <c r="H134" s="19"/>
      <c r="I134" s="19"/>
      <c r="J134" s="19"/>
      <c r="K134" s="19"/>
      <c r="L134" s="32"/>
      <c r="M134" s="32"/>
      <c r="N134" s="5"/>
      <c r="O134" s="5"/>
      <c r="P134" s="19"/>
      <c r="Q134" s="2"/>
      <c r="R134" s="2"/>
      <c r="S134" s="2"/>
      <c r="T134" s="2"/>
      <c r="U134" s="2"/>
      <c r="V134" s="2"/>
      <c r="W134" s="2"/>
      <c r="X134" s="2"/>
      <c r="Y134" s="2"/>
      <c r="Z134" s="2"/>
      <c r="AA134" s="2"/>
    </row>
    <row r="135" ht="15.0" customHeight="1">
      <c r="A135" s="19"/>
      <c r="B135" s="19"/>
      <c r="C135" s="48"/>
      <c r="D135" s="39"/>
      <c r="E135" s="39"/>
      <c r="F135" s="34" t="str">
        <f t="array" ref="F135">IF(INDEX('Binder Data'!$A$2:$A$251,ROW()-1)="","",IF(INDEX('Binder Data'!$D$2:$D$251,ROW()-1)="Needed",INDEX('Binder Data'!$B$2:$B$251,ROW()-1),INDEX('Binder Data'!$D$2:$D$251,ROW()-1)))</f>
        <v/>
      </c>
      <c r="G135" s="19"/>
      <c r="H135" s="19"/>
      <c r="I135" s="19"/>
      <c r="J135" s="19"/>
      <c r="K135" s="19"/>
      <c r="L135" s="32"/>
      <c r="M135" s="32"/>
      <c r="N135" s="5"/>
      <c r="O135" s="5"/>
      <c r="P135" s="19"/>
      <c r="Q135" s="2"/>
      <c r="R135" s="2"/>
      <c r="S135" s="2"/>
      <c r="T135" s="2"/>
      <c r="U135" s="2"/>
      <c r="V135" s="2"/>
      <c r="W135" s="2"/>
      <c r="X135" s="2"/>
      <c r="Y135" s="2"/>
      <c r="Z135" s="2"/>
      <c r="AA135" s="2"/>
    </row>
    <row r="136" ht="15.0" customHeight="1">
      <c r="A136" s="19"/>
      <c r="B136" s="19"/>
      <c r="C136" s="48"/>
      <c r="D136" s="39"/>
      <c r="E136" s="39"/>
      <c r="F136" s="34" t="str">
        <f t="array" ref="F136">IF(INDEX('Binder Data'!$A$2:$A$251,ROW()-1)="","",IF(INDEX('Binder Data'!$D$2:$D$251,ROW()-1)="Needed",INDEX('Binder Data'!$B$2:$B$251,ROW()-1),INDEX('Binder Data'!$D$2:$D$251,ROW()-1)))</f>
        <v/>
      </c>
      <c r="G136" s="19"/>
      <c r="H136" s="19"/>
      <c r="I136" s="19"/>
      <c r="J136" s="19"/>
      <c r="K136" s="19"/>
      <c r="L136" s="32"/>
      <c r="M136" s="32"/>
      <c r="N136" s="5"/>
      <c r="O136" s="5"/>
      <c r="P136" s="19"/>
      <c r="Q136" s="2"/>
      <c r="R136" s="2"/>
      <c r="S136" s="2"/>
      <c r="T136" s="2"/>
      <c r="U136" s="2"/>
      <c r="V136" s="2"/>
      <c r="W136" s="2"/>
      <c r="X136" s="2"/>
      <c r="Y136" s="2"/>
      <c r="Z136" s="2"/>
      <c r="AA136" s="2"/>
    </row>
    <row r="137" ht="15.0" customHeight="1">
      <c r="A137" s="19"/>
      <c r="B137" s="19"/>
      <c r="C137" s="48"/>
      <c r="D137" s="39"/>
      <c r="E137" s="39"/>
      <c r="F137" s="34" t="str">
        <f t="array" ref="F137">IF(INDEX('Binder Data'!$A$2:$A$251,ROW()-1)="","",IF(INDEX('Binder Data'!$D$2:$D$251,ROW()-1)="Needed",INDEX('Binder Data'!$B$2:$B$251,ROW()-1),INDEX('Binder Data'!$D$2:$D$251,ROW()-1)))</f>
        <v/>
      </c>
      <c r="G137" s="19"/>
      <c r="H137" s="19"/>
      <c r="I137" s="19"/>
      <c r="J137" s="19"/>
      <c r="K137" s="19"/>
      <c r="L137" s="32"/>
      <c r="M137" s="32"/>
      <c r="N137" s="5"/>
      <c r="O137" s="5"/>
      <c r="P137" s="19"/>
      <c r="Q137" s="2"/>
      <c r="R137" s="2"/>
      <c r="S137" s="2"/>
      <c r="T137" s="2"/>
      <c r="U137" s="2"/>
      <c r="V137" s="2"/>
      <c r="W137" s="2"/>
      <c r="X137" s="2"/>
      <c r="Y137" s="2"/>
      <c r="Z137" s="2"/>
      <c r="AA137" s="2"/>
    </row>
    <row r="138" ht="15.0" customHeight="1">
      <c r="A138" s="19"/>
      <c r="B138" s="19"/>
      <c r="C138" s="48"/>
      <c r="D138" s="39"/>
      <c r="E138" s="39"/>
      <c r="F138" s="34" t="str">
        <f t="array" ref="F138">IF(INDEX('Binder Data'!$A$2:$A$251,ROW()-1)="","",IF(INDEX('Binder Data'!$D$2:$D$251,ROW()-1)="Needed",INDEX('Binder Data'!$B$2:$B$251,ROW()-1),INDEX('Binder Data'!$D$2:$D$251,ROW()-1)))</f>
        <v/>
      </c>
      <c r="G138" s="19"/>
      <c r="H138" s="19"/>
      <c r="I138" s="19"/>
      <c r="J138" s="19"/>
      <c r="K138" s="19"/>
      <c r="L138" s="32"/>
      <c r="M138" s="32"/>
      <c r="N138" s="5"/>
      <c r="O138" s="5"/>
      <c r="P138" s="19"/>
      <c r="Q138" s="2"/>
      <c r="R138" s="2"/>
      <c r="S138" s="2"/>
      <c r="T138" s="2"/>
      <c r="U138" s="2"/>
      <c r="V138" s="2"/>
      <c r="W138" s="2"/>
      <c r="X138" s="2"/>
      <c r="Y138" s="2"/>
      <c r="Z138" s="2"/>
      <c r="AA138" s="2"/>
    </row>
    <row r="139" ht="15.0" customHeight="1">
      <c r="A139" s="19"/>
      <c r="B139" s="19"/>
      <c r="C139" s="48"/>
      <c r="D139" s="39"/>
      <c r="E139" s="39"/>
      <c r="F139" s="34" t="str">
        <f t="array" ref="F139">IF(INDEX('Binder Data'!$A$2:$A$251,ROW()-1)="","",IF(INDEX('Binder Data'!$D$2:$D$251,ROW()-1)="Needed",INDEX('Binder Data'!$B$2:$B$251,ROW()-1),INDEX('Binder Data'!$D$2:$D$251,ROW()-1)))</f>
        <v/>
      </c>
      <c r="G139" s="19"/>
      <c r="H139" s="19"/>
      <c r="I139" s="19"/>
      <c r="J139" s="19"/>
      <c r="K139" s="19"/>
      <c r="L139" s="32"/>
      <c r="M139" s="32"/>
      <c r="N139" s="5"/>
      <c r="O139" s="5"/>
      <c r="P139" s="19"/>
      <c r="Q139" s="2"/>
      <c r="R139" s="2"/>
      <c r="S139" s="2"/>
      <c r="T139" s="2"/>
      <c r="U139" s="2"/>
      <c r="V139" s="2"/>
      <c r="W139" s="2"/>
      <c r="X139" s="2"/>
      <c r="Y139" s="2"/>
      <c r="Z139" s="2"/>
      <c r="AA139" s="2"/>
    </row>
    <row r="140" ht="15.0" customHeight="1">
      <c r="A140" s="19"/>
      <c r="B140" s="19"/>
      <c r="C140" s="48"/>
      <c r="D140" s="39"/>
      <c r="E140" s="39"/>
      <c r="F140" s="34" t="str">
        <f t="array" ref="F140">IF(INDEX('Binder Data'!$A$2:$A$251,ROW()-1)="","",IF(INDEX('Binder Data'!$D$2:$D$251,ROW()-1)="Needed",INDEX('Binder Data'!$B$2:$B$251,ROW()-1),INDEX('Binder Data'!$D$2:$D$251,ROW()-1)))</f>
        <v/>
      </c>
      <c r="G140" s="19"/>
      <c r="H140" s="19"/>
      <c r="I140" s="19"/>
      <c r="J140" s="19"/>
      <c r="K140" s="19"/>
      <c r="L140" s="32"/>
      <c r="M140" s="32"/>
      <c r="N140" s="5"/>
      <c r="O140" s="5"/>
      <c r="P140" s="19"/>
      <c r="Q140" s="2"/>
      <c r="R140" s="2"/>
      <c r="S140" s="2"/>
      <c r="T140" s="2"/>
      <c r="U140" s="2"/>
      <c r="V140" s="2"/>
      <c r="W140" s="2"/>
      <c r="X140" s="2"/>
      <c r="Y140" s="2"/>
      <c r="Z140" s="2"/>
      <c r="AA140" s="2"/>
    </row>
    <row r="141" ht="15.0" customHeight="1">
      <c r="A141" s="19"/>
      <c r="B141" s="19"/>
      <c r="C141" s="48"/>
      <c r="D141" s="39"/>
      <c r="E141" s="39"/>
      <c r="F141" s="34" t="str">
        <f t="array" ref="F141">IF(INDEX('Binder Data'!$A$2:$A$251,ROW()-1)="","",IF(INDEX('Binder Data'!$D$2:$D$251,ROW()-1)="Needed",INDEX('Binder Data'!$B$2:$B$251,ROW()-1),INDEX('Binder Data'!$D$2:$D$251,ROW()-1)))</f>
        <v/>
      </c>
      <c r="G141" s="19"/>
      <c r="H141" s="19"/>
      <c r="I141" s="19"/>
      <c r="J141" s="19"/>
      <c r="K141" s="19"/>
      <c r="L141" s="32"/>
      <c r="M141" s="32"/>
      <c r="N141" s="5"/>
      <c r="O141" s="5"/>
      <c r="P141" s="19"/>
      <c r="Q141" s="2"/>
      <c r="R141" s="2"/>
      <c r="S141" s="2"/>
      <c r="T141" s="2"/>
      <c r="U141" s="2"/>
      <c r="V141" s="2"/>
      <c r="W141" s="2"/>
      <c r="X141" s="2"/>
      <c r="Y141" s="2"/>
      <c r="Z141" s="2"/>
      <c r="AA141" s="2"/>
    </row>
    <row r="142" ht="15.0" customHeight="1">
      <c r="A142" s="19"/>
      <c r="B142" s="19"/>
      <c r="C142" s="48"/>
      <c r="D142" s="39"/>
      <c r="E142" s="39"/>
      <c r="F142" s="34" t="str">
        <f t="array" ref="F142">IF(INDEX('Binder Data'!$A$2:$A$251,ROW()-1)="","",IF(INDEX('Binder Data'!$D$2:$D$251,ROW()-1)="Needed",INDEX('Binder Data'!$B$2:$B$251,ROW()-1),INDEX('Binder Data'!$D$2:$D$251,ROW()-1)))</f>
        <v/>
      </c>
      <c r="G142" s="19"/>
      <c r="H142" s="19"/>
      <c r="I142" s="19"/>
      <c r="J142" s="19"/>
      <c r="K142" s="19"/>
      <c r="L142" s="32"/>
      <c r="M142" s="32"/>
      <c r="N142" s="5"/>
      <c r="O142" s="5"/>
      <c r="P142" s="19"/>
      <c r="Q142" s="2"/>
      <c r="R142" s="2"/>
      <c r="S142" s="2"/>
      <c r="T142" s="2"/>
      <c r="U142" s="2"/>
      <c r="V142" s="2"/>
      <c r="W142" s="2"/>
      <c r="X142" s="2"/>
      <c r="Y142" s="2"/>
      <c r="Z142" s="2"/>
      <c r="AA142" s="2"/>
    </row>
    <row r="143" ht="15.0" customHeight="1">
      <c r="A143" s="19"/>
      <c r="B143" s="19"/>
      <c r="C143" s="48"/>
      <c r="D143" s="39"/>
      <c r="E143" s="39"/>
      <c r="F143" s="34" t="str">
        <f t="array" ref="F143">IF(INDEX('Binder Data'!$A$2:$A$251,ROW()-1)="","",IF(INDEX('Binder Data'!$D$2:$D$251,ROW()-1)="Needed",INDEX('Binder Data'!$B$2:$B$251,ROW()-1),INDEX('Binder Data'!$D$2:$D$251,ROW()-1)))</f>
        <v/>
      </c>
      <c r="G143" s="19"/>
      <c r="H143" s="19"/>
      <c r="I143" s="19"/>
      <c r="J143" s="19"/>
      <c r="K143" s="19"/>
      <c r="L143" s="32"/>
      <c r="M143" s="32"/>
      <c r="N143" s="5"/>
      <c r="O143" s="5"/>
      <c r="P143" s="19"/>
      <c r="Q143" s="2"/>
      <c r="R143" s="2"/>
      <c r="S143" s="2"/>
      <c r="T143" s="2"/>
      <c r="U143" s="2"/>
      <c r="V143" s="2"/>
      <c r="W143" s="2"/>
      <c r="X143" s="2"/>
      <c r="Y143" s="2"/>
      <c r="Z143" s="2"/>
      <c r="AA143" s="2"/>
    </row>
    <row r="144" ht="15.0" customHeight="1">
      <c r="A144" s="19"/>
      <c r="B144" s="19"/>
      <c r="C144" s="48"/>
      <c r="D144" s="39"/>
      <c r="E144" s="39"/>
      <c r="F144" s="34" t="str">
        <f t="array" ref="F144">IF(INDEX('Binder Data'!$A$2:$A$251,ROW()-1)="","",IF(INDEX('Binder Data'!$D$2:$D$251,ROW()-1)="Needed",INDEX('Binder Data'!$B$2:$B$251,ROW()-1),INDEX('Binder Data'!$D$2:$D$251,ROW()-1)))</f>
        <v/>
      </c>
      <c r="G144" s="19"/>
      <c r="H144" s="19"/>
      <c r="I144" s="19"/>
      <c r="J144" s="19"/>
      <c r="K144" s="19"/>
      <c r="L144" s="32"/>
      <c r="M144" s="32"/>
      <c r="N144" s="5"/>
      <c r="O144" s="5"/>
      <c r="P144" s="19"/>
      <c r="Q144" s="2"/>
      <c r="R144" s="2"/>
      <c r="S144" s="2"/>
      <c r="T144" s="2"/>
      <c r="U144" s="2"/>
      <c r="V144" s="2"/>
      <c r="W144" s="2"/>
      <c r="X144" s="2"/>
      <c r="Y144" s="2"/>
      <c r="Z144" s="2"/>
      <c r="AA144" s="2"/>
    </row>
    <row r="145" ht="15.0" customHeight="1">
      <c r="A145" s="19"/>
      <c r="B145" s="19"/>
      <c r="C145" s="48"/>
      <c r="D145" s="39"/>
      <c r="E145" s="39"/>
      <c r="F145" s="34" t="str">
        <f t="array" ref="F145">IF(INDEX('Binder Data'!$A$2:$A$251,ROW()-1)="","",IF(INDEX('Binder Data'!$D$2:$D$251,ROW()-1)="Needed",INDEX('Binder Data'!$B$2:$B$251,ROW()-1),INDEX('Binder Data'!$D$2:$D$251,ROW()-1)))</f>
        <v/>
      </c>
      <c r="G145" s="19"/>
      <c r="H145" s="19"/>
      <c r="I145" s="19"/>
      <c r="J145" s="19"/>
      <c r="K145" s="19"/>
      <c r="L145" s="32"/>
      <c r="M145" s="32"/>
      <c r="N145" s="5"/>
      <c r="O145" s="5"/>
      <c r="P145" s="19"/>
      <c r="Q145" s="2"/>
      <c r="R145" s="2"/>
      <c r="S145" s="2"/>
      <c r="T145" s="2"/>
      <c r="U145" s="2"/>
      <c r="V145" s="2"/>
      <c r="W145" s="2"/>
      <c r="X145" s="2"/>
      <c r="Y145" s="2"/>
      <c r="Z145" s="2"/>
      <c r="AA145" s="2"/>
    </row>
    <row r="146" ht="15.0" customHeight="1">
      <c r="A146" s="19"/>
      <c r="B146" s="19"/>
      <c r="C146" s="48"/>
      <c r="D146" s="39"/>
      <c r="E146" s="39"/>
      <c r="F146" s="34" t="str">
        <f t="array" ref="F146">IF(INDEX('Binder Data'!$A$2:$A$251,ROW()-1)="","",IF(INDEX('Binder Data'!$D$2:$D$251,ROW()-1)="Needed",INDEX('Binder Data'!$B$2:$B$251,ROW()-1),INDEX('Binder Data'!$D$2:$D$251,ROW()-1)))</f>
        <v/>
      </c>
      <c r="G146" s="19"/>
      <c r="H146" s="19"/>
      <c r="I146" s="19"/>
      <c r="J146" s="19"/>
      <c r="K146" s="19"/>
      <c r="L146" s="32"/>
      <c r="M146" s="32"/>
      <c r="N146" s="5"/>
      <c r="O146" s="5"/>
      <c r="P146" s="19"/>
      <c r="Q146" s="2"/>
      <c r="R146" s="2"/>
      <c r="S146" s="2"/>
      <c r="T146" s="2"/>
      <c r="U146" s="2"/>
      <c r="V146" s="2"/>
      <c r="W146" s="2"/>
      <c r="X146" s="2"/>
      <c r="Y146" s="2"/>
      <c r="Z146" s="2"/>
      <c r="AA146" s="2"/>
    </row>
    <row r="147" ht="15.0" customHeight="1">
      <c r="A147" s="19"/>
      <c r="B147" s="19"/>
      <c r="C147" s="48"/>
      <c r="D147" s="39"/>
      <c r="E147" s="39"/>
      <c r="F147" s="34" t="str">
        <f t="array" ref="F147">IF(INDEX('Binder Data'!$A$2:$A$251,ROW()-1)="","",IF(INDEX('Binder Data'!$D$2:$D$251,ROW()-1)="Needed",INDEX('Binder Data'!$B$2:$B$251,ROW()-1),INDEX('Binder Data'!$D$2:$D$251,ROW()-1)))</f>
        <v/>
      </c>
      <c r="G147" s="19"/>
      <c r="H147" s="19"/>
      <c r="I147" s="19"/>
      <c r="J147" s="19"/>
      <c r="K147" s="19"/>
      <c r="L147" s="32"/>
      <c r="M147" s="32"/>
      <c r="N147" s="5"/>
      <c r="O147" s="5"/>
      <c r="P147" s="19"/>
      <c r="Q147" s="2"/>
      <c r="R147" s="2"/>
      <c r="S147" s="2"/>
      <c r="T147" s="2"/>
      <c r="U147" s="2"/>
      <c r="V147" s="2"/>
      <c r="W147" s="2"/>
      <c r="X147" s="2"/>
      <c r="Y147" s="2"/>
      <c r="Z147" s="2"/>
      <c r="AA147" s="2"/>
    </row>
    <row r="148" ht="15.0" customHeight="1">
      <c r="A148" s="19"/>
      <c r="B148" s="19"/>
      <c r="C148" s="48"/>
      <c r="D148" s="39"/>
      <c r="E148" s="39"/>
      <c r="F148" s="34" t="str">
        <f t="array" ref="F148">IF(INDEX('Binder Data'!$A$2:$A$251,ROW()-1)="","",IF(INDEX('Binder Data'!$D$2:$D$251,ROW()-1)="Needed",INDEX('Binder Data'!$B$2:$B$251,ROW()-1),INDEX('Binder Data'!$D$2:$D$251,ROW()-1)))</f>
        <v/>
      </c>
      <c r="G148" s="19"/>
      <c r="H148" s="19"/>
      <c r="I148" s="19"/>
      <c r="J148" s="19"/>
      <c r="K148" s="19"/>
      <c r="L148" s="32"/>
      <c r="M148" s="32"/>
      <c r="N148" s="5"/>
      <c r="O148" s="5"/>
      <c r="P148" s="19"/>
      <c r="Q148" s="2"/>
      <c r="R148" s="2"/>
      <c r="S148" s="2"/>
      <c r="T148" s="2"/>
      <c r="U148" s="2"/>
      <c r="V148" s="2"/>
      <c r="W148" s="2"/>
      <c r="X148" s="2"/>
      <c r="Y148" s="2"/>
      <c r="Z148" s="2"/>
      <c r="AA148" s="2"/>
    </row>
    <row r="149" ht="15.0" customHeight="1">
      <c r="A149" s="19"/>
      <c r="B149" s="19"/>
      <c r="C149" s="48"/>
      <c r="D149" s="39"/>
      <c r="E149" s="39"/>
      <c r="F149" s="34" t="str">
        <f t="array" ref="F149">IF(INDEX('Binder Data'!$A$2:$A$251,ROW()-1)="","",IF(INDEX('Binder Data'!$D$2:$D$251,ROW()-1)="Needed",INDEX('Binder Data'!$B$2:$B$251,ROW()-1),INDEX('Binder Data'!$D$2:$D$251,ROW()-1)))</f>
        <v/>
      </c>
      <c r="G149" s="19"/>
      <c r="H149" s="19"/>
      <c r="I149" s="19"/>
      <c r="J149" s="19"/>
      <c r="K149" s="19"/>
      <c r="L149" s="32"/>
      <c r="M149" s="32"/>
      <c r="N149" s="5"/>
      <c r="O149" s="5"/>
      <c r="P149" s="19"/>
      <c r="Q149" s="2"/>
      <c r="R149" s="2"/>
      <c r="S149" s="2"/>
      <c r="T149" s="2"/>
      <c r="U149" s="2"/>
      <c r="V149" s="2"/>
      <c r="W149" s="2"/>
      <c r="X149" s="2"/>
      <c r="Y149" s="2"/>
      <c r="Z149" s="2"/>
      <c r="AA149" s="2"/>
    </row>
    <row r="150" ht="15.0" customHeight="1">
      <c r="A150" s="19"/>
      <c r="B150" s="19"/>
      <c r="C150" s="48"/>
      <c r="D150" s="39"/>
      <c r="E150" s="39"/>
      <c r="F150" s="34" t="str">
        <f t="array" ref="F150">IF(INDEX('Binder Data'!$A$2:$A$251,ROW()-1)="","",IF(INDEX('Binder Data'!$D$2:$D$251,ROW()-1)="Needed",INDEX('Binder Data'!$B$2:$B$251,ROW()-1),INDEX('Binder Data'!$D$2:$D$251,ROW()-1)))</f>
        <v/>
      </c>
      <c r="G150" s="19"/>
      <c r="H150" s="19"/>
      <c r="I150" s="19"/>
      <c r="J150" s="19"/>
      <c r="K150" s="19"/>
      <c r="L150" s="32"/>
      <c r="M150" s="32"/>
      <c r="N150" s="5"/>
      <c r="O150" s="5"/>
      <c r="P150" s="19"/>
      <c r="Q150" s="2"/>
      <c r="R150" s="2"/>
      <c r="S150" s="2"/>
      <c r="T150" s="2"/>
      <c r="U150" s="2"/>
      <c r="V150" s="2"/>
      <c r="W150" s="2"/>
      <c r="X150" s="2"/>
      <c r="Y150" s="2"/>
      <c r="Z150" s="2"/>
      <c r="AA150" s="2"/>
    </row>
    <row r="151" ht="15.0" customHeight="1">
      <c r="A151" s="19"/>
      <c r="B151" s="19"/>
      <c r="C151" s="48"/>
      <c r="D151" s="39"/>
      <c r="E151" s="39"/>
      <c r="F151" s="34" t="str">
        <f t="array" ref="F151">IF(INDEX('Binder Data'!$A$2:$A$251,ROW()-1)="","",IF(INDEX('Binder Data'!$D$2:$D$251,ROW()-1)="Needed",INDEX('Binder Data'!$B$2:$B$251,ROW()-1),INDEX('Binder Data'!$D$2:$D$251,ROW()-1)))</f>
        <v/>
      </c>
      <c r="G151" s="19"/>
      <c r="H151" s="19"/>
      <c r="I151" s="19"/>
      <c r="J151" s="19"/>
      <c r="K151" s="19"/>
      <c r="L151" s="32"/>
      <c r="M151" s="32"/>
      <c r="N151" s="5"/>
      <c r="O151" s="5"/>
      <c r="P151" s="19"/>
      <c r="Q151" s="2"/>
      <c r="R151" s="2"/>
      <c r="S151" s="2"/>
      <c r="T151" s="2"/>
      <c r="U151" s="2"/>
      <c r="V151" s="2"/>
      <c r="W151" s="2"/>
      <c r="X151" s="2"/>
      <c r="Y151" s="2"/>
      <c r="Z151" s="2"/>
      <c r="AA151" s="2"/>
    </row>
    <row r="152" ht="15.0" customHeight="1">
      <c r="A152" s="19"/>
      <c r="B152" s="19"/>
      <c r="C152" s="19"/>
      <c r="D152" s="39"/>
      <c r="E152" s="39"/>
      <c r="F152" s="34" t="str">
        <f t="array" ref="F152">IF(INDEX('Binder Data'!$A$2:$A$251,ROW()-1)="","",IF(INDEX('Binder Data'!$D$2:$D$251,ROW()-1)="Needed",INDEX('Binder Data'!$B$2:$B$251,ROW()-1),INDEX('Binder Data'!$D$2:$D$251,ROW()-1)))</f>
        <v/>
      </c>
      <c r="G152" s="19"/>
      <c r="H152" s="19"/>
      <c r="I152" s="19"/>
      <c r="J152" s="19"/>
      <c r="K152" s="19"/>
      <c r="L152" s="32"/>
      <c r="M152" s="32"/>
      <c r="N152" s="19"/>
      <c r="O152" s="5"/>
      <c r="P152" s="19"/>
      <c r="Q152" s="2"/>
      <c r="R152" s="2"/>
      <c r="S152" s="2"/>
      <c r="T152" s="2"/>
      <c r="U152" s="2"/>
      <c r="V152" s="2"/>
      <c r="W152" s="2"/>
      <c r="X152" s="2"/>
      <c r="Y152" s="2"/>
      <c r="Z152" s="2"/>
      <c r="AA152" s="2"/>
    </row>
    <row r="153" ht="15.0" customHeight="1">
      <c r="A153" s="19"/>
      <c r="B153" s="19"/>
      <c r="C153" s="19"/>
      <c r="D153" s="39"/>
      <c r="E153" s="39"/>
      <c r="F153" s="34" t="str">
        <f t="array" ref="F153">IF(INDEX('Binder Data'!$A$2:$A$251,ROW()-1)="","",IF(INDEX('Binder Data'!$D$2:$D$251,ROW()-1)="Needed",INDEX('Binder Data'!$B$2:$B$251,ROW()-1),INDEX('Binder Data'!$D$2:$D$251,ROW()-1)))</f>
        <v/>
      </c>
      <c r="G153" s="19"/>
      <c r="H153" s="19"/>
      <c r="I153" s="19"/>
      <c r="J153" s="19"/>
      <c r="K153" s="19"/>
      <c r="L153" s="32"/>
      <c r="M153" s="32"/>
      <c r="N153" s="19"/>
      <c r="O153" s="5"/>
      <c r="P153" s="19"/>
      <c r="Q153" s="2"/>
      <c r="R153" s="2"/>
      <c r="S153" s="2"/>
      <c r="T153" s="2"/>
      <c r="U153" s="2"/>
      <c r="V153" s="2"/>
      <c r="W153" s="2"/>
      <c r="X153" s="2"/>
      <c r="Y153" s="2"/>
      <c r="Z153" s="2"/>
      <c r="AA153" s="2"/>
    </row>
    <row r="154" ht="15.0" customHeight="1">
      <c r="A154" s="19"/>
      <c r="B154" s="19"/>
      <c r="C154" s="19"/>
      <c r="D154" s="39"/>
      <c r="E154" s="39"/>
      <c r="F154" s="34" t="str">
        <f t="array" ref="F154">IF(INDEX('Binder Data'!$A$2:$A$251,ROW()-1)="","",IF(INDEX('Binder Data'!$D$2:$D$251,ROW()-1)="Needed",INDEX('Binder Data'!$B$2:$B$251,ROW()-1),INDEX('Binder Data'!$D$2:$D$251,ROW()-1)))</f>
        <v/>
      </c>
      <c r="G154" s="19"/>
      <c r="H154" s="19"/>
      <c r="I154" s="19"/>
      <c r="J154" s="19"/>
      <c r="K154" s="19"/>
      <c r="L154" s="32"/>
      <c r="M154" s="32"/>
      <c r="N154" s="19"/>
      <c r="O154" s="5"/>
      <c r="P154" s="19"/>
      <c r="Q154" s="2"/>
      <c r="R154" s="2"/>
      <c r="S154" s="2"/>
      <c r="T154" s="2"/>
      <c r="U154" s="2"/>
      <c r="V154" s="2"/>
      <c r="W154" s="2"/>
      <c r="X154" s="2"/>
      <c r="Y154" s="2"/>
      <c r="Z154" s="2"/>
      <c r="AA154" s="2"/>
    </row>
    <row r="155" ht="15.0" customHeight="1">
      <c r="A155" s="19"/>
      <c r="B155" s="19"/>
      <c r="C155" s="19"/>
      <c r="D155" s="39"/>
      <c r="E155" s="39"/>
      <c r="F155" s="34" t="str">
        <f t="array" ref="F155">IF(INDEX('Binder Data'!$A$2:$A$251,ROW()-1)="","",IF(INDEX('Binder Data'!$D$2:$D$251,ROW()-1)="Needed",INDEX('Binder Data'!$B$2:$B$251,ROW()-1),INDEX('Binder Data'!$D$2:$D$251,ROW()-1)))</f>
        <v/>
      </c>
      <c r="G155" s="19"/>
      <c r="H155" s="19"/>
      <c r="I155" s="19"/>
      <c r="J155" s="19"/>
      <c r="K155" s="19"/>
      <c r="L155" s="32"/>
      <c r="M155" s="32"/>
      <c r="N155" s="19"/>
      <c r="O155" s="5"/>
      <c r="P155" s="19"/>
      <c r="Q155" s="2"/>
      <c r="R155" s="2"/>
      <c r="S155" s="2"/>
      <c r="T155" s="2"/>
      <c r="U155" s="2"/>
      <c r="V155" s="2"/>
      <c r="W155" s="2"/>
      <c r="X155" s="2"/>
      <c r="Y155" s="2"/>
      <c r="Z155" s="2"/>
      <c r="AA155" s="2"/>
    </row>
    <row r="156" ht="15.0" customHeight="1">
      <c r="A156" s="19"/>
      <c r="B156" s="19"/>
      <c r="C156" s="19"/>
      <c r="D156" s="39"/>
      <c r="E156" s="39"/>
      <c r="F156" s="34" t="str">
        <f t="array" ref="F156">IF(INDEX('Binder Data'!$A$2:$A$251,ROW()-1)="","",IF(INDEX('Binder Data'!$D$2:$D$251,ROW()-1)="Needed",INDEX('Binder Data'!$B$2:$B$251,ROW()-1),INDEX('Binder Data'!$D$2:$D$251,ROW()-1)))</f>
        <v/>
      </c>
      <c r="G156" s="19"/>
      <c r="H156" s="19"/>
      <c r="I156" s="19"/>
      <c r="J156" s="19"/>
      <c r="K156" s="19"/>
      <c r="L156" s="32"/>
      <c r="M156" s="32"/>
      <c r="N156" s="19"/>
      <c r="O156" s="5"/>
      <c r="P156" s="19"/>
      <c r="Q156" s="2"/>
      <c r="R156" s="2"/>
      <c r="S156" s="2"/>
      <c r="T156" s="2"/>
      <c r="U156" s="2"/>
      <c r="V156" s="2"/>
      <c r="W156" s="2"/>
      <c r="X156" s="2"/>
      <c r="Y156" s="2"/>
      <c r="Z156" s="2"/>
      <c r="AA156" s="2"/>
    </row>
    <row r="157" ht="15.0" customHeight="1">
      <c r="A157" s="19"/>
      <c r="B157" s="19"/>
      <c r="C157" s="19"/>
      <c r="D157" s="39"/>
      <c r="E157" s="39"/>
      <c r="F157" s="34" t="str">
        <f t="array" ref="F157">IF(INDEX('Binder Data'!$A$2:$A$251,ROW()-1)="","",IF(INDEX('Binder Data'!$D$2:$D$251,ROW()-1)="Needed",INDEX('Binder Data'!$B$2:$B$251,ROW()-1),INDEX('Binder Data'!$D$2:$D$251,ROW()-1)))</f>
        <v/>
      </c>
      <c r="G157" s="19"/>
      <c r="H157" s="19"/>
      <c r="I157" s="19"/>
      <c r="J157" s="19"/>
      <c r="K157" s="19"/>
      <c r="L157" s="32"/>
      <c r="M157" s="32"/>
      <c r="N157" s="19"/>
      <c r="O157" s="5"/>
      <c r="P157" s="19"/>
      <c r="Q157" s="2"/>
      <c r="R157" s="2"/>
      <c r="S157" s="2"/>
      <c r="T157" s="2"/>
      <c r="U157" s="2"/>
      <c r="V157" s="2"/>
      <c r="W157" s="2"/>
      <c r="X157" s="2"/>
      <c r="Y157" s="2"/>
      <c r="Z157" s="2"/>
      <c r="AA157" s="2"/>
    </row>
    <row r="158" ht="15.0" customHeight="1">
      <c r="A158" s="19"/>
      <c r="B158" s="19"/>
      <c r="C158" s="19"/>
      <c r="D158" s="39"/>
      <c r="E158" s="39"/>
      <c r="F158" s="34" t="str">
        <f t="array" ref="F158">IF(INDEX('Binder Data'!$A$2:$A$251,ROW()-1)="","",IF(INDEX('Binder Data'!$D$2:$D$251,ROW()-1)="Needed",INDEX('Binder Data'!$B$2:$B$251,ROW()-1),INDEX('Binder Data'!$D$2:$D$251,ROW()-1)))</f>
        <v/>
      </c>
      <c r="G158" s="19"/>
      <c r="H158" s="19"/>
      <c r="I158" s="19"/>
      <c r="J158" s="19"/>
      <c r="K158" s="19"/>
      <c r="L158" s="32"/>
      <c r="M158" s="32"/>
      <c r="N158" s="19"/>
      <c r="O158" s="5"/>
      <c r="P158" s="19"/>
      <c r="Q158" s="2"/>
      <c r="R158" s="2"/>
      <c r="S158" s="2"/>
      <c r="T158" s="2"/>
      <c r="U158" s="2"/>
      <c r="V158" s="2"/>
      <c r="W158" s="2"/>
      <c r="X158" s="2"/>
      <c r="Y158" s="2"/>
      <c r="Z158" s="2"/>
      <c r="AA158" s="2"/>
    </row>
    <row r="159" ht="15.0" customHeight="1">
      <c r="A159" s="19"/>
      <c r="B159" s="19"/>
      <c r="C159" s="19"/>
      <c r="D159" s="39"/>
      <c r="E159" s="39"/>
      <c r="F159" s="34" t="str">
        <f t="array" ref="F159">IF(INDEX('Binder Data'!$A$2:$A$251,ROW()-1)="","",IF(INDEX('Binder Data'!$D$2:$D$251,ROW()-1)="Needed",INDEX('Binder Data'!$B$2:$B$251,ROW()-1),INDEX('Binder Data'!$D$2:$D$251,ROW()-1)))</f>
        <v/>
      </c>
      <c r="G159" s="19"/>
      <c r="H159" s="19"/>
      <c r="I159" s="19"/>
      <c r="J159" s="19"/>
      <c r="K159" s="19"/>
      <c r="L159" s="32"/>
      <c r="M159" s="32"/>
      <c r="N159" s="19"/>
      <c r="O159" s="5"/>
      <c r="P159" s="19"/>
      <c r="Q159" s="2"/>
      <c r="R159" s="2"/>
      <c r="S159" s="2"/>
      <c r="T159" s="2"/>
      <c r="U159" s="2"/>
      <c r="V159" s="2"/>
      <c r="W159" s="2"/>
      <c r="X159" s="2"/>
      <c r="Y159" s="2"/>
      <c r="Z159" s="2"/>
      <c r="AA159" s="2"/>
    </row>
    <row r="160" ht="15.0" customHeight="1">
      <c r="A160" s="19"/>
      <c r="B160" s="19"/>
      <c r="C160" s="19"/>
      <c r="D160" s="39"/>
      <c r="E160" s="39"/>
      <c r="F160" s="34" t="str">
        <f t="array" ref="F160">IF(INDEX('Binder Data'!$A$2:$A$251,ROW()-1)="","",IF(INDEX('Binder Data'!$D$2:$D$251,ROW()-1)="Needed",INDEX('Binder Data'!$B$2:$B$251,ROW()-1),INDEX('Binder Data'!$D$2:$D$251,ROW()-1)))</f>
        <v/>
      </c>
      <c r="G160" s="19"/>
      <c r="H160" s="19"/>
      <c r="I160" s="19"/>
      <c r="J160" s="19"/>
      <c r="K160" s="19"/>
      <c r="L160" s="32"/>
      <c r="M160" s="32"/>
      <c r="N160" s="19"/>
      <c r="O160" s="5"/>
      <c r="P160" s="19"/>
      <c r="Q160" s="2"/>
      <c r="R160" s="2"/>
      <c r="S160" s="2"/>
      <c r="T160" s="2"/>
      <c r="U160" s="2"/>
      <c r="V160" s="2"/>
      <c r="W160" s="2"/>
      <c r="X160" s="2"/>
      <c r="Y160" s="2"/>
      <c r="Z160" s="2"/>
      <c r="AA160" s="2"/>
    </row>
    <row r="161" ht="15.0" customHeight="1">
      <c r="A161" s="19"/>
      <c r="B161" s="19"/>
      <c r="C161" s="19"/>
      <c r="D161" s="39"/>
      <c r="E161" s="39"/>
      <c r="F161" s="34" t="str">
        <f t="array" ref="F161">IF(INDEX('Binder Data'!$A$2:$A$251,ROW()-1)="","",IF(INDEX('Binder Data'!$D$2:$D$251,ROW()-1)="Needed",INDEX('Binder Data'!$B$2:$B$251,ROW()-1),INDEX('Binder Data'!$D$2:$D$251,ROW()-1)))</f>
        <v/>
      </c>
      <c r="G161" s="19"/>
      <c r="H161" s="19"/>
      <c r="I161" s="19"/>
      <c r="J161" s="19"/>
      <c r="K161" s="19"/>
      <c r="L161" s="32"/>
      <c r="M161" s="32"/>
      <c r="N161" s="19"/>
      <c r="O161" s="5"/>
      <c r="P161" s="19"/>
      <c r="Q161" s="2"/>
      <c r="R161" s="2"/>
      <c r="S161" s="2"/>
      <c r="T161" s="2"/>
      <c r="U161" s="2"/>
      <c r="V161" s="2"/>
      <c r="W161" s="2"/>
      <c r="X161" s="2"/>
      <c r="Y161" s="2"/>
      <c r="Z161" s="2"/>
      <c r="AA161" s="2"/>
    </row>
    <row r="162" ht="15.0" customHeight="1">
      <c r="A162" s="19"/>
      <c r="B162" s="19"/>
      <c r="C162" s="19"/>
      <c r="D162" s="39"/>
      <c r="E162" s="39"/>
      <c r="F162" s="34" t="str">
        <f t="array" ref="F162">IF(INDEX('Binder Data'!$A$2:$A$251,ROW()-1)="","",IF(INDEX('Binder Data'!$D$2:$D$251,ROW()-1)="Needed",INDEX('Binder Data'!$B$2:$B$251,ROW()-1),INDEX('Binder Data'!$D$2:$D$251,ROW()-1)))</f>
        <v/>
      </c>
      <c r="G162" s="19"/>
      <c r="H162" s="19"/>
      <c r="I162" s="19"/>
      <c r="J162" s="19"/>
      <c r="K162" s="19"/>
      <c r="L162" s="32"/>
      <c r="M162" s="32"/>
      <c r="N162" s="19"/>
      <c r="O162" s="5"/>
      <c r="P162" s="19"/>
      <c r="Q162" s="2"/>
      <c r="R162" s="2"/>
      <c r="S162" s="2"/>
      <c r="T162" s="2"/>
      <c r="U162" s="2"/>
      <c r="V162" s="2"/>
      <c r="W162" s="2"/>
      <c r="X162" s="2"/>
      <c r="Y162" s="2"/>
      <c r="Z162" s="2"/>
      <c r="AA162" s="2"/>
    </row>
    <row r="163" ht="15.0" customHeight="1">
      <c r="A163" s="19"/>
      <c r="B163" s="19"/>
      <c r="C163" s="19"/>
      <c r="D163" s="39"/>
      <c r="E163" s="39"/>
      <c r="F163" s="34" t="str">
        <f t="array" ref="F163">IF(INDEX('Binder Data'!$A$2:$A$251,ROW()-1)="","",IF(INDEX('Binder Data'!$D$2:$D$251,ROW()-1)="Needed",INDEX('Binder Data'!$B$2:$B$251,ROW()-1),INDEX('Binder Data'!$D$2:$D$251,ROW()-1)))</f>
        <v/>
      </c>
      <c r="G163" s="19"/>
      <c r="H163" s="19"/>
      <c r="I163" s="19"/>
      <c r="J163" s="19"/>
      <c r="K163" s="19"/>
      <c r="L163" s="32"/>
      <c r="M163" s="32"/>
      <c r="N163" s="19"/>
      <c r="O163" s="5"/>
      <c r="P163" s="19"/>
      <c r="Q163" s="2"/>
      <c r="R163" s="2"/>
      <c r="S163" s="2"/>
      <c r="T163" s="2"/>
      <c r="U163" s="2"/>
      <c r="V163" s="2"/>
      <c r="W163" s="2"/>
      <c r="X163" s="2"/>
      <c r="Y163" s="2"/>
      <c r="Z163" s="2"/>
      <c r="AA163" s="2"/>
    </row>
    <row r="164" ht="15.0" customHeight="1">
      <c r="A164" s="19"/>
      <c r="B164" s="19"/>
      <c r="C164" s="19"/>
      <c r="D164" s="39"/>
      <c r="E164" s="39"/>
      <c r="F164" s="34" t="str">
        <f t="array" ref="F164">IF(INDEX('Binder Data'!$A$2:$A$251,ROW()-1)="","",IF(INDEX('Binder Data'!$D$2:$D$251,ROW()-1)="Needed",INDEX('Binder Data'!$B$2:$B$251,ROW()-1),INDEX('Binder Data'!$D$2:$D$251,ROW()-1)))</f>
        <v/>
      </c>
      <c r="G164" s="19"/>
      <c r="H164" s="19"/>
      <c r="I164" s="19"/>
      <c r="J164" s="19"/>
      <c r="K164" s="19"/>
      <c r="L164" s="32"/>
      <c r="M164" s="32"/>
      <c r="N164" s="19"/>
      <c r="O164" s="5"/>
      <c r="P164" s="19"/>
      <c r="Q164" s="2"/>
      <c r="R164" s="2"/>
      <c r="S164" s="2"/>
      <c r="T164" s="2"/>
      <c r="U164" s="2"/>
      <c r="V164" s="2"/>
      <c r="W164" s="2"/>
      <c r="X164" s="2"/>
      <c r="Y164" s="2"/>
      <c r="Z164" s="2"/>
      <c r="AA164" s="2"/>
    </row>
    <row r="165" ht="15.0" customHeight="1">
      <c r="A165" s="19"/>
      <c r="B165" s="19"/>
      <c r="C165" s="19"/>
      <c r="D165" s="39"/>
      <c r="E165" s="39"/>
      <c r="F165" s="34" t="str">
        <f t="array" ref="F165">IF(INDEX('Binder Data'!$A$2:$A$251,ROW()-1)="","",IF(INDEX('Binder Data'!$D$2:$D$251,ROW()-1)="Needed",INDEX('Binder Data'!$B$2:$B$251,ROW()-1),INDEX('Binder Data'!$D$2:$D$251,ROW()-1)))</f>
        <v/>
      </c>
      <c r="G165" s="19"/>
      <c r="H165" s="19"/>
      <c r="I165" s="19"/>
      <c r="J165" s="19"/>
      <c r="K165" s="19"/>
      <c r="L165" s="32"/>
      <c r="M165" s="32"/>
      <c r="N165" s="19"/>
      <c r="O165" s="5"/>
      <c r="P165" s="19"/>
      <c r="Q165" s="2"/>
      <c r="R165" s="2"/>
      <c r="S165" s="2"/>
      <c r="T165" s="2"/>
      <c r="U165" s="2"/>
      <c r="V165" s="2"/>
      <c r="W165" s="2"/>
      <c r="X165" s="2"/>
      <c r="Y165" s="2"/>
      <c r="Z165" s="2"/>
      <c r="AA165" s="2"/>
    </row>
    <row r="166" ht="15.0" customHeight="1">
      <c r="A166" s="19"/>
      <c r="B166" s="19"/>
      <c r="C166" s="19"/>
      <c r="D166" s="39"/>
      <c r="E166" s="39"/>
      <c r="F166" s="34" t="str">
        <f t="array" ref="F166">IF(INDEX('Binder Data'!$A$2:$A$251,ROW()-1)="","",IF(INDEX('Binder Data'!$D$2:$D$251,ROW()-1)="Needed",INDEX('Binder Data'!$B$2:$B$251,ROW()-1),INDEX('Binder Data'!$D$2:$D$251,ROW()-1)))</f>
        <v/>
      </c>
      <c r="G166" s="19"/>
      <c r="H166" s="19"/>
      <c r="I166" s="19"/>
      <c r="J166" s="19"/>
      <c r="K166" s="19"/>
      <c r="L166" s="32"/>
      <c r="M166" s="32"/>
      <c r="N166" s="19"/>
      <c r="O166" s="5"/>
      <c r="P166" s="19"/>
      <c r="Q166" s="2"/>
      <c r="R166" s="2"/>
      <c r="S166" s="2"/>
      <c r="T166" s="2"/>
      <c r="U166" s="2"/>
      <c r="V166" s="2"/>
      <c r="W166" s="2"/>
      <c r="X166" s="2"/>
      <c r="Y166" s="2"/>
      <c r="Z166" s="2"/>
      <c r="AA166" s="2"/>
    </row>
    <row r="167" ht="15.0" customHeight="1">
      <c r="A167" s="19"/>
      <c r="B167" s="19"/>
      <c r="C167" s="19"/>
      <c r="D167" s="39"/>
      <c r="E167" s="39"/>
      <c r="F167" s="34" t="str">
        <f t="array" ref="F167">IF(INDEX('Binder Data'!$A$2:$A$251,ROW()-1)="","",IF(INDEX('Binder Data'!$D$2:$D$251,ROW()-1)="Needed",INDEX('Binder Data'!$B$2:$B$251,ROW()-1),INDEX('Binder Data'!$D$2:$D$251,ROW()-1)))</f>
        <v/>
      </c>
      <c r="G167" s="19"/>
      <c r="H167" s="19"/>
      <c r="I167" s="19"/>
      <c r="J167" s="19"/>
      <c r="K167" s="19"/>
      <c r="L167" s="32"/>
      <c r="M167" s="32"/>
      <c r="N167" s="19"/>
      <c r="O167" s="5"/>
      <c r="P167" s="19"/>
      <c r="Q167" s="2"/>
      <c r="R167" s="2"/>
      <c r="S167" s="2"/>
      <c r="T167" s="2"/>
      <c r="U167" s="2"/>
      <c r="V167" s="2"/>
      <c r="W167" s="2"/>
      <c r="X167" s="2"/>
      <c r="Y167" s="2"/>
      <c r="Z167" s="2"/>
      <c r="AA167" s="2"/>
    </row>
    <row r="168" ht="15.0" customHeight="1">
      <c r="A168" s="19"/>
      <c r="B168" s="19"/>
      <c r="C168" s="19"/>
      <c r="D168" s="39"/>
      <c r="E168" s="39"/>
      <c r="F168" s="34" t="str">
        <f t="array" ref="F168">IF(INDEX('Binder Data'!$A$2:$A$251,ROW()-1)="","",IF(INDEX('Binder Data'!$D$2:$D$251,ROW()-1)="Needed",INDEX('Binder Data'!$B$2:$B$251,ROW()-1),INDEX('Binder Data'!$D$2:$D$251,ROW()-1)))</f>
        <v/>
      </c>
      <c r="G168" s="19"/>
      <c r="H168" s="19"/>
      <c r="I168" s="19"/>
      <c r="J168" s="19"/>
      <c r="K168" s="19"/>
      <c r="L168" s="32"/>
      <c r="M168" s="32"/>
      <c r="N168" s="19"/>
      <c r="O168" s="5"/>
      <c r="P168" s="19"/>
      <c r="Q168" s="2"/>
      <c r="R168" s="2"/>
      <c r="S168" s="2"/>
      <c r="T168" s="2"/>
      <c r="U168" s="2"/>
      <c r="V168" s="2"/>
      <c r="W168" s="2"/>
      <c r="X168" s="2"/>
      <c r="Y168" s="2"/>
      <c r="Z168" s="2"/>
      <c r="AA168" s="2"/>
    </row>
    <row r="169" ht="15.0" customHeight="1">
      <c r="A169" s="19"/>
      <c r="B169" s="19"/>
      <c r="C169" s="19"/>
      <c r="D169" s="39"/>
      <c r="E169" s="39"/>
      <c r="F169" s="34" t="str">
        <f t="array" ref="F169">IF(INDEX('Binder Data'!$A$2:$A$251,ROW()-1)="","",IF(INDEX('Binder Data'!$D$2:$D$251,ROW()-1)="Needed",INDEX('Binder Data'!$B$2:$B$251,ROW()-1),INDEX('Binder Data'!$D$2:$D$251,ROW()-1)))</f>
        <v/>
      </c>
      <c r="G169" s="19"/>
      <c r="H169" s="19"/>
      <c r="I169" s="19"/>
      <c r="J169" s="19"/>
      <c r="K169" s="19"/>
      <c r="L169" s="32"/>
      <c r="M169" s="32"/>
      <c r="N169" s="19"/>
      <c r="O169" s="5"/>
      <c r="P169" s="19"/>
      <c r="Q169" s="2"/>
      <c r="R169" s="2"/>
      <c r="S169" s="2"/>
      <c r="T169" s="2"/>
      <c r="U169" s="2"/>
      <c r="V169" s="2"/>
      <c r="W169" s="2"/>
      <c r="X169" s="2"/>
      <c r="Y169" s="2"/>
      <c r="Z169" s="2"/>
      <c r="AA169" s="2"/>
    </row>
    <row r="170" ht="15.0" customHeight="1">
      <c r="A170" s="19"/>
      <c r="B170" s="19"/>
      <c r="C170" s="19"/>
      <c r="D170" s="39"/>
      <c r="E170" s="39"/>
      <c r="F170" s="34" t="str">
        <f t="array" ref="F170">IF(INDEX('Binder Data'!$A$2:$A$251,ROW()-1)="","",IF(INDEX('Binder Data'!$D$2:$D$251,ROW()-1)="Needed",INDEX('Binder Data'!$B$2:$B$251,ROW()-1),INDEX('Binder Data'!$D$2:$D$251,ROW()-1)))</f>
        <v/>
      </c>
      <c r="G170" s="19"/>
      <c r="H170" s="19"/>
      <c r="I170" s="19"/>
      <c r="J170" s="19"/>
      <c r="K170" s="19"/>
      <c r="L170" s="32"/>
      <c r="M170" s="32"/>
      <c r="N170" s="19"/>
      <c r="O170" s="5"/>
      <c r="P170" s="19"/>
      <c r="Q170" s="2"/>
      <c r="R170" s="2"/>
      <c r="S170" s="2"/>
      <c r="T170" s="2"/>
      <c r="U170" s="2"/>
      <c r="V170" s="2"/>
      <c r="W170" s="2"/>
      <c r="X170" s="2"/>
      <c r="Y170" s="2"/>
      <c r="Z170" s="2"/>
      <c r="AA170" s="2"/>
    </row>
    <row r="171" ht="15.0" customHeight="1">
      <c r="A171" s="19"/>
      <c r="B171" s="19"/>
      <c r="C171" s="19"/>
      <c r="D171" s="39"/>
      <c r="E171" s="39"/>
      <c r="F171" s="34" t="str">
        <f t="array" ref="F171">IF(INDEX('Binder Data'!$A$2:$A$251,ROW()-1)="","",IF(INDEX('Binder Data'!$D$2:$D$251,ROW()-1)="Needed",INDEX('Binder Data'!$B$2:$B$251,ROW()-1),INDEX('Binder Data'!$D$2:$D$251,ROW()-1)))</f>
        <v/>
      </c>
      <c r="G171" s="19"/>
      <c r="H171" s="19"/>
      <c r="I171" s="19"/>
      <c r="J171" s="19"/>
      <c r="K171" s="19"/>
      <c r="L171" s="32"/>
      <c r="M171" s="32"/>
      <c r="N171" s="19"/>
      <c r="O171" s="5"/>
      <c r="P171" s="19"/>
      <c r="Q171" s="2"/>
      <c r="R171" s="2"/>
      <c r="S171" s="2"/>
      <c r="T171" s="2"/>
      <c r="U171" s="2"/>
      <c r="V171" s="2"/>
      <c r="W171" s="2"/>
      <c r="X171" s="2"/>
      <c r="Y171" s="2"/>
      <c r="Z171" s="2"/>
      <c r="AA171" s="2"/>
    </row>
    <row r="172" ht="15.0" customHeight="1">
      <c r="A172" s="19"/>
      <c r="B172" s="19"/>
      <c r="C172" s="19"/>
      <c r="D172" s="39"/>
      <c r="E172" s="39"/>
      <c r="F172" s="34" t="str">
        <f t="array" ref="F172">IF(INDEX('Binder Data'!$A$2:$A$251,ROW()-1)="","",IF(INDEX('Binder Data'!$D$2:$D$251,ROW()-1)="Needed",INDEX('Binder Data'!$B$2:$B$251,ROW()-1),INDEX('Binder Data'!$D$2:$D$251,ROW()-1)))</f>
        <v/>
      </c>
      <c r="G172" s="19"/>
      <c r="H172" s="19"/>
      <c r="I172" s="19"/>
      <c r="J172" s="19"/>
      <c r="K172" s="19"/>
      <c r="L172" s="32"/>
      <c r="M172" s="32"/>
      <c r="N172" s="19"/>
      <c r="O172" s="5"/>
      <c r="P172" s="19"/>
      <c r="Q172" s="2"/>
      <c r="R172" s="2"/>
      <c r="S172" s="2"/>
      <c r="T172" s="2"/>
      <c r="U172" s="2"/>
      <c r="V172" s="2"/>
      <c r="W172" s="2"/>
      <c r="X172" s="2"/>
      <c r="Y172" s="2"/>
      <c r="Z172" s="2"/>
      <c r="AA172" s="2"/>
    </row>
    <row r="173" ht="15.0" customHeight="1">
      <c r="A173" s="19"/>
      <c r="B173" s="19"/>
      <c r="C173" s="19"/>
      <c r="D173" s="39"/>
      <c r="E173" s="39"/>
      <c r="F173" s="34" t="str">
        <f t="array" ref="F173">IF(INDEX('Binder Data'!$A$2:$A$251,ROW()-1)="","",IF(INDEX('Binder Data'!$D$2:$D$251,ROW()-1)="Needed",INDEX('Binder Data'!$B$2:$B$251,ROW()-1),INDEX('Binder Data'!$D$2:$D$251,ROW()-1)))</f>
        <v/>
      </c>
      <c r="G173" s="19"/>
      <c r="H173" s="19"/>
      <c r="I173" s="19"/>
      <c r="J173" s="19"/>
      <c r="K173" s="19"/>
      <c r="L173" s="32"/>
      <c r="M173" s="32"/>
      <c r="N173" s="19"/>
      <c r="O173" s="5"/>
      <c r="P173" s="19"/>
      <c r="Q173" s="2"/>
      <c r="R173" s="2"/>
      <c r="S173" s="2"/>
      <c r="T173" s="2"/>
      <c r="U173" s="2"/>
      <c r="V173" s="2"/>
      <c r="W173" s="2"/>
      <c r="X173" s="2"/>
      <c r="Y173" s="2"/>
      <c r="Z173" s="2"/>
      <c r="AA173" s="2"/>
    </row>
    <row r="174" ht="15.0" customHeight="1">
      <c r="A174" s="19"/>
      <c r="B174" s="19"/>
      <c r="C174" s="19"/>
      <c r="D174" s="39"/>
      <c r="E174" s="39"/>
      <c r="F174" s="34" t="str">
        <f t="array" ref="F174">IF(INDEX('Binder Data'!$A$2:$A$251,ROW()-1)="","",IF(INDEX('Binder Data'!$D$2:$D$251,ROW()-1)="Needed",INDEX('Binder Data'!$B$2:$B$251,ROW()-1),INDEX('Binder Data'!$D$2:$D$251,ROW()-1)))</f>
        <v/>
      </c>
      <c r="G174" s="19"/>
      <c r="H174" s="19"/>
      <c r="I174" s="19"/>
      <c r="J174" s="19"/>
      <c r="K174" s="19"/>
      <c r="L174" s="32"/>
      <c r="M174" s="32"/>
      <c r="N174" s="19"/>
      <c r="O174" s="5"/>
      <c r="P174" s="19"/>
      <c r="Q174" s="2"/>
      <c r="R174" s="2"/>
      <c r="S174" s="2"/>
      <c r="T174" s="2"/>
      <c r="U174" s="2"/>
      <c r="V174" s="2"/>
      <c r="W174" s="2"/>
      <c r="X174" s="2"/>
      <c r="Y174" s="2"/>
      <c r="Z174" s="2"/>
      <c r="AA174" s="2"/>
    </row>
    <row r="175" ht="15.0" customHeight="1">
      <c r="A175" s="19"/>
      <c r="B175" s="19"/>
      <c r="C175" s="19"/>
      <c r="D175" s="39"/>
      <c r="E175" s="39"/>
      <c r="F175" s="34" t="str">
        <f t="array" ref="F175">IF(INDEX('Binder Data'!$A$2:$A$251,ROW()-1)="","",IF(INDEX('Binder Data'!$D$2:$D$251,ROW()-1)="Needed",INDEX('Binder Data'!$B$2:$B$251,ROW()-1),INDEX('Binder Data'!$D$2:$D$251,ROW()-1)))</f>
        <v/>
      </c>
      <c r="G175" s="19"/>
      <c r="H175" s="19"/>
      <c r="I175" s="19"/>
      <c r="J175" s="19"/>
      <c r="K175" s="19"/>
      <c r="L175" s="32"/>
      <c r="M175" s="32"/>
      <c r="N175" s="19"/>
      <c r="O175" s="5"/>
      <c r="P175" s="19"/>
      <c r="Q175" s="2"/>
      <c r="R175" s="2"/>
      <c r="S175" s="2"/>
      <c r="T175" s="2"/>
      <c r="U175" s="2"/>
      <c r="V175" s="2"/>
      <c r="W175" s="2"/>
      <c r="X175" s="2"/>
      <c r="Y175" s="2"/>
      <c r="Z175" s="2"/>
      <c r="AA175" s="2"/>
    </row>
    <row r="176" ht="15.0" customHeight="1">
      <c r="A176" s="19"/>
      <c r="B176" s="19"/>
      <c r="C176" s="19"/>
      <c r="D176" s="39"/>
      <c r="E176" s="39"/>
      <c r="F176" s="34" t="str">
        <f t="array" ref="F176">IF(INDEX('Binder Data'!$A$2:$A$251,ROW()-1)="","",IF(INDEX('Binder Data'!$D$2:$D$251,ROW()-1)="Needed",INDEX('Binder Data'!$B$2:$B$251,ROW()-1),INDEX('Binder Data'!$D$2:$D$251,ROW()-1)))</f>
        <v/>
      </c>
      <c r="G176" s="19"/>
      <c r="H176" s="19"/>
      <c r="I176" s="19"/>
      <c r="J176" s="19"/>
      <c r="K176" s="19"/>
      <c r="L176" s="32"/>
      <c r="M176" s="32"/>
      <c r="N176" s="19"/>
      <c r="O176" s="5"/>
      <c r="P176" s="19"/>
      <c r="Q176" s="2"/>
      <c r="R176" s="2"/>
      <c r="S176" s="2"/>
      <c r="T176" s="2"/>
      <c r="U176" s="2"/>
      <c r="V176" s="2"/>
      <c r="W176" s="2"/>
      <c r="X176" s="2"/>
      <c r="Y176" s="2"/>
      <c r="Z176" s="2"/>
      <c r="AA176" s="2"/>
    </row>
    <row r="177" ht="15.0" customHeight="1">
      <c r="A177" s="19"/>
      <c r="B177" s="19"/>
      <c r="C177" s="19"/>
      <c r="D177" s="39"/>
      <c r="E177" s="39"/>
      <c r="F177" s="34" t="str">
        <f t="array" ref="F177">IF(INDEX('Binder Data'!$A$2:$A$251,ROW()-1)="","",IF(INDEX('Binder Data'!$D$2:$D$251,ROW()-1)="Needed",INDEX('Binder Data'!$B$2:$B$251,ROW()-1),INDEX('Binder Data'!$D$2:$D$251,ROW()-1)))</f>
        <v/>
      </c>
      <c r="G177" s="19"/>
      <c r="H177" s="19"/>
      <c r="I177" s="19"/>
      <c r="J177" s="19"/>
      <c r="K177" s="19"/>
      <c r="L177" s="32"/>
      <c r="M177" s="32"/>
      <c r="N177" s="19"/>
      <c r="O177" s="5"/>
      <c r="P177" s="19"/>
      <c r="Q177" s="2"/>
      <c r="R177" s="2"/>
      <c r="S177" s="2"/>
      <c r="T177" s="2"/>
      <c r="U177" s="2"/>
      <c r="V177" s="2"/>
      <c r="W177" s="2"/>
      <c r="X177" s="2"/>
      <c r="Y177" s="2"/>
      <c r="Z177" s="2"/>
      <c r="AA177" s="2"/>
    </row>
    <row r="178" ht="15.0" customHeight="1">
      <c r="A178" s="19"/>
      <c r="B178" s="19"/>
      <c r="C178" s="19"/>
      <c r="D178" s="39"/>
      <c r="E178" s="39"/>
      <c r="F178" s="34" t="str">
        <f t="array" ref="F178">IF(INDEX('Binder Data'!$A$2:$A$251,ROW()-1)="","",IF(INDEX('Binder Data'!$D$2:$D$251,ROW()-1)="Needed",INDEX('Binder Data'!$B$2:$B$251,ROW()-1),INDEX('Binder Data'!$D$2:$D$251,ROW()-1)))</f>
        <v/>
      </c>
      <c r="G178" s="19"/>
      <c r="H178" s="19"/>
      <c r="I178" s="19"/>
      <c r="J178" s="19"/>
      <c r="K178" s="19"/>
      <c r="L178" s="32"/>
      <c r="M178" s="32"/>
      <c r="N178" s="19"/>
      <c r="O178" s="5"/>
      <c r="P178" s="19"/>
      <c r="Q178" s="2"/>
      <c r="R178" s="2"/>
      <c r="S178" s="2"/>
      <c r="T178" s="2"/>
      <c r="U178" s="2"/>
      <c r="V178" s="2"/>
      <c r="W178" s="2"/>
      <c r="X178" s="2"/>
      <c r="Y178" s="2"/>
      <c r="Z178" s="2"/>
      <c r="AA178" s="2"/>
    </row>
    <row r="179" ht="15.0" customHeight="1">
      <c r="A179" s="19"/>
      <c r="B179" s="19"/>
      <c r="C179" s="19"/>
      <c r="D179" s="39"/>
      <c r="E179" s="39"/>
      <c r="F179" s="34" t="str">
        <f t="array" ref="F179">IF(INDEX('Binder Data'!$A$2:$A$251,ROW()-1)="","",IF(INDEX('Binder Data'!$D$2:$D$251,ROW()-1)="Needed",INDEX('Binder Data'!$B$2:$B$251,ROW()-1),INDEX('Binder Data'!$D$2:$D$251,ROW()-1)))</f>
        <v/>
      </c>
      <c r="G179" s="19"/>
      <c r="H179" s="19"/>
      <c r="I179" s="19"/>
      <c r="J179" s="19"/>
      <c r="K179" s="19"/>
      <c r="L179" s="32"/>
      <c r="M179" s="32"/>
      <c r="N179" s="19"/>
      <c r="O179" s="5"/>
      <c r="P179" s="19"/>
      <c r="Q179" s="2"/>
      <c r="R179" s="2"/>
      <c r="S179" s="2"/>
      <c r="T179" s="2"/>
      <c r="U179" s="2"/>
      <c r="V179" s="2"/>
      <c r="W179" s="2"/>
      <c r="X179" s="2"/>
      <c r="Y179" s="2"/>
      <c r="Z179" s="2"/>
      <c r="AA179" s="2"/>
    </row>
    <row r="180" ht="15.0" customHeight="1">
      <c r="A180" s="19"/>
      <c r="B180" s="19"/>
      <c r="C180" s="19"/>
      <c r="D180" s="39"/>
      <c r="E180" s="39"/>
      <c r="F180" s="34" t="str">
        <f t="array" ref="F180">IF(INDEX('Binder Data'!$A$2:$A$251,ROW()-1)="","",IF(INDEX('Binder Data'!$D$2:$D$251,ROW()-1)="Needed",INDEX('Binder Data'!$B$2:$B$251,ROW()-1),INDEX('Binder Data'!$D$2:$D$251,ROW()-1)))</f>
        <v/>
      </c>
      <c r="G180" s="19"/>
      <c r="H180" s="19"/>
      <c r="I180" s="19"/>
      <c r="J180" s="19"/>
      <c r="K180" s="19"/>
      <c r="L180" s="32"/>
      <c r="M180" s="32"/>
      <c r="N180" s="19"/>
      <c r="O180" s="5"/>
      <c r="P180" s="19"/>
      <c r="Q180" s="2"/>
      <c r="R180" s="2"/>
      <c r="S180" s="2"/>
      <c r="T180" s="2"/>
      <c r="U180" s="2"/>
      <c r="V180" s="2"/>
      <c r="W180" s="2"/>
      <c r="X180" s="2"/>
      <c r="Y180" s="2"/>
      <c r="Z180" s="2"/>
      <c r="AA180" s="2"/>
    </row>
    <row r="181" ht="15.0" customHeight="1">
      <c r="A181" s="19"/>
      <c r="B181" s="19"/>
      <c r="C181" s="19"/>
      <c r="D181" s="39"/>
      <c r="E181" s="39"/>
      <c r="F181" s="34" t="str">
        <f t="array" ref="F181">IF(INDEX('Binder Data'!$A$2:$A$251,ROW()-1)="","",IF(INDEX('Binder Data'!$D$2:$D$251,ROW()-1)="Needed",INDEX('Binder Data'!$B$2:$B$251,ROW()-1),INDEX('Binder Data'!$D$2:$D$251,ROW()-1)))</f>
        <v/>
      </c>
      <c r="G181" s="19"/>
      <c r="H181" s="19"/>
      <c r="I181" s="19"/>
      <c r="J181" s="19"/>
      <c r="K181" s="19"/>
      <c r="L181" s="32"/>
      <c r="M181" s="32"/>
      <c r="N181" s="19"/>
      <c r="O181" s="5"/>
      <c r="P181" s="19"/>
      <c r="Q181" s="2"/>
      <c r="R181" s="2"/>
      <c r="S181" s="2"/>
      <c r="T181" s="2"/>
      <c r="U181" s="2"/>
      <c r="V181" s="2"/>
      <c r="W181" s="2"/>
      <c r="X181" s="2"/>
      <c r="Y181" s="2"/>
      <c r="Z181" s="2"/>
      <c r="AA181" s="2"/>
    </row>
    <row r="182" ht="15.0" customHeight="1">
      <c r="A182" s="19"/>
      <c r="B182" s="19"/>
      <c r="C182" s="19"/>
      <c r="D182" s="39"/>
      <c r="E182" s="39"/>
      <c r="F182" s="34" t="str">
        <f t="array" ref="F182">IF(INDEX('Binder Data'!$A$2:$A$251,ROW()-1)="","",IF(INDEX('Binder Data'!$D$2:$D$251,ROW()-1)="Needed",INDEX('Binder Data'!$B$2:$B$251,ROW()-1),INDEX('Binder Data'!$D$2:$D$251,ROW()-1)))</f>
        <v/>
      </c>
      <c r="G182" s="19"/>
      <c r="H182" s="19"/>
      <c r="I182" s="19"/>
      <c r="J182" s="19"/>
      <c r="K182" s="19"/>
      <c r="L182" s="32"/>
      <c r="M182" s="32"/>
      <c r="N182" s="19"/>
      <c r="O182" s="5"/>
      <c r="P182" s="19"/>
      <c r="Q182" s="2"/>
      <c r="R182" s="2"/>
      <c r="S182" s="2"/>
      <c r="T182" s="2"/>
      <c r="U182" s="2"/>
      <c r="V182" s="2"/>
      <c r="W182" s="2"/>
      <c r="X182" s="2"/>
      <c r="Y182" s="2"/>
      <c r="Z182" s="2"/>
      <c r="AA182" s="2"/>
    </row>
    <row r="183" ht="15.0" customHeight="1">
      <c r="A183" s="19"/>
      <c r="B183" s="19"/>
      <c r="C183" s="19"/>
      <c r="D183" s="39"/>
      <c r="E183" s="39"/>
      <c r="F183" s="34" t="str">
        <f t="array" ref="F183">IF(INDEX('Binder Data'!$A$2:$A$251,ROW()-1)="","",IF(INDEX('Binder Data'!$D$2:$D$251,ROW()-1)="Needed",INDEX('Binder Data'!$B$2:$B$251,ROW()-1),INDEX('Binder Data'!$D$2:$D$251,ROW()-1)))</f>
        <v/>
      </c>
      <c r="G183" s="19"/>
      <c r="H183" s="19"/>
      <c r="I183" s="19"/>
      <c r="J183" s="19"/>
      <c r="K183" s="19"/>
      <c r="L183" s="32"/>
      <c r="M183" s="32"/>
      <c r="N183" s="19"/>
      <c r="O183" s="5"/>
      <c r="P183" s="19"/>
      <c r="Q183" s="2"/>
      <c r="R183" s="2"/>
      <c r="S183" s="2"/>
      <c r="T183" s="2"/>
      <c r="U183" s="2"/>
      <c r="V183" s="2"/>
      <c r="W183" s="2"/>
      <c r="X183" s="2"/>
      <c r="Y183" s="2"/>
      <c r="Z183" s="2"/>
      <c r="AA183" s="2"/>
    </row>
    <row r="184" ht="15.0" customHeight="1">
      <c r="A184" s="19"/>
      <c r="B184" s="19"/>
      <c r="C184" s="19"/>
      <c r="D184" s="39"/>
      <c r="E184" s="39"/>
      <c r="F184" s="34" t="str">
        <f t="array" ref="F184">IF(INDEX('Binder Data'!$A$2:$A$251,ROW()-1)="","",IF(INDEX('Binder Data'!$D$2:$D$251,ROW()-1)="Needed",INDEX('Binder Data'!$B$2:$B$251,ROW()-1),INDEX('Binder Data'!$D$2:$D$251,ROW()-1)))</f>
        <v/>
      </c>
      <c r="G184" s="19"/>
      <c r="H184" s="19"/>
      <c r="I184" s="19"/>
      <c r="J184" s="19"/>
      <c r="K184" s="19"/>
      <c r="L184" s="32"/>
      <c r="M184" s="32"/>
      <c r="N184" s="19"/>
      <c r="O184" s="5"/>
      <c r="P184" s="19"/>
      <c r="Q184" s="2"/>
      <c r="R184" s="2"/>
      <c r="S184" s="2"/>
      <c r="T184" s="2"/>
      <c r="U184" s="2"/>
      <c r="V184" s="2"/>
      <c r="W184" s="2"/>
      <c r="X184" s="2"/>
      <c r="Y184" s="2"/>
      <c r="Z184" s="2"/>
      <c r="AA184" s="2"/>
    </row>
    <row r="185" ht="15.0" customHeight="1">
      <c r="A185" s="19"/>
      <c r="B185" s="19"/>
      <c r="C185" s="19"/>
      <c r="D185" s="39"/>
      <c r="E185" s="39"/>
      <c r="F185" s="34" t="str">
        <f t="array" ref="F185">IF(INDEX('Binder Data'!$A$2:$A$251,ROW()-1)="","",IF(INDEX('Binder Data'!$D$2:$D$251,ROW()-1)="Needed",INDEX('Binder Data'!$B$2:$B$251,ROW()-1),INDEX('Binder Data'!$D$2:$D$251,ROW()-1)))</f>
        <v/>
      </c>
      <c r="G185" s="19"/>
      <c r="H185" s="19"/>
      <c r="I185" s="19"/>
      <c r="J185" s="19"/>
      <c r="K185" s="19"/>
      <c r="L185" s="32"/>
      <c r="M185" s="32"/>
      <c r="N185" s="19"/>
      <c r="O185" s="5"/>
      <c r="P185" s="19"/>
      <c r="Q185" s="2"/>
      <c r="R185" s="2"/>
      <c r="S185" s="2"/>
      <c r="T185" s="2"/>
      <c r="U185" s="2"/>
      <c r="V185" s="2"/>
      <c r="W185" s="2"/>
      <c r="X185" s="2"/>
      <c r="Y185" s="2"/>
      <c r="Z185" s="2"/>
      <c r="AA185" s="2"/>
    </row>
    <row r="186" ht="15.0" customHeight="1">
      <c r="A186" s="19"/>
      <c r="B186" s="19"/>
      <c r="C186" s="19"/>
      <c r="D186" s="5"/>
      <c r="E186" s="5"/>
      <c r="F186" s="34" t="str">
        <f t="array" ref="F186">IF(INDEX('Binder Data'!$A$2:$A$251,ROW()-1)="","",IF(INDEX('Binder Data'!$D$2:$D$251,ROW()-1)="Needed",INDEX('Binder Data'!$B$2:$B$251,ROW()-1),INDEX('Binder Data'!$D$2:$D$251,ROW()-1)))</f>
        <v/>
      </c>
      <c r="G186" s="19"/>
      <c r="H186" s="19"/>
      <c r="I186" s="19"/>
      <c r="J186" s="19"/>
      <c r="K186" s="19"/>
      <c r="L186" s="32"/>
      <c r="M186" s="32"/>
      <c r="N186" s="19"/>
      <c r="O186" s="5"/>
      <c r="P186" s="19"/>
      <c r="Q186" s="2"/>
      <c r="R186" s="2"/>
      <c r="S186" s="2"/>
      <c r="T186" s="2"/>
      <c r="U186" s="2"/>
      <c r="V186" s="2"/>
      <c r="W186" s="2"/>
      <c r="X186" s="2"/>
      <c r="Y186" s="2"/>
      <c r="Z186" s="2"/>
      <c r="AA186" s="2"/>
    </row>
    <row r="187" ht="15.0" customHeight="1">
      <c r="A187" s="19"/>
      <c r="B187" s="19"/>
      <c r="C187" s="19"/>
      <c r="D187" s="5"/>
      <c r="E187" s="5"/>
      <c r="F187" s="34" t="str">
        <f t="array" ref="F187">IF(INDEX('Binder Data'!$A$2:$A$251,ROW()-1)="","",IF(INDEX('Binder Data'!$D$2:$D$251,ROW()-1)="Needed",INDEX('Binder Data'!$B$2:$B$251,ROW()-1),INDEX('Binder Data'!$D$2:$D$251,ROW()-1)))</f>
        <v/>
      </c>
      <c r="G187" s="19"/>
      <c r="H187" s="19"/>
      <c r="I187" s="19"/>
      <c r="J187" s="19"/>
      <c r="K187" s="19"/>
      <c r="L187" s="32"/>
      <c r="M187" s="32"/>
      <c r="N187" s="19"/>
      <c r="O187" s="5"/>
      <c r="P187" s="19"/>
      <c r="Q187" s="2"/>
      <c r="R187" s="2"/>
      <c r="S187" s="2"/>
      <c r="T187" s="2"/>
      <c r="U187" s="2"/>
      <c r="V187" s="2"/>
      <c r="W187" s="2"/>
      <c r="X187" s="2"/>
      <c r="Y187" s="2"/>
      <c r="Z187" s="2"/>
      <c r="AA187" s="2"/>
    </row>
    <row r="188" ht="15.0" customHeight="1">
      <c r="A188" s="19"/>
      <c r="B188" s="19"/>
      <c r="C188" s="19"/>
      <c r="D188" s="39"/>
      <c r="E188" s="39"/>
      <c r="F188" s="34" t="str">
        <f t="array" ref="F188">IF(INDEX('Binder Data'!$A$2:$A$251,ROW()-1)="","",IF(INDEX('Binder Data'!$D$2:$D$251,ROW()-1)="Needed",INDEX('Binder Data'!$B$2:$B$251,ROW()-1),INDEX('Binder Data'!$D$2:$D$251,ROW()-1)))</f>
        <v/>
      </c>
      <c r="G188" s="19"/>
      <c r="H188" s="19"/>
      <c r="I188" s="19"/>
      <c r="J188" s="19"/>
      <c r="K188" s="19"/>
      <c r="L188" s="32"/>
      <c r="M188" s="32"/>
      <c r="N188" s="19"/>
      <c r="O188" s="5"/>
      <c r="P188" s="19"/>
      <c r="Q188" s="2"/>
      <c r="R188" s="2"/>
      <c r="S188" s="2"/>
      <c r="T188" s="2"/>
      <c r="U188" s="2"/>
      <c r="V188" s="2"/>
      <c r="W188" s="2"/>
      <c r="X188" s="2"/>
      <c r="Y188" s="2"/>
      <c r="Z188" s="2"/>
      <c r="AA188" s="2"/>
    </row>
    <row r="189" ht="15.0" customHeight="1">
      <c r="A189" s="19"/>
      <c r="B189" s="19"/>
      <c r="C189" s="19"/>
      <c r="D189" s="39"/>
      <c r="E189" s="39"/>
      <c r="F189" s="34" t="str">
        <f t="array" ref="F189">IF(INDEX('Binder Data'!$A$2:$A$251,ROW()-1)="","",IF(INDEX('Binder Data'!$D$2:$D$251,ROW()-1)="Needed",INDEX('Binder Data'!$B$2:$B$251,ROW()-1),INDEX('Binder Data'!$D$2:$D$251,ROW()-1)))</f>
        <v/>
      </c>
      <c r="G189" s="19"/>
      <c r="H189" s="19"/>
      <c r="I189" s="19"/>
      <c r="J189" s="19"/>
      <c r="K189" s="19"/>
      <c r="L189" s="32"/>
      <c r="M189" s="32"/>
      <c r="N189" s="19"/>
      <c r="O189" s="5"/>
      <c r="P189" s="19"/>
      <c r="Q189" s="2"/>
      <c r="R189" s="2"/>
      <c r="S189" s="2"/>
      <c r="T189" s="2"/>
      <c r="U189" s="2"/>
      <c r="V189" s="2"/>
      <c r="W189" s="2"/>
      <c r="X189" s="2"/>
      <c r="Y189" s="2"/>
      <c r="Z189" s="2"/>
      <c r="AA189" s="2"/>
    </row>
    <row r="190" ht="15.0" customHeight="1">
      <c r="A190" s="19"/>
      <c r="B190" s="19"/>
      <c r="C190" s="19"/>
      <c r="D190" s="39"/>
      <c r="E190" s="39"/>
      <c r="F190" s="34" t="str">
        <f t="array" ref="F190">IF(INDEX('Binder Data'!$A$2:$A$251,ROW()-1)="","",IF(INDEX('Binder Data'!$D$2:$D$251,ROW()-1)="Needed",INDEX('Binder Data'!$B$2:$B$251,ROW()-1),INDEX('Binder Data'!$D$2:$D$251,ROW()-1)))</f>
        <v/>
      </c>
      <c r="G190" s="19"/>
      <c r="H190" s="19"/>
      <c r="I190" s="19"/>
      <c r="J190" s="19"/>
      <c r="K190" s="19"/>
      <c r="L190" s="32"/>
      <c r="M190" s="32"/>
      <c r="N190" s="19"/>
      <c r="O190" s="5"/>
      <c r="P190" s="19"/>
      <c r="Q190" s="2"/>
      <c r="R190" s="2"/>
      <c r="S190" s="2"/>
      <c r="T190" s="2"/>
      <c r="U190" s="2"/>
      <c r="V190" s="2"/>
      <c r="W190" s="2"/>
      <c r="X190" s="2"/>
      <c r="Y190" s="2"/>
      <c r="Z190" s="2"/>
      <c r="AA190" s="2"/>
    </row>
    <row r="191" ht="15.0" customHeight="1">
      <c r="A191" s="19"/>
      <c r="B191" s="19"/>
      <c r="C191" s="19"/>
      <c r="D191" s="39"/>
      <c r="E191" s="39"/>
      <c r="F191" s="34" t="str">
        <f t="array" ref="F191">IF(INDEX('Binder Data'!$A$2:$A$251,ROW()-1)="","",IF(INDEX('Binder Data'!$D$2:$D$251,ROW()-1)="Needed",INDEX('Binder Data'!$B$2:$B$251,ROW()-1),INDEX('Binder Data'!$D$2:$D$251,ROW()-1)))</f>
        <v/>
      </c>
      <c r="G191" s="19"/>
      <c r="H191" s="19"/>
      <c r="I191" s="19"/>
      <c r="J191" s="19"/>
      <c r="K191" s="19"/>
      <c r="L191" s="32"/>
      <c r="M191" s="32"/>
      <c r="N191" s="19"/>
      <c r="O191" s="5"/>
      <c r="P191" s="19"/>
      <c r="Q191" s="2"/>
      <c r="R191" s="2"/>
      <c r="S191" s="2"/>
      <c r="T191" s="2"/>
      <c r="U191" s="2"/>
      <c r="V191" s="2"/>
      <c r="W191" s="2"/>
      <c r="X191" s="2"/>
      <c r="Y191" s="2"/>
      <c r="Z191" s="2"/>
      <c r="AA191" s="2"/>
    </row>
    <row r="192" ht="15.0" customHeight="1">
      <c r="A192" s="19"/>
      <c r="B192" s="19"/>
      <c r="C192" s="19"/>
      <c r="D192" s="39"/>
      <c r="E192" s="39"/>
      <c r="F192" s="34" t="str">
        <f t="array" ref="F192">IF(INDEX('Binder Data'!$A$2:$A$251,ROW()-1)="","",IF(INDEX('Binder Data'!$D$2:$D$251,ROW()-1)="Needed",INDEX('Binder Data'!$B$2:$B$251,ROW()-1),INDEX('Binder Data'!$D$2:$D$251,ROW()-1)))</f>
        <v/>
      </c>
      <c r="G192" s="19"/>
      <c r="H192" s="19"/>
      <c r="I192" s="19"/>
      <c r="J192" s="19"/>
      <c r="K192" s="19"/>
      <c r="L192" s="32"/>
      <c r="M192" s="32"/>
      <c r="N192" s="19"/>
      <c r="O192" s="5"/>
      <c r="P192" s="19"/>
      <c r="Q192" s="2"/>
      <c r="R192" s="2"/>
      <c r="S192" s="2"/>
      <c r="T192" s="2"/>
      <c r="U192" s="2"/>
      <c r="V192" s="2"/>
      <c r="W192" s="2"/>
      <c r="X192" s="2"/>
      <c r="Y192" s="2"/>
      <c r="Z192" s="2"/>
      <c r="AA192" s="2"/>
    </row>
    <row r="193" ht="15.0" customHeight="1">
      <c r="A193" s="19"/>
      <c r="B193" s="19"/>
      <c r="C193" s="19"/>
      <c r="D193" s="39"/>
      <c r="E193" s="39"/>
      <c r="F193" s="34" t="str">
        <f t="array" ref="F193">IF(INDEX('Binder Data'!$A$2:$A$251,ROW()-1)="","",IF(INDEX('Binder Data'!$D$2:$D$251,ROW()-1)="Needed",INDEX('Binder Data'!$B$2:$B$251,ROW()-1),INDEX('Binder Data'!$D$2:$D$251,ROW()-1)))</f>
        <v/>
      </c>
      <c r="G193" s="19"/>
      <c r="H193" s="19"/>
      <c r="I193" s="19"/>
      <c r="J193" s="19"/>
      <c r="K193" s="19"/>
      <c r="L193" s="32"/>
      <c r="M193" s="32"/>
      <c r="N193" s="19"/>
      <c r="O193" s="5"/>
      <c r="P193" s="19"/>
      <c r="Q193" s="2"/>
      <c r="R193" s="2"/>
      <c r="S193" s="2"/>
      <c r="T193" s="2"/>
      <c r="U193" s="2"/>
      <c r="V193" s="2"/>
      <c r="W193" s="2"/>
      <c r="X193" s="2"/>
      <c r="Y193" s="2"/>
      <c r="Z193" s="2"/>
      <c r="AA193" s="2"/>
    </row>
    <row r="194" ht="15.0" customHeight="1">
      <c r="A194" s="19"/>
      <c r="B194" s="19"/>
      <c r="C194" s="19"/>
      <c r="D194" s="39"/>
      <c r="E194" s="39"/>
      <c r="F194" s="34" t="str">
        <f t="array" ref="F194">IF(INDEX('Binder Data'!$A$2:$A$251,ROW()-1)="","",IF(INDEX('Binder Data'!$D$2:$D$251,ROW()-1)="Needed",INDEX('Binder Data'!$B$2:$B$251,ROW()-1),INDEX('Binder Data'!$D$2:$D$251,ROW()-1)))</f>
        <v/>
      </c>
      <c r="G194" s="19"/>
      <c r="H194" s="19"/>
      <c r="I194" s="19"/>
      <c r="J194" s="19"/>
      <c r="K194" s="19"/>
      <c r="L194" s="32"/>
      <c r="M194" s="32"/>
      <c r="N194" s="19"/>
      <c r="O194" s="5"/>
      <c r="P194" s="19"/>
      <c r="Q194" s="2"/>
      <c r="R194" s="2"/>
      <c r="S194" s="2"/>
      <c r="T194" s="2"/>
      <c r="U194" s="2"/>
      <c r="V194" s="2"/>
      <c r="W194" s="2"/>
      <c r="X194" s="2"/>
      <c r="Y194" s="2"/>
      <c r="Z194" s="2"/>
      <c r="AA194" s="2"/>
    </row>
    <row r="195" ht="15.0" customHeight="1">
      <c r="A195" s="19"/>
      <c r="B195" s="19"/>
      <c r="C195" s="19"/>
      <c r="D195" s="39"/>
      <c r="E195" s="39"/>
      <c r="F195" s="34" t="str">
        <f t="array" ref="F195">IF(INDEX('Binder Data'!$A$2:$A$251,ROW()-1)="","",IF(INDEX('Binder Data'!$D$2:$D$251,ROW()-1)="Needed",INDEX('Binder Data'!$B$2:$B$251,ROW()-1),INDEX('Binder Data'!$D$2:$D$251,ROW()-1)))</f>
        <v/>
      </c>
      <c r="G195" s="19"/>
      <c r="H195" s="19"/>
      <c r="I195" s="19"/>
      <c r="J195" s="19"/>
      <c r="K195" s="19"/>
      <c r="L195" s="32"/>
      <c r="M195" s="32"/>
      <c r="N195" s="19"/>
      <c r="O195" s="5"/>
      <c r="P195" s="19"/>
      <c r="Q195" s="2"/>
      <c r="R195" s="2"/>
      <c r="S195" s="2"/>
      <c r="T195" s="2"/>
      <c r="U195" s="2"/>
      <c r="V195" s="2"/>
      <c r="W195" s="2"/>
      <c r="X195" s="2"/>
      <c r="Y195" s="2"/>
      <c r="Z195" s="2"/>
      <c r="AA195" s="2"/>
    </row>
    <row r="196" ht="15.0" customHeight="1">
      <c r="A196" s="19"/>
      <c r="B196" s="19"/>
      <c r="C196" s="19"/>
      <c r="D196" s="39"/>
      <c r="E196" s="39"/>
      <c r="F196" s="34" t="str">
        <f t="array" ref="F196">IF(INDEX('Binder Data'!$A$2:$A$251,ROW()-1)="","",IF(INDEX('Binder Data'!$D$2:$D$251,ROW()-1)="Needed",INDEX('Binder Data'!$B$2:$B$251,ROW()-1),INDEX('Binder Data'!$D$2:$D$251,ROW()-1)))</f>
        <v/>
      </c>
      <c r="G196" s="19"/>
      <c r="H196" s="19"/>
      <c r="I196" s="19"/>
      <c r="J196" s="19"/>
      <c r="K196" s="19"/>
      <c r="L196" s="32"/>
      <c r="M196" s="32"/>
      <c r="N196" s="19"/>
      <c r="O196" s="5"/>
      <c r="P196" s="19"/>
      <c r="Q196" s="2"/>
      <c r="R196" s="2"/>
      <c r="S196" s="2"/>
      <c r="T196" s="2"/>
      <c r="U196" s="2"/>
      <c r="V196" s="2"/>
      <c r="W196" s="2"/>
      <c r="X196" s="2"/>
      <c r="Y196" s="2"/>
      <c r="Z196" s="2"/>
      <c r="AA196" s="2"/>
    </row>
    <row r="197" ht="15.0" customHeight="1">
      <c r="A197" s="19"/>
      <c r="B197" s="19"/>
      <c r="C197" s="19"/>
      <c r="D197" s="39"/>
      <c r="E197" s="39"/>
      <c r="F197" s="34" t="str">
        <f t="array" ref="F197">IF(INDEX('Binder Data'!$A$2:$A$251,ROW()-1)="","",IF(INDEX('Binder Data'!$D$2:$D$251,ROW()-1)="Needed",INDEX('Binder Data'!$B$2:$B$251,ROW()-1),INDEX('Binder Data'!$D$2:$D$251,ROW()-1)))</f>
        <v/>
      </c>
      <c r="G197" s="19"/>
      <c r="H197" s="19"/>
      <c r="I197" s="19"/>
      <c r="J197" s="19"/>
      <c r="K197" s="19"/>
      <c r="L197" s="32"/>
      <c r="M197" s="32"/>
      <c r="N197" s="19"/>
      <c r="O197" s="5"/>
      <c r="P197" s="19"/>
      <c r="Q197" s="2"/>
      <c r="R197" s="2"/>
      <c r="S197" s="2"/>
      <c r="T197" s="2"/>
      <c r="U197" s="2"/>
      <c r="V197" s="2"/>
      <c r="W197" s="2"/>
      <c r="X197" s="2"/>
      <c r="Y197" s="2"/>
      <c r="Z197" s="2"/>
      <c r="AA197" s="2"/>
    </row>
    <row r="198" ht="15.0" customHeight="1">
      <c r="A198" s="19"/>
      <c r="B198" s="19"/>
      <c r="C198" s="19"/>
      <c r="D198" s="39"/>
      <c r="E198" s="39"/>
      <c r="F198" s="34" t="str">
        <f t="array" ref="F198">IF(INDEX('Binder Data'!$A$2:$A$251,ROW()-1)="","",IF(INDEX('Binder Data'!$D$2:$D$251,ROW()-1)="Needed",INDEX('Binder Data'!$B$2:$B$251,ROW()-1),INDEX('Binder Data'!$D$2:$D$251,ROW()-1)))</f>
        <v/>
      </c>
      <c r="G198" s="19"/>
      <c r="H198" s="19"/>
      <c r="I198" s="19"/>
      <c r="J198" s="19"/>
      <c r="K198" s="19"/>
      <c r="L198" s="32"/>
      <c r="M198" s="32"/>
      <c r="N198" s="19"/>
      <c r="O198" s="5"/>
      <c r="P198" s="19"/>
      <c r="Q198" s="2"/>
      <c r="R198" s="2"/>
      <c r="S198" s="2"/>
      <c r="T198" s="2"/>
      <c r="U198" s="2"/>
      <c r="V198" s="2"/>
      <c r="W198" s="2"/>
      <c r="X198" s="2"/>
      <c r="Y198" s="2"/>
      <c r="Z198" s="2"/>
      <c r="AA198" s="2"/>
    </row>
    <row r="199" ht="15.0" customHeight="1">
      <c r="A199" s="19"/>
      <c r="B199" s="19"/>
      <c r="C199" s="19"/>
      <c r="D199" s="39"/>
      <c r="E199" s="39"/>
      <c r="F199" s="34" t="str">
        <f t="array" ref="F199">IF(INDEX('Binder Data'!$A$2:$A$251,ROW()-1)="","",IF(INDEX('Binder Data'!$D$2:$D$251,ROW()-1)="Needed",INDEX('Binder Data'!$B$2:$B$251,ROW()-1),INDEX('Binder Data'!$D$2:$D$251,ROW()-1)))</f>
        <v/>
      </c>
      <c r="G199" s="19"/>
      <c r="H199" s="19"/>
      <c r="I199" s="19"/>
      <c r="J199" s="19"/>
      <c r="K199" s="19"/>
      <c r="L199" s="32"/>
      <c r="M199" s="32"/>
      <c r="N199" s="19"/>
      <c r="O199" s="5"/>
      <c r="P199" s="19"/>
      <c r="Q199" s="2"/>
      <c r="R199" s="2"/>
      <c r="S199" s="2"/>
      <c r="T199" s="2"/>
      <c r="U199" s="2"/>
      <c r="V199" s="2"/>
      <c r="W199" s="2"/>
      <c r="X199" s="2"/>
      <c r="Y199" s="2"/>
      <c r="Z199" s="2"/>
      <c r="AA199" s="2"/>
    </row>
    <row r="200" ht="15.0" customHeight="1">
      <c r="A200" s="19"/>
      <c r="B200" s="19"/>
      <c r="C200" s="19"/>
      <c r="D200" s="39"/>
      <c r="E200" s="39"/>
      <c r="F200" s="34" t="str">
        <f t="array" ref="F200">IF(INDEX('Binder Data'!$A$2:$A$251,ROW()-1)="","",IF(INDEX('Binder Data'!$D$2:$D$251,ROW()-1)="Needed",INDEX('Binder Data'!$B$2:$B$251,ROW()-1),INDEX('Binder Data'!$D$2:$D$251,ROW()-1)))</f>
        <v/>
      </c>
      <c r="G200" s="19"/>
      <c r="H200" s="19"/>
      <c r="I200" s="19"/>
      <c r="J200" s="19"/>
      <c r="K200" s="19"/>
      <c r="L200" s="32"/>
      <c r="M200" s="32"/>
      <c r="N200" s="19"/>
      <c r="O200" s="5"/>
      <c r="P200" s="19"/>
      <c r="Q200" s="2"/>
      <c r="R200" s="2"/>
      <c r="S200" s="2"/>
      <c r="T200" s="2"/>
      <c r="U200" s="2"/>
      <c r="V200" s="2"/>
      <c r="W200" s="2"/>
      <c r="X200" s="2"/>
      <c r="Y200" s="2"/>
      <c r="Z200" s="2"/>
      <c r="AA200" s="2"/>
    </row>
    <row r="201" ht="15.0" customHeight="1">
      <c r="A201" s="19"/>
      <c r="B201" s="19"/>
      <c r="C201" s="19"/>
      <c r="D201" s="39"/>
      <c r="E201" s="39"/>
      <c r="F201" s="34" t="str">
        <f t="array" ref="F201">IF(INDEX('Binder Data'!$A$2:$A$251,ROW()-1)="","",IF(INDEX('Binder Data'!$D$2:$D$251,ROW()-1)="Needed",INDEX('Binder Data'!$B$2:$B$251,ROW()-1),INDEX('Binder Data'!$D$2:$D$251,ROW()-1)))</f>
        <v/>
      </c>
      <c r="G201" s="19"/>
      <c r="H201" s="19"/>
      <c r="I201" s="19"/>
      <c r="J201" s="19"/>
      <c r="K201" s="19"/>
      <c r="L201" s="32"/>
      <c r="M201" s="32"/>
      <c r="N201" s="19"/>
      <c r="O201" s="5"/>
      <c r="P201" s="19"/>
      <c r="Q201" s="2"/>
      <c r="R201" s="2"/>
      <c r="S201" s="2"/>
      <c r="T201" s="2"/>
      <c r="U201" s="2"/>
      <c r="V201" s="2"/>
      <c r="W201" s="2"/>
      <c r="X201" s="2"/>
      <c r="Y201" s="2"/>
      <c r="Z201" s="2"/>
      <c r="AA201" s="2"/>
    </row>
    <row r="202" ht="15.0" customHeight="1">
      <c r="A202" s="19"/>
      <c r="B202" s="19"/>
      <c r="C202" s="19"/>
      <c r="D202" s="39"/>
      <c r="E202" s="39"/>
      <c r="F202" s="34" t="str">
        <f t="array" ref="F202">IF(INDEX('Binder Data'!$A$2:$A$251,ROW()-1)="","",IF(INDEX('Binder Data'!$D$2:$D$251,ROW()-1)="Needed",INDEX('Binder Data'!$B$2:$B$251,ROW()-1),INDEX('Binder Data'!$D$2:$D$251,ROW()-1)))</f>
        <v/>
      </c>
      <c r="G202" s="19"/>
      <c r="H202" s="19"/>
      <c r="I202" s="19"/>
      <c r="J202" s="19"/>
      <c r="K202" s="19"/>
      <c r="L202" s="32"/>
      <c r="M202" s="32"/>
      <c r="N202" s="19"/>
      <c r="O202" s="5"/>
      <c r="P202" s="19"/>
      <c r="Q202" s="2"/>
      <c r="R202" s="2"/>
      <c r="S202" s="2"/>
      <c r="T202" s="2"/>
      <c r="U202" s="2"/>
      <c r="V202" s="2"/>
      <c r="W202" s="2"/>
      <c r="X202" s="2"/>
      <c r="Y202" s="2"/>
      <c r="Z202" s="2"/>
      <c r="AA202" s="2"/>
    </row>
    <row r="203" ht="15.0" customHeight="1">
      <c r="A203" s="19"/>
      <c r="B203" s="19"/>
      <c r="C203" s="19"/>
      <c r="D203" s="39"/>
      <c r="E203" s="39"/>
      <c r="F203" s="34" t="str">
        <f t="array" ref="F203">IF(INDEX('Binder Data'!$A$2:$A$251,ROW()-1)="","",IF(INDEX('Binder Data'!$D$2:$D$251,ROW()-1)="Needed",INDEX('Binder Data'!$B$2:$B$251,ROW()-1),INDEX('Binder Data'!$D$2:$D$251,ROW()-1)))</f>
        <v/>
      </c>
      <c r="G203" s="19"/>
      <c r="H203" s="19"/>
      <c r="I203" s="19"/>
      <c r="J203" s="19"/>
      <c r="K203" s="19"/>
      <c r="L203" s="32"/>
      <c r="M203" s="32"/>
      <c r="N203" s="19"/>
      <c r="O203" s="5"/>
      <c r="P203" s="19"/>
      <c r="Q203" s="2"/>
      <c r="R203" s="2"/>
      <c r="S203" s="2"/>
      <c r="T203" s="2"/>
      <c r="U203" s="2"/>
      <c r="V203" s="2"/>
      <c r="W203" s="2"/>
      <c r="X203" s="2"/>
      <c r="Y203" s="2"/>
      <c r="Z203" s="2"/>
      <c r="AA203" s="2"/>
    </row>
    <row r="204" ht="15.0" customHeight="1">
      <c r="A204" s="19"/>
      <c r="B204" s="19"/>
      <c r="C204" s="19"/>
      <c r="D204" s="39"/>
      <c r="E204" s="39"/>
      <c r="F204" s="34" t="str">
        <f t="array" ref="F204">IF(INDEX('Binder Data'!$A$2:$A$251,ROW()-1)="","",IF(INDEX('Binder Data'!$D$2:$D$251,ROW()-1)="Needed",INDEX('Binder Data'!$B$2:$B$251,ROW()-1),INDEX('Binder Data'!$D$2:$D$251,ROW()-1)))</f>
        <v/>
      </c>
      <c r="G204" s="19"/>
      <c r="H204" s="19"/>
      <c r="I204" s="19"/>
      <c r="J204" s="19"/>
      <c r="K204" s="19"/>
      <c r="L204" s="32"/>
      <c r="M204" s="32"/>
      <c r="N204" s="19"/>
      <c r="O204" s="5"/>
      <c r="P204" s="19"/>
      <c r="Q204" s="2"/>
      <c r="R204" s="2"/>
      <c r="S204" s="2"/>
      <c r="T204" s="2"/>
      <c r="U204" s="2"/>
      <c r="V204" s="2"/>
      <c r="W204" s="2"/>
      <c r="X204" s="2"/>
      <c r="Y204" s="2"/>
      <c r="Z204" s="2"/>
      <c r="AA204" s="2"/>
    </row>
    <row r="205" ht="15.0" customHeight="1">
      <c r="A205" s="19"/>
      <c r="B205" s="19"/>
      <c r="C205" s="19"/>
      <c r="D205" s="39"/>
      <c r="E205" s="39"/>
      <c r="F205" s="34" t="str">
        <f t="array" ref="F205">IF(INDEX('Binder Data'!$A$2:$A$251,ROW()-1)="","",IF(INDEX('Binder Data'!$D$2:$D$251,ROW()-1)="Needed",INDEX('Binder Data'!$B$2:$B$251,ROW()-1),INDEX('Binder Data'!$D$2:$D$251,ROW()-1)))</f>
        <v/>
      </c>
      <c r="G205" s="19"/>
      <c r="H205" s="19"/>
      <c r="I205" s="19"/>
      <c r="J205" s="19"/>
      <c r="K205" s="19"/>
      <c r="L205" s="32"/>
      <c r="M205" s="32"/>
      <c r="N205" s="19"/>
      <c r="O205" s="5"/>
      <c r="P205" s="19"/>
      <c r="Q205" s="2"/>
      <c r="R205" s="2"/>
      <c r="S205" s="2"/>
      <c r="T205" s="2"/>
      <c r="U205" s="2"/>
      <c r="V205" s="2"/>
      <c r="W205" s="2"/>
      <c r="X205" s="2"/>
      <c r="Y205" s="2"/>
      <c r="Z205" s="2"/>
      <c r="AA205" s="2"/>
    </row>
    <row r="206" ht="15.0" customHeight="1">
      <c r="A206" s="19"/>
      <c r="B206" s="19"/>
      <c r="C206" s="19"/>
      <c r="D206" s="39"/>
      <c r="E206" s="39"/>
      <c r="F206" s="34" t="str">
        <f t="array" ref="F206">IF(INDEX('Binder Data'!$A$2:$A$251,ROW()-1)="","",IF(INDEX('Binder Data'!$D$2:$D$251,ROW()-1)="Needed",INDEX('Binder Data'!$B$2:$B$251,ROW()-1),INDEX('Binder Data'!$D$2:$D$251,ROW()-1)))</f>
        <v/>
      </c>
      <c r="G206" s="19"/>
      <c r="H206" s="19"/>
      <c r="I206" s="19"/>
      <c r="J206" s="19"/>
      <c r="K206" s="19"/>
      <c r="L206" s="32"/>
      <c r="M206" s="32"/>
      <c r="N206" s="19"/>
      <c r="O206" s="5"/>
      <c r="P206" s="19"/>
      <c r="Q206" s="2"/>
      <c r="R206" s="2"/>
      <c r="S206" s="2"/>
      <c r="T206" s="2"/>
      <c r="U206" s="2"/>
      <c r="V206" s="2"/>
      <c r="W206" s="2"/>
      <c r="X206" s="2"/>
      <c r="Y206" s="2"/>
      <c r="Z206" s="2"/>
      <c r="AA206" s="2"/>
    </row>
    <row r="207" ht="15.0" customHeight="1">
      <c r="A207" s="19"/>
      <c r="B207" s="19"/>
      <c r="C207" s="19"/>
      <c r="D207" s="39"/>
      <c r="E207" s="39"/>
      <c r="F207" s="34" t="str">
        <f t="array" ref="F207">IF(INDEX('Binder Data'!$A$2:$A$251,ROW()-1)="","",IF(INDEX('Binder Data'!$D$2:$D$251,ROW()-1)="Needed",INDEX('Binder Data'!$B$2:$B$251,ROW()-1),INDEX('Binder Data'!$D$2:$D$251,ROW()-1)))</f>
        <v/>
      </c>
      <c r="G207" s="19"/>
      <c r="H207" s="19"/>
      <c r="I207" s="19"/>
      <c r="J207" s="19"/>
      <c r="K207" s="19"/>
      <c r="L207" s="32"/>
      <c r="M207" s="32"/>
      <c r="N207" s="19"/>
      <c r="O207" s="5"/>
      <c r="P207" s="19"/>
      <c r="Q207" s="2"/>
      <c r="R207" s="2"/>
      <c r="S207" s="2"/>
      <c r="T207" s="2"/>
      <c r="U207" s="2"/>
      <c r="V207" s="2"/>
      <c r="W207" s="2"/>
      <c r="X207" s="2"/>
      <c r="Y207" s="2"/>
      <c r="Z207" s="2"/>
      <c r="AA207" s="2"/>
    </row>
    <row r="208" ht="15.0" customHeight="1">
      <c r="A208" s="19"/>
      <c r="B208" s="19"/>
      <c r="C208" s="19"/>
      <c r="D208" s="39"/>
      <c r="E208" s="39"/>
      <c r="F208" s="34" t="str">
        <f t="array" ref="F208">IF(INDEX('Binder Data'!$A$2:$A$251,ROW()-1)="","",IF(INDEX('Binder Data'!$D$2:$D$251,ROW()-1)="Needed",INDEX('Binder Data'!$B$2:$B$251,ROW()-1),INDEX('Binder Data'!$D$2:$D$251,ROW()-1)))</f>
        <v/>
      </c>
      <c r="G208" s="19"/>
      <c r="H208" s="19"/>
      <c r="I208" s="19"/>
      <c r="J208" s="19"/>
      <c r="K208" s="19"/>
      <c r="L208" s="32"/>
      <c r="M208" s="32"/>
      <c r="N208" s="19"/>
      <c r="O208" s="5"/>
      <c r="P208" s="19"/>
      <c r="Q208" s="2"/>
      <c r="R208" s="2"/>
      <c r="S208" s="2"/>
      <c r="T208" s="2"/>
      <c r="U208" s="2"/>
      <c r="V208" s="2"/>
      <c r="W208" s="2"/>
      <c r="X208" s="2"/>
      <c r="Y208" s="2"/>
      <c r="Z208" s="2"/>
      <c r="AA208" s="2"/>
    </row>
    <row r="209" ht="15.0" customHeight="1">
      <c r="A209" s="19"/>
      <c r="B209" s="19"/>
      <c r="C209" s="19"/>
      <c r="D209" s="39"/>
      <c r="E209" s="39"/>
      <c r="F209" s="34" t="str">
        <f t="array" ref="F209">IF(INDEX('Binder Data'!$A$2:$A$251,ROW()-1)="","",IF(INDEX('Binder Data'!$D$2:$D$251,ROW()-1)="Needed",INDEX('Binder Data'!$B$2:$B$251,ROW()-1),INDEX('Binder Data'!$D$2:$D$251,ROW()-1)))</f>
        <v/>
      </c>
      <c r="G209" s="19"/>
      <c r="H209" s="19"/>
      <c r="I209" s="19"/>
      <c r="J209" s="19"/>
      <c r="K209" s="19"/>
      <c r="L209" s="32"/>
      <c r="M209" s="32"/>
      <c r="N209" s="19"/>
      <c r="O209" s="5"/>
      <c r="P209" s="19"/>
      <c r="Q209" s="2"/>
      <c r="R209" s="2"/>
      <c r="S209" s="2"/>
      <c r="T209" s="2"/>
      <c r="U209" s="2"/>
      <c r="V209" s="2"/>
      <c r="W209" s="2"/>
      <c r="X209" s="2"/>
      <c r="Y209" s="2"/>
      <c r="Z209" s="2"/>
      <c r="AA209" s="2"/>
    </row>
    <row r="210" ht="15.0" customHeight="1">
      <c r="A210" s="19"/>
      <c r="B210" s="19"/>
      <c r="C210" s="19"/>
      <c r="D210" s="39"/>
      <c r="E210" s="39"/>
      <c r="F210" s="34" t="str">
        <f t="array" ref="F210">IF(INDEX('Binder Data'!$A$2:$A$251,ROW()-1)="","",IF(INDEX('Binder Data'!$D$2:$D$251,ROW()-1)="Needed",INDEX('Binder Data'!$B$2:$B$251,ROW()-1),INDEX('Binder Data'!$D$2:$D$251,ROW()-1)))</f>
        <v/>
      </c>
      <c r="G210" s="19"/>
      <c r="H210" s="19"/>
      <c r="I210" s="19"/>
      <c r="J210" s="19"/>
      <c r="K210" s="19"/>
      <c r="L210" s="32"/>
      <c r="M210" s="32"/>
      <c r="N210" s="19"/>
      <c r="O210" s="5"/>
      <c r="P210" s="19"/>
      <c r="Q210" s="2"/>
      <c r="R210" s="2"/>
      <c r="S210" s="2"/>
      <c r="T210" s="2"/>
      <c r="U210" s="2"/>
      <c r="V210" s="2"/>
      <c r="W210" s="2"/>
      <c r="X210" s="2"/>
      <c r="Y210" s="2"/>
      <c r="Z210" s="2"/>
      <c r="AA210" s="2"/>
    </row>
    <row r="211" ht="15.0" customHeight="1">
      <c r="A211" s="19"/>
      <c r="B211" s="19"/>
      <c r="C211" s="19"/>
      <c r="D211" s="39"/>
      <c r="E211" s="39"/>
      <c r="F211" s="34" t="str">
        <f t="array" ref="F211">IF(INDEX('Binder Data'!$A$2:$A$251,ROW()-1)="","",IF(INDEX('Binder Data'!$D$2:$D$251,ROW()-1)="Needed",INDEX('Binder Data'!$B$2:$B$251,ROW()-1),INDEX('Binder Data'!$D$2:$D$251,ROW()-1)))</f>
        <v/>
      </c>
      <c r="G211" s="19"/>
      <c r="H211" s="19"/>
      <c r="I211" s="19"/>
      <c r="J211" s="19"/>
      <c r="K211" s="19"/>
      <c r="L211" s="32"/>
      <c r="M211" s="32"/>
      <c r="N211" s="19"/>
      <c r="O211" s="5"/>
      <c r="P211" s="19"/>
      <c r="Q211" s="2"/>
      <c r="R211" s="2"/>
      <c r="S211" s="2"/>
      <c r="T211" s="2"/>
      <c r="U211" s="2"/>
      <c r="V211" s="2"/>
      <c r="W211" s="2"/>
      <c r="X211" s="2"/>
      <c r="Y211" s="2"/>
      <c r="Z211" s="2"/>
      <c r="AA211" s="2"/>
    </row>
    <row r="212" ht="15.0" customHeight="1">
      <c r="A212" s="19"/>
      <c r="B212" s="19"/>
      <c r="C212" s="19"/>
      <c r="D212" s="39"/>
      <c r="E212" s="39"/>
      <c r="F212" s="34" t="str">
        <f t="array" ref="F212">IF(INDEX('Binder Data'!$A$2:$A$251,ROW()-1)="","",IF(INDEX('Binder Data'!$D$2:$D$251,ROW()-1)="Needed",INDEX('Binder Data'!$B$2:$B$251,ROW()-1),INDEX('Binder Data'!$D$2:$D$251,ROW()-1)))</f>
        <v/>
      </c>
      <c r="G212" s="19"/>
      <c r="H212" s="19"/>
      <c r="I212" s="19"/>
      <c r="J212" s="19"/>
      <c r="K212" s="19"/>
      <c r="L212" s="32"/>
      <c r="M212" s="32"/>
      <c r="N212" s="19"/>
      <c r="O212" s="5"/>
      <c r="P212" s="19"/>
      <c r="Q212" s="2"/>
      <c r="R212" s="2"/>
      <c r="S212" s="2"/>
      <c r="T212" s="2"/>
      <c r="U212" s="2"/>
      <c r="V212" s="2"/>
      <c r="W212" s="2"/>
      <c r="X212" s="2"/>
      <c r="Y212" s="2"/>
      <c r="Z212" s="2"/>
      <c r="AA212" s="2"/>
    </row>
    <row r="213" ht="15.0" customHeight="1">
      <c r="A213" s="19"/>
      <c r="B213" s="19"/>
      <c r="C213" s="19"/>
      <c r="D213" s="39"/>
      <c r="E213" s="39"/>
      <c r="F213" s="34" t="str">
        <f t="array" ref="F213">IF(INDEX('Binder Data'!$A$2:$A$251,ROW()-1)="","",IF(INDEX('Binder Data'!$D$2:$D$251,ROW()-1)="Needed",INDEX('Binder Data'!$B$2:$B$251,ROW()-1),INDEX('Binder Data'!$D$2:$D$251,ROW()-1)))</f>
        <v/>
      </c>
      <c r="G213" s="19"/>
      <c r="H213" s="19"/>
      <c r="I213" s="19"/>
      <c r="J213" s="19"/>
      <c r="K213" s="19"/>
      <c r="L213" s="32"/>
      <c r="M213" s="32"/>
      <c r="N213" s="19"/>
      <c r="O213" s="5"/>
      <c r="P213" s="19"/>
      <c r="Q213" s="2"/>
      <c r="R213" s="2"/>
      <c r="S213" s="2"/>
      <c r="T213" s="2"/>
      <c r="U213" s="2"/>
      <c r="V213" s="2"/>
      <c r="W213" s="2"/>
      <c r="X213" s="2"/>
      <c r="Y213" s="2"/>
      <c r="Z213" s="2"/>
      <c r="AA213" s="2"/>
    </row>
    <row r="214" ht="15.0" customHeight="1">
      <c r="A214" s="19"/>
      <c r="B214" s="19"/>
      <c r="C214" s="19"/>
      <c r="D214" s="39"/>
      <c r="E214" s="39"/>
      <c r="F214" s="34" t="str">
        <f t="array" ref="F214">IF(INDEX('Binder Data'!$A$2:$A$251,ROW()-1)="","",IF(INDEX('Binder Data'!$D$2:$D$251,ROW()-1)="Needed",INDEX('Binder Data'!$B$2:$B$251,ROW()-1),INDEX('Binder Data'!$D$2:$D$251,ROW()-1)))</f>
        <v/>
      </c>
      <c r="G214" s="19"/>
      <c r="H214" s="19"/>
      <c r="I214" s="19"/>
      <c r="J214" s="19"/>
      <c r="K214" s="19"/>
      <c r="L214" s="32"/>
      <c r="M214" s="32"/>
      <c r="N214" s="19"/>
      <c r="O214" s="5"/>
      <c r="P214" s="19"/>
      <c r="Q214" s="2"/>
      <c r="R214" s="2"/>
      <c r="S214" s="2"/>
      <c r="T214" s="2"/>
      <c r="U214" s="2"/>
      <c r="V214" s="2"/>
      <c r="W214" s="2"/>
      <c r="X214" s="2"/>
      <c r="Y214" s="2"/>
      <c r="Z214" s="2"/>
      <c r="AA214" s="2"/>
    </row>
    <row r="215" ht="15.0" customHeight="1">
      <c r="A215" s="19"/>
      <c r="B215" s="19"/>
      <c r="C215" s="19"/>
      <c r="D215" s="39"/>
      <c r="E215" s="39"/>
      <c r="F215" s="34" t="str">
        <f t="array" ref="F215">IF(INDEX('Binder Data'!$A$2:$A$251,ROW()-1)="","",IF(INDEX('Binder Data'!$D$2:$D$251,ROW()-1)="Needed",INDEX('Binder Data'!$B$2:$B$251,ROW()-1),INDEX('Binder Data'!$D$2:$D$251,ROW()-1)))</f>
        <v/>
      </c>
      <c r="G215" s="19"/>
      <c r="H215" s="19"/>
      <c r="I215" s="19"/>
      <c r="J215" s="19"/>
      <c r="K215" s="19"/>
      <c r="L215" s="32"/>
      <c r="M215" s="32"/>
      <c r="N215" s="19"/>
      <c r="O215" s="5"/>
      <c r="P215" s="19"/>
      <c r="Q215" s="2"/>
      <c r="R215" s="2"/>
      <c r="S215" s="2"/>
      <c r="T215" s="2"/>
      <c r="U215" s="2"/>
      <c r="V215" s="2"/>
      <c r="W215" s="2"/>
      <c r="X215" s="2"/>
      <c r="Y215" s="2"/>
      <c r="Z215" s="2"/>
      <c r="AA215" s="2"/>
    </row>
    <row r="216" ht="15.0" customHeight="1">
      <c r="A216" s="19"/>
      <c r="B216" s="19"/>
      <c r="C216" s="19"/>
      <c r="D216" s="39"/>
      <c r="E216" s="39"/>
      <c r="F216" s="34" t="str">
        <f t="array" ref="F216">IF(INDEX('Binder Data'!$A$2:$A$251,ROW()-1)="","",IF(INDEX('Binder Data'!$D$2:$D$251,ROW()-1)="Needed",INDEX('Binder Data'!$B$2:$B$251,ROW()-1),INDEX('Binder Data'!$D$2:$D$251,ROW()-1)))</f>
        <v/>
      </c>
      <c r="G216" s="19"/>
      <c r="H216" s="19"/>
      <c r="I216" s="19"/>
      <c r="J216" s="19"/>
      <c r="K216" s="19"/>
      <c r="L216" s="32"/>
      <c r="M216" s="32"/>
      <c r="N216" s="19"/>
      <c r="O216" s="5"/>
      <c r="P216" s="19"/>
      <c r="Q216" s="2"/>
      <c r="R216" s="2"/>
      <c r="S216" s="2"/>
      <c r="T216" s="2"/>
      <c r="U216" s="2"/>
      <c r="V216" s="2"/>
      <c r="W216" s="2"/>
      <c r="X216" s="2"/>
      <c r="Y216" s="2"/>
      <c r="Z216" s="2"/>
      <c r="AA216" s="2"/>
    </row>
    <row r="217" ht="15.0" customHeight="1">
      <c r="A217" s="19"/>
      <c r="B217" s="19"/>
      <c r="C217" s="19"/>
      <c r="D217" s="39"/>
      <c r="E217" s="39"/>
      <c r="F217" s="34" t="str">
        <f t="array" ref="F217">IF(INDEX('Binder Data'!$A$2:$A$251,ROW()-1)="","",IF(INDEX('Binder Data'!$D$2:$D$251,ROW()-1)="Needed",INDEX('Binder Data'!$B$2:$B$251,ROW()-1),INDEX('Binder Data'!$D$2:$D$251,ROW()-1)))</f>
        <v/>
      </c>
      <c r="G217" s="19"/>
      <c r="H217" s="19"/>
      <c r="I217" s="19"/>
      <c r="J217" s="19"/>
      <c r="K217" s="19"/>
      <c r="L217" s="32"/>
      <c r="M217" s="32"/>
      <c r="N217" s="19"/>
      <c r="O217" s="5"/>
      <c r="P217" s="19"/>
      <c r="Q217" s="2"/>
      <c r="R217" s="2"/>
      <c r="S217" s="2"/>
      <c r="T217" s="2"/>
      <c r="U217" s="2"/>
      <c r="V217" s="2"/>
      <c r="W217" s="2"/>
      <c r="X217" s="2"/>
      <c r="Y217" s="2"/>
      <c r="Z217" s="2"/>
      <c r="AA217" s="2"/>
    </row>
    <row r="218" ht="15.0" customHeight="1">
      <c r="A218" s="19"/>
      <c r="B218" s="19"/>
      <c r="C218" s="19"/>
      <c r="D218" s="39"/>
      <c r="E218" s="39"/>
      <c r="F218" s="34" t="str">
        <f t="array" ref="F218">IF(INDEX('Binder Data'!$A$2:$A$251,ROW()-1)="","",IF(INDEX('Binder Data'!$D$2:$D$251,ROW()-1)="Needed",INDEX('Binder Data'!$B$2:$B$251,ROW()-1),INDEX('Binder Data'!$D$2:$D$251,ROW()-1)))</f>
        <v/>
      </c>
      <c r="G218" s="19"/>
      <c r="H218" s="19"/>
      <c r="I218" s="19"/>
      <c r="J218" s="19"/>
      <c r="K218" s="19"/>
      <c r="L218" s="32"/>
      <c r="M218" s="32"/>
      <c r="N218" s="19"/>
      <c r="O218" s="5"/>
      <c r="P218" s="19"/>
      <c r="Q218" s="2"/>
      <c r="R218" s="2"/>
      <c r="S218" s="2"/>
      <c r="T218" s="2"/>
      <c r="U218" s="2"/>
      <c r="V218" s="2"/>
      <c r="W218" s="2"/>
      <c r="X218" s="2"/>
      <c r="Y218" s="2"/>
      <c r="Z218" s="2"/>
      <c r="AA218" s="2"/>
    </row>
    <row r="219" ht="15.0" customHeight="1">
      <c r="A219" s="19"/>
      <c r="B219" s="19"/>
      <c r="C219" s="19"/>
      <c r="D219" s="39"/>
      <c r="E219" s="39"/>
      <c r="F219" s="34" t="str">
        <f t="array" ref="F219">IF(INDEX('Binder Data'!$A$2:$A$251,ROW()-1)="","",IF(INDEX('Binder Data'!$D$2:$D$251,ROW()-1)="Needed",INDEX('Binder Data'!$B$2:$B$251,ROW()-1),INDEX('Binder Data'!$D$2:$D$251,ROW()-1)))</f>
        <v/>
      </c>
      <c r="G219" s="19"/>
      <c r="H219" s="19"/>
      <c r="I219" s="19"/>
      <c r="J219" s="19"/>
      <c r="K219" s="19"/>
      <c r="L219" s="32"/>
      <c r="M219" s="32"/>
      <c r="N219" s="19"/>
      <c r="O219" s="5"/>
      <c r="P219" s="19"/>
      <c r="Q219" s="2"/>
      <c r="R219" s="2"/>
      <c r="S219" s="2"/>
      <c r="T219" s="2"/>
      <c r="U219" s="2"/>
      <c r="V219" s="2"/>
      <c r="W219" s="2"/>
      <c r="X219" s="2"/>
      <c r="Y219" s="2"/>
      <c r="Z219" s="2"/>
      <c r="AA219" s="2"/>
    </row>
    <row r="220" ht="15.0" customHeight="1">
      <c r="A220" s="19"/>
      <c r="B220" s="19"/>
      <c r="C220" s="19"/>
      <c r="D220" s="39"/>
      <c r="E220" s="39"/>
      <c r="F220" s="34" t="str">
        <f t="array" ref="F220">IF(INDEX('Binder Data'!$A$2:$A$251,ROW()-1)="","",IF(INDEX('Binder Data'!$D$2:$D$251,ROW()-1)="Needed",INDEX('Binder Data'!$B$2:$B$251,ROW()-1),INDEX('Binder Data'!$D$2:$D$251,ROW()-1)))</f>
        <v/>
      </c>
      <c r="G220" s="19"/>
      <c r="H220" s="19"/>
      <c r="I220" s="19"/>
      <c r="J220" s="19"/>
      <c r="K220" s="19"/>
      <c r="L220" s="32"/>
      <c r="M220" s="32"/>
      <c r="N220" s="19"/>
      <c r="O220" s="5"/>
      <c r="P220" s="19"/>
      <c r="Q220" s="2"/>
      <c r="R220" s="2"/>
      <c r="S220" s="2"/>
      <c r="T220" s="2"/>
      <c r="U220" s="2"/>
      <c r="V220" s="2"/>
      <c r="W220" s="2"/>
      <c r="X220" s="2"/>
      <c r="Y220" s="2"/>
      <c r="Z220" s="2"/>
      <c r="AA220" s="2"/>
    </row>
    <row r="221" ht="15.75" customHeight="1">
      <c r="A221" s="19"/>
      <c r="B221" s="19"/>
      <c r="C221" s="19"/>
      <c r="D221" s="19"/>
      <c r="E221" s="19"/>
      <c r="F221" s="34" t="str">
        <f t="array" ref="F221">IF(INDEX('Binder Data'!$A$2:$A$251,ROW()-1)="","",IF(INDEX('Binder Data'!$D$2:$D$251,ROW()-1)="Needed",INDEX('Binder Data'!$B$2:$B$251,ROW()-1),INDEX('Binder Data'!$D$2:$D$251,ROW()-1)))</f>
        <v/>
      </c>
      <c r="G221" s="19"/>
      <c r="H221" s="19"/>
      <c r="I221" s="19"/>
      <c r="J221" s="19"/>
      <c r="K221" s="19"/>
      <c r="L221" s="19"/>
      <c r="M221" s="19"/>
      <c r="N221" s="19"/>
      <c r="O221" s="19"/>
      <c r="P221" s="19"/>
      <c r="Q221" s="2"/>
      <c r="R221" s="2"/>
      <c r="S221" s="2"/>
      <c r="T221" s="2"/>
      <c r="U221" s="2"/>
      <c r="V221" s="2"/>
      <c r="W221" s="2"/>
      <c r="X221" s="2"/>
      <c r="Y221" s="2"/>
      <c r="Z221" s="2"/>
      <c r="AA221" s="2"/>
    </row>
    <row r="222" ht="15.75" customHeight="1">
      <c r="A222" s="19"/>
      <c r="B222" s="19"/>
      <c r="C222" s="19"/>
      <c r="D222" s="19"/>
      <c r="E222" s="19"/>
      <c r="F222" s="34" t="str">
        <f t="array" ref="F222">IF(INDEX('Binder Data'!$A$2:$A$251,ROW()-1)="","",IF(INDEX('Binder Data'!$D$2:$D$251,ROW()-1)="Needed",INDEX('Binder Data'!$B$2:$B$251,ROW()-1),INDEX('Binder Data'!$D$2:$D$251,ROW()-1)))</f>
        <v/>
      </c>
      <c r="G222" s="19"/>
      <c r="H222" s="19"/>
      <c r="I222" s="19"/>
      <c r="J222" s="19"/>
      <c r="K222" s="19"/>
      <c r="L222" s="19"/>
      <c r="M222" s="19"/>
      <c r="N222" s="19"/>
      <c r="O222" s="19"/>
      <c r="P222" s="19"/>
      <c r="Q222" s="2"/>
      <c r="R222" s="2"/>
      <c r="S222" s="2"/>
      <c r="T222" s="2"/>
      <c r="U222" s="2"/>
      <c r="V222" s="2"/>
      <c r="W222" s="2"/>
      <c r="X222" s="2"/>
      <c r="Y222" s="2"/>
      <c r="Z222" s="2"/>
      <c r="AA222" s="2"/>
    </row>
    <row r="223" ht="15.75" customHeight="1">
      <c r="A223" s="19"/>
      <c r="B223" s="19"/>
      <c r="C223" s="19"/>
      <c r="D223" s="19"/>
      <c r="E223" s="19"/>
      <c r="F223" s="34" t="str">
        <f t="array" ref="F223">IF(INDEX('Binder Data'!$A$2:$A$251,ROW()-1)="","",IF(INDEX('Binder Data'!$D$2:$D$251,ROW()-1)="Needed",INDEX('Binder Data'!$B$2:$B$251,ROW()-1),INDEX('Binder Data'!$D$2:$D$251,ROW()-1)))</f>
        <v/>
      </c>
      <c r="G223" s="19"/>
      <c r="H223" s="19"/>
      <c r="I223" s="19"/>
      <c r="J223" s="19"/>
      <c r="K223" s="19"/>
      <c r="L223" s="19"/>
      <c r="M223" s="19"/>
      <c r="N223" s="19"/>
      <c r="O223" s="19"/>
      <c r="P223" s="19"/>
      <c r="Q223" s="2"/>
      <c r="R223" s="2"/>
      <c r="S223" s="2"/>
      <c r="T223" s="2"/>
      <c r="U223" s="2"/>
      <c r="V223" s="2"/>
      <c r="W223" s="2"/>
      <c r="X223" s="2"/>
      <c r="Y223" s="2"/>
      <c r="Z223" s="2"/>
      <c r="AA223" s="2"/>
    </row>
    <row r="224" ht="15.75" customHeight="1">
      <c r="A224" s="19"/>
      <c r="B224" s="19"/>
      <c r="C224" s="19"/>
      <c r="D224" s="19"/>
      <c r="E224" s="19"/>
      <c r="F224" s="34" t="str">
        <f t="array" ref="F224">IF(INDEX('Binder Data'!$A$2:$A$251,ROW()-1)="","",IF(INDEX('Binder Data'!$D$2:$D$251,ROW()-1)="Needed",INDEX('Binder Data'!$B$2:$B$251,ROW()-1),INDEX('Binder Data'!$D$2:$D$251,ROW()-1)))</f>
        <v/>
      </c>
      <c r="G224" s="19"/>
      <c r="H224" s="19"/>
      <c r="I224" s="19"/>
      <c r="J224" s="19"/>
      <c r="K224" s="19"/>
      <c r="L224" s="19"/>
      <c r="M224" s="19"/>
      <c r="N224" s="19"/>
      <c r="O224" s="19"/>
      <c r="P224" s="19"/>
      <c r="Q224" s="2"/>
      <c r="R224" s="2"/>
      <c r="S224" s="2"/>
      <c r="T224" s="2"/>
      <c r="U224" s="2"/>
      <c r="V224" s="2"/>
      <c r="W224" s="2"/>
      <c r="X224" s="2"/>
      <c r="Y224" s="2"/>
      <c r="Z224" s="2"/>
      <c r="AA224" s="2"/>
    </row>
    <row r="225" ht="15.75" customHeight="1">
      <c r="A225" s="19"/>
      <c r="B225" s="19"/>
      <c r="C225" s="19"/>
      <c r="D225" s="19"/>
      <c r="E225" s="19"/>
      <c r="F225" s="34" t="str">
        <f t="array" ref="F225">IF(INDEX('Binder Data'!$A$2:$A$251,ROW()-1)="","",IF(INDEX('Binder Data'!$D$2:$D$251,ROW()-1)="Needed",INDEX('Binder Data'!$B$2:$B$251,ROW()-1),INDEX('Binder Data'!$D$2:$D$251,ROW()-1)))</f>
        <v/>
      </c>
      <c r="G225" s="19"/>
      <c r="H225" s="19"/>
      <c r="I225" s="19"/>
      <c r="J225" s="19"/>
      <c r="K225" s="19"/>
      <c r="L225" s="19"/>
      <c r="M225" s="19"/>
      <c r="N225" s="19"/>
      <c r="O225" s="19"/>
      <c r="P225" s="19"/>
      <c r="Q225" s="2"/>
      <c r="R225" s="2"/>
      <c r="S225" s="2"/>
      <c r="T225" s="2"/>
      <c r="U225" s="2"/>
      <c r="V225" s="2"/>
      <c r="W225" s="2"/>
      <c r="X225" s="2"/>
      <c r="Y225" s="2"/>
      <c r="Z225" s="2"/>
      <c r="AA225" s="2"/>
    </row>
    <row r="226" ht="15.75" customHeight="1">
      <c r="A226" s="19"/>
      <c r="B226" s="19"/>
      <c r="C226" s="19"/>
      <c r="D226" s="19"/>
      <c r="E226" s="19"/>
      <c r="F226" s="34" t="str">
        <f t="array" ref="F226">IF(INDEX('Binder Data'!$A$2:$A$251,ROW()-1)="","",IF(INDEX('Binder Data'!$D$2:$D$251,ROW()-1)="Needed",INDEX('Binder Data'!$B$2:$B$251,ROW()-1),INDEX('Binder Data'!$D$2:$D$251,ROW()-1)))</f>
        <v/>
      </c>
      <c r="G226" s="19"/>
      <c r="H226" s="19"/>
      <c r="I226" s="19"/>
      <c r="J226" s="19"/>
      <c r="K226" s="19"/>
      <c r="L226" s="19"/>
      <c r="M226" s="19"/>
      <c r="N226" s="19"/>
      <c r="O226" s="19"/>
      <c r="P226" s="19"/>
      <c r="Q226" s="2"/>
      <c r="R226" s="2"/>
      <c r="S226" s="2"/>
      <c r="T226" s="2"/>
      <c r="U226" s="2"/>
      <c r="V226" s="2"/>
      <c r="W226" s="2"/>
      <c r="X226" s="2"/>
      <c r="Y226" s="2"/>
      <c r="Z226" s="2"/>
      <c r="AA226" s="2"/>
    </row>
    <row r="227" ht="15.75" customHeight="1">
      <c r="A227" s="19"/>
      <c r="B227" s="19"/>
      <c r="C227" s="19"/>
      <c r="D227" s="19"/>
      <c r="E227" s="19"/>
      <c r="F227" s="34" t="str">
        <f t="array" ref="F227">IF(INDEX('Binder Data'!$A$2:$A$251,ROW()-1)="","",IF(INDEX('Binder Data'!$D$2:$D$251,ROW()-1)="Needed",INDEX('Binder Data'!$B$2:$B$251,ROW()-1),INDEX('Binder Data'!$D$2:$D$251,ROW()-1)))</f>
        <v/>
      </c>
      <c r="G227" s="19"/>
      <c r="H227" s="19"/>
      <c r="I227" s="19"/>
      <c r="J227" s="19"/>
      <c r="K227" s="19"/>
      <c r="L227" s="19"/>
      <c r="M227" s="19"/>
      <c r="N227" s="19"/>
      <c r="O227" s="19"/>
      <c r="P227" s="19"/>
      <c r="Q227" s="2"/>
      <c r="R227" s="2"/>
      <c r="S227" s="2"/>
      <c r="T227" s="2"/>
      <c r="U227" s="2"/>
      <c r="V227" s="2"/>
      <c r="W227" s="2"/>
      <c r="X227" s="2"/>
      <c r="Y227" s="2"/>
      <c r="Z227" s="2"/>
      <c r="AA227" s="2"/>
    </row>
    <row r="228" ht="15.75" customHeight="1">
      <c r="A228" s="19"/>
      <c r="B228" s="19"/>
      <c r="C228" s="19"/>
      <c r="D228" s="19"/>
      <c r="E228" s="19"/>
      <c r="F228" s="34" t="str">
        <f t="array" ref="F228">IF(INDEX('Binder Data'!$A$2:$A$251,ROW()-1)="","",IF(INDEX('Binder Data'!$D$2:$D$251,ROW()-1)="Needed",INDEX('Binder Data'!$B$2:$B$251,ROW()-1),INDEX('Binder Data'!$D$2:$D$251,ROW()-1)))</f>
        <v/>
      </c>
      <c r="G228" s="19"/>
      <c r="H228" s="19"/>
      <c r="I228" s="19"/>
      <c r="J228" s="19"/>
      <c r="K228" s="19"/>
      <c r="L228" s="19"/>
      <c r="M228" s="19"/>
      <c r="N228" s="19"/>
      <c r="O228" s="19"/>
      <c r="P228" s="19"/>
      <c r="Q228" s="2"/>
      <c r="R228" s="2"/>
      <c r="S228" s="2"/>
      <c r="T228" s="2"/>
      <c r="U228" s="2"/>
      <c r="V228" s="2"/>
      <c r="W228" s="2"/>
      <c r="X228" s="2"/>
      <c r="Y228" s="2"/>
      <c r="Z228" s="2"/>
      <c r="AA228" s="2"/>
    </row>
    <row r="229" ht="15.75" customHeight="1">
      <c r="A229" s="19"/>
      <c r="B229" s="19"/>
      <c r="C229" s="19"/>
      <c r="D229" s="19"/>
      <c r="E229" s="19"/>
      <c r="F229" s="34" t="str">
        <f t="array" ref="F229">IF(INDEX('Binder Data'!$A$2:$A$251,ROW()-1)="","",IF(INDEX('Binder Data'!$D$2:$D$251,ROW()-1)="Needed",INDEX('Binder Data'!$B$2:$B$251,ROW()-1),INDEX('Binder Data'!$D$2:$D$251,ROW()-1)))</f>
        <v/>
      </c>
      <c r="G229" s="19"/>
      <c r="H229" s="19"/>
      <c r="I229" s="19"/>
      <c r="J229" s="19"/>
      <c r="K229" s="19"/>
      <c r="L229" s="19"/>
      <c r="M229" s="19"/>
      <c r="N229" s="19"/>
      <c r="O229" s="19"/>
      <c r="P229" s="19"/>
      <c r="Q229" s="2"/>
      <c r="R229" s="2"/>
      <c r="S229" s="2"/>
      <c r="T229" s="2"/>
      <c r="U229" s="2"/>
      <c r="V229" s="2"/>
      <c r="W229" s="2"/>
      <c r="X229" s="2"/>
      <c r="Y229" s="2"/>
      <c r="Z229" s="2"/>
      <c r="AA229" s="2"/>
    </row>
    <row r="230" ht="15.75" customHeight="1">
      <c r="A230" s="19"/>
      <c r="B230" s="19"/>
      <c r="C230" s="19"/>
      <c r="D230" s="19"/>
      <c r="E230" s="19"/>
      <c r="F230" s="34" t="str">
        <f t="array" ref="F230">IF(INDEX('Binder Data'!$A$2:$A$251,ROW()-1)="","",IF(INDEX('Binder Data'!$D$2:$D$251,ROW()-1)="Needed",INDEX('Binder Data'!$B$2:$B$251,ROW()-1),INDEX('Binder Data'!$D$2:$D$251,ROW()-1)))</f>
        <v/>
      </c>
      <c r="G230" s="19"/>
      <c r="H230" s="19"/>
      <c r="I230" s="19"/>
      <c r="J230" s="19"/>
      <c r="K230" s="19"/>
      <c r="L230" s="19"/>
      <c r="M230" s="19"/>
      <c r="N230" s="19"/>
      <c r="O230" s="19"/>
      <c r="P230" s="19"/>
      <c r="Q230" s="2"/>
      <c r="R230" s="2"/>
      <c r="S230" s="2"/>
      <c r="T230" s="2"/>
      <c r="U230" s="2"/>
      <c r="V230" s="2"/>
      <c r="W230" s="2"/>
      <c r="X230" s="2"/>
      <c r="Y230" s="2"/>
      <c r="Z230" s="2"/>
      <c r="AA230" s="2"/>
    </row>
    <row r="231" ht="15.75" customHeight="1">
      <c r="A231" s="19"/>
      <c r="B231" s="19"/>
      <c r="C231" s="19"/>
      <c r="D231" s="19"/>
      <c r="E231" s="19"/>
      <c r="F231" s="34" t="str">
        <f t="array" ref="F231">IF(INDEX('Binder Data'!$A$2:$A$251,ROW()-1)="","",IF(INDEX('Binder Data'!$D$2:$D$251,ROW()-1)="Needed",INDEX('Binder Data'!$B$2:$B$251,ROW()-1),INDEX('Binder Data'!$D$2:$D$251,ROW()-1)))</f>
        <v/>
      </c>
      <c r="G231" s="19"/>
      <c r="H231" s="19"/>
      <c r="I231" s="19"/>
      <c r="J231" s="19"/>
      <c r="K231" s="19"/>
      <c r="L231" s="19"/>
      <c r="M231" s="19"/>
      <c r="N231" s="19"/>
      <c r="O231" s="19"/>
      <c r="P231" s="19"/>
      <c r="Q231" s="2"/>
      <c r="R231" s="2"/>
      <c r="S231" s="2"/>
      <c r="T231" s="2"/>
      <c r="U231" s="2"/>
      <c r="V231" s="2"/>
      <c r="W231" s="2"/>
      <c r="X231" s="2"/>
      <c r="Y231" s="2"/>
      <c r="Z231" s="2"/>
      <c r="AA231" s="2"/>
    </row>
    <row r="232" ht="15.75" customHeight="1">
      <c r="A232" s="19"/>
      <c r="B232" s="19"/>
      <c r="C232" s="19"/>
      <c r="D232" s="19"/>
      <c r="E232" s="19"/>
      <c r="F232" s="34" t="str">
        <f t="array" ref="F232">IF(INDEX('Binder Data'!$A$2:$A$251,ROW()-1)="","",IF(INDEX('Binder Data'!$D$2:$D$251,ROW()-1)="Needed",INDEX('Binder Data'!$B$2:$B$251,ROW()-1),INDEX('Binder Data'!$D$2:$D$251,ROW()-1)))</f>
        <v/>
      </c>
      <c r="G232" s="19"/>
      <c r="H232" s="19"/>
      <c r="I232" s="19"/>
      <c r="J232" s="19"/>
      <c r="K232" s="19"/>
      <c r="L232" s="19"/>
      <c r="M232" s="19"/>
      <c r="N232" s="19"/>
      <c r="O232" s="19"/>
      <c r="P232" s="19"/>
      <c r="Q232" s="2"/>
      <c r="R232" s="2"/>
      <c r="S232" s="2"/>
      <c r="T232" s="2"/>
      <c r="U232" s="2"/>
      <c r="V232" s="2"/>
      <c r="W232" s="2"/>
      <c r="X232" s="2"/>
      <c r="Y232" s="2"/>
      <c r="Z232" s="2"/>
      <c r="AA232" s="2"/>
    </row>
    <row r="233" ht="15.75" customHeight="1">
      <c r="A233" s="19"/>
      <c r="B233" s="19"/>
      <c r="C233" s="19"/>
      <c r="D233" s="19"/>
      <c r="E233" s="19"/>
      <c r="F233" s="34" t="str">
        <f t="array" ref="F233">IF(INDEX('Binder Data'!$A$2:$A$251,ROW()-1)="","",IF(INDEX('Binder Data'!$D$2:$D$251,ROW()-1)="Needed",INDEX('Binder Data'!$B$2:$B$251,ROW()-1),INDEX('Binder Data'!$D$2:$D$251,ROW()-1)))</f>
        <v/>
      </c>
      <c r="G233" s="19"/>
      <c r="H233" s="19"/>
      <c r="I233" s="19"/>
      <c r="J233" s="19"/>
      <c r="K233" s="19"/>
      <c r="L233" s="19"/>
      <c r="M233" s="19"/>
      <c r="N233" s="19"/>
      <c r="O233" s="19"/>
      <c r="P233" s="19"/>
      <c r="Q233" s="2"/>
      <c r="R233" s="2"/>
      <c r="S233" s="2"/>
      <c r="T233" s="2"/>
      <c r="U233" s="2"/>
      <c r="V233" s="2"/>
      <c r="W233" s="2"/>
      <c r="X233" s="2"/>
      <c r="Y233" s="2"/>
      <c r="Z233" s="2"/>
      <c r="AA233" s="2"/>
    </row>
    <row r="234" ht="15.75" customHeight="1">
      <c r="A234" s="19"/>
      <c r="B234" s="19"/>
      <c r="C234" s="19"/>
      <c r="D234" s="19"/>
      <c r="E234" s="19"/>
      <c r="F234" s="34" t="str">
        <f t="array" ref="F234">IF(INDEX('Binder Data'!$A$2:$A$251,ROW()-1)="","",IF(INDEX('Binder Data'!$D$2:$D$251,ROW()-1)="Needed",INDEX('Binder Data'!$B$2:$B$251,ROW()-1),INDEX('Binder Data'!$D$2:$D$251,ROW()-1)))</f>
        <v/>
      </c>
      <c r="G234" s="19"/>
      <c r="H234" s="19"/>
      <c r="I234" s="19"/>
      <c r="J234" s="19"/>
      <c r="K234" s="19"/>
      <c r="L234" s="19"/>
      <c r="M234" s="19"/>
      <c r="N234" s="19"/>
      <c r="O234" s="19"/>
      <c r="P234" s="19"/>
      <c r="Q234" s="2"/>
      <c r="R234" s="2"/>
      <c r="S234" s="2"/>
      <c r="T234" s="2"/>
      <c r="U234" s="2"/>
      <c r="V234" s="2"/>
      <c r="W234" s="2"/>
      <c r="X234" s="2"/>
      <c r="Y234" s="2"/>
      <c r="Z234" s="2"/>
      <c r="AA234" s="2"/>
    </row>
    <row r="235" ht="15.75" customHeight="1">
      <c r="A235" s="19"/>
      <c r="B235" s="19"/>
      <c r="C235" s="19"/>
      <c r="D235" s="19"/>
      <c r="E235" s="19"/>
      <c r="F235" s="34" t="str">
        <f t="array" ref="F235">IF(INDEX('Binder Data'!$A$2:$A$251,ROW()-1)="","",IF(INDEX('Binder Data'!$D$2:$D$251,ROW()-1)="Needed",INDEX('Binder Data'!$B$2:$B$251,ROW()-1),INDEX('Binder Data'!$D$2:$D$251,ROW()-1)))</f>
        <v/>
      </c>
      <c r="G235" s="19"/>
      <c r="H235" s="19"/>
      <c r="I235" s="19"/>
      <c r="J235" s="19"/>
      <c r="K235" s="19"/>
      <c r="L235" s="19"/>
      <c r="M235" s="19"/>
      <c r="N235" s="19"/>
      <c r="O235" s="19"/>
      <c r="P235" s="19"/>
      <c r="Q235" s="2"/>
      <c r="R235" s="2"/>
      <c r="S235" s="2"/>
      <c r="T235" s="2"/>
      <c r="U235" s="2"/>
      <c r="V235" s="2"/>
      <c r="W235" s="2"/>
      <c r="X235" s="2"/>
      <c r="Y235" s="2"/>
      <c r="Z235" s="2"/>
      <c r="AA235" s="2"/>
    </row>
    <row r="236" ht="15.75" customHeight="1">
      <c r="A236" s="19"/>
      <c r="B236" s="19"/>
      <c r="C236" s="19"/>
      <c r="D236" s="19"/>
      <c r="E236" s="19"/>
      <c r="F236" s="34" t="str">
        <f t="array" ref="F236">IF(INDEX('Binder Data'!$A$2:$A$251,ROW()-1)="","",IF(INDEX('Binder Data'!$D$2:$D$251,ROW()-1)="Needed",INDEX('Binder Data'!$B$2:$B$251,ROW()-1),INDEX('Binder Data'!$D$2:$D$251,ROW()-1)))</f>
        <v/>
      </c>
      <c r="G236" s="19"/>
      <c r="H236" s="19"/>
      <c r="I236" s="19"/>
      <c r="J236" s="19"/>
      <c r="K236" s="19"/>
      <c r="L236" s="19"/>
      <c r="M236" s="19"/>
      <c r="N236" s="19"/>
      <c r="O236" s="19"/>
      <c r="P236" s="19"/>
      <c r="Q236" s="2"/>
      <c r="R236" s="2"/>
      <c r="S236" s="2"/>
      <c r="T236" s="2"/>
      <c r="U236" s="2"/>
      <c r="V236" s="2"/>
      <c r="W236" s="2"/>
      <c r="X236" s="2"/>
      <c r="Y236" s="2"/>
      <c r="Z236" s="2"/>
      <c r="AA236" s="2"/>
    </row>
    <row r="237" ht="15.75" customHeight="1">
      <c r="A237" s="19"/>
      <c r="B237" s="19"/>
      <c r="C237" s="19"/>
      <c r="D237" s="19"/>
      <c r="E237" s="19"/>
      <c r="F237" s="34" t="str">
        <f t="array" ref="F237">IF(INDEX('Binder Data'!$A$2:$A$251,ROW()-1)="","",IF(INDEX('Binder Data'!$D$2:$D$251,ROW()-1)="Needed",INDEX('Binder Data'!$B$2:$B$251,ROW()-1),INDEX('Binder Data'!$D$2:$D$251,ROW()-1)))</f>
        <v/>
      </c>
      <c r="G237" s="19"/>
      <c r="H237" s="19"/>
      <c r="I237" s="19"/>
      <c r="J237" s="19"/>
      <c r="K237" s="19"/>
      <c r="L237" s="19"/>
      <c r="M237" s="19"/>
      <c r="N237" s="19"/>
      <c r="O237" s="19"/>
      <c r="P237" s="19"/>
      <c r="Q237" s="2"/>
      <c r="R237" s="2"/>
      <c r="S237" s="2"/>
      <c r="T237" s="2"/>
      <c r="U237" s="2"/>
      <c r="V237" s="2"/>
      <c r="W237" s="2"/>
      <c r="X237" s="2"/>
      <c r="Y237" s="2"/>
      <c r="Z237" s="2"/>
      <c r="AA237" s="2"/>
    </row>
    <row r="238" ht="15.75" customHeight="1">
      <c r="A238" s="19"/>
      <c r="B238" s="19"/>
      <c r="C238" s="19"/>
      <c r="D238" s="19"/>
      <c r="E238" s="19"/>
      <c r="F238" s="34" t="str">
        <f t="array" ref="F238">IF(INDEX('Binder Data'!$A$2:$A$251,ROW()-1)="","",IF(INDEX('Binder Data'!$D$2:$D$251,ROW()-1)="Needed",INDEX('Binder Data'!$B$2:$B$251,ROW()-1),INDEX('Binder Data'!$D$2:$D$251,ROW()-1)))</f>
        <v/>
      </c>
      <c r="G238" s="19"/>
      <c r="H238" s="19"/>
      <c r="I238" s="19"/>
      <c r="J238" s="19"/>
      <c r="K238" s="19"/>
      <c r="L238" s="19"/>
      <c r="M238" s="19"/>
      <c r="N238" s="19"/>
      <c r="O238" s="19"/>
      <c r="P238" s="19"/>
      <c r="Q238" s="2"/>
      <c r="R238" s="2"/>
      <c r="S238" s="2"/>
      <c r="T238" s="2"/>
      <c r="U238" s="2"/>
      <c r="V238" s="2"/>
      <c r="W238" s="2"/>
      <c r="X238" s="2"/>
      <c r="Y238" s="2"/>
      <c r="Z238" s="2"/>
      <c r="AA238" s="2"/>
    </row>
    <row r="239" ht="15.75" customHeight="1">
      <c r="A239" s="19"/>
      <c r="B239" s="19"/>
      <c r="C239" s="19"/>
      <c r="D239" s="19"/>
      <c r="E239" s="19"/>
      <c r="F239" s="34" t="str">
        <f t="array" ref="F239">IF(INDEX('Binder Data'!$A$2:$A$251,ROW()-1)="","",IF(INDEX('Binder Data'!$D$2:$D$251,ROW()-1)="Needed",INDEX('Binder Data'!$B$2:$B$251,ROW()-1),INDEX('Binder Data'!$D$2:$D$251,ROW()-1)))</f>
        <v/>
      </c>
      <c r="G239" s="19"/>
      <c r="H239" s="19"/>
      <c r="I239" s="19"/>
      <c r="J239" s="19"/>
      <c r="K239" s="19"/>
      <c r="L239" s="19"/>
      <c r="M239" s="19"/>
      <c r="N239" s="19"/>
      <c r="O239" s="19"/>
      <c r="P239" s="19"/>
      <c r="Q239" s="2"/>
      <c r="R239" s="2"/>
      <c r="S239" s="2"/>
      <c r="T239" s="2"/>
      <c r="U239" s="2"/>
      <c r="V239" s="2"/>
      <c r="W239" s="2"/>
      <c r="X239" s="2"/>
      <c r="Y239" s="2"/>
      <c r="Z239" s="2"/>
      <c r="AA239" s="2"/>
    </row>
    <row r="240" ht="15.75" customHeight="1">
      <c r="A240" s="19"/>
      <c r="B240" s="19"/>
      <c r="C240" s="19"/>
      <c r="D240" s="19"/>
      <c r="E240" s="19"/>
      <c r="F240" s="34" t="str">
        <f t="array" ref="F240">IF(INDEX('Binder Data'!$A$2:$A$251,ROW()-1)="","",IF(INDEX('Binder Data'!$D$2:$D$251,ROW()-1)="Needed",INDEX('Binder Data'!$B$2:$B$251,ROW()-1),INDEX('Binder Data'!$D$2:$D$251,ROW()-1)))</f>
        <v/>
      </c>
      <c r="G240" s="19"/>
      <c r="H240" s="19"/>
      <c r="I240" s="19"/>
      <c r="J240" s="19"/>
      <c r="K240" s="19"/>
      <c r="L240" s="19"/>
      <c r="M240" s="19"/>
      <c r="N240" s="19"/>
      <c r="O240" s="19"/>
      <c r="P240" s="19"/>
      <c r="Q240" s="2"/>
      <c r="R240" s="2"/>
      <c r="S240" s="2"/>
      <c r="T240" s="2"/>
      <c r="U240" s="2"/>
      <c r="V240" s="2"/>
      <c r="W240" s="2"/>
      <c r="X240" s="2"/>
      <c r="Y240" s="2"/>
      <c r="Z240" s="2"/>
      <c r="AA240" s="2"/>
    </row>
    <row r="241" ht="15.75" customHeight="1">
      <c r="A241" s="19"/>
      <c r="B241" s="19"/>
      <c r="C241" s="19"/>
      <c r="D241" s="19"/>
      <c r="E241" s="19"/>
      <c r="F241" s="34" t="str">
        <f t="array" ref="F241">IF(INDEX('Binder Data'!$A$2:$A$251,ROW()-1)="","",IF(INDEX('Binder Data'!$D$2:$D$251,ROW()-1)="Needed",INDEX('Binder Data'!$B$2:$B$251,ROW()-1),INDEX('Binder Data'!$D$2:$D$251,ROW()-1)))</f>
        <v/>
      </c>
      <c r="G241" s="19"/>
      <c r="H241" s="19"/>
      <c r="I241" s="19"/>
      <c r="J241" s="19"/>
      <c r="K241" s="19"/>
      <c r="L241" s="19"/>
      <c r="M241" s="19"/>
      <c r="N241" s="19"/>
      <c r="O241" s="19"/>
      <c r="P241" s="19"/>
      <c r="Q241" s="2"/>
      <c r="R241" s="2"/>
      <c r="S241" s="2"/>
      <c r="T241" s="2"/>
      <c r="U241" s="2"/>
      <c r="V241" s="2"/>
      <c r="W241" s="2"/>
      <c r="X241" s="2"/>
      <c r="Y241" s="2"/>
      <c r="Z241" s="2"/>
      <c r="AA241" s="2"/>
    </row>
    <row r="242" ht="15.75" customHeight="1">
      <c r="A242" s="19"/>
      <c r="B242" s="19"/>
      <c r="C242" s="19"/>
      <c r="D242" s="19"/>
      <c r="E242" s="19"/>
      <c r="F242" s="34" t="str">
        <f t="array" ref="F242">IF(INDEX('Binder Data'!$A$2:$A$251,ROW()-1)="","",IF(INDEX('Binder Data'!$D$2:$D$251,ROW()-1)="Needed",INDEX('Binder Data'!$B$2:$B$251,ROW()-1),INDEX('Binder Data'!$D$2:$D$251,ROW()-1)))</f>
        <v/>
      </c>
      <c r="G242" s="19"/>
      <c r="H242" s="19"/>
      <c r="I242" s="19"/>
      <c r="J242" s="19"/>
      <c r="K242" s="19"/>
      <c r="L242" s="19"/>
      <c r="M242" s="19"/>
      <c r="N242" s="19"/>
      <c r="O242" s="19"/>
      <c r="P242" s="19"/>
      <c r="Q242" s="2"/>
      <c r="R242" s="2"/>
      <c r="S242" s="2"/>
      <c r="T242" s="2"/>
      <c r="U242" s="2"/>
      <c r="V242" s="2"/>
      <c r="W242" s="2"/>
      <c r="X242" s="2"/>
      <c r="Y242" s="2"/>
      <c r="Z242" s="2"/>
      <c r="AA242" s="2"/>
    </row>
    <row r="243" ht="15.75" customHeight="1">
      <c r="A243" s="19"/>
      <c r="B243" s="19"/>
      <c r="C243" s="19"/>
      <c r="D243" s="19"/>
      <c r="E243" s="19"/>
      <c r="F243" s="34" t="str">
        <f t="array" ref="F243">IF(INDEX('Binder Data'!$A$2:$A$251,ROW()-1)="","",IF(INDEX('Binder Data'!$D$2:$D$251,ROW()-1)="Needed",INDEX('Binder Data'!$B$2:$B$251,ROW()-1),INDEX('Binder Data'!$D$2:$D$251,ROW()-1)))</f>
        <v/>
      </c>
      <c r="G243" s="19"/>
      <c r="H243" s="19"/>
      <c r="I243" s="19"/>
      <c r="J243" s="19"/>
      <c r="K243" s="19"/>
      <c r="L243" s="19"/>
      <c r="M243" s="19"/>
      <c r="N243" s="19"/>
      <c r="O243" s="19"/>
      <c r="P243" s="19"/>
      <c r="Q243" s="2"/>
      <c r="R243" s="2"/>
      <c r="S243" s="2"/>
      <c r="T243" s="2"/>
      <c r="U243" s="2"/>
      <c r="V243" s="2"/>
      <c r="W243" s="2"/>
      <c r="X243" s="2"/>
      <c r="Y243" s="2"/>
      <c r="Z243" s="2"/>
      <c r="AA243" s="2"/>
    </row>
    <row r="244" ht="15.75" customHeight="1">
      <c r="A244" s="19"/>
      <c r="B244" s="19"/>
      <c r="C244" s="19"/>
      <c r="D244" s="19"/>
      <c r="E244" s="19"/>
      <c r="F244" s="34" t="str">
        <f t="array" ref="F244">IF(INDEX('Binder Data'!$A$2:$A$251,ROW()-1)="","",IF(INDEX('Binder Data'!$D$2:$D$251,ROW()-1)="Needed",INDEX('Binder Data'!$B$2:$B$251,ROW()-1),INDEX('Binder Data'!$D$2:$D$251,ROW()-1)))</f>
        <v/>
      </c>
      <c r="G244" s="19"/>
      <c r="H244" s="19"/>
      <c r="I244" s="19"/>
      <c r="J244" s="19"/>
      <c r="K244" s="19"/>
      <c r="L244" s="19"/>
      <c r="M244" s="19"/>
      <c r="N244" s="19"/>
      <c r="O244" s="19"/>
      <c r="P244" s="19"/>
      <c r="Q244" s="2"/>
      <c r="R244" s="2"/>
      <c r="S244" s="2"/>
      <c r="T244" s="2"/>
      <c r="U244" s="2"/>
      <c r="V244" s="2"/>
      <c r="W244" s="2"/>
      <c r="X244" s="2"/>
      <c r="Y244" s="2"/>
      <c r="Z244" s="2"/>
      <c r="AA244" s="2"/>
    </row>
    <row r="245" ht="15.75" customHeight="1">
      <c r="A245" s="19"/>
      <c r="B245" s="19"/>
      <c r="C245" s="19"/>
      <c r="D245" s="19"/>
      <c r="E245" s="19"/>
      <c r="F245" s="34" t="str">
        <f t="array" ref="F245">IF(INDEX('Binder Data'!$A$2:$A$251,ROW()-1)="","",IF(INDEX('Binder Data'!$D$2:$D$251,ROW()-1)="Needed",INDEX('Binder Data'!$B$2:$B$251,ROW()-1),INDEX('Binder Data'!$D$2:$D$251,ROW()-1)))</f>
        <v/>
      </c>
      <c r="G245" s="19"/>
      <c r="H245" s="19"/>
      <c r="I245" s="19"/>
      <c r="J245" s="19"/>
      <c r="K245" s="19"/>
      <c r="L245" s="19"/>
      <c r="M245" s="19"/>
      <c r="N245" s="19"/>
      <c r="O245" s="19"/>
      <c r="P245" s="19"/>
      <c r="Q245" s="2"/>
      <c r="R245" s="2"/>
      <c r="S245" s="2"/>
      <c r="T245" s="2"/>
      <c r="U245" s="2"/>
      <c r="V245" s="2"/>
      <c r="W245" s="2"/>
      <c r="X245" s="2"/>
      <c r="Y245" s="2"/>
      <c r="Z245" s="2"/>
      <c r="AA245" s="2"/>
    </row>
    <row r="246" ht="15.75" customHeight="1">
      <c r="A246" s="19"/>
      <c r="B246" s="19"/>
      <c r="C246" s="19"/>
      <c r="D246" s="19"/>
      <c r="E246" s="19"/>
      <c r="F246" s="34" t="str">
        <f t="array" ref="F246">IF(INDEX('Binder Data'!$A$2:$A$251,ROW()-1)="","",IF(INDEX('Binder Data'!$D$2:$D$251,ROW()-1)="Needed",INDEX('Binder Data'!$B$2:$B$251,ROW()-1),INDEX('Binder Data'!$D$2:$D$251,ROW()-1)))</f>
        <v/>
      </c>
      <c r="G246" s="19"/>
      <c r="H246" s="19"/>
      <c r="I246" s="19"/>
      <c r="J246" s="19"/>
      <c r="K246" s="19"/>
      <c r="L246" s="19"/>
      <c r="M246" s="19"/>
      <c r="N246" s="19"/>
      <c r="O246" s="19"/>
      <c r="P246" s="19"/>
      <c r="Q246" s="2"/>
      <c r="R246" s="2"/>
      <c r="S246" s="2"/>
      <c r="T246" s="2"/>
      <c r="U246" s="2"/>
      <c r="V246" s="2"/>
      <c r="W246" s="2"/>
      <c r="X246" s="2"/>
      <c r="Y246" s="2"/>
      <c r="Z246" s="2"/>
      <c r="AA246" s="2"/>
    </row>
    <row r="247" ht="15.75" customHeight="1">
      <c r="A247" s="19"/>
      <c r="B247" s="19"/>
      <c r="C247" s="19"/>
      <c r="D247" s="19"/>
      <c r="E247" s="19"/>
      <c r="F247" s="34" t="str">
        <f t="array" ref="F247">IF(INDEX('Binder Data'!$A$2:$A$251,ROW()-1)="","",IF(INDEX('Binder Data'!$D$2:$D$251,ROW()-1)="Needed",INDEX('Binder Data'!$B$2:$B$251,ROW()-1),INDEX('Binder Data'!$D$2:$D$251,ROW()-1)))</f>
        <v/>
      </c>
      <c r="G247" s="19"/>
      <c r="H247" s="19"/>
      <c r="I247" s="19"/>
      <c r="J247" s="19"/>
      <c r="K247" s="19"/>
      <c r="L247" s="19"/>
      <c r="M247" s="19"/>
      <c r="N247" s="19"/>
      <c r="O247" s="19"/>
      <c r="P247" s="19"/>
      <c r="Q247" s="2"/>
      <c r="R247" s="2"/>
      <c r="S247" s="2"/>
      <c r="T247" s="2"/>
      <c r="U247" s="2"/>
      <c r="V247" s="2"/>
      <c r="W247" s="2"/>
      <c r="X247" s="2"/>
      <c r="Y247" s="2"/>
      <c r="Z247" s="2"/>
      <c r="AA247" s="2"/>
    </row>
    <row r="248" ht="15.75" customHeight="1">
      <c r="A248" s="19"/>
      <c r="B248" s="19"/>
      <c r="C248" s="19"/>
      <c r="D248" s="19"/>
      <c r="E248" s="19"/>
      <c r="F248" s="34" t="str">
        <f t="array" ref="F248">IF(INDEX('Binder Data'!$A$2:$A$251,ROW()-1)="","",IF(INDEX('Binder Data'!$D$2:$D$251,ROW()-1)="Needed",INDEX('Binder Data'!$B$2:$B$251,ROW()-1),INDEX('Binder Data'!$D$2:$D$251,ROW()-1)))</f>
        <v/>
      </c>
      <c r="G248" s="19"/>
      <c r="H248" s="19"/>
      <c r="I248" s="19"/>
      <c r="J248" s="19"/>
      <c r="K248" s="19"/>
      <c r="L248" s="19"/>
      <c r="M248" s="19"/>
      <c r="N248" s="19"/>
      <c r="O248" s="19"/>
      <c r="P248" s="19"/>
      <c r="Q248" s="2"/>
      <c r="R248" s="2"/>
      <c r="S248" s="2"/>
      <c r="T248" s="2"/>
      <c r="U248" s="2"/>
      <c r="V248" s="2"/>
      <c r="W248" s="2"/>
      <c r="X248" s="2"/>
      <c r="Y248" s="2"/>
      <c r="Z248" s="2"/>
      <c r="AA248" s="2"/>
    </row>
    <row r="249" ht="15.75" customHeight="1">
      <c r="A249" s="19"/>
      <c r="B249" s="19"/>
      <c r="C249" s="19"/>
      <c r="D249" s="19"/>
      <c r="E249" s="19"/>
      <c r="F249" s="34" t="str">
        <f t="array" ref="F249">IF(INDEX('Binder Data'!$A$2:$A$251,ROW()-1)="","",IF(INDEX('Binder Data'!$D$2:$D$251,ROW()-1)="Needed",INDEX('Binder Data'!$B$2:$B$251,ROW()-1),INDEX('Binder Data'!$D$2:$D$251,ROW()-1)))</f>
        <v/>
      </c>
      <c r="G249" s="19"/>
      <c r="H249" s="19"/>
      <c r="I249" s="19"/>
      <c r="J249" s="19"/>
      <c r="K249" s="19"/>
      <c r="L249" s="19"/>
      <c r="M249" s="19"/>
      <c r="N249" s="19"/>
      <c r="O249" s="19"/>
      <c r="P249" s="19"/>
      <c r="Q249" s="2"/>
      <c r="R249" s="2"/>
      <c r="S249" s="2"/>
      <c r="T249" s="2"/>
      <c r="U249" s="2"/>
      <c r="V249" s="2"/>
      <c r="W249" s="2"/>
      <c r="X249" s="2"/>
      <c r="Y249" s="2"/>
      <c r="Z249" s="2"/>
      <c r="AA249" s="2"/>
    </row>
    <row r="250" ht="15.75" customHeight="1">
      <c r="A250" s="19"/>
      <c r="B250" s="19"/>
      <c r="C250" s="19"/>
      <c r="D250" s="19"/>
      <c r="E250" s="19"/>
      <c r="F250" s="34" t="str">
        <f t="array" ref="F250">IF(INDEX('Binder Data'!$A$2:$A$251,ROW()-1)="","",IF(INDEX('Binder Data'!$D$2:$D$251,ROW()-1)="Needed",INDEX('Binder Data'!$B$2:$B$251,ROW()-1),INDEX('Binder Data'!$D$2:$D$251,ROW()-1)))</f>
        <v/>
      </c>
      <c r="G250" s="19"/>
      <c r="H250" s="19"/>
      <c r="I250" s="19"/>
      <c r="J250" s="19"/>
      <c r="K250" s="19"/>
      <c r="L250" s="19"/>
      <c r="M250" s="19"/>
      <c r="N250" s="19"/>
      <c r="O250" s="19"/>
      <c r="P250" s="19"/>
      <c r="Q250" s="2"/>
      <c r="R250" s="2"/>
      <c r="S250" s="2"/>
      <c r="T250" s="2"/>
      <c r="U250" s="2"/>
      <c r="V250" s="2"/>
      <c r="W250" s="2"/>
      <c r="X250" s="2"/>
      <c r="Y250" s="2"/>
      <c r="Z250" s="2"/>
      <c r="AA250" s="2"/>
    </row>
    <row r="251" ht="15.75" customHeight="1">
      <c r="A251" s="19"/>
      <c r="B251" s="19"/>
      <c r="C251" s="19"/>
      <c r="D251" s="19"/>
      <c r="E251" s="19"/>
      <c r="F251" s="34" t="str">
        <f t="array" ref="F251">IF(INDEX('Binder Data'!$A$2:$A$251,ROW()-1)="","",IF(INDEX('Binder Data'!$D$2:$D$251,ROW()-1)="Needed",INDEX('Binder Data'!$B$2:$B$251,ROW()-1),INDEX('Binder Data'!$D$2:$D$251,ROW()-1)))</f>
        <v/>
      </c>
      <c r="G251" s="19"/>
      <c r="H251" s="19"/>
      <c r="I251" s="19"/>
      <c r="J251" s="19"/>
      <c r="K251" s="19"/>
      <c r="L251" s="19"/>
      <c r="M251" s="19"/>
      <c r="N251" s="19"/>
      <c r="O251" s="19"/>
      <c r="P251" s="19"/>
      <c r="Q251" s="2"/>
      <c r="R251" s="2"/>
      <c r="S251" s="2"/>
      <c r="T251" s="2"/>
      <c r="U251" s="2"/>
      <c r="V251" s="2"/>
      <c r="W251" s="2"/>
      <c r="X251" s="2"/>
      <c r="Y251" s="2"/>
      <c r="Z251" s="2"/>
      <c r="AA251" s="2"/>
    </row>
    <row r="252" ht="15.75" customHeight="1">
      <c r="A252" s="19"/>
      <c r="B252" s="19"/>
      <c r="C252" s="19"/>
      <c r="D252" s="19"/>
      <c r="E252" s="19"/>
      <c r="F252" s="2"/>
      <c r="G252" s="19"/>
      <c r="H252" s="19"/>
      <c r="I252" s="19"/>
      <c r="J252" s="19"/>
      <c r="K252" s="19"/>
      <c r="L252" s="19"/>
      <c r="M252" s="19"/>
      <c r="N252" s="19"/>
      <c r="O252" s="19"/>
      <c r="P252" s="19"/>
      <c r="Q252" s="2"/>
      <c r="R252" s="2"/>
      <c r="S252" s="2"/>
      <c r="T252" s="2"/>
      <c r="U252" s="2"/>
      <c r="V252" s="2"/>
      <c r="W252" s="2"/>
      <c r="X252" s="2"/>
      <c r="Y252" s="2"/>
      <c r="Z252" s="2"/>
      <c r="AA252" s="2"/>
    </row>
    <row r="253" ht="15.75" customHeight="1">
      <c r="A253" s="19"/>
      <c r="B253" s="19"/>
      <c r="C253" s="19"/>
      <c r="D253" s="19"/>
      <c r="E253" s="19"/>
      <c r="F253" s="2"/>
      <c r="G253" s="19"/>
      <c r="H253" s="19"/>
      <c r="I253" s="19"/>
      <c r="J253" s="19"/>
      <c r="K253" s="19"/>
      <c r="L253" s="19"/>
      <c r="M253" s="19"/>
      <c r="N253" s="19"/>
      <c r="O253" s="19"/>
      <c r="P253" s="19"/>
      <c r="Q253" s="2"/>
      <c r="R253" s="2"/>
      <c r="S253" s="2"/>
      <c r="T253" s="2"/>
      <c r="U253" s="2"/>
      <c r="V253" s="2"/>
      <c r="W253" s="2"/>
      <c r="X253" s="2"/>
      <c r="Y253" s="2"/>
      <c r="Z253" s="2"/>
      <c r="AA253" s="2"/>
    </row>
    <row r="254" ht="15.75" customHeight="1">
      <c r="A254" s="19"/>
      <c r="B254" s="19"/>
      <c r="C254" s="19"/>
      <c r="D254" s="19"/>
      <c r="E254" s="19"/>
      <c r="F254" s="2"/>
      <c r="G254" s="19"/>
      <c r="H254" s="19"/>
      <c r="I254" s="19"/>
      <c r="J254" s="19"/>
      <c r="K254" s="19"/>
      <c r="L254" s="19"/>
      <c r="M254" s="19"/>
      <c r="N254" s="19"/>
      <c r="O254" s="19"/>
      <c r="P254" s="19"/>
      <c r="Q254" s="2"/>
      <c r="R254" s="2"/>
      <c r="S254" s="2"/>
      <c r="T254" s="2"/>
      <c r="U254" s="2"/>
      <c r="V254" s="2"/>
      <c r="W254" s="2"/>
      <c r="X254" s="2"/>
      <c r="Y254" s="2"/>
      <c r="Z254" s="2"/>
      <c r="AA254" s="2"/>
    </row>
    <row r="255" ht="15.75" customHeight="1">
      <c r="A255" s="19"/>
      <c r="B255" s="19"/>
      <c r="C255" s="19"/>
      <c r="D255" s="19"/>
      <c r="E255" s="19"/>
      <c r="F255" s="2"/>
      <c r="G255" s="19"/>
      <c r="H255" s="19"/>
      <c r="I255" s="19"/>
      <c r="J255" s="19"/>
      <c r="K255" s="19"/>
      <c r="L255" s="19"/>
      <c r="M255" s="19"/>
      <c r="N255" s="19"/>
      <c r="O255" s="19"/>
      <c r="P255" s="19"/>
      <c r="Q255" s="2"/>
      <c r="R255" s="2"/>
      <c r="S255" s="2"/>
      <c r="T255" s="2"/>
      <c r="U255" s="2"/>
      <c r="V255" s="2"/>
      <c r="W255" s="2"/>
      <c r="X255" s="2"/>
      <c r="Y255" s="2"/>
      <c r="Z255" s="2"/>
      <c r="AA255" s="2"/>
    </row>
    <row r="256" ht="15.75" customHeight="1">
      <c r="A256" s="19"/>
      <c r="B256" s="19"/>
      <c r="C256" s="19"/>
      <c r="D256" s="19"/>
      <c r="E256" s="19"/>
      <c r="F256" s="2"/>
      <c r="G256" s="19"/>
      <c r="H256" s="19"/>
      <c r="I256" s="19"/>
      <c r="J256" s="19"/>
      <c r="K256" s="19"/>
      <c r="L256" s="19"/>
      <c r="M256" s="19"/>
      <c r="N256" s="19"/>
      <c r="O256" s="19"/>
      <c r="P256" s="19"/>
      <c r="Q256" s="2"/>
      <c r="R256" s="2"/>
      <c r="S256" s="2"/>
      <c r="T256" s="2"/>
      <c r="U256" s="2"/>
      <c r="V256" s="2"/>
      <c r="W256" s="2"/>
      <c r="X256" s="2"/>
      <c r="Y256" s="2"/>
      <c r="Z256" s="2"/>
      <c r="AA256" s="2"/>
    </row>
    <row r="257" ht="15.75" customHeight="1">
      <c r="A257" s="19"/>
      <c r="B257" s="19"/>
      <c r="C257" s="19"/>
      <c r="D257" s="19"/>
      <c r="E257" s="19"/>
      <c r="F257" s="2"/>
      <c r="G257" s="19"/>
      <c r="H257" s="19"/>
      <c r="I257" s="19"/>
      <c r="J257" s="19"/>
      <c r="K257" s="19"/>
      <c r="L257" s="19"/>
      <c r="M257" s="19"/>
      <c r="N257" s="19"/>
      <c r="O257" s="19"/>
      <c r="P257" s="19"/>
      <c r="Q257" s="2"/>
      <c r="R257" s="2"/>
      <c r="S257" s="2"/>
      <c r="T257" s="2"/>
      <c r="U257" s="2"/>
      <c r="V257" s="2"/>
      <c r="W257" s="2"/>
      <c r="X257" s="2"/>
      <c r="Y257" s="2"/>
      <c r="Z257" s="2"/>
      <c r="AA257" s="2"/>
    </row>
    <row r="258" ht="15.75" customHeight="1">
      <c r="A258" s="19"/>
      <c r="B258" s="19"/>
      <c r="C258" s="19"/>
      <c r="D258" s="19"/>
      <c r="E258" s="19"/>
      <c r="F258" s="2"/>
      <c r="G258" s="19"/>
      <c r="H258" s="19"/>
      <c r="I258" s="19"/>
      <c r="J258" s="19"/>
      <c r="K258" s="19"/>
      <c r="L258" s="19"/>
      <c r="M258" s="19"/>
      <c r="N258" s="19"/>
      <c r="O258" s="19"/>
      <c r="P258" s="19"/>
      <c r="Q258" s="2"/>
      <c r="R258" s="2"/>
      <c r="S258" s="2"/>
      <c r="T258" s="2"/>
      <c r="U258" s="2"/>
      <c r="V258" s="2"/>
      <c r="W258" s="2"/>
      <c r="X258" s="2"/>
      <c r="Y258" s="2"/>
      <c r="Z258" s="2"/>
      <c r="AA258" s="2"/>
    </row>
    <row r="259" ht="15.75" customHeight="1">
      <c r="A259" s="19"/>
      <c r="B259" s="19"/>
      <c r="C259" s="19"/>
      <c r="D259" s="19"/>
      <c r="E259" s="19"/>
      <c r="F259" s="2"/>
      <c r="G259" s="19"/>
      <c r="H259" s="19"/>
      <c r="I259" s="19"/>
      <c r="J259" s="19"/>
      <c r="K259" s="19"/>
      <c r="L259" s="19"/>
      <c r="M259" s="19"/>
      <c r="N259" s="19"/>
      <c r="O259" s="19"/>
      <c r="P259" s="19"/>
      <c r="Q259" s="2"/>
      <c r="R259" s="2"/>
      <c r="S259" s="2"/>
      <c r="T259" s="2"/>
      <c r="U259" s="2"/>
      <c r="V259" s="2"/>
      <c r="W259" s="2"/>
      <c r="X259" s="2"/>
      <c r="Y259" s="2"/>
      <c r="Z259" s="2"/>
      <c r="AA259" s="2"/>
    </row>
    <row r="260" ht="15.75" customHeight="1">
      <c r="A260" s="19"/>
      <c r="B260" s="19"/>
      <c r="C260" s="19"/>
      <c r="D260" s="19"/>
      <c r="E260" s="19"/>
      <c r="F260" s="2"/>
      <c r="G260" s="19"/>
      <c r="H260" s="19"/>
      <c r="I260" s="19"/>
      <c r="J260" s="19"/>
      <c r="K260" s="19"/>
      <c r="L260" s="19"/>
      <c r="M260" s="19"/>
      <c r="N260" s="19"/>
      <c r="O260" s="19"/>
      <c r="P260" s="19"/>
      <c r="Q260" s="2"/>
      <c r="R260" s="2"/>
      <c r="S260" s="2"/>
      <c r="T260" s="2"/>
      <c r="U260" s="2"/>
      <c r="V260" s="2"/>
      <c r="W260" s="2"/>
      <c r="X260" s="2"/>
      <c r="Y260" s="2"/>
      <c r="Z260" s="2"/>
      <c r="AA260" s="2"/>
    </row>
    <row r="261" ht="15.75" customHeight="1">
      <c r="A261" s="19"/>
      <c r="B261" s="19"/>
      <c r="C261" s="19"/>
      <c r="D261" s="19"/>
      <c r="E261" s="19"/>
      <c r="F261" s="2"/>
      <c r="G261" s="19"/>
      <c r="H261" s="19"/>
      <c r="I261" s="19"/>
      <c r="J261" s="19"/>
      <c r="K261" s="19"/>
      <c r="L261" s="19"/>
      <c r="M261" s="19"/>
      <c r="N261" s="19"/>
      <c r="O261" s="19"/>
      <c r="P261" s="19"/>
      <c r="Q261" s="2"/>
      <c r="R261" s="2"/>
      <c r="S261" s="2"/>
      <c r="T261" s="2"/>
      <c r="U261" s="2"/>
      <c r="V261" s="2"/>
      <c r="W261" s="2"/>
      <c r="X261" s="2"/>
      <c r="Y261" s="2"/>
      <c r="Z261" s="2"/>
      <c r="AA261" s="2"/>
    </row>
    <row r="262" ht="15.75" customHeight="1">
      <c r="A262" s="19"/>
      <c r="B262" s="19"/>
      <c r="C262" s="19"/>
      <c r="D262" s="19"/>
      <c r="E262" s="19"/>
      <c r="F262" s="2"/>
      <c r="G262" s="19"/>
      <c r="H262" s="19"/>
      <c r="I262" s="19"/>
      <c r="J262" s="19"/>
      <c r="K262" s="19"/>
      <c r="L262" s="19"/>
      <c r="M262" s="19"/>
      <c r="N262" s="19"/>
      <c r="O262" s="19"/>
      <c r="P262" s="19"/>
      <c r="Q262" s="2"/>
      <c r="R262" s="2"/>
      <c r="S262" s="2"/>
      <c r="T262" s="2"/>
      <c r="U262" s="2"/>
      <c r="V262" s="2"/>
      <c r="W262" s="2"/>
      <c r="X262" s="2"/>
      <c r="Y262" s="2"/>
      <c r="Z262" s="2"/>
      <c r="AA262" s="2"/>
    </row>
    <row r="263" ht="15.75" customHeight="1">
      <c r="A263" s="19"/>
      <c r="B263" s="19"/>
      <c r="C263" s="19"/>
      <c r="D263" s="19"/>
      <c r="E263" s="19"/>
      <c r="F263" s="2"/>
      <c r="G263" s="19"/>
      <c r="H263" s="19"/>
      <c r="I263" s="19"/>
      <c r="J263" s="19"/>
      <c r="K263" s="19"/>
      <c r="L263" s="19"/>
      <c r="M263" s="19"/>
      <c r="N263" s="19"/>
      <c r="O263" s="19"/>
      <c r="P263" s="19"/>
      <c r="Q263" s="2"/>
      <c r="R263" s="2"/>
      <c r="S263" s="2"/>
      <c r="T263" s="2"/>
      <c r="U263" s="2"/>
      <c r="V263" s="2"/>
      <c r="W263" s="2"/>
      <c r="X263" s="2"/>
      <c r="Y263" s="2"/>
      <c r="Z263" s="2"/>
      <c r="AA263" s="2"/>
    </row>
    <row r="264" ht="15.75" customHeight="1">
      <c r="A264" s="19"/>
      <c r="B264" s="19"/>
      <c r="C264" s="19"/>
      <c r="D264" s="19"/>
      <c r="E264" s="19"/>
      <c r="F264" s="2"/>
      <c r="G264" s="19"/>
      <c r="H264" s="19"/>
      <c r="I264" s="19"/>
      <c r="J264" s="19"/>
      <c r="K264" s="19"/>
      <c r="L264" s="19"/>
      <c r="M264" s="19"/>
      <c r="N264" s="19"/>
      <c r="O264" s="19"/>
      <c r="P264" s="19"/>
      <c r="Q264" s="2"/>
      <c r="R264" s="2"/>
      <c r="S264" s="2"/>
      <c r="T264" s="2"/>
      <c r="U264" s="2"/>
      <c r="V264" s="2"/>
      <c r="W264" s="2"/>
      <c r="X264" s="2"/>
      <c r="Y264" s="2"/>
      <c r="Z264" s="2"/>
      <c r="AA264" s="2"/>
    </row>
    <row r="265" ht="15.75" customHeight="1">
      <c r="A265" s="19"/>
      <c r="B265" s="19"/>
      <c r="C265" s="19"/>
      <c r="D265" s="19"/>
      <c r="E265" s="19"/>
      <c r="F265" s="2"/>
      <c r="G265" s="19"/>
      <c r="H265" s="19"/>
      <c r="I265" s="19"/>
      <c r="J265" s="19"/>
      <c r="K265" s="19"/>
      <c r="L265" s="19"/>
      <c r="M265" s="19"/>
      <c r="N265" s="19"/>
      <c r="O265" s="19"/>
      <c r="P265" s="19"/>
      <c r="Q265" s="2"/>
      <c r="R265" s="2"/>
      <c r="S265" s="2"/>
      <c r="T265" s="2"/>
      <c r="U265" s="2"/>
      <c r="V265" s="2"/>
      <c r="W265" s="2"/>
      <c r="X265" s="2"/>
      <c r="Y265" s="2"/>
      <c r="Z265" s="2"/>
      <c r="AA265" s="2"/>
    </row>
    <row r="266" ht="15.75" customHeight="1">
      <c r="A266" s="19"/>
      <c r="B266" s="19"/>
      <c r="C266" s="19"/>
      <c r="D266" s="19"/>
      <c r="E266" s="19"/>
      <c r="F266" s="2"/>
      <c r="G266" s="19"/>
      <c r="H266" s="19"/>
      <c r="I266" s="19"/>
      <c r="J266" s="19"/>
      <c r="K266" s="19"/>
      <c r="L266" s="19"/>
      <c r="M266" s="19"/>
      <c r="N266" s="19"/>
      <c r="O266" s="19"/>
      <c r="P266" s="19"/>
      <c r="Q266" s="2"/>
      <c r="R266" s="2"/>
      <c r="S266" s="2"/>
      <c r="T266" s="2"/>
      <c r="U266" s="2"/>
      <c r="V266" s="2"/>
      <c r="W266" s="2"/>
      <c r="X266" s="2"/>
      <c r="Y266" s="2"/>
      <c r="Z266" s="2"/>
      <c r="AA266" s="2"/>
    </row>
    <row r="267" ht="15.75" customHeight="1">
      <c r="A267" s="19"/>
      <c r="B267" s="19"/>
      <c r="C267" s="19"/>
      <c r="D267" s="19"/>
      <c r="E267" s="19"/>
      <c r="F267" s="2"/>
      <c r="G267" s="19"/>
      <c r="H267" s="19"/>
      <c r="I267" s="19"/>
      <c r="J267" s="19"/>
      <c r="K267" s="19"/>
      <c r="L267" s="19"/>
      <c r="M267" s="19"/>
      <c r="N267" s="19"/>
      <c r="O267" s="19"/>
      <c r="P267" s="19"/>
      <c r="Q267" s="2"/>
      <c r="R267" s="2"/>
      <c r="S267" s="2"/>
      <c r="T267" s="2"/>
      <c r="U267" s="2"/>
      <c r="V267" s="2"/>
      <c r="W267" s="2"/>
      <c r="X267" s="2"/>
      <c r="Y267" s="2"/>
      <c r="Z267" s="2"/>
      <c r="AA267" s="2"/>
    </row>
    <row r="268" ht="15.75" customHeight="1">
      <c r="A268" s="19"/>
      <c r="B268" s="19"/>
      <c r="C268" s="19"/>
      <c r="D268" s="19"/>
      <c r="E268" s="19"/>
      <c r="F268" s="2"/>
      <c r="G268" s="19"/>
      <c r="H268" s="19"/>
      <c r="I268" s="19"/>
      <c r="J268" s="19"/>
      <c r="K268" s="19"/>
      <c r="L268" s="19"/>
      <c r="M268" s="19"/>
      <c r="N268" s="19"/>
      <c r="O268" s="19"/>
      <c r="P268" s="19"/>
      <c r="Q268" s="2"/>
      <c r="R268" s="2"/>
      <c r="S268" s="2"/>
      <c r="T268" s="2"/>
      <c r="U268" s="2"/>
      <c r="V268" s="2"/>
      <c r="W268" s="2"/>
      <c r="X268" s="2"/>
      <c r="Y268" s="2"/>
      <c r="Z268" s="2"/>
      <c r="AA268" s="2"/>
    </row>
    <row r="269" ht="15.75" customHeight="1">
      <c r="A269" s="19"/>
      <c r="B269" s="19"/>
      <c r="C269" s="19"/>
      <c r="D269" s="19"/>
      <c r="E269" s="19"/>
      <c r="F269" s="2"/>
      <c r="G269" s="19"/>
      <c r="H269" s="19"/>
      <c r="I269" s="19"/>
      <c r="J269" s="19"/>
      <c r="K269" s="19"/>
      <c r="L269" s="19"/>
      <c r="M269" s="19"/>
      <c r="N269" s="19"/>
      <c r="O269" s="19"/>
      <c r="P269" s="19"/>
      <c r="Q269" s="2"/>
      <c r="R269" s="2"/>
      <c r="S269" s="2"/>
      <c r="T269" s="2"/>
      <c r="U269" s="2"/>
      <c r="V269" s="2"/>
      <c r="W269" s="2"/>
      <c r="X269" s="2"/>
      <c r="Y269" s="2"/>
      <c r="Z269" s="2"/>
      <c r="AA269" s="2"/>
    </row>
    <row r="270" ht="15.75" customHeight="1">
      <c r="A270" s="19"/>
      <c r="B270" s="19"/>
      <c r="C270" s="19"/>
      <c r="D270" s="19"/>
      <c r="E270" s="19"/>
      <c r="F270" s="2"/>
      <c r="G270" s="19"/>
      <c r="H270" s="19"/>
      <c r="I270" s="19"/>
      <c r="J270" s="19"/>
      <c r="K270" s="19"/>
      <c r="L270" s="19"/>
      <c r="M270" s="19"/>
      <c r="N270" s="19"/>
      <c r="O270" s="19"/>
      <c r="P270" s="19"/>
      <c r="Q270" s="2"/>
      <c r="R270" s="2"/>
      <c r="S270" s="2"/>
      <c r="T270" s="2"/>
      <c r="U270" s="2"/>
      <c r="V270" s="2"/>
      <c r="W270" s="2"/>
      <c r="X270" s="2"/>
      <c r="Y270" s="2"/>
      <c r="Z270" s="2"/>
      <c r="AA270" s="2"/>
    </row>
    <row r="271" ht="15.75" customHeight="1">
      <c r="A271" s="19"/>
      <c r="B271" s="19"/>
      <c r="C271" s="19"/>
      <c r="D271" s="19"/>
      <c r="E271" s="19"/>
      <c r="F271" s="2"/>
      <c r="G271" s="19"/>
      <c r="H271" s="19"/>
      <c r="I271" s="19"/>
      <c r="J271" s="19"/>
      <c r="K271" s="19"/>
      <c r="L271" s="19"/>
      <c r="M271" s="19"/>
      <c r="N271" s="19"/>
      <c r="O271" s="19"/>
      <c r="P271" s="19"/>
      <c r="Q271" s="2"/>
      <c r="R271" s="2"/>
      <c r="S271" s="2"/>
      <c r="T271" s="2"/>
      <c r="U271" s="2"/>
      <c r="V271" s="2"/>
      <c r="W271" s="2"/>
      <c r="X271" s="2"/>
      <c r="Y271" s="2"/>
      <c r="Z271" s="2"/>
      <c r="AA271" s="2"/>
    </row>
    <row r="272" ht="15.75" customHeight="1">
      <c r="A272" s="19"/>
      <c r="B272" s="19"/>
      <c r="C272" s="19"/>
      <c r="D272" s="19"/>
      <c r="E272" s="19"/>
      <c r="F272" s="2"/>
      <c r="G272" s="19"/>
      <c r="H272" s="19"/>
      <c r="I272" s="19"/>
      <c r="J272" s="19"/>
      <c r="K272" s="19"/>
      <c r="L272" s="19"/>
      <c r="M272" s="19"/>
      <c r="N272" s="19"/>
      <c r="O272" s="19"/>
      <c r="P272" s="19"/>
      <c r="Q272" s="2"/>
      <c r="R272" s="2"/>
      <c r="S272" s="2"/>
      <c r="T272" s="2"/>
      <c r="U272" s="2"/>
      <c r="V272" s="2"/>
      <c r="W272" s="2"/>
      <c r="X272" s="2"/>
      <c r="Y272" s="2"/>
      <c r="Z272" s="2"/>
      <c r="AA272" s="2"/>
    </row>
    <row r="273" ht="15.75" customHeight="1">
      <c r="A273" s="19"/>
      <c r="B273" s="19"/>
      <c r="C273" s="19"/>
      <c r="D273" s="19"/>
      <c r="E273" s="19"/>
      <c r="F273" s="2"/>
      <c r="G273" s="19"/>
      <c r="H273" s="19"/>
      <c r="I273" s="19"/>
      <c r="J273" s="19"/>
      <c r="K273" s="19"/>
      <c r="L273" s="19"/>
      <c r="M273" s="19"/>
      <c r="N273" s="19"/>
      <c r="O273" s="19"/>
      <c r="P273" s="19"/>
      <c r="Q273" s="2"/>
      <c r="R273" s="2"/>
      <c r="S273" s="2"/>
      <c r="T273" s="2"/>
      <c r="U273" s="2"/>
      <c r="V273" s="2"/>
      <c r="W273" s="2"/>
      <c r="X273" s="2"/>
      <c r="Y273" s="2"/>
      <c r="Z273" s="2"/>
      <c r="AA273" s="2"/>
    </row>
    <row r="274" ht="15.75" customHeight="1">
      <c r="A274" s="19"/>
      <c r="B274" s="19"/>
      <c r="C274" s="19"/>
      <c r="D274" s="19"/>
      <c r="E274" s="19"/>
      <c r="F274" s="2"/>
      <c r="G274" s="19"/>
      <c r="H274" s="19"/>
      <c r="I274" s="19"/>
      <c r="J274" s="19"/>
      <c r="K274" s="19"/>
      <c r="L274" s="19"/>
      <c r="M274" s="19"/>
      <c r="N274" s="19"/>
      <c r="O274" s="19"/>
      <c r="P274" s="19"/>
      <c r="Q274" s="2"/>
      <c r="R274" s="2"/>
      <c r="S274" s="2"/>
      <c r="T274" s="2"/>
      <c r="U274" s="2"/>
      <c r="V274" s="2"/>
      <c r="W274" s="2"/>
      <c r="X274" s="2"/>
      <c r="Y274" s="2"/>
      <c r="Z274" s="2"/>
      <c r="AA274" s="2"/>
    </row>
    <row r="275" ht="15.75" customHeight="1">
      <c r="A275" s="19"/>
      <c r="B275" s="19"/>
      <c r="C275" s="19"/>
      <c r="D275" s="19"/>
      <c r="E275" s="19"/>
      <c r="F275" s="2"/>
      <c r="G275" s="19"/>
      <c r="H275" s="19"/>
      <c r="I275" s="19"/>
      <c r="J275" s="19"/>
      <c r="K275" s="19"/>
      <c r="L275" s="19"/>
      <c r="M275" s="19"/>
      <c r="N275" s="19"/>
      <c r="O275" s="19"/>
      <c r="P275" s="19"/>
      <c r="Q275" s="2"/>
      <c r="R275" s="2"/>
      <c r="S275" s="2"/>
      <c r="T275" s="2"/>
      <c r="U275" s="2"/>
      <c r="V275" s="2"/>
      <c r="W275" s="2"/>
      <c r="X275" s="2"/>
      <c r="Y275" s="2"/>
      <c r="Z275" s="2"/>
      <c r="AA275" s="2"/>
    </row>
    <row r="276" ht="15.75" customHeight="1">
      <c r="A276" s="19"/>
      <c r="B276" s="19"/>
      <c r="C276" s="19"/>
      <c r="D276" s="19"/>
      <c r="E276" s="19"/>
      <c r="F276" s="2"/>
      <c r="G276" s="19"/>
      <c r="H276" s="19"/>
      <c r="I276" s="19"/>
      <c r="J276" s="19"/>
      <c r="K276" s="19"/>
      <c r="L276" s="19"/>
      <c r="M276" s="19"/>
      <c r="N276" s="19"/>
      <c r="O276" s="19"/>
      <c r="P276" s="19"/>
      <c r="Q276" s="2"/>
      <c r="R276" s="2"/>
      <c r="S276" s="2"/>
      <c r="T276" s="2"/>
      <c r="U276" s="2"/>
      <c r="V276" s="2"/>
      <c r="W276" s="2"/>
      <c r="X276" s="2"/>
      <c r="Y276" s="2"/>
      <c r="Z276" s="2"/>
      <c r="AA276" s="2"/>
    </row>
    <row r="277" ht="15.75" customHeight="1">
      <c r="A277" s="19"/>
      <c r="B277" s="19"/>
      <c r="C277" s="19"/>
      <c r="D277" s="19"/>
      <c r="E277" s="19"/>
      <c r="F277" s="2"/>
      <c r="G277" s="19"/>
      <c r="H277" s="19"/>
      <c r="I277" s="19"/>
      <c r="J277" s="19"/>
      <c r="K277" s="19"/>
      <c r="L277" s="19"/>
      <c r="M277" s="19"/>
      <c r="N277" s="19"/>
      <c r="O277" s="19"/>
      <c r="P277" s="19"/>
      <c r="Q277" s="2"/>
      <c r="R277" s="2"/>
      <c r="S277" s="2"/>
      <c r="T277" s="2"/>
      <c r="U277" s="2"/>
      <c r="V277" s="2"/>
      <c r="W277" s="2"/>
      <c r="X277" s="2"/>
      <c r="Y277" s="2"/>
      <c r="Z277" s="2"/>
      <c r="AA277" s="2"/>
    </row>
    <row r="278" ht="15.75" customHeight="1">
      <c r="A278" s="19"/>
      <c r="B278" s="19"/>
      <c r="C278" s="19"/>
      <c r="D278" s="19"/>
      <c r="E278" s="19"/>
      <c r="F278" s="2"/>
      <c r="G278" s="19"/>
      <c r="H278" s="19"/>
      <c r="I278" s="19"/>
      <c r="J278" s="19"/>
      <c r="K278" s="19"/>
      <c r="L278" s="19"/>
      <c r="M278" s="19"/>
      <c r="N278" s="19"/>
      <c r="O278" s="19"/>
      <c r="P278" s="19"/>
      <c r="Q278" s="2"/>
      <c r="R278" s="2"/>
      <c r="S278" s="2"/>
      <c r="T278" s="2"/>
      <c r="U278" s="2"/>
      <c r="V278" s="2"/>
      <c r="W278" s="2"/>
      <c r="X278" s="2"/>
      <c r="Y278" s="2"/>
      <c r="Z278" s="2"/>
      <c r="AA278" s="2"/>
    </row>
    <row r="279" ht="15.75" customHeight="1">
      <c r="A279" s="19"/>
      <c r="B279" s="19"/>
      <c r="C279" s="19"/>
      <c r="D279" s="19"/>
      <c r="E279" s="19"/>
      <c r="F279" s="2"/>
      <c r="G279" s="19"/>
      <c r="H279" s="19"/>
      <c r="I279" s="19"/>
      <c r="J279" s="19"/>
      <c r="K279" s="19"/>
      <c r="L279" s="19"/>
      <c r="M279" s="19"/>
      <c r="N279" s="19"/>
      <c r="O279" s="19"/>
      <c r="P279" s="19"/>
      <c r="Q279" s="2"/>
      <c r="R279" s="2"/>
      <c r="S279" s="2"/>
      <c r="T279" s="2"/>
      <c r="U279" s="2"/>
      <c r="V279" s="2"/>
      <c r="W279" s="2"/>
      <c r="X279" s="2"/>
      <c r="Y279" s="2"/>
      <c r="Z279" s="2"/>
      <c r="AA279" s="2"/>
    </row>
    <row r="280" ht="15.75" customHeight="1">
      <c r="A280" s="19"/>
      <c r="B280" s="19"/>
      <c r="C280" s="19"/>
      <c r="D280" s="19"/>
      <c r="E280" s="19"/>
      <c r="F280" s="2"/>
      <c r="G280" s="19"/>
      <c r="H280" s="19"/>
      <c r="I280" s="19"/>
      <c r="J280" s="19"/>
      <c r="K280" s="19"/>
      <c r="L280" s="19"/>
      <c r="M280" s="19"/>
      <c r="N280" s="19"/>
      <c r="O280" s="19"/>
      <c r="P280" s="19"/>
      <c r="Q280" s="2"/>
      <c r="R280" s="2"/>
      <c r="S280" s="2"/>
      <c r="T280" s="2"/>
      <c r="U280" s="2"/>
      <c r="V280" s="2"/>
      <c r="W280" s="2"/>
      <c r="X280" s="2"/>
      <c r="Y280" s="2"/>
      <c r="Z280" s="2"/>
      <c r="AA280" s="2"/>
    </row>
    <row r="281" ht="15.75" customHeight="1">
      <c r="A281" s="19"/>
      <c r="B281" s="19"/>
      <c r="C281" s="19"/>
      <c r="D281" s="19"/>
      <c r="E281" s="19"/>
      <c r="F281" s="2"/>
      <c r="G281" s="19"/>
      <c r="H281" s="19"/>
      <c r="I281" s="19"/>
      <c r="J281" s="19"/>
      <c r="K281" s="19"/>
      <c r="L281" s="19"/>
      <c r="M281" s="19"/>
      <c r="N281" s="19"/>
      <c r="O281" s="19"/>
      <c r="P281" s="19"/>
      <c r="Q281" s="2"/>
      <c r="R281" s="2"/>
      <c r="S281" s="2"/>
      <c r="T281" s="2"/>
      <c r="U281" s="2"/>
      <c r="V281" s="2"/>
      <c r="W281" s="2"/>
      <c r="X281" s="2"/>
      <c r="Y281" s="2"/>
      <c r="Z281" s="2"/>
      <c r="AA281" s="2"/>
    </row>
    <row r="282" ht="15.75" customHeight="1">
      <c r="A282" s="19"/>
      <c r="B282" s="19"/>
      <c r="C282" s="19"/>
      <c r="D282" s="19"/>
      <c r="E282" s="19"/>
      <c r="F282" s="2"/>
      <c r="G282" s="19"/>
      <c r="H282" s="19"/>
      <c r="I282" s="19"/>
      <c r="J282" s="19"/>
      <c r="K282" s="19"/>
      <c r="L282" s="19"/>
      <c r="M282" s="19"/>
      <c r="N282" s="19"/>
      <c r="O282" s="19"/>
      <c r="P282" s="19"/>
      <c r="Q282" s="2"/>
      <c r="R282" s="2"/>
      <c r="S282" s="2"/>
      <c r="T282" s="2"/>
      <c r="U282" s="2"/>
      <c r="V282" s="2"/>
      <c r="W282" s="2"/>
      <c r="X282" s="2"/>
      <c r="Y282" s="2"/>
      <c r="Z282" s="2"/>
      <c r="AA282" s="2"/>
    </row>
    <row r="283" ht="15.75" customHeight="1">
      <c r="A283" s="19"/>
      <c r="B283" s="19"/>
      <c r="C283" s="19"/>
      <c r="D283" s="19"/>
      <c r="E283" s="19"/>
      <c r="F283" s="2"/>
      <c r="G283" s="19"/>
      <c r="H283" s="19"/>
      <c r="I283" s="19"/>
      <c r="J283" s="19"/>
      <c r="K283" s="19"/>
      <c r="L283" s="19"/>
      <c r="M283" s="19"/>
      <c r="N283" s="19"/>
      <c r="O283" s="19"/>
      <c r="P283" s="19"/>
      <c r="Q283" s="2"/>
      <c r="R283" s="2"/>
      <c r="S283" s="2"/>
      <c r="T283" s="2"/>
      <c r="U283" s="2"/>
      <c r="V283" s="2"/>
      <c r="W283" s="2"/>
      <c r="X283" s="2"/>
      <c r="Y283" s="2"/>
      <c r="Z283" s="2"/>
      <c r="AA283" s="2"/>
    </row>
    <row r="284" ht="15.75" customHeight="1">
      <c r="A284" s="19"/>
      <c r="B284" s="19"/>
      <c r="C284" s="19"/>
      <c r="D284" s="19"/>
      <c r="E284" s="19"/>
      <c r="F284" s="2"/>
      <c r="G284" s="19"/>
      <c r="H284" s="19"/>
      <c r="I284" s="19"/>
      <c r="J284" s="19"/>
      <c r="K284" s="19"/>
      <c r="L284" s="19"/>
      <c r="M284" s="19"/>
      <c r="N284" s="19"/>
      <c r="O284" s="19"/>
      <c r="P284" s="19"/>
      <c r="Q284" s="2"/>
      <c r="R284" s="2"/>
      <c r="S284" s="2"/>
      <c r="T284" s="2"/>
      <c r="U284" s="2"/>
      <c r="V284" s="2"/>
      <c r="W284" s="2"/>
      <c r="X284" s="2"/>
      <c r="Y284" s="2"/>
      <c r="Z284" s="2"/>
      <c r="AA284" s="2"/>
    </row>
    <row r="285" ht="15.75" customHeight="1">
      <c r="A285" s="19"/>
      <c r="B285" s="19"/>
      <c r="C285" s="19"/>
      <c r="D285" s="19"/>
      <c r="E285" s="19"/>
      <c r="F285" s="2"/>
      <c r="G285" s="19"/>
      <c r="H285" s="19"/>
      <c r="I285" s="19"/>
      <c r="J285" s="19"/>
      <c r="K285" s="19"/>
      <c r="L285" s="19"/>
      <c r="M285" s="19"/>
      <c r="N285" s="19"/>
      <c r="O285" s="19"/>
      <c r="P285" s="19"/>
      <c r="Q285" s="2"/>
      <c r="R285" s="2"/>
      <c r="S285" s="2"/>
      <c r="T285" s="2"/>
      <c r="U285" s="2"/>
      <c r="V285" s="2"/>
      <c r="W285" s="2"/>
      <c r="X285" s="2"/>
      <c r="Y285" s="2"/>
      <c r="Z285" s="2"/>
      <c r="AA285" s="2"/>
    </row>
    <row r="286" ht="15.75" customHeight="1">
      <c r="A286" s="19"/>
      <c r="B286" s="19"/>
      <c r="C286" s="19"/>
      <c r="D286" s="19"/>
      <c r="E286" s="19"/>
      <c r="F286" s="2"/>
      <c r="G286" s="19"/>
      <c r="H286" s="19"/>
      <c r="I286" s="19"/>
      <c r="J286" s="19"/>
      <c r="K286" s="19"/>
      <c r="L286" s="19"/>
      <c r="M286" s="19"/>
      <c r="N286" s="19"/>
      <c r="O286" s="19"/>
      <c r="P286" s="19"/>
      <c r="Q286" s="2"/>
      <c r="R286" s="2"/>
      <c r="S286" s="2"/>
      <c r="T286" s="2"/>
      <c r="U286" s="2"/>
      <c r="V286" s="2"/>
      <c r="W286" s="2"/>
      <c r="X286" s="2"/>
      <c r="Y286" s="2"/>
      <c r="Z286" s="2"/>
      <c r="AA286" s="2"/>
    </row>
    <row r="287" ht="15.75" customHeight="1">
      <c r="A287" s="19"/>
      <c r="B287" s="19"/>
      <c r="C287" s="19"/>
      <c r="D287" s="19"/>
      <c r="E287" s="19"/>
      <c r="F287" s="2"/>
      <c r="G287" s="19"/>
      <c r="H287" s="19"/>
      <c r="I287" s="19"/>
      <c r="J287" s="19"/>
      <c r="K287" s="19"/>
      <c r="L287" s="19"/>
      <c r="M287" s="19"/>
      <c r="N287" s="19"/>
      <c r="O287" s="19"/>
      <c r="P287" s="19"/>
      <c r="Q287" s="2"/>
      <c r="R287" s="2"/>
      <c r="S287" s="2"/>
      <c r="T287" s="2"/>
      <c r="U287" s="2"/>
      <c r="V287" s="2"/>
      <c r="W287" s="2"/>
      <c r="X287" s="2"/>
      <c r="Y287" s="2"/>
      <c r="Z287" s="2"/>
      <c r="AA287" s="2"/>
    </row>
    <row r="288" ht="15.75" customHeight="1">
      <c r="A288" s="19"/>
      <c r="B288" s="19"/>
      <c r="C288" s="19"/>
      <c r="D288" s="19"/>
      <c r="E288" s="19"/>
      <c r="F288" s="2"/>
      <c r="G288" s="19"/>
      <c r="H288" s="19"/>
      <c r="I288" s="19"/>
      <c r="J288" s="19"/>
      <c r="K288" s="19"/>
      <c r="L288" s="19"/>
      <c r="M288" s="19"/>
      <c r="N288" s="19"/>
      <c r="O288" s="19"/>
      <c r="P288" s="19"/>
      <c r="Q288" s="2"/>
      <c r="R288" s="2"/>
      <c r="S288" s="2"/>
      <c r="T288" s="2"/>
      <c r="U288" s="2"/>
      <c r="V288" s="2"/>
      <c r="W288" s="2"/>
      <c r="X288" s="2"/>
      <c r="Y288" s="2"/>
      <c r="Z288" s="2"/>
      <c r="AA288" s="2"/>
    </row>
    <row r="289" ht="15.75" customHeight="1">
      <c r="A289" s="19"/>
      <c r="B289" s="19"/>
      <c r="C289" s="19"/>
      <c r="D289" s="19"/>
      <c r="E289" s="19"/>
      <c r="F289" s="2"/>
      <c r="G289" s="19"/>
      <c r="H289" s="19"/>
      <c r="I289" s="19"/>
      <c r="J289" s="19"/>
      <c r="K289" s="19"/>
      <c r="L289" s="19"/>
      <c r="M289" s="19"/>
      <c r="N289" s="19"/>
      <c r="O289" s="19"/>
      <c r="P289" s="19"/>
      <c r="Q289" s="2"/>
      <c r="R289" s="2"/>
      <c r="S289" s="2"/>
      <c r="T289" s="2"/>
      <c r="U289" s="2"/>
      <c r="V289" s="2"/>
      <c r="W289" s="2"/>
      <c r="X289" s="2"/>
      <c r="Y289" s="2"/>
      <c r="Z289" s="2"/>
      <c r="AA289" s="2"/>
    </row>
    <row r="290" ht="15.75" customHeight="1">
      <c r="A290" s="19"/>
      <c r="B290" s="19"/>
      <c r="C290" s="19"/>
      <c r="D290" s="19"/>
      <c r="E290" s="19"/>
      <c r="F290" s="2"/>
      <c r="G290" s="19"/>
      <c r="H290" s="19"/>
      <c r="I290" s="19"/>
      <c r="J290" s="19"/>
      <c r="K290" s="19"/>
      <c r="L290" s="19"/>
      <c r="M290" s="19"/>
      <c r="N290" s="19"/>
      <c r="O290" s="19"/>
      <c r="P290" s="19"/>
      <c r="Q290" s="2"/>
      <c r="R290" s="2"/>
      <c r="S290" s="2"/>
      <c r="T290" s="2"/>
      <c r="U290" s="2"/>
      <c r="V290" s="2"/>
      <c r="W290" s="2"/>
      <c r="X290" s="2"/>
      <c r="Y290" s="2"/>
      <c r="Z290" s="2"/>
      <c r="AA290" s="2"/>
    </row>
    <row r="291" ht="15.75" customHeight="1">
      <c r="A291" s="19"/>
      <c r="B291" s="19"/>
      <c r="C291" s="19"/>
      <c r="D291" s="19"/>
      <c r="E291" s="19"/>
      <c r="F291" s="2"/>
      <c r="G291" s="19"/>
      <c r="H291" s="19"/>
      <c r="I291" s="19"/>
      <c r="J291" s="19"/>
      <c r="K291" s="19"/>
      <c r="L291" s="19"/>
      <c r="M291" s="19"/>
      <c r="N291" s="19"/>
      <c r="O291" s="19"/>
      <c r="P291" s="19"/>
      <c r="Q291" s="2"/>
      <c r="R291" s="2"/>
      <c r="S291" s="2"/>
      <c r="T291" s="2"/>
      <c r="U291" s="2"/>
      <c r="V291" s="2"/>
      <c r="W291" s="2"/>
      <c r="X291" s="2"/>
      <c r="Y291" s="2"/>
      <c r="Z291" s="2"/>
      <c r="AA291" s="2"/>
    </row>
    <row r="292" ht="15.75" customHeight="1">
      <c r="A292" s="19"/>
      <c r="B292" s="19"/>
      <c r="C292" s="19"/>
      <c r="D292" s="19"/>
      <c r="E292" s="19"/>
      <c r="F292" s="2"/>
      <c r="G292" s="19"/>
      <c r="H292" s="19"/>
      <c r="I292" s="19"/>
      <c r="J292" s="19"/>
      <c r="K292" s="19"/>
      <c r="L292" s="19"/>
      <c r="M292" s="19"/>
      <c r="N292" s="19"/>
      <c r="O292" s="19"/>
      <c r="P292" s="19"/>
      <c r="Q292" s="2"/>
      <c r="R292" s="2"/>
      <c r="S292" s="2"/>
      <c r="T292" s="2"/>
      <c r="U292" s="2"/>
      <c r="V292" s="2"/>
      <c r="W292" s="2"/>
      <c r="X292" s="2"/>
      <c r="Y292" s="2"/>
      <c r="Z292" s="2"/>
      <c r="AA292" s="2"/>
    </row>
    <row r="293" ht="15.75" customHeight="1">
      <c r="A293" s="19"/>
      <c r="B293" s="19"/>
      <c r="C293" s="19"/>
      <c r="D293" s="19"/>
      <c r="E293" s="19"/>
      <c r="F293" s="2"/>
      <c r="G293" s="19"/>
      <c r="H293" s="19"/>
      <c r="I293" s="19"/>
      <c r="J293" s="19"/>
      <c r="K293" s="19"/>
      <c r="L293" s="19"/>
      <c r="M293" s="19"/>
      <c r="N293" s="19"/>
      <c r="O293" s="19"/>
      <c r="P293" s="19"/>
      <c r="Q293" s="2"/>
      <c r="R293" s="2"/>
      <c r="S293" s="2"/>
      <c r="T293" s="2"/>
      <c r="U293" s="2"/>
      <c r="V293" s="2"/>
      <c r="W293" s="2"/>
      <c r="X293" s="2"/>
      <c r="Y293" s="2"/>
      <c r="Z293" s="2"/>
      <c r="AA293" s="2"/>
    </row>
    <row r="294" ht="15.75" customHeight="1">
      <c r="A294" s="19"/>
      <c r="B294" s="19"/>
      <c r="C294" s="19"/>
      <c r="D294" s="19"/>
      <c r="E294" s="19"/>
      <c r="F294" s="2"/>
      <c r="G294" s="19"/>
      <c r="H294" s="19"/>
      <c r="I294" s="19"/>
      <c r="J294" s="19"/>
      <c r="K294" s="19"/>
      <c r="L294" s="19"/>
      <c r="M294" s="19"/>
      <c r="N294" s="19"/>
      <c r="O294" s="19"/>
      <c r="P294" s="19"/>
      <c r="Q294" s="2"/>
      <c r="R294" s="2"/>
      <c r="S294" s="2"/>
      <c r="T294" s="2"/>
      <c r="U294" s="2"/>
      <c r="V294" s="2"/>
      <c r="W294" s="2"/>
      <c r="X294" s="2"/>
      <c r="Y294" s="2"/>
      <c r="Z294" s="2"/>
      <c r="AA294" s="2"/>
    </row>
    <row r="295" ht="15.75" customHeight="1">
      <c r="A295" s="19"/>
      <c r="B295" s="19"/>
      <c r="C295" s="19"/>
      <c r="D295" s="19"/>
      <c r="E295" s="19"/>
      <c r="F295" s="2"/>
      <c r="G295" s="19"/>
      <c r="H295" s="19"/>
      <c r="I295" s="19"/>
      <c r="J295" s="19"/>
      <c r="K295" s="19"/>
      <c r="L295" s="19"/>
      <c r="M295" s="19"/>
      <c r="N295" s="19"/>
      <c r="O295" s="19"/>
      <c r="P295" s="19"/>
      <c r="Q295" s="2"/>
      <c r="R295" s="2"/>
      <c r="S295" s="2"/>
      <c r="T295" s="2"/>
      <c r="U295" s="2"/>
      <c r="V295" s="2"/>
      <c r="W295" s="2"/>
      <c r="X295" s="2"/>
      <c r="Y295" s="2"/>
      <c r="Z295" s="2"/>
      <c r="AA295" s="2"/>
    </row>
    <row r="296" ht="15.75" customHeight="1">
      <c r="A296" s="19"/>
      <c r="B296" s="19"/>
      <c r="C296" s="19"/>
      <c r="D296" s="19"/>
      <c r="E296" s="19"/>
      <c r="F296" s="2"/>
      <c r="G296" s="19"/>
      <c r="H296" s="19"/>
      <c r="I296" s="19"/>
      <c r="J296" s="19"/>
      <c r="K296" s="19"/>
      <c r="L296" s="19"/>
      <c r="M296" s="19"/>
      <c r="N296" s="19"/>
      <c r="O296" s="19"/>
      <c r="P296" s="19"/>
      <c r="Q296" s="2"/>
      <c r="R296" s="2"/>
      <c r="S296" s="2"/>
      <c r="T296" s="2"/>
      <c r="U296" s="2"/>
      <c r="V296" s="2"/>
      <c r="W296" s="2"/>
      <c r="X296" s="2"/>
      <c r="Y296" s="2"/>
      <c r="Z296" s="2"/>
      <c r="AA296" s="2"/>
    </row>
    <row r="297" ht="15.75" customHeight="1">
      <c r="A297" s="19"/>
      <c r="B297" s="19"/>
      <c r="C297" s="19"/>
      <c r="D297" s="19"/>
      <c r="E297" s="19"/>
      <c r="F297" s="2"/>
      <c r="G297" s="19"/>
      <c r="H297" s="19"/>
      <c r="I297" s="19"/>
      <c r="J297" s="19"/>
      <c r="K297" s="19"/>
      <c r="L297" s="19"/>
      <c r="M297" s="19"/>
      <c r="N297" s="19"/>
      <c r="O297" s="19"/>
      <c r="P297" s="19"/>
      <c r="Q297" s="2"/>
      <c r="R297" s="2"/>
      <c r="S297" s="2"/>
      <c r="T297" s="2"/>
      <c r="U297" s="2"/>
      <c r="V297" s="2"/>
      <c r="W297" s="2"/>
      <c r="X297" s="2"/>
      <c r="Y297" s="2"/>
      <c r="Z297" s="2"/>
      <c r="AA297" s="2"/>
    </row>
    <row r="298" ht="15.75" customHeight="1">
      <c r="A298" s="19"/>
      <c r="B298" s="19"/>
      <c r="C298" s="19"/>
      <c r="D298" s="19"/>
      <c r="E298" s="19"/>
      <c r="F298" s="2"/>
      <c r="G298" s="19"/>
      <c r="H298" s="19"/>
      <c r="I298" s="19"/>
      <c r="J298" s="19"/>
      <c r="K298" s="19"/>
      <c r="L298" s="19"/>
      <c r="M298" s="19"/>
      <c r="N298" s="19"/>
      <c r="O298" s="19"/>
      <c r="P298" s="19"/>
      <c r="Q298" s="2"/>
      <c r="R298" s="2"/>
      <c r="S298" s="2"/>
      <c r="T298" s="2"/>
      <c r="U298" s="2"/>
      <c r="V298" s="2"/>
      <c r="W298" s="2"/>
      <c r="X298" s="2"/>
      <c r="Y298" s="2"/>
      <c r="Z298" s="2"/>
      <c r="AA298" s="2"/>
    </row>
    <row r="299" ht="15.75" customHeight="1">
      <c r="A299" s="19"/>
      <c r="B299" s="19"/>
      <c r="C299" s="19"/>
      <c r="D299" s="19"/>
      <c r="E299" s="19"/>
      <c r="F299" s="2"/>
      <c r="G299" s="19"/>
      <c r="H299" s="19"/>
      <c r="I299" s="19"/>
      <c r="J299" s="19"/>
      <c r="K299" s="19"/>
      <c r="L299" s="19"/>
      <c r="M299" s="19"/>
      <c r="N299" s="19"/>
      <c r="O299" s="19"/>
      <c r="P299" s="19"/>
      <c r="Q299" s="2"/>
      <c r="R299" s="2"/>
      <c r="S299" s="2"/>
      <c r="T299" s="2"/>
      <c r="U299" s="2"/>
      <c r="V299" s="2"/>
      <c r="W299" s="2"/>
      <c r="X299" s="2"/>
      <c r="Y299" s="2"/>
      <c r="Z299" s="2"/>
      <c r="AA299" s="2"/>
    </row>
    <row r="300" ht="15.75" customHeight="1">
      <c r="A300" s="19"/>
      <c r="B300" s="19"/>
      <c r="C300" s="19"/>
      <c r="D300" s="19"/>
      <c r="E300" s="19"/>
      <c r="F300" s="2"/>
      <c r="G300" s="19"/>
      <c r="H300" s="19"/>
      <c r="I300" s="19"/>
      <c r="J300" s="19"/>
      <c r="K300" s="19"/>
      <c r="L300" s="19"/>
      <c r="M300" s="19"/>
      <c r="N300" s="19"/>
      <c r="O300" s="19"/>
      <c r="P300" s="19"/>
      <c r="Q300" s="2"/>
      <c r="R300" s="2"/>
      <c r="S300" s="2"/>
      <c r="T300" s="2"/>
      <c r="U300" s="2"/>
      <c r="V300" s="2"/>
      <c r="W300" s="2"/>
      <c r="X300" s="2"/>
      <c r="Y300" s="2"/>
      <c r="Z300" s="2"/>
      <c r="AA300" s="2"/>
    </row>
    <row r="301" ht="15.75" customHeight="1">
      <c r="A301" s="19"/>
      <c r="B301" s="19"/>
      <c r="C301" s="19"/>
      <c r="D301" s="19"/>
      <c r="E301" s="19"/>
      <c r="F301" s="2"/>
      <c r="G301" s="19"/>
      <c r="H301" s="19"/>
      <c r="I301" s="19"/>
      <c r="J301" s="19"/>
      <c r="K301" s="19"/>
      <c r="L301" s="19"/>
      <c r="M301" s="19"/>
      <c r="N301" s="19"/>
      <c r="O301" s="19"/>
      <c r="P301" s="19"/>
      <c r="Q301" s="2"/>
      <c r="R301" s="2"/>
      <c r="S301" s="2"/>
      <c r="T301" s="2"/>
      <c r="U301" s="2"/>
      <c r="V301" s="2"/>
      <c r="W301" s="2"/>
      <c r="X301" s="2"/>
      <c r="Y301" s="2"/>
      <c r="Z301" s="2"/>
      <c r="AA301" s="2"/>
    </row>
    <row r="302" ht="15.75" customHeight="1">
      <c r="A302" s="19"/>
      <c r="B302" s="19"/>
      <c r="C302" s="19"/>
      <c r="D302" s="19"/>
      <c r="E302" s="19"/>
      <c r="F302" s="2"/>
      <c r="G302" s="19"/>
      <c r="H302" s="19"/>
      <c r="I302" s="19"/>
      <c r="J302" s="19"/>
      <c r="K302" s="19"/>
      <c r="L302" s="19"/>
      <c r="M302" s="19"/>
      <c r="N302" s="19"/>
      <c r="O302" s="19"/>
      <c r="P302" s="19"/>
      <c r="Q302" s="2"/>
      <c r="R302" s="2"/>
      <c r="S302" s="2"/>
      <c r="T302" s="2"/>
      <c r="U302" s="2"/>
      <c r="V302" s="2"/>
      <c r="W302" s="2"/>
      <c r="X302" s="2"/>
      <c r="Y302" s="2"/>
      <c r="Z302" s="2"/>
      <c r="AA302" s="2"/>
    </row>
    <row r="303" ht="15.75" customHeight="1">
      <c r="A303" s="19"/>
      <c r="B303" s="19"/>
      <c r="C303" s="19"/>
      <c r="D303" s="19"/>
      <c r="E303" s="19"/>
      <c r="F303" s="2"/>
      <c r="G303" s="19"/>
      <c r="H303" s="19"/>
      <c r="I303" s="19"/>
      <c r="J303" s="19"/>
      <c r="K303" s="19"/>
      <c r="L303" s="19"/>
      <c r="M303" s="19"/>
      <c r="N303" s="19"/>
      <c r="O303" s="19"/>
      <c r="P303" s="19"/>
      <c r="Q303" s="2"/>
      <c r="R303" s="2"/>
      <c r="S303" s="2"/>
      <c r="T303" s="2"/>
      <c r="U303" s="2"/>
      <c r="V303" s="2"/>
      <c r="W303" s="2"/>
      <c r="X303" s="2"/>
      <c r="Y303" s="2"/>
      <c r="Z303" s="2"/>
      <c r="AA303" s="2"/>
    </row>
    <row r="304" ht="15.75" customHeight="1">
      <c r="A304" s="19"/>
      <c r="B304" s="19"/>
      <c r="C304" s="19"/>
      <c r="D304" s="19"/>
      <c r="E304" s="19"/>
      <c r="F304" s="2"/>
      <c r="G304" s="19"/>
      <c r="H304" s="19"/>
      <c r="I304" s="19"/>
      <c r="J304" s="19"/>
      <c r="K304" s="19"/>
      <c r="L304" s="19"/>
      <c r="M304" s="19"/>
      <c r="N304" s="19"/>
      <c r="O304" s="19"/>
      <c r="P304" s="19"/>
      <c r="Q304" s="2"/>
      <c r="R304" s="2"/>
      <c r="S304" s="2"/>
      <c r="T304" s="2"/>
      <c r="U304" s="2"/>
      <c r="V304" s="2"/>
      <c r="W304" s="2"/>
      <c r="X304" s="2"/>
      <c r="Y304" s="2"/>
      <c r="Z304" s="2"/>
      <c r="AA304" s="2"/>
    </row>
    <row r="305" ht="15.75" customHeight="1">
      <c r="A305" s="19"/>
      <c r="B305" s="19"/>
      <c r="C305" s="19"/>
      <c r="D305" s="19"/>
      <c r="E305" s="19"/>
      <c r="F305" s="2"/>
      <c r="G305" s="19"/>
      <c r="H305" s="19"/>
      <c r="I305" s="19"/>
      <c r="J305" s="19"/>
      <c r="K305" s="19"/>
      <c r="L305" s="19"/>
      <c r="M305" s="19"/>
      <c r="N305" s="19"/>
      <c r="O305" s="19"/>
      <c r="P305" s="19"/>
      <c r="Q305" s="2"/>
      <c r="R305" s="2"/>
      <c r="S305" s="2"/>
      <c r="T305" s="2"/>
      <c r="U305" s="2"/>
      <c r="V305" s="2"/>
      <c r="W305" s="2"/>
      <c r="X305" s="2"/>
      <c r="Y305" s="2"/>
      <c r="Z305" s="2"/>
      <c r="AA305" s="2"/>
    </row>
    <row r="306" ht="15.75" customHeight="1">
      <c r="A306" s="19"/>
      <c r="B306" s="19"/>
      <c r="C306" s="19"/>
      <c r="D306" s="19"/>
      <c r="E306" s="19"/>
      <c r="F306" s="2"/>
      <c r="G306" s="19"/>
      <c r="H306" s="19"/>
      <c r="I306" s="19"/>
      <c r="J306" s="19"/>
      <c r="K306" s="19"/>
      <c r="L306" s="19"/>
      <c r="M306" s="19"/>
      <c r="N306" s="19"/>
      <c r="O306" s="19"/>
      <c r="P306" s="19"/>
      <c r="Q306" s="2"/>
      <c r="R306" s="2"/>
      <c r="S306" s="2"/>
      <c r="T306" s="2"/>
      <c r="U306" s="2"/>
      <c r="V306" s="2"/>
      <c r="W306" s="2"/>
      <c r="X306" s="2"/>
      <c r="Y306" s="2"/>
      <c r="Z306" s="2"/>
      <c r="AA306" s="2"/>
    </row>
    <row r="307" ht="15.75" customHeight="1">
      <c r="A307" s="19"/>
      <c r="B307" s="19"/>
      <c r="C307" s="19"/>
      <c r="D307" s="19"/>
      <c r="E307" s="19"/>
      <c r="F307" s="2"/>
      <c r="G307" s="19"/>
      <c r="H307" s="19"/>
      <c r="I307" s="19"/>
      <c r="J307" s="19"/>
      <c r="K307" s="19"/>
      <c r="L307" s="19"/>
      <c r="M307" s="19"/>
      <c r="N307" s="19"/>
      <c r="O307" s="19"/>
      <c r="P307" s="19"/>
      <c r="Q307" s="2"/>
      <c r="R307" s="2"/>
      <c r="S307" s="2"/>
      <c r="T307" s="2"/>
      <c r="U307" s="2"/>
      <c r="V307" s="2"/>
      <c r="W307" s="2"/>
      <c r="X307" s="2"/>
      <c r="Y307" s="2"/>
      <c r="Z307" s="2"/>
      <c r="AA307" s="2"/>
    </row>
    <row r="308" ht="15.75" customHeight="1">
      <c r="A308" s="19"/>
      <c r="B308" s="19"/>
      <c r="C308" s="19"/>
      <c r="D308" s="19"/>
      <c r="E308" s="19"/>
      <c r="F308" s="2"/>
      <c r="G308" s="19"/>
      <c r="H308" s="19"/>
      <c r="I308" s="19"/>
      <c r="J308" s="19"/>
      <c r="K308" s="19"/>
      <c r="L308" s="19"/>
      <c r="M308" s="19"/>
      <c r="N308" s="19"/>
      <c r="O308" s="19"/>
      <c r="P308" s="19"/>
      <c r="Q308" s="2"/>
      <c r="R308" s="2"/>
      <c r="S308" s="2"/>
      <c r="T308" s="2"/>
      <c r="U308" s="2"/>
      <c r="V308" s="2"/>
      <c r="W308" s="2"/>
      <c r="X308" s="2"/>
      <c r="Y308" s="2"/>
      <c r="Z308" s="2"/>
      <c r="AA308" s="2"/>
    </row>
    <row r="309" ht="15.75" customHeight="1">
      <c r="A309" s="19"/>
      <c r="B309" s="19"/>
      <c r="C309" s="19"/>
      <c r="D309" s="19"/>
      <c r="E309" s="19"/>
      <c r="F309" s="2"/>
      <c r="G309" s="19"/>
      <c r="H309" s="19"/>
      <c r="I309" s="19"/>
      <c r="J309" s="19"/>
      <c r="K309" s="19"/>
      <c r="L309" s="19"/>
      <c r="M309" s="19"/>
      <c r="N309" s="19"/>
      <c r="O309" s="19"/>
      <c r="P309" s="19"/>
      <c r="Q309" s="2"/>
      <c r="R309" s="2"/>
      <c r="S309" s="2"/>
      <c r="T309" s="2"/>
      <c r="U309" s="2"/>
      <c r="V309" s="2"/>
      <c r="W309" s="2"/>
      <c r="X309" s="2"/>
      <c r="Y309" s="2"/>
      <c r="Z309" s="2"/>
      <c r="AA309" s="2"/>
    </row>
    <row r="310" ht="15.75" customHeight="1">
      <c r="A310" s="19"/>
      <c r="B310" s="19"/>
      <c r="C310" s="19"/>
      <c r="D310" s="19"/>
      <c r="E310" s="19"/>
      <c r="F310" s="2"/>
      <c r="G310" s="19"/>
      <c r="H310" s="19"/>
      <c r="I310" s="19"/>
      <c r="J310" s="19"/>
      <c r="K310" s="19"/>
      <c r="L310" s="19"/>
      <c r="M310" s="19"/>
      <c r="N310" s="19"/>
      <c r="O310" s="19"/>
      <c r="P310" s="19"/>
      <c r="Q310" s="2"/>
      <c r="R310" s="2"/>
      <c r="S310" s="2"/>
      <c r="T310" s="2"/>
      <c r="U310" s="2"/>
      <c r="V310" s="2"/>
      <c r="W310" s="2"/>
      <c r="X310" s="2"/>
      <c r="Y310" s="2"/>
      <c r="Z310" s="2"/>
      <c r="AA310" s="2"/>
    </row>
    <row r="311" ht="15.75" customHeight="1">
      <c r="A311" s="19"/>
      <c r="B311" s="19"/>
      <c r="C311" s="19"/>
      <c r="D311" s="19"/>
      <c r="E311" s="19"/>
      <c r="F311" s="2"/>
      <c r="G311" s="19"/>
      <c r="H311" s="19"/>
      <c r="I311" s="19"/>
      <c r="J311" s="19"/>
      <c r="K311" s="19"/>
      <c r="L311" s="19"/>
      <c r="M311" s="19"/>
      <c r="N311" s="19"/>
      <c r="O311" s="19"/>
      <c r="P311" s="19"/>
      <c r="Q311" s="2"/>
      <c r="R311" s="2"/>
      <c r="S311" s="2"/>
      <c r="T311" s="2"/>
      <c r="U311" s="2"/>
      <c r="V311" s="2"/>
      <c r="W311" s="2"/>
      <c r="X311" s="2"/>
      <c r="Y311" s="2"/>
      <c r="Z311" s="2"/>
      <c r="AA311" s="2"/>
    </row>
    <row r="312" ht="15.75" customHeight="1">
      <c r="A312" s="19"/>
      <c r="B312" s="19"/>
      <c r="C312" s="19"/>
      <c r="D312" s="19"/>
      <c r="E312" s="19"/>
      <c r="F312" s="2"/>
      <c r="G312" s="19"/>
      <c r="H312" s="19"/>
      <c r="I312" s="19"/>
      <c r="J312" s="19"/>
      <c r="K312" s="19"/>
      <c r="L312" s="19"/>
      <c r="M312" s="19"/>
      <c r="N312" s="19"/>
      <c r="O312" s="19"/>
      <c r="P312" s="19"/>
      <c r="Q312" s="2"/>
      <c r="R312" s="2"/>
      <c r="S312" s="2"/>
      <c r="T312" s="2"/>
      <c r="U312" s="2"/>
      <c r="V312" s="2"/>
      <c r="W312" s="2"/>
      <c r="X312" s="2"/>
      <c r="Y312" s="2"/>
      <c r="Z312" s="2"/>
      <c r="AA312" s="2"/>
    </row>
    <row r="313" ht="15.75" customHeight="1">
      <c r="A313" s="19"/>
      <c r="B313" s="19"/>
      <c r="C313" s="19"/>
      <c r="D313" s="19"/>
      <c r="E313" s="19"/>
      <c r="F313" s="2"/>
      <c r="G313" s="19"/>
      <c r="H313" s="19"/>
      <c r="I313" s="19"/>
      <c r="J313" s="19"/>
      <c r="K313" s="19"/>
      <c r="L313" s="19"/>
      <c r="M313" s="19"/>
      <c r="N313" s="19"/>
      <c r="O313" s="19"/>
      <c r="P313" s="19"/>
      <c r="Q313" s="2"/>
      <c r="R313" s="2"/>
      <c r="S313" s="2"/>
      <c r="T313" s="2"/>
      <c r="U313" s="2"/>
      <c r="V313" s="2"/>
      <c r="W313" s="2"/>
      <c r="X313" s="2"/>
      <c r="Y313" s="2"/>
      <c r="Z313" s="2"/>
      <c r="AA313" s="2"/>
    </row>
    <row r="314" ht="15.75" customHeight="1">
      <c r="A314" s="19"/>
      <c r="B314" s="19"/>
      <c r="C314" s="19"/>
      <c r="D314" s="19"/>
      <c r="E314" s="19"/>
      <c r="F314" s="2"/>
      <c r="G314" s="19"/>
      <c r="H314" s="19"/>
      <c r="I314" s="19"/>
      <c r="J314" s="19"/>
      <c r="K314" s="19"/>
      <c r="L314" s="19"/>
      <c r="M314" s="19"/>
      <c r="N314" s="19"/>
      <c r="O314" s="19"/>
      <c r="P314" s="19"/>
      <c r="Q314" s="2"/>
      <c r="R314" s="2"/>
      <c r="S314" s="2"/>
      <c r="T314" s="2"/>
      <c r="U314" s="2"/>
      <c r="V314" s="2"/>
      <c r="W314" s="2"/>
      <c r="X314" s="2"/>
      <c r="Y314" s="2"/>
      <c r="Z314" s="2"/>
      <c r="AA314" s="2"/>
    </row>
    <row r="315" ht="15.75" customHeight="1">
      <c r="A315" s="19"/>
      <c r="B315" s="19"/>
      <c r="C315" s="19"/>
      <c r="D315" s="19"/>
      <c r="E315" s="19"/>
      <c r="F315" s="2"/>
      <c r="G315" s="19"/>
      <c r="H315" s="19"/>
      <c r="I315" s="19"/>
      <c r="J315" s="19"/>
      <c r="K315" s="19"/>
      <c r="L315" s="19"/>
      <c r="M315" s="19"/>
      <c r="N315" s="19"/>
      <c r="O315" s="19"/>
      <c r="P315" s="19"/>
      <c r="Q315" s="2"/>
      <c r="R315" s="2"/>
      <c r="S315" s="2"/>
      <c r="T315" s="2"/>
      <c r="U315" s="2"/>
      <c r="V315" s="2"/>
      <c r="W315" s="2"/>
      <c r="X315" s="2"/>
      <c r="Y315" s="2"/>
      <c r="Z315" s="2"/>
      <c r="AA315" s="2"/>
    </row>
    <row r="316" ht="15.75" customHeight="1">
      <c r="A316" s="19"/>
      <c r="B316" s="19"/>
      <c r="C316" s="19"/>
      <c r="D316" s="19"/>
      <c r="E316" s="19"/>
      <c r="F316" s="2"/>
      <c r="G316" s="19"/>
      <c r="H316" s="19"/>
      <c r="I316" s="19"/>
      <c r="J316" s="19"/>
      <c r="K316" s="19"/>
      <c r="L316" s="19"/>
      <c r="M316" s="19"/>
      <c r="N316" s="19"/>
      <c r="O316" s="19"/>
      <c r="P316" s="19"/>
      <c r="Q316" s="2"/>
      <c r="R316" s="2"/>
      <c r="S316" s="2"/>
      <c r="T316" s="2"/>
      <c r="U316" s="2"/>
      <c r="V316" s="2"/>
      <c r="W316" s="2"/>
      <c r="X316" s="2"/>
      <c r="Y316" s="2"/>
      <c r="Z316" s="2"/>
      <c r="AA316" s="2"/>
    </row>
    <row r="317" ht="15.75" customHeight="1">
      <c r="A317" s="19"/>
      <c r="B317" s="19"/>
      <c r="C317" s="19"/>
      <c r="D317" s="19"/>
      <c r="E317" s="19"/>
      <c r="F317" s="2"/>
      <c r="G317" s="19"/>
      <c r="H317" s="19"/>
      <c r="I317" s="19"/>
      <c r="J317" s="19"/>
      <c r="K317" s="19"/>
      <c r="L317" s="19"/>
      <c r="M317" s="19"/>
      <c r="N317" s="19"/>
      <c r="O317" s="19"/>
      <c r="P317" s="19"/>
      <c r="Q317" s="2"/>
      <c r="R317" s="2"/>
      <c r="S317" s="2"/>
      <c r="T317" s="2"/>
      <c r="U317" s="2"/>
      <c r="V317" s="2"/>
      <c r="W317" s="2"/>
      <c r="X317" s="2"/>
      <c r="Y317" s="2"/>
      <c r="Z317" s="2"/>
      <c r="AA317" s="2"/>
    </row>
    <row r="318" ht="15.75" customHeight="1">
      <c r="A318" s="19"/>
      <c r="B318" s="19"/>
      <c r="C318" s="19"/>
      <c r="D318" s="19"/>
      <c r="E318" s="19"/>
      <c r="F318" s="2"/>
      <c r="G318" s="19"/>
      <c r="H318" s="19"/>
      <c r="I318" s="19"/>
      <c r="J318" s="19"/>
      <c r="K318" s="19"/>
      <c r="L318" s="19"/>
      <c r="M318" s="19"/>
      <c r="N318" s="19"/>
      <c r="O318" s="19"/>
      <c r="P318" s="19"/>
      <c r="Q318" s="2"/>
      <c r="R318" s="2"/>
      <c r="S318" s="2"/>
      <c r="T318" s="2"/>
      <c r="U318" s="2"/>
      <c r="V318" s="2"/>
      <c r="W318" s="2"/>
      <c r="X318" s="2"/>
      <c r="Y318" s="2"/>
      <c r="Z318" s="2"/>
      <c r="AA318" s="2"/>
    </row>
    <row r="319" ht="15.75" customHeight="1">
      <c r="A319" s="19"/>
      <c r="B319" s="19"/>
      <c r="C319" s="19"/>
      <c r="D319" s="19"/>
      <c r="E319" s="19"/>
      <c r="F319" s="2"/>
      <c r="G319" s="19"/>
      <c r="H319" s="19"/>
      <c r="I319" s="19"/>
      <c r="J319" s="19"/>
      <c r="K319" s="19"/>
      <c r="L319" s="19"/>
      <c r="M319" s="19"/>
      <c r="N319" s="19"/>
      <c r="O319" s="19"/>
      <c r="P319" s="19"/>
      <c r="Q319" s="2"/>
      <c r="R319" s="2"/>
      <c r="S319" s="2"/>
      <c r="T319" s="2"/>
      <c r="U319" s="2"/>
      <c r="V319" s="2"/>
      <c r="W319" s="2"/>
      <c r="X319" s="2"/>
      <c r="Y319" s="2"/>
      <c r="Z319" s="2"/>
      <c r="AA319" s="2"/>
    </row>
    <row r="320" ht="15.75" customHeight="1">
      <c r="A320" s="19"/>
      <c r="B320" s="19"/>
      <c r="C320" s="19"/>
      <c r="D320" s="19"/>
      <c r="E320" s="19"/>
      <c r="F320" s="2"/>
      <c r="G320" s="19"/>
      <c r="H320" s="19"/>
      <c r="I320" s="19"/>
      <c r="J320" s="19"/>
      <c r="K320" s="19"/>
      <c r="L320" s="19"/>
      <c r="M320" s="19"/>
      <c r="N320" s="19"/>
      <c r="O320" s="19"/>
      <c r="P320" s="19"/>
      <c r="Q320" s="2"/>
      <c r="R320" s="2"/>
      <c r="S320" s="2"/>
      <c r="T320" s="2"/>
      <c r="U320" s="2"/>
      <c r="V320" s="2"/>
      <c r="W320" s="2"/>
      <c r="X320" s="2"/>
      <c r="Y320" s="2"/>
      <c r="Z320" s="2"/>
      <c r="AA320" s="2"/>
    </row>
    <row r="321" ht="15.75" customHeight="1">
      <c r="A321" s="19"/>
      <c r="B321" s="19"/>
      <c r="C321" s="19"/>
      <c r="D321" s="19"/>
      <c r="E321" s="19"/>
      <c r="F321" s="2"/>
      <c r="G321" s="19"/>
      <c r="H321" s="19"/>
      <c r="I321" s="19"/>
      <c r="J321" s="19"/>
      <c r="K321" s="19"/>
      <c r="L321" s="19"/>
      <c r="M321" s="19"/>
      <c r="N321" s="19"/>
      <c r="O321" s="19"/>
      <c r="P321" s="19"/>
      <c r="Q321" s="2"/>
      <c r="R321" s="2"/>
      <c r="S321" s="2"/>
      <c r="T321" s="2"/>
      <c r="U321" s="2"/>
      <c r="V321" s="2"/>
      <c r="W321" s="2"/>
      <c r="X321" s="2"/>
      <c r="Y321" s="2"/>
      <c r="Z321" s="2"/>
      <c r="AA321" s="2"/>
    </row>
    <row r="322" ht="15.75" customHeight="1">
      <c r="A322" s="19"/>
      <c r="B322" s="19"/>
      <c r="C322" s="19"/>
      <c r="D322" s="19"/>
      <c r="E322" s="19"/>
      <c r="F322" s="2"/>
      <c r="G322" s="19"/>
      <c r="H322" s="19"/>
      <c r="I322" s="19"/>
      <c r="J322" s="19"/>
      <c r="K322" s="19"/>
      <c r="L322" s="19"/>
      <c r="M322" s="19"/>
      <c r="N322" s="19"/>
      <c r="O322" s="19"/>
      <c r="P322" s="19"/>
      <c r="Q322" s="2"/>
      <c r="R322" s="2"/>
      <c r="S322" s="2"/>
      <c r="T322" s="2"/>
      <c r="U322" s="2"/>
      <c r="V322" s="2"/>
      <c r="W322" s="2"/>
      <c r="X322" s="2"/>
      <c r="Y322" s="2"/>
      <c r="Z322" s="2"/>
      <c r="AA322" s="2"/>
    </row>
    <row r="323" ht="15.75" customHeight="1">
      <c r="A323" s="19"/>
      <c r="B323" s="19"/>
      <c r="C323" s="19"/>
      <c r="D323" s="19"/>
      <c r="E323" s="19"/>
      <c r="F323" s="2"/>
      <c r="G323" s="19"/>
      <c r="H323" s="19"/>
      <c r="I323" s="19"/>
      <c r="J323" s="19"/>
      <c r="K323" s="19"/>
      <c r="L323" s="19"/>
      <c r="M323" s="19"/>
      <c r="N323" s="19"/>
      <c r="O323" s="19"/>
      <c r="P323" s="19"/>
      <c r="Q323" s="2"/>
      <c r="R323" s="2"/>
      <c r="S323" s="2"/>
      <c r="T323" s="2"/>
      <c r="U323" s="2"/>
      <c r="V323" s="2"/>
      <c r="W323" s="2"/>
      <c r="X323" s="2"/>
      <c r="Y323" s="2"/>
      <c r="Z323" s="2"/>
      <c r="AA323" s="2"/>
    </row>
    <row r="324" ht="15.75" customHeight="1">
      <c r="A324" s="19"/>
      <c r="B324" s="19"/>
      <c r="C324" s="19"/>
      <c r="D324" s="19"/>
      <c r="E324" s="19"/>
      <c r="F324" s="2"/>
      <c r="G324" s="19"/>
      <c r="H324" s="19"/>
      <c r="I324" s="19"/>
      <c r="J324" s="19"/>
      <c r="K324" s="19"/>
      <c r="L324" s="19"/>
      <c r="M324" s="19"/>
      <c r="N324" s="19"/>
      <c r="O324" s="19"/>
      <c r="P324" s="19"/>
      <c r="Q324" s="2"/>
      <c r="R324" s="2"/>
      <c r="S324" s="2"/>
      <c r="T324" s="2"/>
      <c r="U324" s="2"/>
      <c r="V324" s="2"/>
      <c r="W324" s="2"/>
      <c r="X324" s="2"/>
      <c r="Y324" s="2"/>
      <c r="Z324" s="2"/>
      <c r="AA324" s="2"/>
    </row>
    <row r="325" ht="15.75" customHeight="1">
      <c r="A325" s="19"/>
      <c r="B325" s="19"/>
      <c r="C325" s="19"/>
      <c r="D325" s="19"/>
      <c r="E325" s="19"/>
      <c r="F325" s="2"/>
      <c r="G325" s="19"/>
      <c r="H325" s="19"/>
      <c r="I325" s="19"/>
      <c r="J325" s="19"/>
      <c r="K325" s="19"/>
      <c r="L325" s="19"/>
      <c r="M325" s="19"/>
      <c r="N325" s="19"/>
      <c r="O325" s="19"/>
      <c r="P325" s="19"/>
      <c r="Q325" s="2"/>
      <c r="R325" s="2"/>
      <c r="S325" s="2"/>
      <c r="T325" s="2"/>
      <c r="U325" s="2"/>
      <c r="V325" s="2"/>
      <c r="W325" s="2"/>
      <c r="X325" s="2"/>
      <c r="Y325" s="2"/>
      <c r="Z325" s="2"/>
      <c r="AA325" s="2"/>
    </row>
    <row r="326" ht="15.75" customHeight="1">
      <c r="A326" s="19"/>
      <c r="B326" s="19"/>
      <c r="C326" s="19"/>
      <c r="D326" s="19"/>
      <c r="E326" s="19"/>
      <c r="F326" s="2"/>
      <c r="G326" s="19"/>
      <c r="H326" s="19"/>
      <c r="I326" s="19"/>
      <c r="J326" s="19"/>
      <c r="K326" s="19"/>
      <c r="L326" s="19"/>
      <c r="M326" s="19"/>
      <c r="N326" s="19"/>
      <c r="O326" s="19"/>
      <c r="P326" s="19"/>
      <c r="Q326" s="2"/>
      <c r="R326" s="2"/>
      <c r="S326" s="2"/>
      <c r="T326" s="2"/>
      <c r="U326" s="2"/>
      <c r="V326" s="2"/>
      <c r="W326" s="2"/>
      <c r="X326" s="2"/>
      <c r="Y326" s="2"/>
      <c r="Z326" s="2"/>
      <c r="AA326" s="2"/>
    </row>
    <row r="327" ht="15.75" customHeight="1">
      <c r="A327" s="19"/>
      <c r="B327" s="19"/>
      <c r="C327" s="19"/>
      <c r="D327" s="19"/>
      <c r="E327" s="19"/>
      <c r="F327" s="2"/>
      <c r="G327" s="19"/>
      <c r="H327" s="19"/>
      <c r="I327" s="19"/>
      <c r="J327" s="19"/>
      <c r="K327" s="19"/>
      <c r="L327" s="19"/>
      <c r="M327" s="19"/>
      <c r="N327" s="19"/>
      <c r="O327" s="19"/>
      <c r="P327" s="19"/>
      <c r="Q327" s="2"/>
      <c r="R327" s="2"/>
      <c r="S327" s="2"/>
      <c r="T327" s="2"/>
      <c r="U327" s="2"/>
      <c r="V327" s="2"/>
      <c r="W327" s="2"/>
      <c r="X327" s="2"/>
      <c r="Y327" s="2"/>
      <c r="Z327" s="2"/>
      <c r="AA327" s="2"/>
    </row>
    <row r="328" ht="15.75" customHeight="1">
      <c r="A328" s="19"/>
      <c r="B328" s="19"/>
      <c r="C328" s="19"/>
      <c r="D328" s="19"/>
      <c r="E328" s="19"/>
      <c r="F328" s="2"/>
      <c r="G328" s="19"/>
      <c r="H328" s="19"/>
      <c r="I328" s="19"/>
      <c r="J328" s="19"/>
      <c r="K328" s="19"/>
      <c r="L328" s="19"/>
      <c r="M328" s="19"/>
      <c r="N328" s="19"/>
      <c r="O328" s="19"/>
      <c r="P328" s="19"/>
      <c r="Q328" s="2"/>
      <c r="R328" s="2"/>
      <c r="S328" s="2"/>
      <c r="T328" s="2"/>
      <c r="U328" s="2"/>
      <c r="V328" s="2"/>
      <c r="W328" s="2"/>
      <c r="X328" s="2"/>
      <c r="Y328" s="2"/>
      <c r="Z328" s="2"/>
      <c r="AA328" s="2"/>
    </row>
    <row r="329" ht="15.75" customHeight="1">
      <c r="A329" s="19"/>
      <c r="B329" s="19"/>
      <c r="C329" s="19"/>
      <c r="D329" s="19"/>
      <c r="E329" s="19"/>
      <c r="F329" s="2"/>
      <c r="G329" s="19"/>
      <c r="H329" s="19"/>
      <c r="I329" s="19"/>
      <c r="J329" s="19"/>
      <c r="K329" s="19"/>
      <c r="L329" s="19"/>
      <c r="M329" s="19"/>
      <c r="N329" s="19"/>
      <c r="O329" s="19"/>
      <c r="P329" s="19"/>
      <c r="Q329" s="2"/>
      <c r="R329" s="2"/>
      <c r="S329" s="2"/>
      <c r="T329" s="2"/>
      <c r="U329" s="2"/>
      <c r="V329" s="2"/>
      <c r="W329" s="2"/>
      <c r="X329" s="2"/>
      <c r="Y329" s="2"/>
      <c r="Z329" s="2"/>
      <c r="AA329" s="2"/>
    </row>
    <row r="330" ht="15.75" customHeight="1">
      <c r="A330" s="19"/>
      <c r="B330" s="19"/>
      <c r="C330" s="19"/>
      <c r="D330" s="19"/>
      <c r="E330" s="19"/>
      <c r="F330" s="2"/>
      <c r="G330" s="19"/>
      <c r="H330" s="19"/>
      <c r="I330" s="19"/>
      <c r="J330" s="19"/>
      <c r="K330" s="19"/>
      <c r="L330" s="19"/>
      <c r="M330" s="19"/>
      <c r="N330" s="19"/>
      <c r="O330" s="19"/>
      <c r="P330" s="19"/>
      <c r="Q330" s="2"/>
      <c r="R330" s="2"/>
      <c r="S330" s="2"/>
      <c r="T330" s="2"/>
      <c r="U330" s="2"/>
      <c r="V330" s="2"/>
      <c r="W330" s="2"/>
      <c r="X330" s="2"/>
      <c r="Y330" s="2"/>
      <c r="Z330" s="2"/>
      <c r="AA330" s="2"/>
    </row>
    <row r="331" ht="15.75" customHeight="1">
      <c r="A331" s="19"/>
      <c r="B331" s="19"/>
      <c r="C331" s="19"/>
      <c r="D331" s="19"/>
      <c r="E331" s="19"/>
      <c r="F331" s="2"/>
      <c r="G331" s="19"/>
      <c r="H331" s="19"/>
      <c r="I331" s="19"/>
      <c r="J331" s="19"/>
      <c r="K331" s="19"/>
      <c r="L331" s="19"/>
      <c r="M331" s="19"/>
      <c r="N331" s="19"/>
      <c r="O331" s="19"/>
      <c r="P331" s="19"/>
      <c r="Q331" s="2"/>
      <c r="R331" s="2"/>
      <c r="S331" s="2"/>
      <c r="T331" s="2"/>
      <c r="U331" s="2"/>
      <c r="V331" s="2"/>
      <c r="W331" s="2"/>
      <c r="X331" s="2"/>
      <c r="Y331" s="2"/>
      <c r="Z331" s="2"/>
      <c r="AA331" s="2"/>
    </row>
    <row r="332" ht="15.75" customHeight="1">
      <c r="A332" s="19"/>
      <c r="B332" s="19"/>
      <c r="C332" s="19"/>
      <c r="D332" s="19"/>
      <c r="E332" s="19"/>
      <c r="F332" s="2"/>
      <c r="G332" s="19"/>
      <c r="H332" s="19"/>
      <c r="I332" s="19"/>
      <c r="J332" s="19"/>
      <c r="K332" s="19"/>
      <c r="L332" s="19"/>
      <c r="M332" s="19"/>
      <c r="N332" s="19"/>
      <c r="O332" s="19"/>
      <c r="P332" s="19"/>
      <c r="Q332" s="2"/>
      <c r="R332" s="2"/>
      <c r="S332" s="2"/>
      <c r="T332" s="2"/>
      <c r="U332" s="2"/>
      <c r="V332" s="2"/>
      <c r="W332" s="2"/>
      <c r="X332" s="2"/>
      <c r="Y332" s="2"/>
      <c r="Z332" s="2"/>
      <c r="AA332" s="2"/>
    </row>
    <row r="333" ht="15.75" customHeight="1">
      <c r="A333" s="19"/>
      <c r="B333" s="19"/>
      <c r="C333" s="19"/>
      <c r="D333" s="19"/>
      <c r="E333" s="19"/>
      <c r="F333" s="2"/>
      <c r="G333" s="19"/>
      <c r="H333" s="19"/>
      <c r="I333" s="19"/>
      <c r="J333" s="19"/>
      <c r="K333" s="19"/>
      <c r="L333" s="19"/>
      <c r="M333" s="19"/>
      <c r="N333" s="19"/>
      <c r="O333" s="19"/>
      <c r="P333" s="19"/>
      <c r="Q333" s="2"/>
      <c r="R333" s="2"/>
      <c r="S333" s="2"/>
      <c r="T333" s="2"/>
      <c r="U333" s="2"/>
      <c r="V333" s="2"/>
      <c r="W333" s="2"/>
      <c r="X333" s="2"/>
      <c r="Y333" s="2"/>
      <c r="Z333" s="2"/>
      <c r="AA333" s="2"/>
    </row>
    <row r="334" ht="15.75" customHeight="1">
      <c r="A334" s="19"/>
      <c r="B334" s="19"/>
      <c r="C334" s="19"/>
      <c r="D334" s="19"/>
      <c r="E334" s="19"/>
      <c r="F334" s="2"/>
      <c r="G334" s="19"/>
      <c r="H334" s="19"/>
      <c r="I334" s="19"/>
      <c r="J334" s="19"/>
      <c r="K334" s="19"/>
      <c r="L334" s="19"/>
      <c r="M334" s="19"/>
      <c r="N334" s="19"/>
      <c r="O334" s="19"/>
      <c r="P334" s="19"/>
      <c r="Q334" s="2"/>
      <c r="R334" s="2"/>
      <c r="S334" s="2"/>
      <c r="T334" s="2"/>
      <c r="U334" s="2"/>
      <c r="V334" s="2"/>
      <c r="W334" s="2"/>
      <c r="X334" s="2"/>
      <c r="Y334" s="2"/>
      <c r="Z334" s="2"/>
      <c r="AA334" s="2"/>
    </row>
    <row r="335" ht="15.75" customHeight="1">
      <c r="A335" s="19"/>
      <c r="B335" s="19"/>
      <c r="C335" s="19"/>
      <c r="D335" s="19"/>
      <c r="E335" s="19"/>
      <c r="F335" s="2"/>
      <c r="G335" s="19"/>
      <c r="H335" s="19"/>
      <c r="I335" s="19"/>
      <c r="J335" s="19"/>
      <c r="K335" s="19"/>
      <c r="L335" s="19"/>
      <c r="M335" s="19"/>
      <c r="N335" s="19"/>
      <c r="O335" s="19"/>
      <c r="P335" s="19"/>
      <c r="Q335" s="2"/>
      <c r="R335" s="2"/>
      <c r="S335" s="2"/>
      <c r="T335" s="2"/>
      <c r="U335" s="2"/>
      <c r="V335" s="2"/>
      <c r="W335" s="2"/>
      <c r="X335" s="2"/>
      <c r="Y335" s="2"/>
      <c r="Z335" s="2"/>
      <c r="AA335" s="2"/>
    </row>
    <row r="336" ht="15.75" customHeight="1">
      <c r="A336" s="19"/>
      <c r="B336" s="19"/>
      <c r="C336" s="19"/>
      <c r="D336" s="19"/>
      <c r="E336" s="19"/>
      <c r="F336" s="2"/>
      <c r="G336" s="19"/>
      <c r="H336" s="19"/>
      <c r="I336" s="19"/>
      <c r="J336" s="19"/>
      <c r="K336" s="19"/>
      <c r="L336" s="19"/>
      <c r="M336" s="19"/>
      <c r="N336" s="19"/>
      <c r="O336" s="19"/>
      <c r="P336" s="19"/>
      <c r="Q336" s="2"/>
      <c r="R336" s="2"/>
      <c r="S336" s="2"/>
      <c r="T336" s="2"/>
      <c r="U336" s="2"/>
      <c r="V336" s="2"/>
      <c r="W336" s="2"/>
      <c r="X336" s="2"/>
      <c r="Y336" s="2"/>
      <c r="Z336" s="2"/>
      <c r="AA336" s="2"/>
    </row>
    <row r="337" ht="15.75" customHeight="1">
      <c r="A337" s="19"/>
      <c r="B337" s="19"/>
      <c r="C337" s="19"/>
      <c r="D337" s="19"/>
      <c r="E337" s="19"/>
      <c r="F337" s="2"/>
      <c r="G337" s="19"/>
      <c r="H337" s="19"/>
      <c r="I337" s="19"/>
      <c r="J337" s="19"/>
      <c r="K337" s="19"/>
      <c r="L337" s="19"/>
      <c r="M337" s="19"/>
      <c r="N337" s="19"/>
      <c r="O337" s="19"/>
      <c r="P337" s="19"/>
      <c r="Q337" s="2"/>
      <c r="R337" s="2"/>
      <c r="S337" s="2"/>
      <c r="T337" s="2"/>
      <c r="U337" s="2"/>
      <c r="V337" s="2"/>
      <c r="W337" s="2"/>
      <c r="X337" s="2"/>
      <c r="Y337" s="2"/>
      <c r="Z337" s="2"/>
      <c r="AA337" s="2"/>
    </row>
    <row r="338" ht="15.75" customHeight="1">
      <c r="A338" s="19"/>
      <c r="B338" s="19"/>
      <c r="C338" s="19"/>
      <c r="D338" s="19"/>
      <c r="E338" s="19"/>
      <c r="F338" s="2"/>
      <c r="G338" s="19"/>
      <c r="H338" s="19"/>
      <c r="I338" s="19"/>
      <c r="J338" s="19"/>
      <c r="K338" s="19"/>
      <c r="L338" s="19"/>
      <c r="M338" s="19"/>
      <c r="N338" s="19"/>
      <c r="O338" s="19"/>
      <c r="P338" s="19"/>
      <c r="Q338" s="2"/>
      <c r="R338" s="2"/>
      <c r="S338" s="2"/>
      <c r="T338" s="2"/>
      <c r="U338" s="2"/>
      <c r="V338" s="2"/>
      <c r="W338" s="2"/>
      <c r="X338" s="2"/>
      <c r="Y338" s="2"/>
      <c r="Z338" s="2"/>
      <c r="AA338" s="2"/>
    </row>
    <row r="339" ht="15.75" customHeight="1">
      <c r="A339" s="19"/>
      <c r="B339" s="19"/>
      <c r="C339" s="19"/>
      <c r="D339" s="19"/>
      <c r="E339" s="19"/>
      <c r="F339" s="2"/>
      <c r="G339" s="19"/>
      <c r="H339" s="19"/>
      <c r="I339" s="19"/>
      <c r="J339" s="19"/>
      <c r="K339" s="19"/>
      <c r="L339" s="19"/>
      <c r="M339" s="19"/>
      <c r="N339" s="19"/>
      <c r="O339" s="19"/>
      <c r="P339" s="19"/>
      <c r="Q339" s="2"/>
      <c r="R339" s="2"/>
      <c r="S339" s="2"/>
      <c r="T339" s="2"/>
      <c r="U339" s="2"/>
      <c r="V339" s="2"/>
      <c r="W339" s="2"/>
      <c r="X339" s="2"/>
      <c r="Y339" s="2"/>
      <c r="Z339" s="2"/>
      <c r="AA339" s="2"/>
    </row>
    <row r="340" ht="15.75" customHeight="1">
      <c r="A340" s="19"/>
      <c r="B340" s="19"/>
      <c r="C340" s="19"/>
      <c r="D340" s="19"/>
      <c r="E340" s="19"/>
      <c r="F340" s="2"/>
      <c r="G340" s="19"/>
      <c r="H340" s="19"/>
      <c r="I340" s="19"/>
      <c r="J340" s="19"/>
      <c r="K340" s="19"/>
      <c r="L340" s="19"/>
      <c r="M340" s="19"/>
      <c r="N340" s="19"/>
      <c r="O340" s="19"/>
      <c r="P340" s="19"/>
      <c r="Q340" s="2"/>
      <c r="R340" s="2"/>
      <c r="S340" s="2"/>
      <c r="T340" s="2"/>
      <c r="U340" s="2"/>
      <c r="V340" s="2"/>
      <c r="W340" s="2"/>
      <c r="X340" s="2"/>
      <c r="Y340" s="2"/>
      <c r="Z340" s="2"/>
      <c r="AA340" s="2"/>
    </row>
    <row r="341" ht="15.75" customHeight="1">
      <c r="A341" s="19"/>
      <c r="B341" s="19"/>
      <c r="C341" s="19"/>
      <c r="D341" s="19"/>
      <c r="E341" s="19"/>
      <c r="F341" s="2"/>
      <c r="G341" s="19"/>
      <c r="H341" s="19"/>
      <c r="I341" s="19"/>
      <c r="J341" s="19"/>
      <c r="K341" s="19"/>
      <c r="L341" s="19"/>
      <c r="M341" s="19"/>
      <c r="N341" s="19"/>
      <c r="O341" s="19"/>
      <c r="P341" s="19"/>
      <c r="Q341" s="2"/>
      <c r="R341" s="2"/>
      <c r="S341" s="2"/>
      <c r="T341" s="2"/>
      <c r="U341" s="2"/>
      <c r="V341" s="2"/>
      <c r="W341" s="2"/>
      <c r="X341" s="2"/>
      <c r="Y341" s="2"/>
      <c r="Z341" s="2"/>
      <c r="AA341" s="2"/>
    </row>
    <row r="342" ht="15.75" customHeight="1">
      <c r="A342" s="19"/>
      <c r="B342" s="19"/>
      <c r="C342" s="19"/>
      <c r="D342" s="19"/>
      <c r="E342" s="19"/>
      <c r="F342" s="2"/>
      <c r="G342" s="19"/>
      <c r="H342" s="19"/>
      <c r="I342" s="19"/>
      <c r="J342" s="19"/>
      <c r="K342" s="19"/>
      <c r="L342" s="19"/>
      <c r="M342" s="19"/>
      <c r="N342" s="19"/>
      <c r="O342" s="19"/>
      <c r="P342" s="19"/>
      <c r="Q342" s="2"/>
      <c r="R342" s="2"/>
      <c r="S342" s="2"/>
      <c r="T342" s="2"/>
      <c r="U342" s="2"/>
      <c r="V342" s="2"/>
      <c r="W342" s="2"/>
      <c r="X342" s="2"/>
      <c r="Y342" s="2"/>
      <c r="Z342" s="2"/>
      <c r="AA342" s="2"/>
    </row>
    <row r="343" ht="15.75" customHeight="1">
      <c r="A343" s="19"/>
      <c r="B343" s="19"/>
      <c r="C343" s="19"/>
      <c r="D343" s="19"/>
      <c r="E343" s="19"/>
      <c r="F343" s="2"/>
      <c r="G343" s="19"/>
      <c r="H343" s="19"/>
      <c r="I343" s="19"/>
      <c r="J343" s="19"/>
      <c r="K343" s="19"/>
      <c r="L343" s="19"/>
      <c r="M343" s="19"/>
      <c r="N343" s="19"/>
      <c r="O343" s="19"/>
      <c r="P343" s="19"/>
      <c r="Q343" s="2"/>
      <c r="R343" s="2"/>
      <c r="S343" s="2"/>
      <c r="T343" s="2"/>
      <c r="U343" s="2"/>
      <c r="V343" s="2"/>
      <c r="W343" s="2"/>
      <c r="X343" s="2"/>
      <c r="Y343" s="2"/>
      <c r="Z343" s="2"/>
      <c r="AA343" s="2"/>
    </row>
    <row r="344" ht="15.75" customHeight="1">
      <c r="A344" s="19"/>
      <c r="B344" s="19"/>
      <c r="C344" s="19"/>
      <c r="D344" s="19"/>
      <c r="E344" s="19"/>
      <c r="F344" s="2"/>
      <c r="G344" s="19"/>
      <c r="H344" s="19"/>
      <c r="I344" s="19"/>
      <c r="J344" s="19"/>
      <c r="K344" s="19"/>
      <c r="L344" s="19"/>
      <c r="M344" s="19"/>
      <c r="N344" s="19"/>
      <c r="O344" s="19"/>
      <c r="P344" s="19"/>
      <c r="Q344" s="2"/>
      <c r="R344" s="2"/>
      <c r="S344" s="2"/>
      <c r="T344" s="2"/>
      <c r="U344" s="2"/>
      <c r="V344" s="2"/>
      <c r="W344" s="2"/>
      <c r="X344" s="2"/>
      <c r="Y344" s="2"/>
      <c r="Z344" s="2"/>
      <c r="AA344" s="2"/>
    </row>
    <row r="345" ht="15.75" customHeight="1">
      <c r="A345" s="19"/>
      <c r="B345" s="19"/>
      <c r="C345" s="19"/>
      <c r="D345" s="19"/>
      <c r="E345" s="19"/>
      <c r="F345" s="2"/>
      <c r="G345" s="19"/>
      <c r="H345" s="19"/>
      <c r="I345" s="19"/>
      <c r="J345" s="19"/>
      <c r="K345" s="19"/>
      <c r="L345" s="19"/>
      <c r="M345" s="19"/>
      <c r="N345" s="19"/>
      <c r="O345" s="19"/>
      <c r="P345" s="19"/>
      <c r="Q345" s="2"/>
      <c r="R345" s="2"/>
      <c r="S345" s="2"/>
      <c r="T345" s="2"/>
      <c r="U345" s="2"/>
      <c r="V345" s="2"/>
      <c r="W345" s="2"/>
      <c r="X345" s="2"/>
      <c r="Y345" s="2"/>
      <c r="Z345" s="2"/>
      <c r="AA345" s="2"/>
    </row>
    <row r="346" ht="15.75" customHeight="1">
      <c r="A346" s="19"/>
      <c r="B346" s="19"/>
      <c r="C346" s="19"/>
      <c r="D346" s="19"/>
      <c r="E346" s="19"/>
      <c r="F346" s="2"/>
      <c r="G346" s="19"/>
      <c r="H346" s="19"/>
      <c r="I346" s="19"/>
      <c r="J346" s="19"/>
      <c r="K346" s="19"/>
      <c r="L346" s="19"/>
      <c r="M346" s="19"/>
      <c r="N346" s="19"/>
      <c r="O346" s="19"/>
      <c r="P346" s="19"/>
      <c r="Q346" s="2"/>
      <c r="R346" s="2"/>
      <c r="S346" s="2"/>
      <c r="T346" s="2"/>
      <c r="U346" s="2"/>
      <c r="V346" s="2"/>
      <c r="W346" s="2"/>
      <c r="X346" s="2"/>
      <c r="Y346" s="2"/>
      <c r="Z346" s="2"/>
      <c r="AA346" s="2"/>
    </row>
    <row r="347" ht="15.75" customHeight="1">
      <c r="A347" s="19"/>
      <c r="B347" s="19"/>
      <c r="C347" s="19"/>
      <c r="D347" s="19"/>
      <c r="E347" s="19"/>
      <c r="F347" s="2"/>
      <c r="G347" s="19"/>
      <c r="H347" s="19"/>
      <c r="I347" s="19"/>
      <c r="J347" s="19"/>
      <c r="K347" s="19"/>
      <c r="L347" s="19"/>
      <c r="M347" s="19"/>
      <c r="N347" s="19"/>
      <c r="O347" s="19"/>
      <c r="P347" s="19"/>
      <c r="Q347" s="2"/>
      <c r="R347" s="2"/>
      <c r="S347" s="2"/>
      <c r="T347" s="2"/>
      <c r="U347" s="2"/>
      <c r="V347" s="2"/>
      <c r="W347" s="2"/>
      <c r="X347" s="2"/>
      <c r="Y347" s="2"/>
      <c r="Z347" s="2"/>
      <c r="AA347" s="2"/>
    </row>
    <row r="348" ht="15.75" customHeight="1">
      <c r="A348" s="19"/>
      <c r="B348" s="19"/>
      <c r="C348" s="19"/>
      <c r="D348" s="19"/>
      <c r="E348" s="19"/>
      <c r="F348" s="2"/>
      <c r="G348" s="19"/>
      <c r="H348" s="19"/>
      <c r="I348" s="19"/>
      <c r="J348" s="19"/>
      <c r="K348" s="19"/>
      <c r="L348" s="19"/>
      <c r="M348" s="19"/>
      <c r="N348" s="19"/>
      <c r="O348" s="19"/>
      <c r="P348" s="19"/>
      <c r="Q348" s="2"/>
      <c r="R348" s="2"/>
      <c r="S348" s="2"/>
      <c r="T348" s="2"/>
      <c r="U348" s="2"/>
      <c r="V348" s="2"/>
      <c r="W348" s="2"/>
      <c r="X348" s="2"/>
      <c r="Y348" s="2"/>
      <c r="Z348" s="2"/>
      <c r="AA348" s="2"/>
    </row>
    <row r="349" ht="15.75" customHeight="1">
      <c r="A349" s="19"/>
      <c r="B349" s="19"/>
      <c r="C349" s="19"/>
      <c r="D349" s="19"/>
      <c r="E349" s="19"/>
      <c r="F349" s="2"/>
      <c r="G349" s="19"/>
      <c r="H349" s="19"/>
      <c r="I349" s="19"/>
      <c r="J349" s="19"/>
      <c r="K349" s="19"/>
      <c r="L349" s="19"/>
      <c r="M349" s="19"/>
      <c r="N349" s="19"/>
      <c r="O349" s="19"/>
      <c r="P349" s="19"/>
      <c r="Q349" s="2"/>
      <c r="R349" s="2"/>
      <c r="S349" s="2"/>
      <c r="T349" s="2"/>
      <c r="U349" s="2"/>
      <c r="V349" s="2"/>
      <c r="W349" s="2"/>
      <c r="X349" s="2"/>
      <c r="Y349" s="2"/>
      <c r="Z349" s="2"/>
      <c r="AA349" s="2"/>
    </row>
    <row r="350" ht="15.75" customHeight="1">
      <c r="A350" s="19"/>
      <c r="B350" s="19"/>
      <c r="C350" s="19"/>
      <c r="D350" s="19"/>
      <c r="E350" s="19"/>
      <c r="F350" s="2"/>
      <c r="G350" s="19"/>
      <c r="H350" s="19"/>
      <c r="I350" s="19"/>
      <c r="J350" s="19"/>
      <c r="K350" s="19"/>
      <c r="L350" s="19"/>
      <c r="M350" s="19"/>
      <c r="N350" s="19"/>
      <c r="O350" s="19"/>
      <c r="P350" s="19"/>
      <c r="Q350" s="2"/>
      <c r="R350" s="2"/>
      <c r="S350" s="2"/>
      <c r="T350" s="2"/>
      <c r="U350" s="2"/>
      <c r="V350" s="2"/>
      <c r="W350" s="2"/>
      <c r="X350" s="2"/>
      <c r="Y350" s="2"/>
      <c r="Z350" s="2"/>
      <c r="AA350" s="2"/>
    </row>
    <row r="351" ht="15.75" customHeight="1">
      <c r="A351" s="19"/>
      <c r="B351" s="19"/>
      <c r="C351" s="19"/>
      <c r="D351" s="19"/>
      <c r="E351" s="19"/>
      <c r="F351" s="2"/>
      <c r="G351" s="19"/>
      <c r="H351" s="19"/>
      <c r="I351" s="19"/>
      <c r="J351" s="19"/>
      <c r="K351" s="19"/>
      <c r="L351" s="19"/>
      <c r="M351" s="19"/>
      <c r="N351" s="19"/>
      <c r="O351" s="19"/>
      <c r="P351" s="19"/>
      <c r="Q351" s="2"/>
      <c r="R351" s="2"/>
      <c r="S351" s="2"/>
      <c r="T351" s="2"/>
      <c r="U351" s="2"/>
      <c r="V351" s="2"/>
      <c r="W351" s="2"/>
      <c r="X351" s="2"/>
      <c r="Y351" s="2"/>
      <c r="Z351" s="2"/>
      <c r="AA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autoFilter ref="$A$1:$O$1000"/>
  <dataValidations>
    <dataValidation type="list" allowBlank="1" sqref="A2:A251">
      <formula1>"FALSE,TRUE,ORDERED,PROXY,OUT OF DECK"</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38"/>
    <col customWidth="1" min="2" max="2" width="9.75"/>
    <col customWidth="1" min="3" max="3" width="27.0"/>
    <col customWidth="1" min="4" max="4" width="33.63"/>
    <col customWidth="1" min="5" max="5" width="12.25"/>
    <col customWidth="1" min="6" max="6" width="26.0"/>
    <col customWidth="1" hidden="1" min="7" max="7" width="30.0"/>
    <col customWidth="1" min="8" max="8" width="9.5"/>
    <col customWidth="1" min="9" max="9" width="9.25"/>
    <col customWidth="1" min="10" max="10" width="11.13"/>
    <col customWidth="1" min="11" max="11" width="9.0"/>
    <col customWidth="1" min="12" max="12" width="34.25"/>
    <col customWidth="1" min="13" max="13" width="60.0"/>
    <col customWidth="1" min="14" max="15" width="13.0"/>
    <col customWidth="1" min="16" max="16" width="35.63"/>
  </cols>
  <sheetData>
    <row r="1">
      <c r="A1" s="19" t="s">
        <v>106</v>
      </c>
      <c r="B1" s="19" t="s">
        <v>107</v>
      </c>
      <c r="C1" s="19" t="s">
        <v>108</v>
      </c>
      <c r="D1" s="19" t="s">
        <v>109</v>
      </c>
      <c r="E1" s="19" t="s">
        <v>110</v>
      </c>
      <c r="F1" s="19" t="s">
        <v>111</v>
      </c>
      <c r="G1" s="19" t="s">
        <v>112</v>
      </c>
      <c r="H1" s="19" t="s">
        <v>113</v>
      </c>
      <c r="I1" s="19" t="s">
        <v>114</v>
      </c>
      <c r="J1" s="19" t="s">
        <v>115</v>
      </c>
      <c r="K1" s="19" t="s">
        <v>116</v>
      </c>
      <c r="L1" s="19" t="s">
        <v>117</v>
      </c>
      <c r="M1" s="19" t="s">
        <v>118</v>
      </c>
      <c r="N1" s="19" t="s">
        <v>119</v>
      </c>
      <c r="O1" s="19" t="s">
        <v>120</v>
      </c>
      <c r="P1" s="30"/>
      <c r="Q1" s="5"/>
      <c r="R1" s="5"/>
      <c r="S1" s="5"/>
      <c r="T1" s="5"/>
      <c r="U1" s="5"/>
      <c r="V1" s="5"/>
      <c r="W1" s="5"/>
      <c r="X1" s="5"/>
      <c r="Y1" s="5"/>
      <c r="Z1" s="5"/>
      <c r="AA1" s="5"/>
    </row>
    <row r="2">
      <c r="A2" s="31" t="b">
        <v>0</v>
      </c>
      <c r="B2" s="49">
        <v>1.0</v>
      </c>
      <c r="C2" s="50" t="s">
        <v>121</v>
      </c>
      <c r="D2" s="50" t="s">
        <v>122</v>
      </c>
      <c r="E2" s="50" t="s">
        <v>123</v>
      </c>
      <c r="F2" s="34" t="str">
        <f t="array" ref="F2">IF(INDEX('Binder Data'!$A$252:$A$501,ROW()-1)="","",IF(INDEX('Binder Data'!$D$252:$D$501,ROW()-1)="Needed",INDEX('Binder Data'!$B$252:$B$501,ROW()-1),INDEX('Binder Data'!$D$252:$D$501,ROW()-1)))</f>
        <v>Foundations</v>
      </c>
      <c r="G2" s="51" t="s">
        <v>124</v>
      </c>
      <c r="H2" s="49">
        <v>3.0</v>
      </c>
      <c r="I2" s="50" t="s">
        <v>125</v>
      </c>
      <c r="J2" s="52">
        <v>4.07</v>
      </c>
      <c r="K2" s="53" t="s">
        <v>126</v>
      </c>
      <c r="L2" s="54" t="s">
        <v>127</v>
      </c>
      <c r="M2" s="55" t="s">
        <v>128</v>
      </c>
      <c r="N2" s="56" t="s">
        <v>129</v>
      </c>
      <c r="O2" s="57" t="s">
        <v>130</v>
      </c>
      <c r="P2" s="19"/>
    </row>
    <row r="3">
      <c r="A3" s="31" t="b">
        <v>0</v>
      </c>
      <c r="B3" s="49">
        <v>1.0</v>
      </c>
      <c r="C3" s="50" t="s">
        <v>131</v>
      </c>
      <c r="D3" s="50" t="s">
        <v>132</v>
      </c>
      <c r="E3" s="50" t="s">
        <v>133</v>
      </c>
      <c r="F3" s="34" t="str">
        <f t="array" ref="F3">IF(INDEX('Binder Data'!$A$252:$A$501,ROW()-1)="","",IF(INDEX('Binder Data'!$D$252:$D$501,ROW()-1)="Needed",INDEX('Binder Data'!$B$252:$B$501,ROW()-1),INDEX('Binder Data'!$D$252:$D$501,ROW()-1)))</f>
        <v>Foundations</v>
      </c>
      <c r="G3" s="51" t="s">
        <v>134</v>
      </c>
      <c r="H3" s="49">
        <v>2.0</v>
      </c>
      <c r="I3" s="50" t="s">
        <v>135</v>
      </c>
      <c r="J3" s="52">
        <v>0.77</v>
      </c>
      <c r="K3" s="53" t="s">
        <v>126</v>
      </c>
      <c r="L3" s="54" t="s">
        <v>136</v>
      </c>
      <c r="M3" s="55" t="s">
        <v>137</v>
      </c>
      <c r="N3" s="56">
        <v>0.77</v>
      </c>
      <c r="O3" s="57" t="s">
        <v>138</v>
      </c>
      <c r="P3" s="19"/>
    </row>
    <row r="4">
      <c r="A4" s="31" t="b">
        <v>0</v>
      </c>
      <c r="B4" s="49">
        <v>1.0</v>
      </c>
      <c r="C4" s="50" t="s">
        <v>139</v>
      </c>
      <c r="D4" s="50" t="s">
        <v>140</v>
      </c>
      <c r="E4" s="33"/>
      <c r="F4" s="34" t="str">
        <f t="array" ref="F4">IF(INDEX('Binder Data'!$A$252:$A$501,ROW()-1)="","",IF(INDEX('Binder Data'!$D$252:$D$501,ROW()-1)="Needed",INDEX('Binder Data'!$B$252:$B$501,ROW()-1),INDEX('Binder Data'!$D$252:$D$501,ROW()-1)))</f>
        <v>Secret Lair Drop</v>
      </c>
      <c r="G4" s="51" t="s">
        <v>141</v>
      </c>
      <c r="H4" s="49">
        <v>0.0</v>
      </c>
      <c r="I4" s="50" t="s">
        <v>125</v>
      </c>
      <c r="J4" s="52">
        <v>0.22</v>
      </c>
      <c r="K4" s="36"/>
      <c r="L4" s="54" t="s">
        <v>142</v>
      </c>
      <c r="M4" s="55" t="s">
        <v>143</v>
      </c>
      <c r="N4" s="56" t="s">
        <v>144</v>
      </c>
      <c r="O4" s="57" t="s">
        <v>145</v>
      </c>
      <c r="P4" s="19"/>
    </row>
    <row r="5">
      <c r="A5" s="31" t="b">
        <v>0</v>
      </c>
      <c r="B5" s="49">
        <v>1.0</v>
      </c>
      <c r="C5" s="50" t="s">
        <v>146</v>
      </c>
      <c r="D5" s="50" t="s">
        <v>147</v>
      </c>
      <c r="E5" s="50" t="s">
        <v>148</v>
      </c>
      <c r="F5" s="34" t="str">
        <f t="array" ref="F5">IF(INDEX('Binder Data'!$A$252:$A$501,ROW()-1)="","",IF(INDEX('Binder Data'!$D$252:$D$501,ROW()-1)="Needed",INDEX('Binder Data'!$B$252:$B$501,ROW()-1),INDEX('Binder Data'!$D$252:$D$501,ROW()-1)))</f>
        <v>The Hobbit</v>
      </c>
      <c r="G5" s="51" t="s">
        <v>149</v>
      </c>
      <c r="H5" s="49">
        <v>2.0</v>
      </c>
      <c r="I5" s="50" t="s">
        <v>125</v>
      </c>
      <c r="J5" s="52">
        <v>2.43</v>
      </c>
      <c r="K5" s="53" t="s">
        <v>150</v>
      </c>
      <c r="L5" s="54" t="s">
        <v>151</v>
      </c>
      <c r="M5" s="55" t="s">
        <v>152</v>
      </c>
      <c r="N5" s="56">
        <v>2.43</v>
      </c>
      <c r="O5" s="57" t="s">
        <v>153</v>
      </c>
      <c r="P5" s="19"/>
    </row>
    <row r="6">
      <c r="A6" s="31" t="b">
        <v>0</v>
      </c>
      <c r="B6" s="49">
        <v>1.0</v>
      </c>
      <c r="C6" s="50" t="s">
        <v>154</v>
      </c>
      <c r="D6" s="50" t="s">
        <v>155</v>
      </c>
      <c r="E6" s="50" t="s">
        <v>156</v>
      </c>
      <c r="F6" s="34" t="str">
        <f t="array" ref="F6">IF(INDEX('Binder Data'!$A$252:$A$501,ROW()-1)="","",IF(INDEX('Binder Data'!$D$252:$D$501,ROW()-1)="Needed",INDEX('Binder Data'!$B$252:$B$501,ROW()-1),INDEX('Binder Data'!$D$252:$D$501,ROW()-1)))</f>
        <v>Foundations</v>
      </c>
      <c r="G6" s="51" t="s">
        <v>157</v>
      </c>
      <c r="H6" s="49">
        <v>9.0</v>
      </c>
      <c r="I6" s="50" t="s">
        <v>125</v>
      </c>
      <c r="J6" s="52">
        <v>0.76</v>
      </c>
      <c r="K6" s="53" t="s">
        <v>158</v>
      </c>
      <c r="L6" s="54" t="s">
        <v>159</v>
      </c>
      <c r="M6" s="55" t="s">
        <v>160</v>
      </c>
      <c r="N6" s="56" t="s">
        <v>161</v>
      </c>
      <c r="O6" s="57" t="s">
        <v>162</v>
      </c>
      <c r="P6" s="19"/>
    </row>
    <row r="7">
      <c r="A7" s="31" t="b">
        <v>0</v>
      </c>
      <c r="B7" s="49">
        <v>1.0</v>
      </c>
      <c r="C7" s="50" t="s">
        <v>163</v>
      </c>
      <c r="D7" s="50" t="s">
        <v>164</v>
      </c>
      <c r="E7" s="50" t="s">
        <v>165</v>
      </c>
      <c r="F7" s="34" t="str">
        <f t="array" ref="F7">IF(INDEX('Binder Data'!$A$252:$A$501,ROW()-1)="","",IF(INDEX('Binder Data'!$D$252:$D$501,ROW()-1)="Needed",INDEX('Binder Data'!$B$252:$B$501,ROW()-1),INDEX('Binder Data'!$D$252:$D$501,ROW()-1)))</f>
        <v>The Lost Caverns of Ixalan</v>
      </c>
      <c r="G7" s="51" t="s">
        <v>166</v>
      </c>
      <c r="H7" s="49">
        <v>5.0</v>
      </c>
      <c r="I7" s="50" t="s">
        <v>167</v>
      </c>
      <c r="J7" s="52">
        <v>14.99</v>
      </c>
      <c r="K7" s="53" t="s">
        <v>158</v>
      </c>
      <c r="L7" s="53" t="s">
        <v>168</v>
      </c>
      <c r="M7" s="55" t="s">
        <v>169</v>
      </c>
      <c r="N7" s="56" t="s">
        <v>170</v>
      </c>
      <c r="O7" s="57" t="s">
        <v>171</v>
      </c>
      <c r="P7" s="19"/>
    </row>
    <row r="8">
      <c r="A8" s="31" t="b">
        <v>0</v>
      </c>
      <c r="B8" s="49">
        <v>1.0</v>
      </c>
      <c r="C8" s="50" t="s">
        <v>172</v>
      </c>
      <c r="D8" s="50" t="s">
        <v>173</v>
      </c>
      <c r="E8" s="50" t="s">
        <v>174</v>
      </c>
      <c r="F8" s="34" t="str">
        <f t="array" ref="F8">IF(INDEX('Binder Data'!$A$252:$A$501,ROW()-1)="","",IF(INDEX('Binder Data'!$D$252:$D$501,ROW()-1)="Needed",INDEX('Binder Data'!$B$252:$B$501,ROW()-1),INDEX('Binder Data'!$D$252:$D$501,ROW()-1)))</f>
        <v>Secret Lair Drop</v>
      </c>
      <c r="G8" s="51" t="s">
        <v>175</v>
      </c>
      <c r="H8" s="49">
        <v>2.0</v>
      </c>
      <c r="I8" s="50" t="s">
        <v>135</v>
      </c>
      <c r="J8" s="52">
        <v>0.54</v>
      </c>
      <c r="K8" s="36"/>
      <c r="L8" s="53" t="s">
        <v>176</v>
      </c>
      <c r="M8" s="55" t="s">
        <v>177</v>
      </c>
      <c r="N8" s="56" t="s">
        <v>178</v>
      </c>
      <c r="O8" s="57" t="s">
        <v>179</v>
      </c>
      <c r="P8" s="19"/>
    </row>
    <row r="9">
      <c r="A9" s="31" t="b">
        <v>0</v>
      </c>
      <c r="B9" s="49">
        <v>1.0</v>
      </c>
      <c r="C9" s="50" t="s">
        <v>180</v>
      </c>
      <c r="D9" s="50" t="s">
        <v>181</v>
      </c>
      <c r="E9" s="50" t="s">
        <v>182</v>
      </c>
      <c r="F9" s="34" t="str">
        <f t="array" ref="F9">IF(INDEX('Binder Data'!$A$252:$A$501,ROW()-1)="","",IF(INDEX('Binder Data'!$D$252:$D$501,ROW()-1)="Needed",INDEX('Binder Data'!$B$252:$B$501,ROW()-1),INDEX('Binder Data'!$D$252:$D$501,ROW()-1)))</f>
        <v>Modern Horizons 2</v>
      </c>
      <c r="G9" s="51" t="s">
        <v>183</v>
      </c>
      <c r="H9" s="49">
        <v>3.0</v>
      </c>
      <c r="I9" s="50" t="s">
        <v>125</v>
      </c>
      <c r="J9" s="52">
        <v>0.36</v>
      </c>
      <c r="K9" s="53" t="s">
        <v>158</v>
      </c>
      <c r="L9" s="54" t="s">
        <v>184</v>
      </c>
      <c r="M9" s="55" t="s">
        <v>185</v>
      </c>
      <c r="N9" s="56" t="s">
        <v>186</v>
      </c>
      <c r="O9" s="57" t="s">
        <v>187</v>
      </c>
      <c r="P9" s="19"/>
    </row>
    <row r="10">
      <c r="A10" s="31" t="b">
        <v>0</v>
      </c>
      <c r="B10" s="49">
        <v>1.0</v>
      </c>
      <c r="C10" s="50" t="s">
        <v>188</v>
      </c>
      <c r="D10" s="50" t="s">
        <v>140</v>
      </c>
      <c r="E10" s="33"/>
      <c r="F10" s="34" t="str">
        <f t="array" ref="F10">IF(INDEX('Binder Data'!$A$252:$A$501,ROW()-1)="","",IF(INDEX('Binder Data'!$D$252:$D$501,ROW()-1)="Needed",INDEX('Binder Data'!$B$252:$B$501,ROW()-1),INDEX('Binder Data'!$D$252:$D$501,ROW()-1)))</f>
        <v>Foundations</v>
      </c>
      <c r="G10" s="51" t="s">
        <v>189</v>
      </c>
      <c r="H10" s="49">
        <v>0.0</v>
      </c>
      <c r="I10" s="50" t="s">
        <v>125</v>
      </c>
      <c r="J10" s="52">
        <v>0.36</v>
      </c>
      <c r="K10" s="36"/>
      <c r="L10" s="54" t="s">
        <v>190</v>
      </c>
      <c r="M10" s="55" t="s">
        <v>191</v>
      </c>
      <c r="N10" s="56" t="s">
        <v>192</v>
      </c>
      <c r="O10" s="57" t="s">
        <v>193</v>
      </c>
      <c r="P10" s="19"/>
    </row>
    <row r="11">
      <c r="A11" s="31" t="b">
        <v>0</v>
      </c>
      <c r="B11" s="49">
        <v>1.0</v>
      </c>
      <c r="C11" s="50" t="s">
        <v>194</v>
      </c>
      <c r="D11" s="50" t="s">
        <v>195</v>
      </c>
      <c r="E11" s="50" t="s">
        <v>196</v>
      </c>
      <c r="F11" s="34" t="str">
        <f t="array" ref="F11">IF(INDEX('Binder Data'!$A$252:$A$501,ROW()-1)="","",IF(INDEX('Binder Data'!$D$252:$D$501,ROW()-1)="Needed",INDEX('Binder Data'!$B$252:$B$501,ROW()-1),INDEX('Binder Data'!$D$252:$D$501,ROW()-1)))</f>
        <v>Secret Lair Drop</v>
      </c>
      <c r="G11" s="51" t="s">
        <v>197</v>
      </c>
      <c r="H11" s="49">
        <v>4.0</v>
      </c>
      <c r="I11" s="50" t="s">
        <v>125</v>
      </c>
      <c r="J11" s="52">
        <v>0.34</v>
      </c>
      <c r="K11" s="53" t="s">
        <v>158</v>
      </c>
      <c r="L11" s="53" t="s">
        <v>198</v>
      </c>
      <c r="M11" s="55" t="s">
        <v>199</v>
      </c>
      <c r="N11" s="56" t="s">
        <v>200</v>
      </c>
      <c r="O11" s="57" t="s">
        <v>201</v>
      </c>
      <c r="P11" s="19"/>
    </row>
    <row r="12">
      <c r="A12" s="31" t="b">
        <v>0</v>
      </c>
      <c r="B12" s="49">
        <v>1.0</v>
      </c>
      <c r="C12" s="50" t="s">
        <v>202</v>
      </c>
      <c r="D12" s="50" t="s">
        <v>195</v>
      </c>
      <c r="E12" s="50" t="s">
        <v>196</v>
      </c>
      <c r="F12" s="34" t="str">
        <f t="array" ref="F12">IF(INDEX('Binder Data'!$A$252:$A$501,ROW()-1)="","",IF(INDEX('Binder Data'!$D$252:$D$501,ROW()-1)="Needed",INDEX('Binder Data'!$B$252:$B$501,ROW()-1),INDEX('Binder Data'!$D$252:$D$501,ROW()-1)))</f>
        <v>Commander Masters</v>
      </c>
      <c r="G12" s="51" t="s">
        <v>203</v>
      </c>
      <c r="H12" s="49">
        <v>4.0</v>
      </c>
      <c r="I12" s="50" t="s">
        <v>167</v>
      </c>
      <c r="J12" s="52">
        <v>2.06</v>
      </c>
      <c r="K12" s="53" t="s">
        <v>158</v>
      </c>
      <c r="L12" s="58" t="s">
        <v>204</v>
      </c>
      <c r="M12" s="55" t="s">
        <v>205</v>
      </c>
      <c r="N12" s="56" t="s">
        <v>206</v>
      </c>
      <c r="O12" s="57" t="s">
        <v>207</v>
      </c>
      <c r="P12" s="19"/>
    </row>
    <row r="13">
      <c r="A13" s="31" t="b">
        <v>0</v>
      </c>
      <c r="B13" s="49">
        <v>1.0</v>
      </c>
      <c r="C13" s="50" t="s">
        <v>208</v>
      </c>
      <c r="D13" s="50" t="s">
        <v>209</v>
      </c>
      <c r="E13" s="50" t="s">
        <v>210</v>
      </c>
      <c r="F13" s="34" t="str">
        <f t="array" ref="F13">IF(INDEX('Binder Data'!$A$252:$A$501,ROW()-1)="","",IF(INDEX('Binder Data'!$D$252:$D$501,ROW()-1)="Needed",INDEX('Binder Data'!$B$252:$B$501,ROW()-1),INDEX('Binder Data'!$D$252:$D$501,ROW()-1)))</f>
        <v>Foundations</v>
      </c>
      <c r="G13" s="51" t="s">
        <v>211</v>
      </c>
      <c r="H13" s="49">
        <v>3.0</v>
      </c>
      <c r="I13" s="50" t="s">
        <v>135</v>
      </c>
      <c r="J13" s="52">
        <v>0.2</v>
      </c>
      <c r="K13" s="36"/>
      <c r="L13" s="53" t="s">
        <v>212</v>
      </c>
      <c r="M13" s="55" t="s">
        <v>213</v>
      </c>
      <c r="N13" s="56" t="s">
        <v>214</v>
      </c>
      <c r="O13" s="57" t="s">
        <v>215</v>
      </c>
      <c r="P13" s="19"/>
    </row>
    <row r="14">
      <c r="A14" s="31" t="b">
        <v>0</v>
      </c>
      <c r="B14" s="49">
        <v>1.0</v>
      </c>
      <c r="C14" s="50" t="s">
        <v>216</v>
      </c>
      <c r="D14" s="50" t="s">
        <v>140</v>
      </c>
      <c r="E14" s="33"/>
      <c r="F14" s="34" t="str">
        <f t="array" ref="F14">IF(INDEX('Binder Data'!$A$252:$A$501,ROW()-1)="","",IF(INDEX('Binder Data'!$D$252:$D$501,ROW()-1)="Needed",INDEX('Binder Data'!$B$252:$B$501,ROW()-1),INDEX('Binder Data'!$D$252:$D$501,ROW()-1)))</f>
        <v>Foundations</v>
      </c>
      <c r="G14" s="51" t="s">
        <v>217</v>
      </c>
      <c r="H14" s="49">
        <v>0.0</v>
      </c>
      <c r="I14" s="50" t="s">
        <v>125</v>
      </c>
      <c r="J14" s="52">
        <v>0.19</v>
      </c>
      <c r="K14" s="36"/>
      <c r="L14" s="53" t="s">
        <v>218</v>
      </c>
      <c r="M14" s="55" t="s">
        <v>219</v>
      </c>
      <c r="N14" s="56" t="s">
        <v>220</v>
      </c>
      <c r="O14" s="57" t="s">
        <v>221</v>
      </c>
      <c r="P14" s="19"/>
    </row>
    <row r="15">
      <c r="A15" s="31" t="b">
        <v>0</v>
      </c>
      <c r="B15" s="49">
        <v>1.0</v>
      </c>
      <c r="C15" s="50" t="s">
        <v>222</v>
      </c>
      <c r="D15" s="50" t="s">
        <v>140</v>
      </c>
      <c r="E15" s="33"/>
      <c r="F15" s="34" t="str">
        <f t="array" ref="F15">IF(INDEX('Binder Data'!$A$252:$A$501,ROW()-1)="","",IF(INDEX('Binder Data'!$D$252:$D$501,ROW()-1)="Needed",INDEX('Binder Data'!$B$252:$B$501,ROW()-1),INDEX('Binder Data'!$D$252:$D$501,ROW()-1)))</f>
        <v>Foundations</v>
      </c>
      <c r="G15" s="51" t="s">
        <v>223</v>
      </c>
      <c r="H15" s="49">
        <v>0.0</v>
      </c>
      <c r="I15" s="50" t="s">
        <v>125</v>
      </c>
      <c r="J15" s="52">
        <v>8.81</v>
      </c>
      <c r="K15" s="36"/>
      <c r="L15" s="54" t="s">
        <v>224</v>
      </c>
      <c r="M15" s="55" t="s">
        <v>225</v>
      </c>
      <c r="N15" s="56" t="s">
        <v>226</v>
      </c>
      <c r="O15" s="57" t="s">
        <v>227</v>
      </c>
      <c r="P15" s="19"/>
    </row>
    <row r="16">
      <c r="A16" s="31" t="b">
        <v>0</v>
      </c>
      <c r="B16" s="49">
        <v>1.0</v>
      </c>
      <c r="C16" s="50" t="s">
        <v>228</v>
      </c>
      <c r="D16" s="50" t="s">
        <v>140</v>
      </c>
      <c r="E16" s="33"/>
      <c r="F16" s="34" t="str">
        <f t="array" ref="F16">IF(INDEX('Binder Data'!$A$252:$A$501,ROW()-1)="","",IF(INDEX('Binder Data'!$D$252:$D$501,ROW()-1)="Needed",INDEX('Binder Data'!$B$252:$B$501,ROW()-1),INDEX('Binder Data'!$D$252:$D$501,ROW()-1)))</f>
        <v>Foundations</v>
      </c>
      <c r="G16" s="51" t="s">
        <v>229</v>
      </c>
      <c r="H16" s="49">
        <v>0.0</v>
      </c>
      <c r="I16" s="50" t="s">
        <v>230</v>
      </c>
      <c r="J16" s="52">
        <v>0.18</v>
      </c>
      <c r="K16" s="36"/>
      <c r="L16" s="54" t="s">
        <v>231</v>
      </c>
      <c r="M16" s="55" t="s">
        <v>232</v>
      </c>
      <c r="N16" s="56" t="s">
        <v>233</v>
      </c>
      <c r="O16" s="57" t="s">
        <v>234</v>
      </c>
      <c r="P16" s="19"/>
    </row>
    <row r="17">
      <c r="A17" s="31" t="b">
        <v>0</v>
      </c>
      <c r="B17" s="49">
        <v>1.0</v>
      </c>
      <c r="C17" s="50" t="s">
        <v>235</v>
      </c>
      <c r="D17" s="50" t="s">
        <v>140</v>
      </c>
      <c r="E17" s="33"/>
      <c r="F17" s="34" t="str">
        <f t="array" ref="F17">IF(INDEX('Binder Data'!$A$252:$A$501,ROW()-1)="","",IF(INDEX('Binder Data'!$D$252:$D$501,ROW()-1)="Needed",INDEX('Binder Data'!$B$252:$B$501,ROW()-1),INDEX('Binder Data'!$D$252:$D$501,ROW()-1)))</f>
        <v>Tarkir: Dragonstorm</v>
      </c>
      <c r="G17" s="51" t="s">
        <v>236</v>
      </c>
      <c r="H17" s="49">
        <v>0.0</v>
      </c>
      <c r="I17" s="50" t="s">
        <v>125</v>
      </c>
      <c r="J17" s="52">
        <v>0.5</v>
      </c>
      <c r="K17" s="36"/>
      <c r="L17" s="53" t="s">
        <v>237</v>
      </c>
      <c r="M17" s="55" t="s">
        <v>238</v>
      </c>
      <c r="N17" s="56" t="s">
        <v>239</v>
      </c>
      <c r="O17" s="57" t="s">
        <v>240</v>
      </c>
      <c r="P17" s="19"/>
    </row>
    <row r="18">
      <c r="A18" s="31" t="b">
        <v>0</v>
      </c>
      <c r="B18" s="49">
        <v>1.0</v>
      </c>
      <c r="C18" s="50" t="s">
        <v>241</v>
      </c>
      <c r="D18" s="50" t="s">
        <v>242</v>
      </c>
      <c r="E18" s="50" t="s">
        <v>243</v>
      </c>
      <c r="F18" s="34" t="str">
        <f t="array" ref="F18">IF(INDEX('Binder Data'!$A$252:$A$501,ROW()-1)="","",IF(INDEX('Binder Data'!$D$252:$D$501,ROW()-1)="Needed",INDEX('Binder Data'!$B$252:$B$501,ROW()-1),INDEX('Binder Data'!$D$252:$D$501,ROW()-1)))</f>
        <v>Foundations Commander</v>
      </c>
      <c r="G18" s="51" t="s">
        <v>244</v>
      </c>
      <c r="H18" s="49">
        <v>3.0</v>
      </c>
      <c r="I18" s="50" t="s">
        <v>125</v>
      </c>
      <c r="J18" s="52">
        <v>0.32</v>
      </c>
      <c r="K18" s="53" t="s">
        <v>158</v>
      </c>
      <c r="L18" s="53" t="s">
        <v>245</v>
      </c>
      <c r="M18" s="55" t="s">
        <v>246</v>
      </c>
      <c r="N18" s="56" t="s">
        <v>247</v>
      </c>
      <c r="O18" s="57" t="s">
        <v>248</v>
      </c>
      <c r="P18" s="19"/>
    </row>
    <row r="19">
      <c r="A19" s="31" t="b">
        <v>0</v>
      </c>
      <c r="B19" s="49">
        <v>1.0</v>
      </c>
      <c r="C19" s="50" t="s">
        <v>249</v>
      </c>
      <c r="D19" s="50" t="s">
        <v>250</v>
      </c>
      <c r="E19" s="50" t="s">
        <v>251</v>
      </c>
      <c r="F19" s="34" t="str">
        <f t="array" ref="F19">IF(INDEX('Binder Data'!$A$252:$A$501,ROW()-1)="","",IF(INDEX('Binder Data'!$D$252:$D$501,ROW()-1)="Needed",INDEX('Binder Data'!$B$252:$B$501,ROW()-1),INDEX('Binder Data'!$D$252:$D$501,ROW()-1)))</f>
        <v>Foundations</v>
      </c>
      <c r="G19" s="51" t="s">
        <v>252</v>
      </c>
      <c r="H19" s="49">
        <v>2.0</v>
      </c>
      <c r="I19" s="50" t="s">
        <v>230</v>
      </c>
      <c r="J19" s="52">
        <v>0.22</v>
      </c>
      <c r="K19" s="53" t="s">
        <v>158</v>
      </c>
      <c r="L19" s="53" t="s">
        <v>253</v>
      </c>
      <c r="M19" s="55" t="s">
        <v>254</v>
      </c>
      <c r="N19" s="56" t="s">
        <v>255</v>
      </c>
      <c r="O19" s="57" t="s">
        <v>256</v>
      </c>
      <c r="P19" s="19"/>
    </row>
    <row r="20">
      <c r="A20" s="31" t="b">
        <v>0</v>
      </c>
      <c r="B20" s="49">
        <v>1.0</v>
      </c>
      <c r="C20" s="50" t="s">
        <v>257</v>
      </c>
      <c r="D20" s="50" t="s">
        <v>140</v>
      </c>
      <c r="E20" s="33"/>
      <c r="F20" s="34" t="str">
        <f t="array" ref="F20">IF(INDEX('Binder Data'!$A$252:$A$501,ROW()-1)="","",IF(INDEX('Binder Data'!$D$252:$D$501,ROW()-1)="Needed",INDEX('Binder Data'!$B$252:$B$501,ROW()-1),INDEX('Binder Data'!$D$252:$D$501,ROW()-1)))</f>
        <v>Foundations</v>
      </c>
      <c r="G20" s="51" t="s">
        <v>258</v>
      </c>
      <c r="H20" s="49">
        <v>0.0</v>
      </c>
      <c r="I20" s="50" t="s">
        <v>135</v>
      </c>
      <c r="J20" s="52">
        <v>0.24</v>
      </c>
      <c r="K20" s="36"/>
      <c r="L20" s="53" t="s">
        <v>259</v>
      </c>
      <c r="M20" s="55" t="s">
        <v>260</v>
      </c>
      <c r="N20" s="56" t="s">
        <v>261</v>
      </c>
      <c r="O20" s="57" t="s">
        <v>262</v>
      </c>
      <c r="P20" s="19"/>
    </row>
    <row r="21" ht="15.75" customHeight="1">
      <c r="A21" s="31" t="b">
        <v>0</v>
      </c>
      <c r="B21" s="49">
        <v>1.0</v>
      </c>
      <c r="C21" s="50" t="s">
        <v>263</v>
      </c>
      <c r="D21" s="50" t="s">
        <v>264</v>
      </c>
      <c r="E21" s="50" t="s">
        <v>265</v>
      </c>
      <c r="F21" s="34" t="str">
        <f t="array" ref="F21">IF(INDEX('Binder Data'!$A$252:$A$501,ROW()-1)="","",IF(INDEX('Binder Data'!$D$252:$D$501,ROW()-1)="Needed",INDEX('Binder Data'!$B$252:$B$501,ROW()-1),INDEX('Binder Data'!$D$252:$D$501,ROW()-1)))</f>
        <v>Duskmourn: House of Horror</v>
      </c>
      <c r="G21" s="51" t="s">
        <v>266</v>
      </c>
      <c r="H21" s="49">
        <v>8.0</v>
      </c>
      <c r="I21" s="50" t="s">
        <v>167</v>
      </c>
      <c r="J21" s="52">
        <v>4.86</v>
      </c>
      <c r="K21" s="53" t="s">
        <v>150</v>
      </c>
      <c r="L21" s="53" t="s">
        <v>267</v>
      </c>
      <c r="M21" s="55" t="s">
        <v>268</v>
      </c>
      <c r="N21" s="56" t="s">
        <v>269</v>
      </c>
      <c r="O21" s="57" t="s">
        <v>270</v>
      </c>
      <c r="P21" s="19"/>
    </row>
    <row r="22" ht="15.75" customHeight="1">
      <c r="A22" s="31" t="b">
        <v>0</v>
      </c>
      <c r="B22" s="49">
        <v>1.0</v>
      </c>
      <c r="C22" s="50" t="s">
        <v>271</v>
      </c>
      <c r="D22" s="50" t="s">
        <v>140</v>
      </c>
      <c r="E22" s="33"/>
      <c r="F22" s="34" t="str">
        <f t="array" ref="F22">IF(INDEX('Binder Data'!$A$252:$A$501,ROW()-1)="","",IF(INDEX('Binder Data'!$D$252:$D$501,ROW()-1)="Needed",INDEX('Binder Data'!$B$252:$B$501,ROW()-1),INDEX('Binder Data'!$D$252:$D$501,ROW()-1)))</f>
        <v>Foundations</v>
      </c>
      <c r="G22" s="51" t="s">
        <v>272</v>
      </c>
      <c r="H22" s="49">
        <v>0.0</v>
      </c>
      <c r="I22" s="50" t="s">
        <v>125</v>
      </c>
      <c r="J22" s="52">
        <v>0.21</v>
      </c>
      <c r="K22" s="36"/>
      <c r="L22" s="54" t="s">
        <v>273</v>
      </c>
      <c r="M22" s="55" t="s">
        <v>274</v>
      </c>
      <c r="N22" s="56" t="s">
        <v>275</v>
      </c>
      <c r="O22" s="57" t="s">
        <v>276</v>
      </c>
      <c r="P22" s="19"/>
    </row>
    <row r="23" ht="15.75" customHeight="1">
      <c r="A23" s="31" t="b">
        <v>0</v>
      </c>
      <c r="B23" s="49">
        <v>1.0</v>
      </c>
      <c r="C23" s="50" t="s">
        <v>277</v>
      </c>
      <c r="D23" s="50" t="s">
        <v>140</v>
      </c>
      <c r="E23" s="33"/>
      <c r="F23" s="34" t="str">
        <f t="array" ref="F23">IF(INDEX('Binder Data'!$A$252:$A$501,ROW()-1)="","",IF(INDEX('Binder Data'!$D$252:$D$501,ROW()-1)="Needed",INDEX('Binder Data'!$B$252:$B$501,ROW()-1),INDEX('Binder Data'!$D$252:$D$501,ROW()-1)))</f>
        <v>Foundations</v>
      </c>
      <c r="G23" s="51" t="s">
        <v>278</v>
      </c>
      <c r="H23" s="49">
        <v>0.0</v>
      </c>
      <c r="I23" s="50" t="s">
        <v>125</v>
      </c>
      <c r="J23" s="52">
        <v>2.81</v>
      </c>
      <c r="K23" s="36"/>
      <c r="L23" s="54" t="s">
        <v>279</v>
      </c>
      <c r="M23" s="55" t="s">
        <v>280</v>
      </c>
      <c r="N23" s="56" t="s">
        <v>281</v>
      </c>
      <c r="O23" s="57" t="s">
        <v>282</v>
      </c>
      <c r="P23" s="19"/>
    </row>
    <row r="24" ht="15.75" customHeight="1">
      <c r="A24" s="31" t="b">
        <v>0</v>
      </c>
      <c r="B24" s="49">
        <v>1.0</v>
      </c>
      <c r="C24" s="50" t="s">
        <v>283</v>
      </c>
      <c r="D24" s="50" t="s">
        <v>140</v>
      </c>
      <c r="E24" s="33"/>
      <c r="F24" s="34" t="str">
        <f t="array" ref="F24">IF(INDEX('Binder Data'!$A$252:$A$501,ROW()-1)="","",IF(INDEX('Binder Data'!$D$252:$D$501,ROW()-1)="Needed",INDEX('Binder Data'!$B$252:$B$501,ROW()-1),INDEX('Binder Data'!$D$252:$D$501,ROW()-1)))</f>
        <v>Commander Masters</v>
      </c>
      <c r="G24" s="51" t="s">
        <v>284</v>
      </c>
      <c r="H24" s="49">
        <v>0.0</v>
      </c>
      <c r="I24" s="50" t="s">
        <v>125</v>
      </c>
      <c r="J24" s="52">
        <v>0.23</v>
      </c>
      <c r="K24" s="36"/>
      <c r="L24" s="53" t="s">
        <v>285</v>
      </c>
      <c r="M24" s="55" t="s">
        <v>286</v>
      </c>
      <c r="N24" s="56" t="s">
        <v>287</v>
      </c>
      <c r="O24" s="57" t="s">
        <v>288</v>
      </c>
      <c r="P24" s="19"/>
    </row>
    <row r="25" ht="15.75" customHeight="1">
      <c r="A25" s="31" t="b">
        <v>0</v>
      </c>
      <c r="B25" s="49">
        <v>1.0</v>
      </c>
      <c r="C25" s="50" t="s">
        <v>289</v>
      </c>
      <c r="D25" s="50" t="s">
        <v>290</v>
      </c>
      <c r="E25" s="50" t="s">
        <v>182</v>
      </c>
      <c r="F25" s="34" t="str">
        <f t="array" ref="F25">IF(INDEX('Binder Data'!$A$252:$A$501,ROW()-1)="","",IF(INDEX('Binder Data'!$D$252:$D$501,ROW()-1)="Needed",INDEX('Binder Data'!$B$252:$B$501,ROW()-1),INDEX('Binder Data'!$D$252:$D$501,ROW()-1)))</f>
        <v>March of the Machine Commander</v>
      </c>
      <c r="G25" s="51" t="s">
        <v>291</v>
      </c>
      <c r="H25" s="49">
        <v>3.0</v>
      </c>
      <c r="I25" s="50" t="s">
        <v>125</v>
      </c>
      <c r="J25" s="52">
        <v>7.65</v>
      </c>
      <c r="K25" s="53" t="s">
        <v>158</v>
      </c>
      <c r="L25" s="54" t="s">
        <v>292</v>
      </c>
      <c r="M25" s="55" t="s">
        <v>293</v>
      </c>
      <c r="N25" s="56">
        <v>7.65</v>
      </c>
      <c r="O25" s="57" t="s">
        <v>294</v>
      </c>
      <c r="P25" s="19"/>
    </row>
    <row r="26" ht="15.75" customHeight="1">
      <c r="A26" s="31" t="b">
        <v>0</v>
      </c>
      <c r="B26" s="49">
        <v>1.0</v>
      </c>
      <c r="C26" s="50" t="s">
        <v>295</v>
      </c>
      <c r="D26" s="50" t="s">
        <v>296</v>
      </c>
      <c r="E26" s="50" t="s">
        <v>182</v>
      </c>
      <c r="F26" s="34" t="str">
        <f t="array" ref="F26">IF(INDEX('Binder Data'!$A$252:$A$501,ROW()-1)="","",IF(INDEX('Binder Data'!$D$252:$D$501,ROW()-1)="Needed",INDEX('Binder Data'!$B$252:$B$501,ROW()-1),INDEX('Binder Data'!$D$252:$D$501,ROW()-1)))</f>
        <v>Secret Lair Drop</v>
      </c>
      <c r="G26" s="51" t="s">
        <v>297</v>
      </c>
      <c r="H26" s="49">
        <v>3.0</v>
      </c>
      <c r="I26" s="50" t="s">
        <v>135</v>
      </c>
      <c r="J26" s="52">
        <v>0.68</v>
      </c>
      <c r="K26" s="53" t="s">
        <v>158</v>
      </c>
      <c r="L26" s="54" t="s">
        <v>298</v>
      </c>
      <c r="M26" s="55" t="s">
        <v>299</v>
      </c>
      <c r="N26" s="56" t="s">
        <v>300</v>
      </c>
      <c r="O26" s="57" t="s">
        <v>301</v>
      </c>
      <c r="P26" s="19"/>
    </row>
    <row r="27" ht="15.75" customHeight="1">
      <c r="A27" s="31" t="b">
        <v>0</v>
      </c>
      <c r="B27" s="49">
        <v>1.0</v>
      </c>
      <c r="C27" s="50" t="s">
        <v>302</v>
      </c>
      <c r="D27" s="50" t="s">
        <v>303</v>
      </c>
      <c r="E27" s="50" t="s">
        <v>304</v>
      </c>
      <c r="F27" s="34" t="str">
        <f t="array" ref="F27">IF(INDEX('Binder Data'!$A$252:$A$501,ROW()-1)="","",IF(INDEX('Binder Data'!$D$252:$D$501,ROW()-1)="Needed",INDEX('Binder Data'!$B$252:$B$501,ROW()-1),INDEX('Binder Data'!$D$252:$D$501,ROW()-1)))</f>
        <v>Secrets of Strixhaven</v>
      </c>
      <c r="G27" s="51" t="s">
        <v>305</v>
      </c>
      <c r="H27" s="49">
        <v>7.0</v>
      </c>
      <c r="I27" s="50" t="s">
        <v>167</v>
      </c>
      <c r="J27" s="52">
        <v>9.83</v>
      </c>
      <c r="K27" s="53" t="s">
        <v>158</v>
      </c>
      <c r="L27" s="54" t="s">
        <v>306</v>
      </c>
      <c r="M27" s="55" t="s">
        <v>307</v>
      </c>
      <c r="N27" s="56" t="s">
        <v>308</v>
      </c>
      <c r="O27" s="57" t="s">
        <v>309</v>
      </c>
      <c r="P27" s="19"/>
    </row>
    <row r="28" ht="15.75" customHeight="1">
      <c r="A28" s="31" t="b">
        <v>0</v>
      </c>
      <c r="B28" s="49">
        <v>1.0</v>
      </c>
      <c r="C28" s="50" t="s">
        <v>310</v>
      </c>
      <c r="D28" s="50" t="s">
        <v>311</v>
      </c>
      <c r="E28" s="50" t="s">
        <v>182</v>
      </c>
      <c r="F28" s="34" t="str">
        <f t="array" ref="F28">IF(INDEX('Binder Data'!$A$252:$A$501,ROW()-1)="","",IF(INDEX('Binder Data'!$D$252:$D$501,ROW()-1)="Needed",INDEX('Binder Data'!$B$252:$B$501,ROW()-1),INDEX('Binder Data'!$D$252:$D$501,ROW()-1)))</f>
        <v>Commander Legends: Battle for Baldur's Gate</v>
      </c>
      <c r="G28" s="51" t="s">
        <v>312</v>
      </c>
      <c r="H28" s="49">
        <v>3.0</v>
      </c>
      <c r="I28" s="50" t="s">
        <v>230</v>
      </c>
      <c r="J28" s="52">
        <v>2.21</v>
      </c>
      <c r="K28" s="53" t="s">
        <v>158</v>
      </c>
      <c r="L28" s="53" t="s">
        <v>313</v>
      </c>
      <c r="M28" s="55" t="s">
        <v>314</v>
      </c>
      <c r="N28" s="56">
        <v>2.21</v>
      </c>
      <c r="O28" s="57" t="s">
        <v>315</v>
      </c>
      <c r="P28" s="19"/>
    </row>
    <row r="29" ht="15.75" customHeight="1">
      <c r="A29" s="31" t="b">
        <v>0</v>
      </c>
      <c r="B29" s="49">
        <v>1.0</v>
      </c>
      <c r="C29" s="50" t="s">
        <v>316</v>
      </c>
      <c r="D29" s="50" t="s">
        <v>173</v>
      </c>
      <c r="E29" s="50" t="s">
        <v>317</v>
      </c>
      <c r="F29" s="34" t="str">
        <f t="array" ref="F29">IF(INDEX('Binder Data'!$A$252:$A$501,ROW()-1)="","",IF(INDEX('Binder Data'!$D$252:$D$501,ROW()-1)="Needed",INDEX('Binder Data'!$B$252:$B$501,ROW()-1),INDEX('Binder Data'!$D$252:$D$501,ROW()-1)))</f>
        <v>Marvel's Spider-Man</v>
      </c>
      <c r="G29" s="51" t="s">
        <v>318</v>
      </c>
      <c r="H29" s="49">
        <v>4.0</v>
      </c>
      <c r="I29" s="50" t="s">
        <v>125</v>
      </c>
      <c r="J29" s="52">
        <v>0.35</v>
      </c>
      <c r="K29" s="36"/>
      <c r="L29" s="54" t="s">
        <v>319</v>
      </c>
      <c r="M29" s="55" t="s">
        <v>320</v>
      </c>
      <c r="N29" s="56" t="s">
        <v>321</v>
      </c>
      <c r="O29" s="57" t="s">
        <v>322</v>
      </c>
      <c r="P29" s="19"/>
    </row>
    <row r="30" ht="15.75" customHeight="1">
      <c r="A30" s="31" t="b">
        <v>0</v>
      </c>
      <c r="B30" s="49">
        <v>1.0</v>
      </c>
      <c r="C30" s="50" t="s">
        <v>323</v>
      </c>
      <c r="D30" s="50" t="s">
        <v>324</v>
      </c>
      <c r="E30" s="50" t="s">
        <v>325</v>
      </c>
      <c r="F30" s="34" t="str">
        <f t="array" ref="F30">IF(INDEX('Binder Data'!$A$252:$A$501,ROW()-1)="","",IF(INDEX('Binder Data'!$D$252:$D$501,ROW()-1)="Needed",INDEX('Binder Data'!$B$252:$B$501,ROW()-1),INDEX('Binder Data'!$D$252:$D$501,ROW()-1)))</f>
        <v>March of the Machine</v>
      </c>
      <c r="G30" s="51" t="s">
        <v>326</v>
      </c>
      <c r="H30" s="49">
        <v>4.0</v>
      </c>
      <c r="I30" s="50" t="s">
        <v>125</v>
      </c>
      <c r="J30" s="52">
        <v>0.39</v>
      </c>
      <c r="K30" s="53" t="s">
        <v>158</v>
      </c>
      <c r="L30" s="53" t="s">
        <v>327</v>
      </c>
      <c r="M30" s="55" t="s">
        <v>328</v>
      </c>
      <c r="N30" s="56" t="s">
        <v>329</v>
      </c>
      <c r="O30" s="57" t="s">
        <v>330</v>
      </c>
      <c r="P30" s="19"/>
    </row>
    <row r="31" ht="15.75" customHeight="1">
      <c r="A31" s="31" t="b">
        <v>0</v>
      </c>
      <c r="B31" s="49">
        <v>1.0</v>
      </c>
      <c r="C31" s="50" t="s">
        <v>331</v>
      </c>
      <c r="D31" s="50" t="s">
        <v>332</v>
      </c>
      <c r="E31" s="50" t="s">
        <v>333</v>
      </c>
      <c r="F31" s="34" t="str">
        <f t="array" ref="F31">IF(INDEX('Binder Data'!$A$252:$A$501,ROW()-1)="","",IF(INDEX('Binder Data'!$D$252:$D$501,ROW()-1)="Needed",INDEX('Binder Data'!$B$252:$B$501,ROW()-1),INDEX('Binder Data'!$D$252:$D$501,ROW()-1)))</f>
        <v>Commander 2021</v>
      </c>
      <c r="G31" s="51" t="s">
        <v>334</v>
      </c>
      <c r="H31" s="49">
        <v>5.0</v>
      </c>
      <c r="I31" s="50" t="s">
        <v>125</v>
      </c>
      <c r="J31" s="52">
        <v>0.2</v>
      </c>
      <c r="K31" s="53" t="s">
        <v>126</v>
      </c>
      <c r="L31" s="53" t="s">
        <v>335</v>
      </c>
      <c r="M31" s="55" t="s">
        <v>336</v>
      </c>
      <c r="N31" s="56" t="s">
        <v>337</v>
      </c>
      <c r="O31" s="57" t="s">
        <v>338</v>
      </c>
      <c r="P31" s="19"/>
    </row>
    <row r="32" ht="15.75" customHeight="1">
      <c r="A32" s="31" t="b">
        <v>0</v>
      </c>
      <c r="B32" s="49">
        <v>1.0</v>
      </c>
      <c r="C32" s="50" t="s">
        <v>339</v>
      </c>
      <c r="D32" s="50" t="s">
        <v>340</v>
      </c>
      <c r="E32" s="50" t="s">
        <v>182</v>
      </c>
      <c r="F32" s="34" t="str">
        <f t="array" ref="F32">IF(INDEX('Binder Data'!$A$252:$A$501,ROW()-1)="","",IF(INDEX('Binder Data'!$D$252:$D$501,ROW()-1)="Needed",INDEX('Binder Data'!$B$252:$B$501,ROW()-1),INDEX('Binder Data'!$D$252:$D$501,ROW()-1)))</f>
        <v>Secrets of Strixhaven Commander</v>
      </c>
      <c r="G32" s="51" t="s">
        <v>341</v>
      </c>
      <c r="H32" s="49">
        <v>3.0</v>
      </c>
      <c r="I32" s="50" t="s">
        <v>125</v>
      </c>
      <c r="J32" s="52">
        <v>0.28</v>
      </c>
      <c r="K32" s="53" t="s">
        <v>158</v>
      </c>
      <c r="L32" s="54" t="s">
        <v>342</v>
      </c>
      <c r="M32" s="55" t="s">
        <v>343</v>
      </c>
      <c r="N32" s="56" t="s">
        <v>344</v>
      </c>
      <c r="O32" s="57" t="s">
        <v>345</v>
      </c>
      <c r="P32" s="19"/>
    </row>
    <row r="33" ht="15.75" customHeight="1">
      <c r="A33" s="31" t="b">
        <v>0</v>
      </c>
      <c r="B33" s="49">
        <v>1.0</v>
      </c>
      <c r="C33" s="50" t="s">
        <v>346</v>
      </c>
      <c r="D33" s="50" t="s">
        <v>173</v>
      </c>
      <c r="E33" s="50" t="s">
        <v>182</v>
      </c>
      <c r="F33" s="34" t="str">
        <f t="array" ref="F33">IF(INDEX('Binder Data'!$A$252:$A$501,ROW()-1)="","",IF(INDEX('Binder Data'!$D$252:$D$501,ROW()-1)="Needed",INDEX('Binder Data'!$B$252:$B$501,ROW()-1),INDEX('Binder Data'!$D$252:$D$501,ROW()-1)))</f>
        <v>Edge of Eternities Commander</v>
      </c>
      <c r="G33" s="51" t="s">
        <v>347</v>
      </c>
      <c r="H33" s="49">
        <v>3.0</v>
      </c>
      <c r="I33" s="50" t="s">
        <v>125</v>
      </c>
      <c r="J33" s="52">
        <v>0.28</v>
      </c>
      <c r="K33" s="53" t="s">
        <v>158</v>
      </c>
      <c r="L33" s="53" t="s">
        <v>348</v>
      </c>
      <c r="M33" s="55" t="s">
        <v>349</v>
      </c>
      <c r="N33" s="56">
        <v>0.28</v>
      </c>
      <c r="O33" s="57" t="s">
        <v>350</v>
      </c>
      <c r="P33" s="19"/>
    </row>
    <row r="34" ht="15.75" customHeight="1">
      <c r="A34" s="31" t="b">
        <v>0</v>
      </c>
      <c r="B34" s="49">
        <v>1.0</v>
      </c>
      <c r="C34" s="50" t="s">
        <v>351</v>
      </c>
      <c r="D34" s="50" t="s">
        <v>352</v>
      </c>
      <c r="E34" s="50" t="s">
        <v>353</v>
      </c>
      <c r="F34" s="34" t="str">
        <f t="array" ref="F34">IF(INDEX('Binder Data'!$A$252:$A$501,ROW()-1)="","",IF(INDEX('Binder Data'!$D$252:$D$501,ROW()-1)="Needed",INDEX('Binder Data'!$B$252:$B$501,ROW()-1),INDEX('Binder Data'!$D$252:$D$501,ROW()-1)))</f>
        <v>Commander Masters</v>
      </c>
      <c r="G34" s="51" t="s">
        <v>354</v>
      </c>
      <c r="H34" s="49">
        <v>3.0</v>
      </c>
      <c r="I34" s="50" t="s">
        <v>135</v>
      </c>
      <c r="J34" s="52">
        <v>2.56</v>
      </c>
      <c r="K34" s="53" t="s">
        <v>150</v>
      </c>
      <c r="L34" s="54" t="s">
        <v>355</v>
      </c>
      <c r="M34" s="55" t="s">
        <v>356</v>
      </c>
      <c r="N34" s="56" t="s">
        <v>357</v>
      </c>
      <c r="O34" s="57" t="s">
        <v>358</v>
      </c>
      <c r="P34" s="19"/>
    </row>
    <row r="35" ht="15.75" customHeight="1">
      <c r="A35" s="31" t="b">
        <v>0</v>
      </c>
      <c r="B35" s="49">
        <v>1.0</v>
      </c>
      <c r="C35" s="50" t="s">
        <v>359</v>
      </c>
      <c r="D35" s="50" t="s">
        <v>311</v>
      </c>
      <c r="E35" s="50" t="s">
        <v>251</v>
      </c>
      <c r="F35" s="34" t="str">
        <f t="array" ref="F35">IF(INDEX('Binder Data'!$A$252:$A$501,ROW()-1)="","",IF(INDEX('Binder Data'!$D$252:$D$501,ROW()-1)="Needed",INDEX('Binder Data'!$B$252:$B$501,ROW()-1),INDEX('Binder Data'!$D$252:$D$501,ROW()-1)))</f>
        <v>Foundations</v>
      </c>
      <c r="G35" s="51" t="s">
        <v>360</v>
      </c>
      <c r="H35" s="49">
        <v>2.0</v>
      </c>
      <c r="I35" s="50" t="s">
        <v>135</v>
      </c>
      <c r="J35" s="52">
        <v>0.24</v>
      </c>
      <c r="K35" s="53" t="s">
        <v>158</v>
      </c>
      <c r="L35" s="54" t="s">
        <v>361</v>
      </c>
      <c r="M35" s="55" t="s">
        <v>362</v>
      </c>
      <c r="N35" s="56" t="s">
        <v>363</v>
      </c>
      <c r="O35" s="57" t="s">
        <v>364</v>
      </c>
      <c r="P35" s="19"/>
    </row>
    <row r="36" ht="15.75" customHeight="1">
      <c r="A36" s="31" t="b">
        <v>0</v>
      </c>
      <c r="B36" s="49">
        <v>1.0</v>
      </c>
      <c r="C36" s="50" t="s">
        <v>365</v>
      </c>
      <c r="D36" s="50" t="s">
        <v>366</v>
      </c>
      <c r="E36" s="50" t="s">
        <v>353</v>
      </c>
      <c r="F36" s="34" t="str">
        <f t="array" ref="F36">IF(INDEX('Binder Data'!$A$252:$A$501,ROW()-1)="","",IF(INDEX('Binder Data'!$D$252:$D$501,ROW()-1)="Needed",INDEX('Binder Data'!$B$252:$B$501,ROW()-1),INDEX('Binder Data'!$D$252:$D$501,ROW()-1)))</f>
        <v>Kaladesh</v>
      </c>
      <c r="G36" s="51" t="s">
        <v>367</v>
      </c>
      <c r="H36" s="49">
        <v>3.0</v>
      </c>
      <c r="I36" s="50" t="s">
        <v>125</v>
      </c>
      <c r="J36" s="52">
        <v>0.24</v>
      </c>
      <c r="K36" s="53" t="s">
        <v>150</v>
      </c>
      <c r="L36" s="54" t="s">
        <v>368</v>
      </c>
      <c r="M36" s="55" t="s">
        <v>369</v>
      </c>
      <c r="N36" s="56" t="s">
        <v>370</v>
      </c>
      <c r="O36" s="57" t="s">
        <v>371</v>
      </c>
      <c r="P36" s="19"/>
    </row>
    <row r="37" ht="15.75" customHeight="1">
      <c r="A37" s="31" t="b">
        <v>0</v>
      </c>
      <c r="B37" s="49">
        <v>1.0</v>
      </c>
      <c r="C37" s="50" t="s">
        <v>372</v>
      </c>
      <c r="D37" s="50" t="s">
        <v>373</v>
      </c>
      <c r="E37" s="50" t="s">
        <v>182</v>
      </c>
      <c r="F37" s="34" t="str">
        <f t="array" ref="F37">IF(INDEX('Binder Data'!$A$252:$A$501,ROW()-1)="","",IF(INDEX('Binder Data'!$D$252:$D$501,ROW()-1)="Needed",INDEX('Binder Data'!$B$252:$B$501,ROW()-1),INDEX('Binder Data'!$D$252:$D$501,ROW()-1)))</f>
        <v>Modern Horizons 3</v>
      </c>
      <c r="G37" s="51" t="s">
        <v>374</v>
      </c>
      <c r="H37" s="49">
        <v>3.0</v>
      </c>
      <c r="I37" s="50" t="s">
        <v>230</v>
      </c>
      <c r="J37" s="52">
        <v>0.22</v>
      </c>
      <c r="K37" s="53" t="s">
        <v>158</v>
      </c>
      <c r="L37" s="53" t="s">
        <v>375</v>
      </c>
      <c r="M37" s="55" t="s">
        <v>376</v>
      </c>
      <c r="N37" s="56">
        <v>0.22</v>
      </c>
      <c r="O37" s="57" t="s">
        <v>377</v>
      </c>
      <c r="P37" s="19"/>
    </row>
    <row r="38" ht="15.75" customHeight="1">
      <c r="A38" s="31" t="b">
        <v>0</v>
      </c>
      <c r="B38" s="49">
        <v>9.0</v>
      </c>
      <c r="C38" s="50" t="s">
        <v>378</v>
      </c>
      <c r="D38" s="50" t="s">
        <v>379</v>
      </c>
      <c r="E38" s="33"/>
      <c r="F38" s="34" t="str">
        <f t="array" ref="F38">IF(INDEX('Binder Data'!$A$252:$A$501,ROW()-1)="","",IF(INDEX('Binder Data'!$D$252:$D$501,ROW()-1)="Needed",INDEX('Binder Data'!$B$252:$B$501,ROW()-1),INDEX('Binder Data'!$D$252:$D$501,ROW()-1)))</f>
        <v>(none)</v>
      </c>
      <c r="G38" s="59"/>
      <c r="H38" s="49">
        <v>0.0</v>
      </c>
      <c r="I38" s="50" t="s">
        <v>230</v>
      </c>
      <c r="J38" s="35"/>
      <c r="K38" s="36"/>
      <c r="L38" s="53" t="s">
        <v>380</v>
      </c>
      <c r="M38" s="55" t="s">
        <v>381</v>
      </c>
      <c r="N38" s="56" t="s">
        <v>382</v>
      </c>
      <c r="O38" s="57" t="s">
        <v>383</v>
      </c>
      <c r="P38" s="19"/>
    </row>
    <row r="39" ht="15.75" customHeight="1">
      <c r="A39" s="31" t="b">
        <v>0</v>
      </c>
      <c r="B39" s="49">
        <v>1.0</v>
      </c>
      <c r="C39" s="50" t="s">
        <v>384</v>
      </c>
      <c r="D39" s="50" t="s">
        <v>385</v>
      </c>
      <c r="E39" s="50" t="s">
        <v>386</v>
      </c>
      <c r="F39" s="34" t="str">
        <f t="array" ref="F39">IF(INDEX('Binder Data'!$A$252:$A$501,ROW()-1)="","",IF(INDEX('Binder Data'!$D$252:$D$501,ROW()-1)="Needed",INDEX('Binder Data'!$B$252:$B$501,ROW()-1),INDEX('Binder Data'!$D$252:$D$501,ROW()-1)))</f>
        <v>Phyrexia: All Will Be One Commander</v>
      </c>
      <c r="G39" s="51" t="s">
        <v>387</v>
      </c>
      <c r="H39" s="49">
        <v>4.0</v>
      </c>
      <c r="I39" s="50" t="s">
        <v>167</v>
      </c>
      <c r="J39" s="52">
        <v>0.39</v>
      </c>
      <c r="K39" s="53" t="s">
        <v>126</v>
      </c>
      <c r="L39" s="53" t="s">
        <v>388</v>
      </c>
      <c r="M39" s="55" t="s">
        <v>389</v>
      </c>
      <c r="N39" s="56">
        <v>0.39</v>
      </c>
      <c r="O39" s="57" t="s">
        <v>390</v>
      </c>
      <c r="P39" s="19"/>
    </row>
    <row r="40" ht="15.75" customHeight="1">
      <c r="A40" s="31" t="b">
        <v>0</v>
      </c>
      <c r="B40" s="49">
        <v>1.0</v>
      </c>
      <c r="C40" s="50" t="s">
        <v>391</v>
      </c>
      <c r="D40" s="50" t="s">
        <v>392</v>
      </c>
      <c r="E40" s="50" t="s">
        <v>174</v>
      </c>
      <c r="F40" s="34" t="str">
        <f t="array" ref="F40">IF(INDEX('Binder Data'!$A$252:$A$501,ROW()-1)="","",IF(INDEX('Binder Data'!$D$252:$D$501,ROW()-1)="Needed",INDEX('Binder Data'!$B$252:$B$501,ROW()-1),INDEX('Binder Data'!$D$252:$D$501,ROW()-1)))</f>
        <v>Foundations</v>
      </c>
      <c r="G40" s="51" t="s">
        <v>393</v>
      </c>
      <c r="H40" s="49">
        <v>2.0</v>
      </c>
      <c r="I40" s="50" t="s">
        <v>230</v>
      </c>
      <c r="J40" s="52">
        <v>0.34</v>
      </c>
      <c r="K40" s="36"/>
      <c r="L40" s="54" t="s">
        <v>394</v>
      </c>
      <c r="M40" s="55" t="s">
        <v>395</v>
      </c>
      <c r="N40" s="56" t="s">
        <v>396</v>
      </c>
      <c r="O40" s="57" t="s">
        <v>397</v>
      </c>
      <c r="P40" s="19"/>
    </row>
    <row r="41" ht="15.75" customHeight="1">
      <c r="A41" s="31" t="b">
        <v>0</v>
      </c>
      <c r="B41" s="49">
        <v>1.0</v>
      </c>
      <c r="C41" s="50" t="s">
        <v>398</v>
      </c>
      <c r="D41" s="50" t="s">
        <v>399</v>
      </c>
      <c r="E41" s="50" t="s">
        <v>251</v>
      </c>
      <c r="F41" s="34" t="str">
        <f t="array" ref="F41">IF(INDEX('Binder Data'!$A$252:$A$501,ROW()-1)="","",IF(INDEX('Binder Data'!$D$252:$D$501,ROW()-1)="Needed",INDEX('Binder Data'!$B$252:$B$501,ROW()-1),INDEX('Binder Data'!$D$252:$D$501,ROW()-1)))</f>
        <v>Modern Horizons 3</v>
      </c>
      <c r="G41" s="51" t="s">
        <v>400</v>
      </c>
      <c r="H41" s="49">
        <v>2.0</v>
      </c>
      <c r="I41" s="50" t="s">
        <v>125</v>
      </c>
      <c r="J41" s="52">
        <v>0.59</v>
      </c>
      <c r="K41" s="53" t="s">
        <v>158</v>
      </c>
      <c r="L41" s="53" t="s">
        <v>401</v>
      </c>
      <c r="M41" s="55" t="s">
        <v>402</v>
      </c>
      <c r="N41" s="56" t="s">
        <v>403</v>
      </c>
      <c r="O41" s="57" t="s">
        <v>404</v>
      </c>
      <c r="P41" s="19"/>
    </row>
    <row r="42" ht="15.75" customHeight="1">
      <c r="A42" s="31" t="b">
        <v>0</v>
      </c>
      <c r="B42" s="49">
        <v>1.0</v>
      </c>
      <c r="C42" s="50" t="s">
        <v>405</v>
      </c>
      <c r="D42" s="50" t="s">
        <v>173</v>
      </c>
      <c r="E42" s="50" t="s">
        <v>210</v>
      </c>
      <c r="F42" s="34" t="str">
        <f t="array" ref="F42">IF(INDEX('Binder Data'!$A$252:$A$501,ROW()-1)="","",IF(INDEX('Binder Data'!$D$252:$D$501,ROW()-1)="Needed",INDEX('Binder Data'!$B$252:$B$501,ROW()-1),INDEX('Binder Data'!$D$252:$D$501,ROW()-1)))</f>
        <v>Secret Lair Drop</v>
      </c>
      <c r="G42" s="51" t="s">
        <v>406</v>
      </c>
      <c r="H42" s="49">
        <v>3.0</v>
      </c>
      <c r="I42" s="50" t="s">
        <v>135</v>
      </c>
      <c r="J42" s="52">
        <v>1.53</v>
      </c>
      <c r="K42" s="36"/>
      <c r="L42" s="53" t="s">
        <v>407</v>
      </c>
      <c r="M42" s="55" t="s">
        <v>408</v>
      </c>
      <c r="N42" s="56" t="s">
        <v>409</v>
      </c>
      <c r="O42" s="57" t="s">
        <v>410</v>
      </c>
      <c r="P42" s="19"/>
    </row>
    <row r="43" ht="15.75" customHeight="1">
      <c r="A43" s="31" t="b">
        <v>0</v>
      </c>
      <c r="B43" s="49">
        <v>1.0</v>
      </c>
      <c r="C43" s="50" t="s">
        <v>411</v>
      </c>
      <c r="D43" s="50" t="s">
        <v>412</v>
      </c>
      <c r="E43" s="50" t="s">
        <v>182</v>
      </c>
      <c r="F43" s="34" t="str">
        <f t="array" ref="F43">IF(INDEX('Binder Data'!$A$252:$A$501,ROW()-1)="","",IF(INDEX('Binder Data'!$D$252:$D$501,ROW()-1)="Needed",INDEX('Binder Data'!$B$252:$B$501,ROW()-1),INDEX('Binder Data'!$D$252:$D$501,ROW()-1)))</f>
        <v>Commander 2021</v>
      </c>
      <c r="G43" s="51" t="s">
        <v>413</v>
      </c>
      <c r="H43" s="49">
        <v>3.0</v>
      </c>
      <c r="I43" s="50" t="s">
        <v>125</v>
      </c>
      <c r="J43" s="52">
        <v>0.25</v>
      </c>
      <c r="K43" s="53" t="s">
        <v>158</v>
      </c>
      <c r="L43" s="53" t="s">
        <v>414</v>
      </c>
      <c r="M43" s="55" t="s">
        <v>415</v>
      </c>
      <c r="N43" s="56" t="s">
        <v>416</v>
      </c>
      <c r="O43" s="57" t="s">
        <v>417</v>
      </c>
      <c r="P43" s="19"/>
    </row>
    <row r="44" ht="15.75" customHeight="1">
      <c r="A44" s="31" t="b">
        <v>0</v>
      </c>
      <c r="B44" s="49">
        <v>1.0</v>
      </c>
      <c r="C44" s="50" t="s">
        <v>418</v>
      </c>
      <c r="D44" s="50" t="s">
        <v>412</v>
      </c>
      <c r="E44" s="50" t="s">
        <v>133</v>
      </c>
      <c r="F44" s="34" t="str">
        <f t="array" ref="F44">IF(INDEX('Binder Data'!$A$252:$A$501,ROW()-1)="","",IF(INDEX('Binder Data'!$D$252:$D$501,ROW()-1)="Needed",INDEX('Binder Data'!$B$252:$B$501,ROW()-1),INDEX('Binder Data'!$D$252:$D$501,ROW()-1)))</f>
        <v>March of the Machine: The Aftermath</v>
      </c>
      <c r="G44" s="51" t="s">
        <v>419</v>
      </c>
      <c r="H44" s="49">
        <v>2.0</v>
      </c>
      <c r="I44" s="50" t="s">
        <v>125</v>
      </c>
      <c r="J44" s="52">
        <v>0.52</v>
      </c>
      <c r="K44" s="53" t="s">
        <v>126</v>
      </c>
      <c r="L44" s="54" t="s">
        <v>420</v>
      </c>
      <c r="M44" s="55" t="s">
        <v>421</v>
      </c>
      <c r="N44" s="56">
        <v>0.52</v>
      </c>
      <c r="O44" s="60" t="s">
        <v>422</v>
      </c>
      <c r="P44" s="19"/>
    </row>
    <row r="45" ht="15.75" customHeight="1">
      <c r="A45" s="31" t="b">
        <v>0</v>
      </c>
      <c r="B45" s="49">
        <v>9.0</v>
      </c>
      <c r="C45" s="50" t="s">
        <v>423</v>
      </c>
      <c r="D45" s="50" t="s">
        <v>424</v>
      </c>
      <c r="E45" s="33"/>
      <c r="F45" s="34" t="str">
        <f t="array" ref="F45">IF(INDEX('Binder Data'!$A$252:$A$501,ROW()-1)="","",IF(INDEX('Binder Data'!$D$252:$D$501,ROW()-1)="Needed",INDEX('Binder Data'!$B$252:$B$501,ROW()-1),INDEX('Binder Data'!$D$252:$D$501,ROW()-1)))</f>
        <v>(none)</v>
      </c>
      <c r="G45" s="59"/>
      <c r="H45" s="49">
        <v>0.0</v>
      </c>
      <c r="I45" s="50" t="s">
        <v>230</v>
      </c>
      <c r="J45" s="35"/>
      <c r="K45" s="36"/>
      <c r="L45" s="54" t="s">
        <v>425</v>
      </c>
      <c r="M45" s="55" t="s">
        <v>426</v>
      </c>
      <c r="N45" s="56" t="s">
        <v>382</v>
      </c>
      <c r="O45" s="57" t="s">
        <v>427</v>
      </c>
      <c r="P45" s="19"/>
    </row>
    <row r="46" ht="15.75" customHeight="1">
      <c r="A46" s="31" t="b">
        <v>0</v>
      </c>
      <c r="B46" s="49">
        <v>1.0</v>
      </c>
      <c r="C46" s="50" t="s">
        <v>428</v>
      </c>
      <c r="D46" s="50" t="s">
        <v>429</v>
      </c>
      <c r="E46" s="50" t="s">
        <v>182</v>
      </c>
      <c r="F46" s="34" t="str">
        <f t="array" ref="F46">IF(INDEX('Binder Data'!$A$252:$A$501,ROW()-1)="","",IF(INDEX('Binder Data'!$D$252:$D$501,ROW()-1)="Needed",INDEX('Binder Data'!$B$252:$B$501,ROW()-1),INDEX('Binder Data'!$D$252:$D$501,ROW()-1)))</f>
        <v>Secret Lair Drop</v>
      </c>
      <c r="G46" s="51" t="s">
        <v>430</v>
      </c>
      <c r="H46" s="49">
        <v>3.0</v>
      </c>
      <c r="I46" s="50" t="s">
        <v>125</v>
      </c>
      <c r="J46" s="52">
        <v>4.71</v>
      </c>
      <c r="K46" s="53" t="s">
        <v>158</v>
      </c>
      <c r="L46" s="53" t="s">
        <v>431</v>
      </c>
      <c r="M46" s="55" t="s">
        <v>432</v>
      </c>
      <c r="N46" s="56" t="s">
        <v>433</v>
      </c>
      <c r="O46" s="57" t="s">
        <v>434</v>
      </c>
      <c r="P46" s="19"/>
    </row>
    <row r="47" ht="15.75" customHeight="1">
      <c r="A47" s="31" t="b">
        <v>0</v>
      </c>
      <c r="B47" s="49">
        <v>1.0</v>
      </c>
      <c r="C47" s="50" t="s">
        <v>435</v>
      </c>
      <c r="D47" s="50" t="s">
        <v>436</v>
      </c>
      <c r="E47" s="33"/>
      <c r="F47" s="34" t="str">
        <f t="array" ref="F47">IF(INDEX('Binder Data'!$A$252:$A$501,ROW()-1)="","",IF(INDEX('Binder Data'!$D$252:$D$501,ROW()-1)="Needed",INDEX('Binder Data'!$B$252:$B$501,ROW()-1),INDEX('Binder Data'!$D$252:$D$501,ROW()-1)))</f>
        <v>Secrets of Strixhaven Commander</v>
      </c>
      <c r="G47" s="51" t="s">
        <v>437</v>
      </c>
      <c r="H47" s="49">
        <v>0.0</v>
      </c>
      <c r="I47" s="50" t="s">
        <v>125</v>
      </c>
      <c r="J47" s="52">
        <v>0.29</v>
      </c>
      <c r="K47" s="36"/>
      <c r="L47" s="54" t="s">
        <v>438</v>
      </c>
      <c r="M47" s="55" t="s">
        <v>439</v>
      </c>
      <c r="N47" s="56" t="s">
        <v>440</v>
      </c>
      <c r="O47" s="57" t="s">
        <v>441</v>
      </c>
      <c r="P47" s="19"/>
    </row>
    <row r="48" ht="15.75" customHeight="1">
      <c r="A48" s="31" t="b">
        <v>0</v>
      </c>
      <c r="B48" s="49">
        <v>1.0</v>
      </c>
      <c r="C48" s="50" t="s">
        <v>442</v>
      </c>
      <c r="D48" s="50" t="s">
        <v>311</v>
      </c>
      <c r="E48" s="50" t="s">
        <v>251</v>
      </c>
      <c r="F48" s="34" t="str">
        <f t="array" ref="F48">IF(INDEX('Binder Data'!$A$252:$A$501,ROW()-1)="","",IF(INDEX('Binder Data'!$D$252:$D$501,ROW()-1)="Needed",INDEX('Binder Data'!$B$252:$B$501,ROW()-1),INDEX('Binder Data'!$D$252:$D$501,ROW()-1)))</f>
        <v>Foundations</v>
      </c>
      <c r="G48" s="51" t="s">
        <v>443</v>
      </c>
      <c r="H48" s="49">
        <v>2.0</v>
      </c>
      <c r="I48" s="50" t="s">
        <v>230</v>
      </c>
      <c r="J48" s="52">
        <v>0.4</v>
      </c>
      <c r="K48" s="53" t="s">
        <v>158</v>
      </c>
      <c r="L48" s="53" t="s">
        <v>444</v>
      </c>
      <c r="M48" s="55" t="s">
        <v>445</v>
      </c>
      <c r="N48" s="56" t="s">
        <v>446</v>
      </c>
      <c r="O48" s="57" t="s">
        <v>447</v>
      </c>
      <c r="P48" s="19"/>
    </row>
    <row r="49" ht="15.75" customHeight="1">
      <c r="A49" s="31" t="b">
        <v>0</v>
      </c>
      <c r="B49" s="49">
        <v>1.0</v>
      </c>
      <c r="C49" s="50" t="s">
        <v>448</v>
      </c>
      <c r="D49" s="50" t="s">
        <v>173</v>
      </c>
      <c r="E49" s="50" t="s">
        <v>449</v>
      </c>
      <c r="F49" s="34" t="str">
        <f t="array" ref="F49">IF(INDEX('Binder Data'!$A$252:$A$501,ROW()-1)="","",IF(INDEX('Binder Data'!$D$252:$D$501,ROW()-1)="Needed",INDEX('Binder Data'!$B$252:$B$501,ROW()-1),INDEX('Binder Data'!$D$252:$D$501,ROW()-1)))</f>
        <v>Aetherdrift Commander</v>
      </c>
      <c r="G49" s="51" t="s">
        <v>450</v>
      </c>
      <c r="H49" s="49">
        <v>1.0</v>
      </c>
      <c r="I49" s="50" t="s">
        <v>125</v>
      </c>
      <c r="J49" s="52">
        <v>0.33</v>
      </c>
      <c r="K49" s="36"/>
      <c r="L49" s="54" t="s">
        <v>451</v>
      </c>
      <c r="M49" s="55" t="s">
        <v>452</v>
      </c>
      <c r="N49" s="56" t="s">
        <v>453</v>
      </c>
      <c r="O49" s="57" t="s">
        <v>454</v>
      </c>
      <c r="P49" s="19"/>
    </row>
    <row r="50" ht="15.75" customHeight="1">
      <c r="A50" s="31" t="b">
        <v>0</v>
      </c>
      <c r="B50" s="49">
        <v>1.0</v>
      </c>
      <c r="C50" s="50" t="s">
        <v>455</v>
      </c>
      <c r="D50" s="50" t="s">
        <v>456</v>
      </c>
      <c r="E50" s="50" t="s">
        <v>196</v>
      </c>
      <c r="F50" s="34" t="str">
        <f t="array" ref="F50">IF(INDEX('Binder Data'!$A$252:$A$501,ROW()-1)="","",IF(INDEX('Binder Data'!$D$252:$D$501,ROW()-1)="Needed",INDEX('Binder Data'!$B$252:$B$501,ROW()-1),INDEX('Binder Data'!$D$252:$D$501,ROW()-1)))</f>
        <v>Commander Box</v>
      </c>
      <c r="G50" s="51" t="s">
        <v>457</v>
      </c>
      <c r="H50" s="49">
        <v>4.0</v>
      </c>
      <c r="I50" s="50" t="s">
        <v>125</v>
      </c>
      <c r="J50" s="52">
        <v>0.67</v>
      </c>
      <c r="K50" s="53" t="s">
        <v>158</v>
      </c>
      <c r="L50" s="54" t="s">
        <v>458</v>
      </c>
      <c r="M50" s="55" t="s">
        <v>459</v>
      </c>
      <c r="N50" s="56">
        <v>0.67</v>
      </c>
      <c r="O50" s="57" t="s">
        <v>460</v>
      </c>
      <c r="P50" s="19"/>
    </row>
    <row r="51" ht="15.75" customHeight="1">
      <c r="A51" s="31" t="b">
        <v>0</v>
      </c>
      <c r="B51" s="49">
        <v>1.0</v>
      </c>
      <c r="C51" s="50" t="s">
        <v>461</v>
      </c>
      <c r="D51" s="50" t="s">
        <v>140</v>
      </c>
      <c r="E51" s="33"/>
      <c r="F51" s="34" t="str">
        <f t="array" ref="F51">IF(INDEX('Binder Data'!$A$252:$A$501,ROW()-1)="","",IF(INDEX('Binder Data'!$D$252:$D$501,ROW()-1)="Needed",INDEX('Binder Data'!$B$252:$B$501,ROW()-1),INDEX('Binder Data'!$D$252:$D$501,ROW()-1)))</f>
        <v>Commander Masters</v>
      </c>
      <c r="G51" s="51" t="s">
        <v>462</v>
      </c>
      <c r="H51" s="49">
        <v>0.0</v>
      </c>
      <c r="I51" s="50" t="s">
        <v>125</v>
      </c>
      <c r="J51" s="52">
        <v>0.24</v>
      </c>
      <c r="K51" s="36"/>
      <c r="L51" s="54" t="s">
        <v>463</v>
      </c>
      <c r="M51" s="55" t="s">
        <v>464</v>
      </c>
      <c r="N51" s="56" t="s">
        <v>465</v>
      </c>
      <c r="O51" s="57" t="s">
        <v>466</v>
      </c>
      <c r="P51" s="19"/>
    </row>
    <row r="52" ht="15.75" customHeight="1">
      <c r="A52" s="31" t="b">
        <v>0</v>
      </c>
      <c r="B52" s="49">
        <v>1.0</v>
      </c>
      <c r="C52" s="50" t="s">
        <v>467</v>
      </c>
      <c r="D52" s="50" t="s">
        <v>468</v>
      </c>
      <c r="E52" s="33"/>
      <c r="F52" s="34" t="str">
        <f t="array" ref="F52">IF(INDEX('Binder Data'!$A$252:$A$501,ROW()-1)="","",IF(INDEX('Binder Data'!$D$252:$D$501,ROW()-1)="Needed",INDEX('Binder Data'!$B$252:$B$501,ROW()-1),INDEX('Binder Data'!$D$252:$D$501,ROW()-1)))</f>
        <v>Commander Box</v>
      </c>
      <c r="G52" s="51" t="s">
        <v>469</v>
      </c>
      <c r="H52" s="49">
        <v>0.0</v>
      </c>
      <c r="I52" s="50" t="s">
        <v>125</v>
      </c>
      <c r="J52" s="52">
        <v>0.2</v>
      </c>
      <c r="K52" s="36"/>
      <c r="L52" s="53" t="s">
        <v>470</v>
      </c>
      <c r="M52" s="55" t="s">
        <v>471</v>
      </c>
      <c r="N52" s="56" t="s">
        <v>472</v>
      </c>
      <c r="O52" s="57" t="s">
        <v>473</v>
      </c>
      <c r="P52" s="19"/>
    </row>
    <row r="53" ht="15.75" customHeight="1">
      <c r="A53" s="31" t="b">
        <v>0</v>
      </c>
      <c r="B53" s="49">
        <v>1.0</v>
      </c>
      <c r="C53" s="50" t="s">
        <v>474</v>
      </c>
      <c r="D53" s="50" t="s">
        <v>475</v>
      </c>
      <c r="E53" s="50" t="s">
        <v>333</v>
      </c>
      <c r="F53" s="34" t="str">
        <f t="array" ref="F53">IF(INDEX('Binder Data'!$A$252:$A$501,ROW()-1)="","",IF(INDEX('Binder Data'!$D$252:$D$501,ROW()-1)="Needed",INDEX('Binder Data'!$B$252:$B$501,ROW()-1),INDEX('Binder Data'!$D$252:$D$501,ROW()-1)))</f>
        <v>Commander Box</v>
      </c>
      <c r="G53" s="51" t="s">
        <v>457</v>
      </c>
      <c r="H53" s="49">
        <v>5.0</v>
      </c>
      <c r="I53" s="50" t="s">
        <v>125</v>
      </c>
      <c r="J53" s="52">
        <v>0.27</v>
      </c>
      <c r="K53" s="53" t="s">
        <v>126</v>
      </c>
      <c r="L53" s="54" t="s">
        <v>476</v>
      </c>
      <c r="M53" s="55" t="s">
        <v>477</v>
      </c>
      <c r="N53" s="56">
        <v>0.27</v>
      </c>
      <c r="O53" s="57" t="s">
        <v>478</v>
      </c>
      <c r="P53" s="19"/>
    </row>
    <row r="54" ht="15.75" customHeight="1">
      <c r="A54" s="31" t="b">
        <v>0</v>
      </c>
      <c r="B54" s="49">
        <v>1.0</v>
      </c>
      <c r="C54" s="50" t="s">
        <v>479</v>
      </c>
      <c r="D54" s="50" t="s">
        <v>480</v>
      </c>
      <c r="E54" s="50" t="s">
        <v>481</v>
      </c>
      <c r="F54" s="34" t="str">
        <f t="array" ref="F54">IF(INDEX('Binder Data'!$A$252:$A$501,ROW()-1)="","",IF(INDEX('Binder Data'!$D$252:$D$501,ROW()-1)="Needed",INDEX('Binder Data'!$B$252:$B$501,ROW()-1),INDEX('Binder Data'!$D$252:$D$501,ROW()-1)))</f>
        <v>Foundations</v>
      </c>
      <c r="G54" s="51" t="s">
        <v>482</v>
      </c>
      <c r="H54" s="49">
        <v>7.0</v>
      </c>
      <c r="I54" s="50" t="s">
        <v>125</v>
      </c>
      <c r="J54" s="52">
        <v>0.92</v>
      </c>
      <c r="K54" s="53" t="s">
        <v>150</v>
      </c>
      <c r="L54" s="54" t="s">
        <v>483</v>
      </c>
      <c r="M54" s="55" t="s">
        <v>484</v>
      </c>
      <c r="N54" s="56" t="s">
        <v>485</v>
      </c>
      <c r="O54" s="57" t="s">
        <v>486</v>
      </c>
      <c r="P54" s="19"/>
    </row>
    <row r="55" ht="15.75" customHeight="1">
      <c r="A55" s="31" t="b">
        <v>0</v>
      </c>
      <c r="B55" s="49">
        <v>1.0</v>
      </c>
      <c r="C55" s="50" t="s">
        <v>487</v>
      </c>
      <c r="D55" s="50" t="s">
        <v>242</v>
      </c>
      <c r="E55" s="50" t="s">
        <v>251</v>
      </c>
      <c r="F55" s="34" t="str">
        <f t="array" ref="F55">IF(INDEX('Binder Data'!$A$252:$A$501,ROW()-1)="","",IF(INDEX('Binder Data'!$D$252:$D$501,ROW()-1)="Needed",INDEX('Binder Data'!$B$252:$B$501,ROW()-1),INDEX('Binder Data'!$D$252:$D$501,ROW()-1)))</f>
        <v>Marvel's Spider-Man</v>
      </c>
      <c r="G55" s="51" t="s">
        <v>318</v>
      </c>
      <c r="H55" s="49">
        <v>2.0</v>
      </c>
      <c r="I55" s="50" t="s">
        <v>125</v>
      </c>
      <c r="J55" s="52">
        <v>0.68</v>
      </c>
      <c r="K55" s="53" t="s">
        <v>158</v>
      </c>
      <c r="L55" s="54" t="s">
        <v>488</v>
      </c>
      <c r="M55" s="55" t="s">
        <v>489</v>
      </c>
      <c r="N55" s="56" t="s">
        <v>490</v>
      </c>
      <c r="O55" s="57" t="s">
        <v>491</v>
      </c>
      <c r="P55" s="19"/>
    </row>
    <row r="56" ht="15.75" customHeight="1">
      <c r="A56" s="31" t="b">
        <v>0</v>
      </c>
      <c r="B56" s="49">
        <v>1.0</v>
      </c>
      <c r="C56" s="50" t="s">
        <v>492</v>
      </c>
      <c r="D56" s="50" t="s">
        <v>140</v>
      </c>
      <c r="E56" s="33"/>
      <c r="F56" s="34" t="str">
        <f t="array" ref="F56">IF(INDEX('Binder Data'!$A$252:$A$501,ROW()-1)="","",IF(INDEX('Binder Data'!$D$252:$D$501,ROW()-1)="Needed",INDEX('Binder Data'!$B$252:$B$501,ROW()-1),INDEX('Binder Data'!$D$252:$D$501,ROW()-1)))</f>
        <v>Commander Box</v>
      </c>
      <c r="G56" s="51" t="s">
        <v>493</v>
      </c>
      <c r="H56" s="49">
        <v>0.0</v>
      </c>
      <c r="I56" s="50" t="s">
        <v>125</v>
      </c>
      <c r="J56" s="52">
        <v>0.23</v>
      </c>
      <c r="K56" s="36"/>
      <c r="L56" s="54" t="s">
        <v>494</v>
      </c>
      <c r="M56" s="55" t="s">
        <v>495</v>
      </c>
      <c r="N56" s="56" t="s">
        <v>496</v>
      </c>
      <c r="O56" s="57" t="s">
        <v>497</v>
      </c>
      <c r="P56" s="19"/>
    </row>
    <row r="57" ht="15.75" customHeight="1">
      <c r="A57" s="31" t="b">
        <v>0</v>
      </c>
      <c r="B57" s="49">
        <v>1.0</v>
      </c>
      <c r="C57" s="50" t="s">
        <v>498</v>
      </c>
      <c r="D57" s="50" t="s">
        <v>209</v>
      </c>
      <c r="E57" s="50" t="s">
        <v>174</v>
      </c>
      <c r="F57" s="34" t="str">
        <f t="array" ref="F57">IF(INDEX('Binder Data'!$A$252:$A$501,ROW()-1)="","",IF(INDEX('Binder Data'!$D$252:$D$501,ROW()-1)="Needed",INDEX('Binder Data'!$B$252:$B$501,ROW()-1),INDEX('Binder Data'!$D$252:$D$501,ROW()-1)))</f>
        <v>Commander Box</v>
      </c>
      <c r="G57" s="51" t="s">
        <v>499</v>
      </c>
      <c r="H57" s="49">
        <v>2.0</v>
      </c>
      <c r="I57" s="50" t="s">
        <v>125</v>
      </c>
      <c r="J57" s="52">
        <v>0.23</v>
      </c>
      <c r="K57" s="36"/>
      <c r="L57" s="54" t="s">
        <v>500</v>
      </c>
      <c r="M57" s="55" t="s">
        <v>501</v>
      </c>
      <c r="N57" s="56" t="s">
        <v>502</v>
      </c>
      <c r="O57" s="57" t="s">
        <v>503</v>
      </c>
      <c r="P57" s="19"/>
    </row>
    <row r="58" ht="15.75" customHeight="1">
      <c r="A58" s="31" t="b">
        <v>0</v>
      </c>
      <c r="B58" s="49">
        <v>1.0</v>
      </c>
      <c r="C58" s="50" t="s">
        <v>504</v>
      </c>
      <c r="D58" s="50" t="s">
        <v>209</v>
      </c>
      <c r="E58" s="50" t="s">
        <v>210</v>
      </c>
      <c r="F58" s="34" t="str">
        <f t="array" ref="F58">IF(INDEX('Binder Data'!$A$252:$A$501,ROW()-1)="","",IF(INDEX('Binder Data'!$D$252:$D$501,ROW()-1)="Needed",INDEX('Binder Data'!$B$252:$B$501,ROW()-1),INDEX('Binder Data'!$D$252:$D$501,ROW()-1)))</f>
        <v>Aetherdrift Commander</v>
      </c>
      <c r="G58" s="51" t="s">
        <v>505</v>
      </c>
      <c r="H58" s="49">
        <v>3.0</v>
      </c>
      <c r="I58" s="50" t="s">
        <v>125</v>
      </c>
      <c r="J58" s="52">
        <v>2.22</v>
      </c>
      <c r="K58" s="36"/>
      <c r="L58" s="54" t="s">
        <v>506</v>
      </c>
      <c r="M58" s="55" t="s">
        <v>507</v>
      </c>
      <c r="N58" s="56">
        <v>2.22</v>
      </c>
      <c r="O58" s="57" t="s">
        <v>508</v>
      </c>
      <c r="P58" s="19"/>
    </row>
    <row r="59" ht="15.75" customHeight="1">
      <c r="A59" s="31" t="b">
        <v>0</v>
      </c>
      <c r="B59" s="49">
        <v>1.0</v>
      </c>
      <c r="C59" s="50" t="s">
        <v>509</v>
      </c>
      <c r="D59" s="50" t="s">
        <v>140</v>
      </c>
      <c r="E59" s="33"/>
      <c r="F59" s="34" t="str">
        <f t="array" ref="F59">IF(INDEX('Binder Data'!$A$252:$A$501,ROW()-1)="","",IF(INDEX('Binder Data'!$D$252:$D$501,ROW()-1)="Needed",INDEX('Binder Data'!$B$252:$B$501,ROW()-1),INDEX('Binder Data'!$D$252:$D$501,ROW()-1)))</f>
        <v>Doctor Who</v>
      </c>
      <c r="G59" s="51" t="s">
        <v>510</v>
      </c>
      <c r="H59" s="49">
        <v>0.0</v>
      </c>
      <c r="I59" s="50" t="s">
        <v>125</v>
      </c>
      <c r="J59" s="52">
        <v>4.17</v>
      </c>
      <c r="K59" s="36"/>
      <c r="L59" s="54" t="s">
        <v>511</v>
      </c>
      <c r="M59" s="55" t="s">
        <v>512</v>
      </c>
      <c r="N59" s="56" t="s">
        <v>513</v>
      </c>
      <c r="O59" s="57" t="s">
        <v>514</v>
      </c>
      <c r="P59" s="19"/>
    </row>
    <row r="60" ht="15.75" customHeight="1">
      <c r="A60" s="31" t="b">
        <v>0</v>
      </c>
      <c r="B60" s="49">
        <v>1.0</v>
      </c>
      <c r="C60" s="50" t="s">
        <v>515</v>
      </c>
      <c r="D60" s="50" t="s">
        <v>140</v>
      </c>
      <c r="E60" s="33"/>
      <c r="F60" s="34" t="str">
        <f t="array" ref="F60">IF(INDEX('Binder Data'!$A$252:$A$501,ROW()-1)="","",IF(INDEX('Binder Data'!$D$252:$D$501,ROW()-1)="Needed",INDEX('Binder Data'!$B$252:$B$501,ROW()-1),INDEX('Binder Data'!$D$252:$D$501,ROW()-1)))</f>
        <v>Doctor Who</v>
      </c>
      <c r="G60" s="51" t="s">
        <v>516</v>
      </c>
      <c r="H60" s="49">
        <v>0.0</v>
      </c>
      <c r="I60" s="50" t="s">
        <v>125</v>
      </c>
      <c r="J60" s="52">
        <v>2.29</v>
      </c>
      <c r="K60" s="36"/>
      <c r="L60" s="54" t="s">
        <v>517</v>
      </c>
      <c r="M60" s="55" t="s">
        <v>518</v>
      </c>
      <c r="N60" s="56" t="s">
        <v>519</v>
      </c>
      <c r="O60" s="57" t="s">
        <v>520</v>
      </c>
      <c r="P60" s="19"/>
    </row>
    <row r="61" ht="15.75" customHeight="1">
      <c r="A61" s="31" t="b">
        <v>0</v>
      </c>
      <c r="B61" s="49">
        <v>1.0</v>
      </c>
      <c r="C61" s="50" t="s">
        <v>521</v>
      </c>
      <c r="D61" s="50" t="s">
        <v>140</v>
      </c>
      <c r="E61" s="33"/>
      <c r="F61" s="34" t="str">
        <f t="array" ref="F61">IF(INDEX('Binder Data'!$A$252:$A$501,ROW()-1)="","",IF(INDEX('Binder Data'!$D$252:$D$501,ROW()-1)="Needed",INDEX('Binder Data'!$B$252:$B$501,ROW()-1),INDEX('Binder Data'!$D$252:$D$501,ROW()-1)))</f>
        <v>Commander Box</v>
      </c>
      <c r="G61" s="51" t="s">
        <v>522</v>
      </c>
      <c r="H61" s="49">
        <v>0.0</v>
      </c>
      <c r="I61" s="50" t="s">
        <v>125</v>
      </c>
      <c r="J61" s="52">
        <v>0.24</v>
      </c>
      <c r="K61" s="36"/>
      <c r="L61" s="54" t="s">
        <v>176</v>
      </c>
      <c r="M61" s="55" t="s">
        <v>523</v>
      </c>
      <c r="N61" s="56" t="s">
        <v>524</v>
      </c>
      <c r="O61" s="57" t="s">
        <v>525</v>
      </c>
      <c r="P61" s="19"/>
    </row>
    <row r="62" ht="15.75" customHeight="1">
      <c r="A62" s="31" t="b">
        <v>0</v>
      </c>
      <c r="B62" s="49">
        <v>1.0</v>
      </c>
      <c r="C62" s="50" t="s">
        <v>526</v>
      </c>
      <c r="D62" s="50" t="s">
        <v>173</v>
      </c>
      <c r="E62" s="50" t="s">
        <v>174</v>
      </c>
      <c r="F62" s="34" t="str">
        <f t="array" ref="F62">IF(INDEX('Binder Data'!$A$252:$A$501,ROW()-1)="","",IF(INDEX('Binder Data'!$D$252:$D$501,ROW()-1)="Needed",INDEX('Binder Data'!$B$252:$B$501,ROW()-1),INDEX('Binder Data'!$D$252:$D$501,ROW()-1)))</f>
        <v>Commander Box</v>
      </c>
      <c r="G62" s="51" t="s">
        <v>527</v>
      </c>
      <c r="H62" s="49">
        <v>2.0</v>
      </c>
      <c r="I62" s="50" t="s">
        <v>135</v>
      </c>
      <c r="J62" s="52">
        <v>0.34</v>
      </c>
      <c r="K62" s="36"/>
      <c r="L62" s="54" t="s">
        <v>528</v>
      </c>
      <c r="M62" s="55" t="s">
        <v>529</v>
      </c>
      <c r="N62" s="56" t="s">
        <v>530</v>
      </c>
      <c r="O62" s="60" t="s">
        <v>531</v>
      </c>
      <c r="P62" s="19"/>
    </row>
    <row r="63" ht="15.75" customHeight="1">
      <c r="A63" s="31" t="b">
        <v>0</v>
      </c>
      <c r="B63" s="49">
        <v>1.0</v>
      </c>
      <c r="C63" s="50" t="s">
        <v>532</v>
      </c>
      <c r="D63" s="50" t="s">
        <v>173</v>
      </c>
      <c r="E63" s="50" t="s">
        <v>210</v>
      </c>
      <c r="F63" s="34" t="str">
        <f t="array" ref="F63">IF(INDEX('Binder Data'!$A$252:$A$501,ROW()-1)="","",IF(INDEX('Binder Data'!$D$252:$D$501,ROW()-1)="Needed",INDEX('Binder Data'!$B$252:$B$501,ROW()-1),INDEX('Binder Data'!$D$252:$D$501,ROW()-1)))</f>
        <v>The Brothers' War Commander</v>
      </c>
      <c r="G63" s="51" t="s">
        <v>533</v>
      </c>
      <c r="H63" s="49">
        <v>3.0</v>
      </c>
      <c r="I63" s="50" t="s">
        <v>125</v>
      </c>
      <c r="J63" s="52">
        <v>0.47</v>
      </c>
      <c r="K63" s="36"/>
      <c r="L63" s="54" t="s">
        <v>534</v>
      </c>
      <c r="M63" s="55" t="s">
        <v>535</v>
      </c>
      <c r="N63" s="56">
        <v>0.47</v>
      </c>
      <c r="O63" s="57" t="s">
        <v>536</v>
      </c>
      <c r="P63" s="19"/>
    </row>
    <row r="64" ht="15.75" customHeight="1">
      <c r="A64" s="31" t="b">
        <v>0</v>
      </c>
      <c r="B64" s="49">
        <v>1.0</v>
      </c>
      <c r="C64" s="50" t="s">
        <v>537</v>
      </c>
      <c r="D64" s="50" t="s">
        <v>173</v>
      </c>
      <c r="E64" s="50" t="s">
        <v>251</v>
      </c>
      <c r="F64" s="34" t="str">
        <f t="array" ref="F64">IF(INDEX('Binder Data'!$A$252:$A$501,ROW()-1)="","",IF(INDEX('Binder Data'!$D$252:$D$501,ROW()-1)="Needed",INDEX('Binder Data'!$B$252:$B$501,ROW()-1),INDEX('Binder Data'!$D$252:$D$501,ROW()-1)))</f>
        <v>Modern Horizons 3</v>
      </c>
      <c r="G64" s="51" t="s">
        <v>374</v>
      </c>
      <c r="H64" s="49">
        <v>2.0</v>
      </c>
      <c r="I64" s="50" t="s">
        <v>135</v>
      </c>
      <c r="J64" s="52">
        <v>0.21</v>
      </c>
      <c r="K64" s="53" t="s">
        <v>158</v>
      </c>
      <c r="L64" s="54" t="s">
        <v>538</v>
      </c>
      <c r="M64" s="55" t="s">
        <v>539</v>
      </c>
      <c r="N64" s="56">
        <v>0.21</v>
      </c>
      <c r="O64" s="57" t="s">
        <v>540</v>
      </c>
      <c r="P64" s="19"/>
    </row>
    <row r="65" ht="15.75" customHeight="1">
      <c r="A65" s="31" t="b">
        <v>0</v>
      </c>
      <c r="B65" s="49">
        <v>1.0</v>
      </c>
      <c r="C65" s="50" t="s">
        <v>541</v>
      </c>
      <c r="D65" s="50" t="s">
        <v>542</v>
      </c>
      <c r="E65" s="50" t="s">
        <v>182</v>
      </c>
      <c r="F65" s="34" t="str">
        <f t="array" ref="F65">IF(INDEX('Binder Data'!$A$252:$A$501,ROW()-1)="","",IF(INDEX('Binder Data'!$D$252:$D$501,ROW()-1)="Needed",INDEX('Binder Data'!$B$252:$B$501,ROW()-1),INDEX('Binder Data'!$D$252:$D$501,ROW()-1)))</f>
        <v>Edge of Eternities</v>
      </c>
      <c r="G65" s="51" t="s">
        <v>543</v>
      </c>
      <c r="H65" s="49">
        <v>3.0</v>
      </c>
      <c r="I65" s="50" t="s">
        <v>135</v>
      </c>
      <c r="J65" s="52">
        <v>2.69</v>
      </c>
      <c r="K65" s="53" t="s">
        <v>158</v>
      </c>
      <c r="L65" s="53" t="s">
        <v>544</v>
      </c>
      <c r="M65" s="55" t="s">
        <v>545</v>
      </c>
      <c r="N65" s="56">
        <v>2.69</v>
      </c>
      <c r="O65" s="57" t="s">
        <v>546</v>
      </c>
      <c r="P65" s="19"/>
    </row>
    <row r="66" ht="15.75" customHeight="1">
      <c r="A66" s="31" t="b">
        <v>0</v>
      </c>
      <c r="B66" s="49">
        <v>1.0</v>
      </c>
      <c r="C66" s="50" t="s">
        <v>547</v>
      </c>
      <c r="D66" s="50" t="s">
        <v>548</v>
      </c>
      <c r="E66" s="50" t="s">
        <v>353</v>
      </c>
      <c r="F66" s="34" t="str">
        <f t="array" ref="F66">IF(INDEX('Binder Data'!$A$252:$A$501,ROW()-1)="","",IF(INDEX('Binder Data'!$D$252:$D$501,ROW()-1)="Needed",INDEX('Binder Data'!$B$252:$B$501,ROW()-1),INDEX('Binder Data'!$D$252:$D$501,ROW()-1)))</f>
        <v>Tarkir: Dragonstorm Commander</v>
      </c>
      <c r="G66" s="51" t="s">
        <v>549</v>
      </c>
      <c r="H66" s="49">
        <v>3.0</v>
      </c>
      <c r="I66" s="50" t="s">
        <v>125</v>
      </c>
      <c r="J66" s="52">
        <v>2.44</v>
      </c>
      <c r="K66" s="53" t="s">
        <v>150</v>
      </c>
      <c r="L66" s="53" t="s">
        <v>550</v>
      </c>
      <c r="M66" s="55" t="s">
        <v>551</v>
      </c>
      <c r="N66" s="56" t="s">
        <v>552</v>
      </c>
      <c r="O66" s="57" t="s">
        <v>553</v>
      </c>
      <c r="P66" s="19"/>
    </row>
    <row r="67" ht="15.75" customHeight="1">
      <c r="A67" s="31" t="b">
        <v>0</v>
      </c>
      <c r="B67" s="49">
        <v>1.0</v>
      </c>
      <c r="C67" s="50" t="s">
        <v>554</v>
      </c>
      <c r="D67" s="50" t="s">
        <v>242</v>
      </c>
      <c r="E67" s="50" t="s">
        <v>182</v>
      </c>
      <c r="F67" s="34" t="str">
        <f t="array" ref="F67">IF(INDEX('Binder Data'!$A$252:$A$501,ROW()-1)="","",IF(INDEX('Binder Data'!$D$252:$D$501,ROW()-1)="Needed",INDEX('Binder Data'!$B$252:$B$501,ROW()-1),INDEX('Binder Data'!$D$252:$D$501,ROW()-1)))</f>
        <v>Commander Box</v>
      </c>
      <c r="G67" s="51" t="s">
        <v>457</v>
      </c>
      <c r="H67" s="49">
        <v>3.0</v>
      </c>
      <c r="I67" s="50" t="s">
        <v>125</v>
      </c>
      <c r="J67" s="52">
        <v>1.08</v>
      </c>
      <c r="K67" s="53" t="s">
        <v>158</v>
      </c>
      <c r="L67" s="54" t="s">
        <v>555</v>
      </c>
      <c r="M67" s="55" t="s">
        <v>556</v>
      </c>
      <c r="N67" s="56">
        <v>1.08</v>
      </c>
      <c r="O67" s="57" t="s">
        <v>557</v>
      </c>
      <c r="P67" s="19"/>
    </row>
    <row r="68" ht="15.75" customHeight="1">
      <c r="A68" s="31" t="b">
        <v>0</v>
      </c>
      <c r="B68" s="49">
        <v>1.0</v>
      </c>
      <c r="C68" s="50" t="s">
        <v>558</v>
      </c>
      <c r="D68" s="50" t="s">
        <v>140</v>
      </c>
      <c r="E68" s="33"/>
      <c r="F68" s="34" t="str">
        <f t="array" ref="F68">IF(INDEX('Binder Data'!$A$252:$A$501,ROW()-1)="","",IF(INDEX('Binder Data'!$D$252:$D$501,ROW()-1)="Needed",INDEX('Binder Data'!$B$252:$B$501,ROW()-1),INDEX('Binder Data'!$D$252:$D$501,ROW()-1)))</f>
        <v>Commander Box</v>
      </c>
      <c r="G68" s="51" t="s">
        <v>559</v>
      </c>
      <c r="H68" s="49">
        <v>0.0</v>
      </c>
      <c r="I68" s="50" t="s">
        <v>125</v>
      </c>
      <c r="J68" s="52">
        <v>0.21</v>
      </c>
      <c r="K68" s="36"/>
      <c r="L68" s="53" t="s">
        <v>560</v>
      </c>
      <c r="M68" s="55" t="s">
        <v>561</v>
      </c>
      <c r="N68" s="56" t="s">
        <v>562</v>
      </c>
      <c r="O68" s="57" t="s">
        <v>563</v>
      </c>
      <c r="P68" s="19"/>
    </row>
    <row r="69" ht="15.75" customHeight="1">
      <c r="A69" s="31" t="b">
        <v>0</v>
      </c>
      <c r="B69" s="49">
        <v>1.0</v>
      </c>
      <c r="C69" s="50" t="s">
        <v>564</v>
      </c>
      <c r="D69" s="50" t="s">
        <v>565</v>
      </c>
      <c r="E69" s="50" t="s">
        <v>182</v>
      </c>
      <c r="F69" s="34" t="str">
        <f t="array" ref="F69">IF(INDEX('Binder Data'!$A$252:$A$501,ROW()-1)="","",IF(INDEX('Binder Data'!$D$252:$D$501,ROW()-1)="Needed",INDEX('Binder Data'!$B$252:$B$501,ROW()-1),INDEX('Binder Data'!$D$252:$D$501,ROW()-1)))</f>
        <v>Streets of New Capenna</v>
      </c>
      <c r="G69" s="51" t="s">
        <v>566</v>
      </c>
      <c r="H69" s="49">
        <v>3.0</v>
      </c>
      <c r="I69" s="50" t="s">
        <v>230</v>
      </c>
      <c r="J69" s="52">
        <v>0.93</v>
      </c>
      <c r="K69" s="53" t="s">
        <v>158</v>
      </c>
      <c r="L69" s="54" t="s">
        <v>567</v>
      </c>
      <c r="M69" s="55" t="s">
        <v>568</v>
      </c>
      <c r="N69" s="56">
        <v>0.93</v>
      </c>
      <c r="O69" s="57" t="s">
        <v>569</v>
      </c>
      <c r="P69" s="19"/>
    </row>
    <row r="70" ht="15.75" customHeight="1">
      <c r="A70" s="31" t="b">
        <v>0</v>
      </c>
      <c r="B70" s="32"/>
      <c r="C70" s="61"/>
      <c r="D70" s="33"/>
      <c r="E70" s="33"/>
      <c r="F70" s="34" t="str">
        <f t="array" ref="F70">IF(INDEX('Binder Data'!$A$252:$A$501,ROW()-1)="","",IF(INDEX('Binder Data'!$D$252:$D$501,ROW()-1)="Needed",INDEX('Binder Data'!$B$252:$B$501,ROW()-1),INDEX('Binder Data'!$D$252:$D$501,ROW()-1)))</f>
        <v/>
      </c>
      <c r="G70" s="59"/>
      <c r="H70" s="32"/>
      <c r="I70" s="33"/>
      <c r="J70" s="35"/>
      <c r="K70" s="36"/>
      <c r="L70" s="36"/>
      <c r="M70" s="38"/>
      <c r="N70" s="39"/>
      <c r="O70" s="39"/>
      <c r="P70" s="19"/>
    </row>
    <row r="71" ht="15.75" customHeight="1">
      <c r="A71" s="31" t="b">
        <v>0</v>
      </c>
      <c r="B71" s="32"/>
      <c r="C71" s="61"/>
      <c r="D71" s="33"/>
      <c r="E71" s="33"/>
      <c r="F71" s="34" t="str">
        <f t="array" ref="F71">IF(INDEX('Binder Data'!$A$252:$A$501,ROW()-1)="","",IF(INDEX('Binder Data'!$D$252:$D$501,ROW()-1)="Needed",INDEX('Binder Data'!$B$252:$B$501,ROW()-1),INDEX('Binder Data'!$D$252:$D$501,ROW()-1)))</f>
        <v/>
      </c>
      <c r="G71" s="59"/>
      <c r="H71" s="32"/>
      <c r="I71" s="33"/>
      <c r="J71" s="35"/>
      <c r="K71" s="36"/>
      <c r="L71" s="36"/>
      <c r="M71" s="38"/>
      <c r="N71" s="39"/>
      <c r="O71" s="39"/>
      <c r="P71" s="19"/>
    </row>
    <row r="72" ht="15.75" customHeight="1">
      <c r="A72" s="31" t="b">
        <v>0</v>
      </c>
      <c r="B72" s="32"/>
      <c r="C72" s="61"/>
      <c r="D72" s="33"/>
      <c r="E72" s="33"/>
      <c r="F72" s="34" t="str">
        <f t="array" ref="F72">IF(INDEX('Binder Data'!$A$252:$A$501,ROW()-1)="","",IF(INDEX('Binder Data'!$D$252:$D$501,ROW()-1)="Needed",INDEX('Binder Data'!$B$252:$B$501,ROW()-1),INDEX('Binder Data'!$D$252:$D$501,ROW()-1)))</f>
        <v/>
      </c>
      <c r="G72" s="59"/>
      <c r="H72" s="32"/>
      <c r="I72" s="33"/>
      <c r="J72" s="35"/>
      <c r="K72" s="36"/>
      <c r="L72" s="37"/>
      <c r="M72" s="38"/>
      <c r="N72" s="39"/>
      <c r="O72" s="39"/>
      <c r="P72" s="19"/>
    </row>
    <row r="73" ht="15.75" customHeight="1">
      <c r="A73" s="31" t="b">
        <v>0</v>
      </c>
      <c r="B73" s="32"/>
      <c r="C73" s="61"/>
      <c r="D73" s="33"/>
      <c r="E73" s="33"/>
      <c r="F73" s="34" t="str">
        <f t="array" ref="F73">IF(INDEX('Binder Data'!$A$252:$A$501,ROW()-1)="","",IF(INDEX('Binder Data'!$D$252:$D$501,ROW()-1)="Needed",INDEX('Binder Data'!$B$252:$B$501,ROW()-1),INDEX('Binder Data'!$D$252:$D$501,ROW()-1)))</f>
        <v/>
      </c>
      <c r="G73" s="59"/>
      <c r="H73" s="32"/>
      <c r="I73" s="33"/>
      <c r="J73" s="35"/>
      <c r="K73" s="36"/>
      <c r="L73" s="36"/>
      <c r="M73" s="38"/>
      <c r="N73" s="39"/>
      <c r="O73" s="39"/>
      <c r="P73" s="19"/>
    </row>
    <row r="74" ht="15.75" customHeight="1">
      <c r="A74" s="31" t="b">
        <v>0</v>
      </c>
      <c r="B74" s="32"/>
      <c r="C74" s="61"/>
      <c r="D74" s="33"/>
      <c r="E74" s="33"/>
      <c r="F74" s="34" t="str">
        <f t="array" ref="F74">IF(INDEX('Binder Data'!$A$252:$A$501,ROW()-1)="","",IF(INDEX('Binder Data'!$D$252:$D$501,ROW()-1)="Needed",INDEX('Binder Data'!$B$252:$B$501,ROW()-1),INDEX('Binder Data'!$D$252:$D$501,ROW()-1)))</f>
        <v/>
      </c>
      <c r="G74" s="59"/>
      <c r="H74" s="32"/>
      <c r="I74" s="33"/>
      <c r="J74" s="36"/>
      <c r="K74" s="36"/>
      <c r="L74" s="37"/>
      <c r="M74" s="38"/>
      <c r="N74" s="39"/>
      <c r="O74" s="39"/>
      <c r="P74" s="19"/>
    </row>
    <row r="75" ht="15.75" customHeight="1">
      <c r="A75" s="31" t="b">
        <v>0</v>
      </c>
      <c r="B75" s="32"/>
      <c r="C75" s="61"/>
      <c r="D75" s="33"/>
      <c r="E75" s="33"/>
      <c r="F75" s="34" t="str">
        <f t="array" ref="F75">IF(INDEX('Binder Data'!$A$252:$A$501,ROW()-1)="","",IF(INDEX('Binder Data'!$D$252:$D$501,ROW()-1)="Needed",INDEX('Binder Data'!$B$252:$B$501,ROW()-1),INDEX('Binder Data'!$D$252:$D$501,ROW()-1)))</f>
        <v/>
      </c>
      <c r="G75" s="59"/>
      <c r="H75" s="32"/>
      <c r="I75" s="33"/>
      <c r="J75" s="35"/>
      <c r="K75" s="36"/>
      <c r="L75" s="37"/>
      <c r="M75" s="38"/>
      <c r="N75" s="39"/>
      <c r="O75" s="39"/>
      <c r="P75" s="19"/>
    </row>
    <row r="76" ht="15.75" customHeight="1">
      <c r="A76" s="31" t="b">
        <v>0</v>
      </c>
      <c r="B76" s="32"/>
      <c r="C76" s="61"/>
      <c r="D76" s="33"/>
      <c r="E76" s="33"/>
      <c r="F76" s="34" t="str">
        <f t="array" ref="F76">IF(INDEX('Binder Data'!$A$252:$A$501,ROW()-1)="","",IF(INDEX('Binder Data'!$D$252:$D$501,ROW()-1)="Needed",INDEX('Binder Data'!$B$252:$B$501,ROW()-1),INDEX('Binder Data'!$D$252:$D$501,ROW()-1)))</f>
        <v/>
      </c>
      <c r="G76" s="59"/>
      <c r="H76" s="32"/>
      <c r="I76" s="33"/>
      <c r="J76" s="35"/>
      <c r="K76" s="36"/>
      <c r="L76" s="37"/>
      <c r="M76" s="38"/>
      <c r="N76" s="39"/>
      <c r="O76" s="39"/>
      <c r="P76" s="19"/>
    </row>
    <row r="77" ht="15.75" customHeight="1">
      <c r="A77" s="31" t="b">
        <v>0</v>
      </c>
      <c r="B77" s="32"/>
      <c r="C77" s="61"/>
      <c r="D77" s="33"/>
      <c r="E77" s="33"/>
      <c r="F77" s="34" t="str">
        <f t="array" ref="F77">IF(INDEX('Binder Data'!$A$252:$A$501,ROW()-1)="","",IF(INDEX('Binder Data'!$D$252:$D$501,ROW()-1)="Needed",INDEX('Binder Data'!$B$252:$B$501,ROW()-1),INDEX('Binder Data'!$D$252:$D$501,ROW()-1)))</f>
        <v/>
      </c>
      <c r="G77" s="59"/>
      <c r="H77" s="32"/>
      <c r="I77" s="33"/>
      <c r="J77" s="35"/>
      <c r="K77" s="36"/>
      <c r="L77" s="37"/>
      <c r="M77" s="38"/>
      <c r="N77" s="39"/>
      <c r="O77" s="39"/>
      <c r="P77" s="19"/>
    </row>
    <row r="78" ht="15.75" customHeight="1">
      <c r="A78" s="31" t="b">
        <v>0</v>
      </c>
      <c r="B78" s="32"/>
      <c r="C78" s="61"/>
      <c r="D78" s="33"/>
      <c r="E78" s="33"/>
      <c r="F78" s="34" t="str">
        <f t="array" ref="F78">IF(INDEX('Binder Data'!$A$252:$A$501,ROW()-1)="","",IF(INDEX('Binder Data'!$D$252:$D$501,ROW()-1)="Needed",INDEX('Binder Data'!$B$252:$B$501,ROW()-1),INDEX('Binder Data'!$D$252:$D$501,ROW()-1)))</f>
        <v/>
      </c>
      <c r="G78" s="59"/>
      <c r="H78" s="32"/>
      <c r="I78" s="33"/>
      <c r="J78" s="35"/>
      <c r="K78" s="36"/>
      <c r="L78" s="36"/>
      <c r="M78" s="38"/>
      <c r="N78" s="39"/>
      <c r="O78" s="39"/>
      <c r="P78" s="19"/>
    </row>
    <row r="79" ht="15.75" customHeight="1">
      <c r="A79" s="31" t="b">
        <v>0</v>
      </c>
      <c r="B79" s="32"/>
      <c r="C79" s="61"/>
      <c r="D79" s="33"/>
      <c r="E79" s="33"/>
      <c r="F79" s="34" t="str">
        <f t="array" ref="F79">IF(INDEX('Binder Data'!$A$252:$A$501,ROW()-1)="","",IF(INDEX('Binder Data'!$D$252:$D$501,ROW()-1)="Needed",INDEX('Binder Data'!$B$252:$B$501,ROW()-1),INDEX('Binder Data'!$D$252:$D$501,ROW()-1)))</f>
        <v/>
      </c>
      <c r="G79" s="59"/>
      <c r="H79" s="32"/>
      <c r="I79" s="33"/>
      <c r="J79" s="35"/>
      <c r="K79" s="36"/>
      <c r="L79" s="36"/>
      <c r="M79" s="38"/>
      <c r="N79" s="39"/>
      <c r="O79" s="39"/>
      <c r="P79" s="19"/>
    </row>
    <row r="80" ht="15.75" customHeight="1">
      <c r="A80" s="31" t="b">
        <v>0</v>
      </c>
      <c r="B80" s="32"/>
      <c r="C80" s="61"/>
      <c r="D80" s="33"/>
      <c r="E80" s="33"/>
      <c r="F80" s="34" t="str">
        <f t="array" ref="F80">IF(INDEX('Binder Data'!$A$252:$A$501,ROW()-1)="","",IF(INDEX('Binder Data'!$D$252:$D$501,ROW()-1)="Needed",INDEX('Binder Data'!$B$252:$B$501,ROW()-1),INDEX('Binder Data'!$D$252:$D$501,ROW()-1)))</f>
        <v/>
      </c>
      <c r="G80" s="59"/>
      <c r="H80" s="32"/>
      <c r="I80" s="33"/>
      <c r="J80" s="35"/>
      <c r="K80" s="36"/>
      <c r="L80" s="36"/>
      <c r="M80" s="38"/>
      <c r="N80" s="39"/>
      <c r="O80" s="39"/>
      <c r="P80" s="19"/>
    </row>
    <row r="81" ht="15.75" customHeight="1">
      <c r="A81" s="31" t="b">
        <v>0</v>
      </c>
      <c r="B81" s="32"/>
      <c r="C81" s="61"/>
      <c r="D81" s="33"/>
      <c r="E81" s="33"/>
      <c r="F81" s="34" t="str">
        <f t="array" ref="F81">IF(INDEX('Binder Data'!$A$252:$A$501,ROW()-1)="","",IF(INDEX('Binder Data'!$D$252:$D$501,ROW()-1)="Needed",INDEX('Binder Data'!$B$252:$B$501,ROW()-1),INDEX('Binder Data'!$D$252:$D$501,ROW()-1)))</f>
        <v/>
      </c>
      <c r="G81" s="59"/>
      <c r="H81" s="32"/>
      <c r="I81" s="33"/>
      <c r="J81" s="35"/>
      <c r="K81" s="36"/>
      <c r="L81" s="37"/>
      <c r="M81" s="38"/>
      <c r="N81" s="39"/>
      <c r="O81" s="39"/>
      <c r="P81" s="19"/>
    </row>
    <row r="82" ht="15.75" customHeight="1">
      <c r="A82" s="31" t="b">
        <v>0</v>
      </c>
      <c r="B82" s="32"/>
      <c r="C82" s="61"/>
      <c r="D82" s="33"/>
      <c r="E82" s="33"/>
      <c r="F82" s="34" t="str">
        <f t="array" ref="F82">IF(INDEX('Binder Data'!$A$252:$A$501,ROW()-1)="","",IF(INDEX('Binder Data'!$D$252:$D$501,ROW()-1)="Needed",INDEX('Binder Data'!$B$252:$B$501,ROW()-1),INDEX('Binder Data'!$D$252:$D$501,ROW()-1)))</f>
        <v/>
      </c>
      <c r="G82" s="59"/>
      <c r="H82" s="32"/>
      <c r="I82" s="33"/>
      <c r="J82" s="35"/>
      <c r="K82" s="36"/>
      <c r="L82" s="36"/>
      <c r="M82" s="38"/>
      <c r="N82" s="39"/>
      <c r="O82" s="39"/>
      <c r="P82" s="19"/>
    </row>
    <row r="83" ht="15.75" customHeight="1">
      <c r="A83" s="31" t="b">
        <v>0</v>
      </c>
      <c r="B83" s="32"/>
      <c r="C83" s="61"/>
      <c r="D83" s="33"/>
      <c r="E83" s="33"/>
      <c r="F83" s="34" t="str">
        <f t="array" ref="F83">IF(INDEX('Binder Data'!$A$252:$A$501,ROW()-1)="","",IF(INDEX('Binder Data'!$D$252:$D$501,ROW()-1)="Needed",INDEX('Binder Data'!$B$252:$B$501,ROW()-1),INDEX('Binder Data'!$D$252:$D$501,ROW()-1)))</f>
        <v/>
      </c>
      <c r="G83" s="59"/>
      <c r="H83" s="32"/>
      <c r="I83" s="33"/>
      <c r="J83" s="35"/>
      <c r="K83" s="36"/>
      <c r="L83" s="37"/>
      <c r="M83" s="38"/>
      <c r="N83" s="39"/>
      <c r="O83" s="39"/>
      <c r="P83" s="19"/>
    </row>
    <row r="84" ht="15.75" customHeight="1">
      <c r="A84" s="31" t="b">
        <v>0</v>
      </c>
      <c r="B84" s="32"/>
      <c r="C84" s="61"/>
      <c r="D84" s="33"/>
      <c r="E84" s="33"/>
      <c r="F84" s="34" t="str">
        <f t="array" ref="F84">IF(INDEX('Binder Data'!$A$252:$A$501,ROW()-1)="","",IF(INDEX('Binder Data'!$D$252:$D$501,ROW()-1)="Needed",INDEX('Binder Data'!$B$252:$B$501,ROW()-1),INDEX('Binder Data'!$D$252:$D$501,ROW()-1)))</f>
        <v/>
      </c>
      <c r="G84" s="59"/>
      <c r="H84" s="32"/>
      <c r="I84" s="33"/>
      <c r="J84" s="35"/>
      <c r="K84" s="36"/>
      <c r="L84" s="36"/>
      <c r="M84" s="38"/>
      <c r="N84" s="39"/>
      <c r="O84" s="39"/>
      <c r="P84" s="19"/>
    </row>
    <row r="85" ht="15.75" customHeight="1">
      <c r="A85" s="31" t="b">
        <v>0</v>
      </c>
      <c r="B85" s="32"/>
      <c r="C85" s="61"/>
      <c r="D85" s="33"/>
      <c r="E85" s="33"/>
      <c r="F85" s="34" t="str">
        <f t="array" ref="F85">IF(INDEX('Binder Data'!$A$252:$A$501,ROW()-1)="","",IF(INDEX('Binder Data'!$D$252:$D$501,ROW()-1)="Needed",INDEX('Binder Data'!$B$252:$B$501,ROW()-1),INDEX('Binder Data'!$D$252:$D$501,ROW()-1)))</f>
        <v/>
      </c>
      <c r="G85" s="59"/>
      <c r="H85" s="32"/>
      <c r="I85" s="33"/>
      <c r="J85" s="35"/>
      <c r="K85" s="36"/>
      <c r="L85" s="37"/>
      <c r="M85" s="38"/>
      <c r="N85" s="39"/>
      <c r="O85" s="39"/>
      <c r="P85" s="19"/>
    </row>
    <row r="86" ht="15.75" customHeight="1">
      <c r="A86" s="31" t="b">
        <v>0</v>
      </c>
      <c r="B86" s="32"/>
      <c r="C86" s="61"/>
      <c r="D86" s="33"/>
      <c r="E86" s="33"/>
      <c r="F86" s="34" t="str">
        <f t="array" ref="F86">IF(INDEX('Binder Data'!$A$252:$A$501,ROW()-1)="","",IF(INDEX('Binder Data'!$D$252:$D$501,ROW()-1)="Needed",INDEX('Binder Data'!$B$252:$B$501,ROW()-1),INDEX('Binder Data'!$D$252:$D$501,ROW()-1)))</f>
        <v/>
      </c>
      <c r="G86" s="59"/>
      <c r="H86" s="32"/>
      <c r="I86" s="33"/>
      <c r="J86" s="35"/>
      <c r="K86" s="36"/>
      <c r="L86" s="37"/>
      <c r="M86" s="38"/>
      <c r="N86" s="39"/>
      <c r="O86" s="39"/>
      <c r="P86" s="19"/>
    </row>
    <row r="87" ht="15.75" customHeight="1">
      <c r="A87" s="31" t="b">
        <v>0</v>
      </c>
      <c r="B87" s="32"/>
      <c r="C87" s="61"/>
      <c r="D87" s="33"/>
      <c r="E87" s="33"/>
      <c r="F87" s="34" t="str">
        <f t="array" ref="F87">IF(INDEX('Binder Data'!$A$252:$A$501,ROW()-1)="","",IF(INDEX('Binder Data'!$D$252:$D$501,ROW()-1)="Needed",INDEX('Binder Data'!$B$252:$B$501,ROW()-1),INDEX('Binder Data'!$D$252:$D$501,ROW()-1)))</f>
        <v/>
      </c>
      <c r="G87" s="59"/>
      <c r="H87" s="32"/>
      <c r="I87" s="33"/>
      <c r="J87" s="35"/>
      <c r="K87" s="36"/>
      <c r="L87" s="37"/>
      <c r="M87" s="38"/>
      <c r="N87" s="39"/>
      <c r="O87" s="39"/>
      <c r="P87" s="19"/>
    </row>
    <row r="88" ht="15.75" customHeight="1">
      <c r="A88" s="31" t="b">
        <v>0</v>
      </c>
      <c r="B88" s="32"/>
      <c r="C88" s="61"/>
      <c r="D88" s="33"/>
      <c r="E88" s="33"/>
      <c r="F88" s="34" t="str">
        <f t="array" ref="F88">IF(INDEX('Binder Data'!$A$252:$A$501,ROW()-1)="","",IF(INDEX('Binder Data'!$D$252:$D$501,ROW()-1)="Needed",INDEX('Binder Data'!$B$252:$B$501,ROW()-1),INDEX('Binder Data'!$D$252:$D$501,ROW()-1)))</f>
        <v/>
      </c>
      <c r="G88" s="59"/>
      <c r="H88" s="32"/>
      <c r="I88" s="33"/>
      <c r="J88" s="36"/>
      <c r="K88" s="36"/>
      <c r="L88" s="36"/>
      <c r="M88" s="38"/>
      <c r="N88" s="39"/>
      <c r="O88" s="39"/>
      <c r="P88" s="19"/>
    </row>
    <row r="89" ht="15.75" customHeight="1">
      <c r="A89" s="31" t="b">
        <v>0</v>
      </c>
      <c r="B89" s="32"/>
      <c r="C89" s="61"/>
      <c r="D89" s="33"/>
      <c r="E89" s="33"/>
      <c r="F89" s="34" t="str">
        <f t="array" ref="F89">IF(INDEX('Binder Data'!$A$252:$A$501,ROW()-1)="","",IF(INDEX('Binder Data'!$D$252:$D$501,ROW()-1)="Needed",INDEX('Binder Data'!$B$252:$B$501,ROW()-1),INDEX('Binder Data'!$D$252:$D$501,ROW()-1)))</f>
        <v/>
      </c>
      <c r="G89" s="59"/>
      <c r="H89" s="32"/>
      <c r="I89" s="33"/>
      <c r="J89" s="36"/>
      <c r="K89" s="36"/>
      <c r="L89" s="36"/>
      <c r="M89" s="38"/>
      <c r="N89" s="39"/>
      <c r="O89" s="39"/>
      <c r="P89" s="19"/>
    </row>
    <row r="90" ht="15.75" customHeight="1">
      <c r="A90" s="31"/>
      <c r="B90" s="31"/>
      <c r="C90" s="41"/>
      <c r="D90" s="39"/>
      <c r="E90" s="39"/>
      <c r="F90" s="34" t="str">
        <f t="array" ref="F90">IF(INDEX('Binder Data'!$A$252:$A$501,ROW()-1)="","",IF(INDEX('Binder Data'!$D$252:$D$501,ROW()-1)="Needed",INDEX('Binder Data'!$B$252:$B$501,ROW()-1),INDEX('Binder Data'!$D$252:$D$501,ROW()-1)))</f>
        <v/>
      </c>
      <c r="G90" s="62"/>
      <c r="H90" s="42"/>
      <c r="I90" s="39"/>
      <c r="J90" s="43"/>
      <c r="K90" s="44"/>
      <c r="L90" s="44"/>
      <c r="M90" s="44"/>
      <c r="N90" s="39"/>
      <c r="O90" s="39"/>
      <c r="P90" s="19"/>
    </row>
    <row r="91" ht="15.75" customHeight="1">
      <c r="A91" s="31"/>
      <c r="B91" s="31"/>
      <c r="C91" s="45"/>
      <c r="D91" s="5"/>
      <c r="E91" s="5"/>
      <c r="F91" s="34" t="str">
        <f t="array" ref="F91">IF(INDEX('Binder Data'!$A$252:$A$501,ROW()-1)="","",IF(INDEX('Binder Data'!$D$252:$D$501,ROW()-1)="Needed",INDEX('Binder Data'!$B$252:$B$501,ROW()-1),INDEX('Binder Data'!$D$252:$D$501,ROW()-1)))</f>
        <v/>
      </c>
      <c r="G91" s="63"/>
      <c r="H91" s="19"/>
      <c r="I91" s="5"/>
      <c r="J91" s="43"/>
      <c r="K91" s="44"/>
      <c r="L91" s="44"/>
      <c r="M91" s="44"/>
      <c r="N91" s="5"/>
      <c r="O91" s="5"/>
      <c r="P91" s="19"/>
    </row>
    <row r="92" ht="15.75" customHeight="1">
      <c r="A92" s="31"/>
      <c r="B92" s="31"/>
      <c r="C92" s="45"/>
      <c r="D92" s="5"/>
      <c r="E92" s="5"/>
      <c r="F92" s="34" t="str">
        <f t="array" ref="F92">IF(INDEX('Binder Data'!$A$252:$A$501,ROW()-1)="","",IF(INDEX('Binder Data'!$D$252:$D$501,ROW()-1)="Needed",INDEX('Binder Data'!$B$252:$B$501,ROW()-1),INDEX('Binder Data'!$D$252:$D$501,ROW()-1)))</f>
        <v/>
      </c>
      <c r="G92" s="63"/>
      <c r="H92" s="19"/>
      <c r="I92" s="5"/>
      <c r="J92" s="43"/>
      <c r="K92" s="44"/>
      <c r="L92" s="44"/>
      <c r="M92" s="44"/>
      <c r="N92" s="5"/>
      <c r="O92" s="5"/>
      <c r="P92" s="19"/>
    </row>
    <row r="93" ht="15.75" customHeight="1">
      <c r="A93" s="31"/>
      <c r="B93" s="31"/>
      <c r="C93" s="45"/>
      <c r="D93" s="5"/>
      <c r="E93" s="5"/>
      <c r="F93" s="34" t="str">
        <f t="array" ref="F93">IF(INDEX('Binder Data'!$A$252:$A$501,ROW()-1)="","",IF(INDEX('Binder Data'!$D$252:$D$501,ROW()-1)="Needed",INDEX('Binder Data'!$B$252:$B$501,ROW()-1),INDEX('Binder Data'!$D$252:$D$501,ROW()-1)))</f>
        <v/>
      </c>
      <c r="G93" s="63"/>
      <c r="H93" s="19"/>
      <c r="I93" s="5"/>
      <c r="J93" s="43"/>
      <c r="K93" s="44"/>
      <c r="L93" s="44"/>
      <c r="M93" s="44"/>
      <c r="N93" s="5"/>
      <c r="O93" s="5"/>
      <c r="P93" s="19"/>
    </row>
    <row r="94" ht="15.75" customHeight="1">
      <c r="A94" s="31"/>
      <c r="B94" s="31"/>
      <c r="C94" s="45"/>
      <c r="D94" s="5"/>
      <c r="E94" s="5"/>
      <c r="F94" s="34" t="str">
        <f t="array" ref="F94">IF(INDEX('Binder Data'!$A$252:$A$501,ROW()-1)="","",IF(INDEX('Binder Data'!$D$252:$D$501,ROW()-1)="Needed",INDEX('Binder Data'!$B$252:$B$501,ROW()-1),INDEX('Binder Data'!$D$252:$D$501,ROW()-1)))</f>
        <v/>
      </c>
      <c r="G94" s="63"/>
      <c r="H94" s="19"/>
      <c r="I94" s="5"/>
      <c r="J94" s="43"/>
      <c r="K94" s="44"/>
      <c r="L94" s="44"/>
      <c r="M94" s="44"/>
      <c r="N94" s="5"/>
      <c r="O94" s="5"/>
      <c r="P94" s="19"/>
    </row>
    <row r="95" ht="15.75" customHeight="1">
      <c r="A95" s="31"/>
      <c r="B95" s="31"/>
      <c r="C95" s="45"/>
      <c r="D95" s="5"/>
      <c r="E95" s="5"/>
      <c r="F95" s="34" t="str">
        <f t="array" ref="F95">IF(INDEX('Binder Data'!$A$252:$A$501,ROW()-1)="","",IF(INDEX('Binder Data'!$D$252:$D$501,ROW()-1)="Needed",INDEX('Binder Data'!$B$252:$B$501,ROW()-1),INDEX('Binder Data'!$D$252:$D$501,ROW()-1)))</f>
        <v/>
      </c>
      <c r="G95" s="63"/>
      <c r="H95" s="19"/>
      <c r="I95" s="5"/>
      <c r="J95" s="43"/>
      <c r="K95" s="46"/>
      <c r="L95" s="35"/>
      <c r="M95" s="44"/>
      <c r="N95" s="5"/>
      <c r="O95" s="47"/>
      <c r="P95" s="19"/>
    </row>
    <row r="96" ht="15.75" customHeight="1">
      <c r="A96" s="31"/>
      <c r="B96" s="31"/>
      <c r="C96" s="45"/>
      <c r="D96" s="5"/>
      <c r="E96" s="5"/>
      <c r="F96" s="34" t="str">
        <f t="array" ref="F96">IF(INDEX('Binder Data'!$A$252:$A$501,ROW()-1)="","",IF(INDEX('Binder Data'!$D$252:$D$501,ROW()-1)="Needed",INDEX('Binder Data'!$B$252:$B$501,ROW()-1),INDEX('Binder Data'!$D$252:$D$501,ROW()-1)))</f>
        <v/>
      </c>
      <c r="G96" s="63"/>
      <c r="H96" s="19"/>
      <c r="I96" s="5"/>
      <c r="J96" s="43"/>
      <c r="K96" s="46"/>
      <c r="L96" s="35"/>
      <c r="M96" s="44"/>
      <c r="N96" s="5"/>
      <c r="O96" s="47"/>
      <c r="P96" s="19"/>
    </row>
    <row r="97" ht="15.75" customHeight="1">
      <c r="A97" s="19"/>
      <c r="B97" s="19"/>
      <c r="C97" s="48"/>
      <c r="D97" s="39"/>
      <c r="E97" s="39"/>
      <c r="F97" s="34" t="str">
        <f t="array" ref="F97">IF(INDEX('Binder Data'!$A$252:$A$501,ROW()-1)="","",IF(INDEX('Binder Data'!$D$252:$D$501,ROW()-1)="Needed",INDEX('Binder Data'!$B$252:$B$501,ROW()-1),INDEX('Binder Data'!$D$252:$D$501,ROW()-1)))</f>
        <v/>
      </c>
      <c r="G97" s="64"/>
      <c r="H97" s="19"/>
      <c r="I97" s="19"/>
      <c r="J97" s="19"/>
      <c r="K97" s="19"/>
      <c r="L97" s="19"/>
      <c r="M97" s="19"/>
      <c r="N97" s="5"/>
      <c r="O97" s="19"/>
      <c r="P97" s="19"/>
    </row>
    <row r="98" ht="15.75" customHeight="1">
      <c r="A98" s="19"/>
      <c r="B98" s="19"/>
      <c r="C98" s="48"/>
      <c r="D98" s="39"/>
      <c r="E98" s="39"/>
      <c r="F98" s="34" t="str">
        <f t="array" ref="F98">IF(INDEX('Binder Data'!$A$252:$A$501,ROW()-1)="","",IF(INDEX('Binder Data'!$D$252:$D$501,ROW()-1)="Needed",INDEX('Binder Data'!$B$252:$B$501,ROW()-1),INDEX('Binder Data'!$D$252:$D$501,ROW()-1)))</f>
        <v/>
      </c>
      <c r="G98" s="64"/>
      <c r="H98" s="19"/>
      <c r="I98" s="19"/>
      <c r="J98" s="19"/>
      <c r="K98" s="19"/>
      <c r="L98" s="32"/>
      <c r="M98" s="32"/>
      <c r="N98" s="5"/>
      <c r="O98" s="47"/>
      <c r="P98" s="19"/>
    </row>
    <row r="99" ht="15.75" customHeight="1">
      <c r="A99" s="19"/>
      <c r="B99" s="19"/>
      <c r="C99" s="48"/>
      <c r="D99" s="39"/>
      <c r="E99" s="39"/>
      <c r="F99" s="34" t="str">
        <f t="array" ref="F99">IF(INDEX('Binder Data'!$A$252:$A$501,ROW()-1)="","",IF(INDEX('Binder Data'!$D$252:$D$501,ROW()-1)="Needed",INDEX('Binder Data'!$B$252:$B$501,ROW()-1),INDEX('Binder Data'!$D$252:$D$501,ROW()-1)))</f>
        <v/>
      </c>
      <c r="G99" s="64"/>
      <c r="H99" s="19"/>
      <c r="I99" s="19"/>
      <c r="J99" s="19"/>
      <c r="K99" s="19"/>
      <c r="L99" s="32"/>
      <c r="M99" s="32"/>
      <c r="N99" s="5"/>
      <c r="O99" s="47"/>
      <c r="P99" s="19"/>
    </row>
    <row r="100" ht="15.75" customHeight="1">
      <c r="A100" s="19"/>
      <c r="B100" s="19"/>
      <c r="C100" s="48"/>
      <c r="D100" s="39"/>
      <c r="E100" s="39"/>
      <c r="F100" s="34" t="str">
        <f t="array" ref="F100">IF(INDEX('Binder Data'!$A$252:$A$501,ROW()-1)="","",IF(INDEX('Binder Data'!$D$252:$D$501,ROW()-1)="Needed",INDEX('Binder Data'!$B$252:$B$501,ROW()-1),INDEX('Binder Data'!$D$252:$D$501,ROW()-1)))</f>
        <v/>
      </c>
      <c r="G100" s="64"/>
      <c r="H100" s="19"/>
      <c r="I100" s="19"/>
      <c r="J100" s="19"/>
      <c r="K100" s="19"/>
      <c r="L100" s="32"/>
      <c r="M100" s="32"/>
      <c r="N100" s="5"/>
      <c r="O100" s="47"/>
      <c r="P100" s="19"/>
    </row>
    <row r="101" ht="15.75" customHeight="1">
      <c r="A101" s="19"/>
      <c r="B101" s="19"/>
      <c r="C101" s="48"/>
      <c r="D101" s="39"/>
      <c r="E101" s="39"/>
      <c r="F101" s="34" t="str">
        <f t="array" ref="F101">IF(INDEX('Binder Data'!$A$252:$A$501,ROW()-1)="","",IF(INDEX('Binder Data'!$D$252:$D$501,ROW()-1)="Needed",INDEX('Binder Data'!$B$252:$B$501,ROW()-1),INDEX('Binder Data'!$D$252:$D$501,ROW()-1)))</f>
        <v/>
      </c>
      <c r="G101" s="64"/>
      <c r="H101" s="19"/>
      <c r="I101" s="19"/>
      <c r="J101" s="19"/>
      <c r="K101" s="19"/>
      <c r="L101" s="32"/>
      <c r="M101" s="32"/>
      <c r="N101" s="5"/>
      <c r="O101" s="47"/>
      <c r="P101" s="19"/>
    </row>
    <row r="102" ht="15.75" customHeight="1">
      <c r="A102" s="19"/>
      <c r="B102" s="19"/>
      <c r="C102" s="48"/>
      <c r="D102" s="39"/>
      <c r="E102" s="39"/>
      <c r="F102" s="34" t="str">
        <f t="array" ref="F102">IF(INDEX('Binder Data'!$A$252:$A$501,ROW()-1)="","",IF(INDEX('Binder Data'!$D$252:$D$501,ROW()-1)="Needed",INDEX('Binder Data'!$B$252:$B$501,ROW()-1),INDEX('Binder Data'!$D$252:$D$501,ROW()-1)))</f>
        <v/>
      </c>
      <c r="G102" s="64"/>
      <c r="H102" s="19"/>
      <c r="I102" s="19"/>
      <c r="J102" s="19"/>
      <c r="K102" s="19"/>
      <c r="L102" s="32"/>
      <c r="M102" s="32"/>
      <c r="N102" s="5"/>
      <c r="O102" s="47"/>
      <c r="P102" s="19"/>
    </row>
    <row r="103" ht="15.75" customHeight="1">
      <c r="A103" s="19"/>
      <c r="B103" s="19"/>
      <c r="C103" s="48"/>
      <c r="D103" s="39"/>
      <c r="E103" s="39"/>
      <c r="F103" s="34" t="str">
        <f t="array" ref="F103">IF(INDEX('Binder Data'!$A$252:$A$501,ROW()-1)="","",IF(INDEX('Binder Data'!$D$252:$D$501,ROW()-1)="Needed",INDEX('Binder Data'!$B$252:$B$501,ROW()-1),INDEX('Binder Data'!$D$252:$D$501,ROW()-1)))</f>
        <v/>
      </c>
      <c r="G103" s="64"/>
      <c r="H103" s="19"/>
      <c r="I103" s="19"/>
      <c r="J103" s="19"/>
      <c r="K103" s="19"/>
      <c r="L103" s="32"/>
      <c r="M103" s="32"/>
      <c r="N103" s="5"/>
      <c r="O103" s="47"/>
      <c r="P103" s="19"/>
    </row>
    <row r="104" ht="15.75" customHeight="1">
      <c r="A104" s="19"/>
      <c r="B104" s="19"/>
      <c r="C104" s="48"/>
      <c r="D104" s="39"/>
      <c r="E104" s="39"/>
      <c r="F104" s="34" t="str">
        <f t="array" ref="F104">IF(INDEX('Binder Data'!$A$252:$A$501,ROW()-1)="","",IF(INDEX('Binder Data'!$D$252:$D$501,ROW()-1)="Needed",INDEX('Binder Data'!$B$252:$B$501,ROW()-1),INDEX('Binder Data'!$D$252:$D$501,ROW()-1)))</f>
        <v/>
      </c>
      <c r="G104" s="64"/>
      <c r="H104" s="19"/>
      <c r="I104" s="19"/>
      <c r="J104" s="19"/>
      <c r="K104" s="19"/>
      <c r="L104" s="32"/>
      <c r="M104" s="32"/>
      <c r="N104" s="5"/>
      <c r="O104" s="47"/>
      <c r="P104" s="19"/>
    </row>
    <row r="105" ht="15.75" customHeight="1">
      <c r="A105" s="19"/>
      <c r="B105" s="19"/>
      <c r="C105" s="48"/>
      <c r="D105" s="39"/>
      <c r="E105" s="39"/>
      <c r="F105" s="34" t="str">
        <f t="array" ref="F105">IF(INDEX('Binder Data'!$A$252:$A$501,ROW()-1)="","",IF(INDEX('Binder Data'!$D$252:$D$501,ROW()-1)="Needed",INDEX('Binder Data'!$B$252:$B$501,ROW()-1),INDEX('Binder Data'!$D$252:$D$501,ROW()-1)))</f>
        <v/>
      </c>
      <c r="G105" s="64"/>
      <c r="H105" s="19"/>
      <c r="I105" s="19"/>
      <c r="J105" s="19"/>
      <c r="K105" s="19"/>
      <c r="L105" s="32"/>
      <c r="M105" s="32"/>
      <c r="N105" s="5"/>
      <c r="O105" s="47"/>
      <c r="P105" s="19"/>
    </row>
    <row r="106" ht="15.75" customHeight="1">
      <c r="A106" s="19"/>
      <c r="B106" s="19"/>
      <c r="C106" s="48"/>
      <c r="D106" s="39"/>
      <c r="E106" s="39"/>
      <c r="F106" s="34" t="str">
        <f t="array" ref="F106">IF(INDEX('Binder Data'!$A$252:$A$501,ROW()-1)="","",IF(INDEX('Binder Data'!$D$252:$D$501,ROW()-1)="Needed",INDEX('Binder Data'!$B$252:$B$501,ROW()-1),INDEX('Binder Data'!$D$252:$D$501,ROW()-1)))</f>
        <v/>
      </c>
      <c r="G106" s="64"/>
      <c r="H106" s="19"/>
      <c r="I106" s="19"/>
      <c r="J106" s="19"/>
      <c r="K106" s="19"/>
      <c r="L106" s="32"/>
      <c r="M106" s="32"/>
      <c r="N106" s="5"/>
      <c r="O106" s="5"/>
      <c r="P106" s="19"/>
    </row>
    <row r="107" ht="15.75" customHeight="1">
      <c r="A107" s="19"/>
      <c r="B107" s="19"/>
      <c r="C107" s="48"/>
      <c r="D107" s="39"/>
      <c r="E107" s="39"/>
      <c r="F107" s="34" t="str">
        <f t="array" ref="F107">IF(INDEX('Binder Data'!$A$252:$A$501,ROW()-1)="","",IF(INDEX('Binder Data'!$D$252:$D$501,ROW()-1)="Needed",INDEX('Binder Data'!$B$252:$B$501,ROW()-1),INDEX('Binder Data'!$D$252:$D$501,ROW()-1)))</f>
        <v/>
      </c>
      <c r="G107" s="64"/>
      <c r="H107" s="19"/>
      <c r="I107" s="19"/>
      <c r="J107" s="19"/>
      <c r="K107" s="19"/>
      <c r="L107" s="32"/>
      <c r="M107" s="32"/>
      <c r="N107" s="5"/>
      <c r="O107" s="5"/>
      <c r="P107" s="19"/>
    </row>
    <row r="108" ht="15.75" customHeight="1">
      <c r="A108" s="19"/>
      <c r="B108" s="19"/>
      <c r="C108" s="48"/>
      <c r="D108" s="39"/>
      <c r="E108" s="39"/>
      <c r="F108" s="34" t="str">
        <f t="array" ref="F108">IF(INDEX('Binder Data'!$A$252:$A$501,ROW()-1)="","",IF(INDEX('Binder Data'!$D$252:$D$501,ROW()-1)="Needed",INDEX('Binder Data'!$B$252:$B$501,ROW()-1),INDEX('Binder Data'!$D$252:$D$501,ROW()-1)))</f>
        <v/>
      </c>
      <c r="G108" s="64"/>
      <c r="H108" s="19"/>
      <c r="I108" s="19"/>
      <c r="J108" s="19"/>
      <c r="K108" s="19"/>
      <c r="L108" s="32"/>
      <c r="M108" s="32"/>
      <c r="N108" s="5"/>
      <c r="O108" s="5"/>
      <c r="P108" s="19"/>
    </row>
    <row r="109" ht="15.75" customHeight="1">
      <c r="A109" s="19"/>
      <c r="B109" s="19"/>
      <c r="C109" s="48"/>
      <c r="D109" s="39"/>
      <c r="E109" s="39"/>
      <c r="F109" s="34" t="str">
        <f t="array" ref="F109">IF(INDEX('Binder Data'!$A$252:$A$501,ROW()-1)="","",IF(INDEX('Binder Data'!$D$252:$D$501,ROW()-1)="Needed",INDEX('Binder Data'!$B$252:$B$501,ROW()-1),INDEX('Binder Data'!$D$252:$D$501,ROW()-1)))</f>
        <v/>
      </c>
      <c r="G109" s="64"/>
      <c r="H109" s="19"/>
      <c r="I109" s="19"/>
      <c r="J109" s="19"/>
      <c r="K109" s="19"/>
      <c r="L109" s="32"/>
      <c r="M109" s="32"/>
      <c r="N109" s="5"/>
      <c r="O109" s="5"/>
      <c r="P109" s="19"/>
    </row>
    <row r="110" ht="15.75" customHeight="1">
      <c r="A110" s="19"/>
      <c r="B110" s="19"/>
      <c r="C110" s="48"/>
      <c r="D110" s="39"/>
      <c r="E110" s="39"/>
      <c r="F110" s="34" t="str">
        <f t="array" ref="F110">IF(INDEX('Binder Data'!$A$252:$A$501,ROW()-1)="","",IF(INDEX('Binder Data'!$D$252:$D$501,ROW()-1)="Needed",INDEX('Binder Data'!$B$252:$B$501,ROW()-1),INDEX('Binder Data'!$D$252:$D$501,ROW()-1)))</f>
        <v/>
      </c>
      <c r="G110" s="64"/>
      <c r="H110" s="19"/>
      <c r="I110" s="19"/>
      <c r="J110" s="19"/>
      <c r="K110" s="19"/>
      <c r="L110" s="32"/>
      <c r="M110" s="32"/>
      <c r="N110" s="5"/>
      <c r="O110" s="5"/>
      <c r="P110" s="19"/>
    </row>
    <row r="111" ht="15.75" customHeight="1">
      <c r="A111" s="19"/>
      <c r="B111" s="19"/>
      <c r="C111" s="48"/>
      <c r="D111" s="39"/>
      <c r="E111" s="39"/>
      <c r="F111" s="34" t="str">
        <f t="array" ref="F111">IF(INDEX('Binder Data'!$A$252:$A$501,ROW()-1)="","",IF(INDEX('Binder Data'!$D$252:$D$501,ROW()-1)="Needed",INDEX('Binder Data'!$B$252:$B$501,ROW()-1),INDEX('Binder Data'!$D$252:$D$501,ROW()-1)))</f>
        <v/>
      </c>
      <c r="G111" s="64"/>
      <c r="H111" s="19"/>
      <c r="I111" s="19"/>
      <c r="J111" s="19"/>
      <c r="K111" s="19"/>
      <c r="L111" s="32"/>
      <c r="M111" s="32"/>
      <c r="N111" s="5"/>
      <c r="O111" s="5"/>
      <c r="P111" s="19"/>
    </row>
    <row r="112" ht="15.75" customHeight="1">
      <c r="A112" s="19"/>
      <c r="B112" s="19"/>
      <c r="C112" s="48"/>
      <c r="D112" s="39"/>
      <c r="E112" s="39"/>
      <c r="F112" s="34" t="str">
        <f t="array" ref="F112">IF(INDEX('Binder Data'!$A$252:$A$501,ROW()-1)="","",IF(INDEX('Binder Data'!$D$252:$D$501,ROW()-1)="Needed",INDEX('Binder Data'!$B$252:$B$501,ROW()-1),INDEX('Binder Data'!$D$252:$D$501,ROW()-1)))</f>
        <v/>
      </c>
      <c r="G112" s="64"/>
      <c r="H112" s="19"/>
      <c r="I112" s="19"/>
      <c r="J112" s="19"/>
      <c r="K112" s="19"/>
      <c r="L112" s="32"/>
      <c r="M112" s="32"/>
      <c r="N112" s="5"/>
      <c r="O112" s="5"/>
      <c r="P112" s="19"/>
    </row>
    <row r="113" ht="15.75" customHeight="1">
      <c r="A113" s="19"/>
      <c r="B113" s="19"/>
      <c r="C113" s="48"/>
      <c r="D113" s="39"/>
      <c r="E113" s="39"/>
      <c r="F113" s="34" t="str">
        <f t="array" ref="F113">IF(INDEX('Binder Data'!$A$252:$A$501,ROW()-1)="","",IF(INDEX('Binder Data'!$D$252:$D$501,ROW()-1)="Needed",INDEX('Binder Data'!$B$252:$B$501,ROW()-1),INDEX('Binder Data'!$D$252:$D$501,ROW()-1)))</f>
        <v/>
      </c>
      <c r="G113" s="64"/>
      <c r="H113" s="19"/>
      <c r="I113" s="19"/>
      <c r="J113" s="19"/>
      <c r="K113" s="19"/>
      <c r="L113" s="32"/>
      <c r="M113" s="32"/>
      <c r="N113" s="5"/>
      <c r="O113" s="5"/>
      <c r="P113" s="19"/>
    </row>
    <row r="114" ht="15.75" customHeight="1">
      <c r="A114" s="19"/>
      <c r="B114" s="19"/>
      <c r="C114" s="48"/>
      <c r="D114" s="39"/>
      <c r="E114" s="39"/>
      <c r="F114" s="34" t="str">
        <f t="array" ref="F114">IF(INDEX('Binder Data'!$A$252:$A$501,ROW()-1)="","",IF(INDEX('Binder Data'!$D$252:$D$501,ROW()-1)="Needed",INDEX('Binder Data'!$B$252:$B$501,ROW()-1),INDEX('Binder Data'!$D$252:$D$501,ROW()-1)))</f>
        <v/>
      </c>
      <c r="G114" s="64"/>
      <c r="H114" s="19"/>
      <c r="I114" s="19"/>
      <c r="J114" s="19"/>
      <c r="K114" s="19"/>
      <c r="L114" s="32"/>
      <c r="M114" s="32"/>
      <c r="N114" s="5"/>
      <c r="O114" s="5"/>
      <c r="P114" s="19"/>
    </row>
    <row r="115" ht="15.75" customHeight="1">
      <c r="A115" s="19"/>
      <c r="B115" s="19"/>
      <c r="C115" s="48"/>
      <c r="D115" s="39"/>
      <c r="E115" s="39"/>
      <c r="F115" s="34" t="str">
        <f t="array" ref="F115">IF(INDEX('Binder Data'!$A$252:$A$501,ROW()-1)="","",IF(INDEX('Binder Data'!$D$252:$D$501,ROW()-1)="Needed",INDEX('Binder Data'!$B$252:$B$501,ROW()-1),INDEX('Binder Data'!$D$252:$D$501,ROW()-1)))</f>
        <v/>
      </c>
      <c r="G115" s="64"/>
      <c r="H115" s="19"/>
      <c r="I115" s="19"/>
      <c r="J115" s="19"/>
      <c r="K115" s="19"/>
      <c r="L115" s="32"/>
      <c r="M115" s="32"/>
      <c r="N115" s="5"/>
      <c r="O115" s="5"/>
      <c r="P115" s="19"/>
    </row>
    <row r="116" ht="15.75" customHeight="1">
      <c r="A116" s="19"/>
      <c r="B116" s="19"/>
      <c r="C116" s="48"/>
      <c r="D116" s="39"/>
      <c r="E116" s="39"/>
      <c r="F116" s="34" t="str">
        <f t="array" ref="F116">IF(INDEX('Binder Data'!$A$252:$A$501,ROW()-1)="","",IF(INDEX('Binder Data'!$D$252:$D$501,ROW()-1)="Needed",INDEX('Binder Data'!$B$252:$B$501,ROW()-1),INDEX('Binder Data'!$D$252:$D$501,ROW()-1)))</f>
        <v/>
      </c>
      <c r="G116" s="64"/>
      <c r="H116" s="19"/>
      <c r="I116" s="19"/>
      <c r="J116" s="19"/>
      <c r="K116" s="19"/>
      <c r="L116" s="32"/>
      <c r="M116" s="32"/>
      <c r="N116" s="5"/>
      <c r="O116" s="5"/>
      <c r="P116" s="19"/>
    </row>
    <row r="117" ht="15.75" customHeight="1">
      <c r="A117" s="19"/>
      <c r="B117" s="19"/>
      <c r="C117" s="48"/>
      <c r="D117" s="39"/>
      <c r="E117" s="39"/>
      <c r="F117" s="34" t="str">
        <f t="array" ref="F117">IF(INDEX('Binder Data'!$A$252:$A$501,ROW()-1)="","",IF(INDEX('Binder Data'!$D$252:$D$501,ROW()-1)="Needed",INDEX('Binder Data'!$B$252:$B$501,ROW()-1),INDEX('Binder Data'!$D$252:$D$501,ROW()-1)))</f>
        <v/>
      </c>
      <c r="G117" s="64"/>
      <c r="H117" s="19"/>
      <c r="I117" s="19"/>
      <c r="J117" s="19"/>
      <c r="K117" s="19"/>
      <c r="L117" s="32"/>
      <c r="M117" s="32"/>
      <c r="N117" s="5"/>
      <c r="O117" s="5"/>
      <c r="P117" s="19"/>
    </row>
    <row r="118" ht="15.75" customHeight="1">
      <c r="A118" s="19"/>
      <c r="B118" s="19"/>
      <c r="C118" s="48"/>
      <c r="D118" s="39"/>
      <c r="E118" s="39"/>
      <c r="F118" s="34" t="str">
        <f t="array" ref="F118">IF(INDEX('Binder Data'!$A$252:$A$501,ROW()-1)="","",IF(INDEX('Binder Data'!$D$252:$D$501,ROW()-1)="Needed",INDEX('Binder Data'!$B$252:$B$501,ROW()-1),INDEX('Binder Data'!$D$252:$D$501,ROW()-1)))</f>
        <v/>
      </c>
      <c r="G118" s="64"/>
      <c r="H118" s="19"/>
      <c r="I118" s="19"/>
      <c r="J118" s="19"/>
      <c r="K118" s="19"/>
      <c r="L118" s="32"/>
      <c r="M118" s="32"/>
      <c r="N118" s="5"/>
      <c r="O118" s="5"/>
      <c r="P118" s="19"/>
    </row>
    <row r="119" ht="15.75" customHeight="1">
      <c r="A119" s="19"/>
      <c r="B119" s="19"/>
      <c r="C119" s="48"/>
      <c r="D119" s="39"/>
      <c r="E119" s="39"/>
      <c r="F119" s="34" t="str">
        <f t="array" ref="F119">IF(INDEX('Binder Data'!$A$252:$A$501,ROW()-1)="","",IF(INDEX('Binder Data'!$D$252:$D$501,ROW()-1)="Needed",INDEX('Binder Data'!$B$252:$B$501,ROW()-1),INDEX('Binder Data'!$D$252:$D$501,ROW()-1)))</f>
        <v/>
      </c>
      <c r="G119" s="64"/>
      <c r="H119" s="19"/>
      <c r="I119" s="19"/>
      <c r="J119" s="19"/>
      <c r="K119" s="19"/>
      <c r="L119" s="32"/>
      <c r="M119" s="32"/>
      <c r="N119" s="5"/>
      <c r="O119" s="5"/>
      <c r="P119" s="19"/>
    </row>
    <row r="120" ht="15.75" customHeight="1">
      <c r="A120" s="19"/>
      <c r="B120" s="19"/>
      <c r="C120" s="48"/>
      <c r="D120" s="39"/>
      <c r="E120" s="39"/>
      <c r="F120" s="34" t="str">
        <f t="array" ref="F120">IF(INDEX('Binder Data'!$A$252:$A$501,ROW()-1)="","",IF(INDEX('Binder Data'!$D$252:$D$501,ROW()-1)="Needed",INDEX('Binder Data'!$B$252:$B$501,ROW()-1),INDEX('Binder Data'!$D$252:$D$501,ROW()-1)))</f>
        <v/>
      </c>
      <c r="G120" s="64"/>
      <c r="H120" s="19"/>
      <c r="I120" s="19"/>
      <c r="J120" s="19"/>
      <c r="K120" s="19"/>
      <c r="L120" s="32"/>
      <c r="M120" s="32"/>
      <c r="N120" s="5"/>
      <c r="O120" s="5"/>
      <c r="P120" s="19"/>
    </row>
    <row r="121" ht="15.75" customHeight="1">
      <c r="A121" s="19"/>
      <c r="B121" s="19"/>
      <c r="C121" s="48"/>
      <c r="D121" s="39"/>
      <c r="E121" s="39"/>
      <c r="F121" s="34" t="str">
        <f t="array" ref="F121">IF(INDEX('Binder Data'!$A$252:$A$501,ROW()-1)="","",IF(INDEX('Binder Data'!$D$252:$D$501,ROW()-1)="Needed",INDEX('Binder Data'!$B$252:$B$501,ROW()-1),INDEX('Binder Data'!$D$252:$D$501,ROW()-1)))</f>
        <v/>
      </c>
      <c r="G121" s="64"/>
      <c r="H121" s="19"/>
      <c r="I121" s="19"/>
      <c r="J121" s="19"/>
      <c r="K121" s="19"/>
      <c r="L121" s="32"/>
      <c r="M121" s="32"/>
      <c r="N121" s="5"/>
      <c r="O121" s="5"/>
      <c r="P121" s="19"/>
    </row>
    <row r="122" ht="15.75" customHeight="1">
      <c r="A122" s="19"/>
      <c r="B122" s="19"/>
      <c r="C122" s="48"/>
      <c r="D122" s="39"/>
      <c r="E122" s="39"/>
      <c r="F122" s="34" t="str">
        <f t="array" ref="F122">IF(INDEX('Binder Data'!$A$252:$A$501,ROW()-1)="","",IF(INDEX('Binder Data'!$D$252:$D$501,ROW()-1)="Needed",INDEX('Binder Data'!$B$252:$B$501,ROW()-1),INDEX('Binder Data'!$D$252:$D$501,ROW()-1)))</f>
        <v/>
      </c>
      <c r="G122" s="64"/>
      <c r="H122" s="19"/>
      <c r="I122" s="19"/>
      <c r="J122" s="19"/>
      <c r="K122" s="19"/>
      <c r="L122" s="32"/>
      <c r="M122" s="32"/>
      <c r="N122" s="5"/>
      <c r="O122" s="5"/>
      <c r="P122" s="19"/>
    </row>
    <row r="123" ht="15.75" customHeight="1">
      <c r="A123" s="19"/>
      <c r="B123" s="19"/>
      <c r="C123" s="48"/>
      <c r="D123" s="39"/>
      <c r="E123" s="39"/>
      <c r="F123" s="34" t="str">
        <f t="array" ref="F123">IF(INDEX('Binder Data'!$A$252:$A$501,ROW()-1)="","",IF(INDEX('Binder Data'!$D$252:$D$501,ROW()-1)="Needed",INDEX('Binder Data'!$B$252:$B$501,ROW()-1),INDEX('Binder Data'!$D$252:$D$501,ROW()-1)))</f>
        <v/>
      </c>
      <c r="G123" s="64"/>
      <c r="H123" s="19"/>
      <c r="I123" s="19"/>
      <c r="J123" s="19"/>
      <c r="K123" s="19"/>
      <c r="L123" s="32"/>
      <c r="M123" s="32"/>
      <c r="N123" s="5"/>
      <c r="O123" s="5"/>
      <c r="P123" s="19"/>
    </row>
    <row r="124" ht="15.75" customHeight="1">
      <c r="A124" s="19"/>
      <c r="B124" s="19"/>
      <c r="C124" s="48"/>
      <c r="D124" s="39"/>
      <c r="E124" s="39"/>
      <c r="F124" s="34" t="str">
        <f t="array" ref="F124">IF(INDEX('Binder Data'!$A$252:$A$501,ROW()-1)="","",IF(INDEX('Binder Data'!$D$252:$D$501,ROW()-1)="Needed",INDEX('Binder Data'!$B$252:$B$501,ROW()-1),INDEX('Binder Data'!$D$252:$D$501,ROW()-1)))</f>
        <v/>
      </c>
      <c r="G124" s="64"/>
      <c r="H124" s="19"/>
      <c r="I124" s="19"/>
      <c r="J124" s="19"/>
      <c r="K124" s="19"/>
      <c r="L124" s="32"/>
      <c r="M124" s="32"/>
      <c r="N124" s="5"/>
      <c r="O124" s="5"/>
      <c r="P124" s="19"/>
    </row>
    <row r="125" ht="15.75" customHeight="1">
      <c r="A125" s="19"/>
      <c r="B125" s="19"/>
      <c r="C125" s="48"/>
      <c r="D125" s="39"/>
      <c r="E125" s="39"/>
      <c r="F125" s="34" t="str">
        <f t="array" ref="F125">IF(INDEX('Binder Data'!$A$252:$A$501,ROW()-1)="","",IF(INDEX('Binder Data'!$D$252:$D$501,ROW()-1)="Needed",INDEX('Binder Data'!$B$252:$B$501,ROW()-1),INDEX('Binder Data'!$D$252:$D$501,ROW()-1)))</f>
        <v/>
      </c>
      <c r="G125" s="64"/>
      <c r="H125" s="19"/>
      <c r="I125" s="19"/>
      <c r="J125" s="19"/>
      <c r="K125" s="19"/>
      <c r="L125" s="32"/>
      <c r="M125" s="32"/>
      <c r="N125" s="5"/>
      <c r="O125" s="5"/>
      <c r="P125" s="19"/>
    </row>
    <row r="126" ht="15.75" customHeight="1">
      <c r="A126" s="19"/>
      <c r="B126" s="19"/>
      <c r="C126" s="48"/>
      <c r="D126" s="39"/>
      <c r="E126" s="39"/>
      <c r="F126" s="34" t="str">
        <f t="array" ref="F126">IF(INDEX('Binder Data'!$A$252:$A$501,ROW()-1)="","",IF(INDEX('Binder Data'!$D$252:$D$501,ROW()-1)="Needed",INDEX('Binder Data'!$B$252:$B$501,ROW()-1),INDEX('Binder Data'!$D$252:$D$501,ROW()-1)))</f>
        <v/>
      </c>
      <c r="G126" s="64"/>
      <c r="H126" s="19"/>
      <c r="I126" s="19"/>
      <c r="J126" s="19"/>
      <c r="K126" s="19"/>
      <c r="L126" s="32"/>
      <c r="M126" s="32"/>
      <c r="N126" s="5"/>
      <c r="O126" s="5"/>
      <c r="P126" s="19"/>
    </row>
    <row r="127" ht="15.75" customHeight="1">
      <c r="A127" s="19"/>
      <c r="B127" s="19"/>
      <c r="C127" s="48"/>
      <c r="D127" s="39"/>
      <c r="E127" s="39"/>
      <c r="F127" s="34" t="str">
        <f t="array" ref="F127">IF(INDEX('Binder Data'!$A$252:$A$501,ROW()-1)="","",IF(INDEX('Binder Data'!$D$252:$D$501,ROW()-1)="Needed",INDEX('Binder Data'!$B$252:$B$501,ROW()-1),INDEX('Binder Data'!$D$252:$D$501,ROW()-1)))</f>
        <v/>
      </c>
      <c r="G127" s="64"/>
      <c r="H127" s="19"/>
      <c r="I127" s="19"/>
      <c r="J127" s="19"/>
      <c r="K127" s="19"/>
      <c r="L127" s="32"/>
      <c r="M127" s="32"/>
      <c r="N127" s="5"/>
      <c r="O127" s="5"/>
      <c r="P127" s="19"/>
    </row>
    <row r="128" ht="15.75" customHeight="1">
      <c r="A128" s="19"/>
      <c r="B128" s="19"/>
      <c r="C128" s="48"/>
      <c r="D128" s="39"/>
      <c r="E128" s="39"/>
      <c r="F128" s="34" t="str">
        <f t="array" ref="F128">IF(INDEX('Binder Data'!$A$252:$A$501,ROW()-1)="","",IF(INDEX('Binder Data'!$D$252:$D$501,ROW()-1)="Needed",INDEX('Binder Data'!$B$252:$B$501,ROW()-1),INDEX('Binder Data'!$D$252:$D$501,ROW()-1)))</f>
        <v/>
      </c>
      <c r="G128" s="64"/>
      <c r="H128" s="19"/>
      <c r="I128" s="19"/>
      <c r="J128" s="19"/>
      <c r="K128" s="19"/>
      <c r="L128" s="32"/>
      <c r="M128" s="32"/>
      <c r="N128" s="5"/>
      <c r="O128" s="5"/>
      <c r="P128" s="19"/>
    </row>
    <row r="129" ht="15.75" customHeight="1">
      <c r="A129" s="19"/>
      <c r="B129" s="19"/>
      <c r="C129" s="48"/>
      <c r="D129" s="39"/>
      <c r="E129" s="39"/>
      <c r="F129" s="34" t="str">
        <f t="array" ref="F129">IF(INDEX('Binder Data'!$A$252:$A$501,ROW()-1)="","",IF(INDEX('Binder Data'!$D$252:$D$501,ROW()-1)="Needed",INDEX('Binder Data'!$B$252:$B$501,ROW()-1),INDEX('Binder Data'!$D$252:$D$501,ROW()-1)))</f>
        <v/>
      </c>
      <c r="G129" s="64"/>
      <c r="H129" s="19"/>
      <c r="I129" s="19"/>
      <c r="J129" s="19"/>
      <c r="K129" s="19"/>
      <c r="L129" s="32"/>
      <c r="M129" s="32"/>
      <c r="N129" s="5"/>
      <c r="O129" s="5"/>
      <c r="P129" s="19"/>
    </row>
    <row r="130" ht="15.75" customHeight="1">
      <c r="A130" s="19"/>
      <c r="B130" s="19"/>
      <c r="C130" s="48"/>
      <c r="D130" s="39"/>
      <c r="E130" s="39"/>
      <c r="F130" s="34" t="str">
        <f t="array" ref="F130">IF(INDEX('Binder Data'!$A$252:$A$501,ROW()-1)="","",IF(INDEX('Binder Data'!$D$252:$D$501,ROW()-1)="Needed",INDEX('Binder Data'!$B$252:$B$501,ROW()-1),INDEX('Binder Data'!$D$252:$D$501,ROW()-1)))</f>
        <v/>
      </c>
      <c r="G130" s="64"/>
      <c r="H130" s="19"/>
      <c r="I130" s="19"/>
      <c r="J130" s="19"/>
      <c r="K130" s="19"/>
      <c r="L130" s="32"/>
      <c r="M130" s="32"/>
      <c r="N130" s="5"/>
      <c r="O130" s="5"/>
      <c r="P130" s="19"/>
    </row>
    <row r="131" ht="15.75" customHeight="1">
      <c r="A131" s="19"/>
      <c r="B131" s="19"/>
      <c r="C131" s="48"/>
      <c r="D131" s="39"/>
      <c r="E131" s="39"/>
      <c r="F131" s="34" t="str">
        <f t="array" ref="F131">IF(INDEX('Binder Data'!$A$252:$A$501,ROW()-1)="","",IF(INDEX('Binder Data'!$D$252:$D$501,ROW()-1)="Needed",INDEX('Binder Data'!$B$252:$B$501,ROW()-1),INDEX('Binder Data'!$D$252:$D$501,ROW()-1)))</f>
        <v/>
      </c>
      <c r="G131" s="64"/>
      <c r="H131" s="19"/>
      <c r="I131" s="19"/>
      <c r="J131" s="19"/>
      <c r="K131" s="19"/>
      <c r="L131" s="32"/>
      <c r="M131" s="32"/>
      <c r="N131" s="5"/>
      <c r="O131" s="5"/>
      <c r="P131" s="19"/>
    </row>
    <row r="132" ht="15.75" customHeight="1">
      <c r="A132" s="19"/>
      <c r="B132" s="19"/>
      <c r="C132" s="48"/>
      <c r="D132" s="39"/>
      <c r="E132" s="39"/>
      <c r="F132" s="34" t="str">
        <f t="array" ref="F132">IF(INDEX('Binder Data'!$A$252:$A$501,ROW()-1)="","",IF(INDEX('Binder Data'!$D$252:$D$501,ROW()-1)="Needed",INDEX('Binder Data'!$B$252:$B$501,ROW()-1),INDEX('Binder Data'!$D$252:$D$501,ROW()-1)))</f>
        <v/>
      </c>
      <c r="G132" s="64"/>
      <c r="H132" s="19"/>
      <c r="I132" s="19"/>
      <c r="J132" s="19"/>
      <c r="K132" s="19"/>
      <c r="L132" s="32"/>
      <c r="M132" s="32"/>
      <c r="N132" s="5"/>
      <c r="O132" s="5"/>
      <c r="P132" s="19"/>
    </row>
    <row r="133" ht="15.75" customHeight="1">
      <c r="A133" s="19"/>
      <c r="B133" s="19"/>
      <c r="C133" s="48"/>
      <c r="D133" s="39"/>
      <c r="E133" s="39"/>
      <c r="F133" s="34" t="str">
        <f t="array" ref="F133">IF(INDEX('Binder Data'!$A$252:$A$501,ROW()-1)="","",IF(INDEX('Binder Data'!$D$252:$D$501,ROW()-1)="Needed",INDEX('Binder Data'!$B$252:$B$501,ROW()-1),INDEX('Binder Data'!$D$252:$D$501,ROW()-1)))</f>
        <v/>
      </c>
      <c r="G133" s="64"/>
      <c r="H133" s="19"/>
      <c r="I133" s="19"/>
      <c r="J133" s="19"/>
      <c r="K133" s="19"/>
      <c r="L133" s="32"/>
      <c r="M133" s="32"/>
      <c r="N133" s="5"/>
      <c r="O133" s="5"/>
      <c r="P133" s="19"/>
    </row>
    <row r="134" ht="15.75" customHeight="1">
      <c r="A134" s="19"/>
      <c r="B134" s="19"/>
      <c r="C134" s="48"/>
      <c r="D134" s="39"/>
      <c r="E134" s="39"/>
      <c r="F134" s="34" t="str">
        <f t="array" ref="F134">IF(INDEX('Binder Data'!$A$252:$A$501,ROW()-1)="","",IF(INDEX('Binder Data'!$D$252:$D$501,ROW()-1)="Needed",INDEX('Binder Data'!$B$252:$B$501,ROW()-1),INDEX('Binder Data'!$D$252:$D$501,ROW()-1)))</f>
        <v/>
      </c>
      <c r="G134" s="64"/>
      <c r="H134" s="19"/>
      <c r="I134" s="19"/>
      <c r="J134" s="19"/>
      <c r="K134" s="19"/>
      <c r="L134" s="32"/>
      <c r="M134" s="32"/>
      <c r="N134" s="5"/>
      <c r="O134" s="5"/>
      <c r="P134" s="19"/>
    </row>
    <row r="135" ht="15.75" customHeight="1">
      <c r="A135" s="19"/>
      <c r="B135" s="19"/>
      <c r="C135" s="48"/>
      <c r="D135" s="39"/>
      <c r="E135" s="39"/>
      <c r="F135" s="34" t="str">
        <f t="array" ref="F135">IF(INDEX('Binder Data'!$A$252:$A$501,ROW()-1)="","",IF(INDEX('Binder Data'!$D$252:$D$501,ROW()-1)="Needed",INDEX('Binder Data'!$B$252:$B$501,ROW()-1),INDEX('Binder Data'!$D$252:$D$501,ROW()-1)))</f>
        <v/>
      </c>
      <c r="G135" s="64"/>
      <c r="H135" s="19"/>
      <c r="I135" s="19"/>
      <c r="J135" s="19"/>
      <c r="K135" s="19"/>
      <c r="L135" s="32"/>
      <c r="M135" s="32"/>
      <c r="N135" s="5"/>
      <c r="O135" s="5"/>
      <c r="P135" s="19"/>
    </row>
    <row r="136" ht="15.75" customHeight="1">
      <c r="A136" s="19"/>
      <c r="B136" s="19"/>
      <c r="C136" s="48"/>
      <c r="D136" s="39"/>
      <c r="E136" s="39"/>
      <c r="F136" s="34" t="str">
        <f t="array" ref="F136">IF(INDEX('Binder Data'!$A$252:$A$501,ROW()-1)="","",IF(INDEX('Binder Data'!$D$252:$D$501,ROW()-1)="Needed",INDEX('Binder Data'!$B$252:$B$501,ROW()-1),INDEX('Binder Data'!$D$252:$D$501,ROW()-1)))</f>
        <v/>
      </c>
      <c r="G136" s="64"/>
      <c r="H136" s="19"/>
      <c r="I136" s="19"/>
      <c r="J136" s="19"/>
      <c r="K136" s="19"/>
      <c r="L136" s="32"/>
      <c r="M136" s="32"/>
      <c r="N136" s="5"/>
      <c r="O136" s="5"/>
      <c r="P136" s="19"/>
    </row>
    <row r="137" ht="15.75" customHeight="1">
      <c r="A137" s="19"/>
      <c r="B137" s="19"/>
      <c r="C137" s="48"/>
      <c r="D137" s="39"/>
      <c r="E137" s="39"/>
      <c r="F137" s="34" t="str">
        <f t="array" ref="F137">IF(INDEX('Binder Data'!$A$252:$A$501,ROW()-1)="","",IF(INDEX('Binder Data'!$D$252:$D$501,ROW()-1)="Needed",INDEX('Binder Data'!$B$252:$B$501,ROW()-1),INDEX('Binder Data'!$D$252:$D$501,ROW()-1)))</f>
        <v/>
      </c>
      <c r="G137" s="64"/>
      <c r="H137" s="19"/>
      <c r="I137" s="19"/>
      <c r="J137" s="19"/>
      <c r="K137" s="19"/>
      <c r="L137" s="32"/>
      <c r="M137" s="32"/>
      <c r="N137" s="5"/>
      <c r="O137" s="5"/>
      <c r="P137" s="19"/>
    </row>
    <row r="138" ht="15.75" customHeight="1">
      <c r="A138" s="19"/>
      <c r="B138" s="19"/>
      <c r="C138" s="48"/>
      <c r="D138" s="39"/>
      <c r="E138" s="39"/>
      <c r="F138" s="34" t="str">
        <f t="array" ref="F138">IF(INDEX('Binder Data'!$A$252:$A$501,ROW()-1)="","",IF(INDEX('Binder Data'!$D$252:$D$501,ROW()-1)="Needed",INDEX('Binder Data'!$B$252:$B$501,ROW()-1),INDEX('Binder Data'!$D$252:$D$501,ROW()-1)))</f>
        <v/>
      </c>
      <c r="G138" s="64"/>
      <c r="H138" s="19"/>
      <c r="I138" s="19"/>
      <c r="J138" s="19"/>
      <c r="K138" s="19"/>
      <c r="L138" s="32"/>
      <c r="M138" s="32"/>
      <c r="N138" s="5"/>
      <c r="O138" s="5"/>
      <c r="P138" s="19"/>
    </row>
    <row r="139" ht="15.75" customHeight="1">
      <c r="A139" s="19"/>
      <c r="B139" s="19"/>
      <c r="C139" s="48"/>
      <c r="D139" s="39"/>
      <c r="E139" s="39"/>
      <c r="F139" s="34" t="str">
        <f t="array" ref="F139">IF(INDEX('Binder Data'!$A$252:$A$501,ROW()-1)="","",IF(INDEX('Binder Data'!$D$252:$D$501,ROW()-1)="Needed",INDEX('Binder Data'!$B$252:$B$501,ROW()-1),INDEX('Binder Data'!$D$252:$D$501,ROW()-1)))</f>
        <v/>
      </c>
      <c r="G139" s="64"/>
      <c r="H139" s="19"/>
      <c r="I139" s="19"/>
      <c r="J139" s="19"/>
      <c r="K139" s="19"/>
      <c r="L139" s="32"/>
      <c r="M139" s="32"/>
      <c r="N139" s="5"/>
      <c r="O139" s="5"/>
      <c r="P139" s="19"/>
    </row>
    <row r="140" ht="15.75" customHeight="1">
      <c r="A140" s="19"/>
      <c r="B140" s="19"/>
      <c r="C140" s="48"/>
      <c r="D140" s="39"/>
      <c r="E140" s="39"/>
      <c r="F140" s="34" t="str">
        <f t="array" ref="F140">IF(INDEX('Binder Data'!$A$252:$A$501,ROW()-1)="","",IF(INDEX('Binder Data'!$D$252:$D$501,ROW()-1)="Needed",INDEX('Binder Data'!$B$252:$B$501,ROW()-1),INDEX('Binder Data'!$D$252:$D$501,ROW()-1)))</f>
        <v/>
      </c>
      <c r="G140" s="64"/>
      <c r="H140" s="19"/>
      <c r="I140" s="19"/>
      <c r="J140" s="19"/>
      <c r="K140" s="19"/>
      <c r="L140" s="32"/>
      <c r="M140" s="32"/>
      <c r="N140" s="5"/>
      <c r="O140" s="5"/>
      <c r="P140" s="19"/>
    </row>
    <row r="141" ht="15.75" customHeight="1">
      <c r="A141" s="19"/>
      <c r="B141" s="19"/>
      <c r="C141" s="48"/>
      <c r="D141" s="39"/>
      <c r="E141" s="39"/>
      <c r="F141" s="34" t="str">
        <f t="array" ref="F141">IF(INDEX('Binder Data'!$A$252:$A$501,ROW()-1)="","",IF(INDEX('Binder Data'!$D$252:$D$501,ROW()-1)="Needed",INDEX('Binder Data'!$B$252:$B$501,ROW()-1),INDEX('Binder Data'!$D$252:$D$501,ROW()-1)))</f>
        <v/>
      </c>
      <c r="G141" s="64"/>
      <c r="H141" s="19"/>
      <c r="I141" s="19"/>
      <c r="J141" s="19"/>
      <c r="K141" s="19"/>
      <c r="L141" s="32"/>
      <c r="M141" s="32"/>
      <c r="N141" s="5"/>
      <c r="O141" s="5"/>
      <c r="P141" s="19"/>
    </row>
    <row r="142" ht="15.75" customHeight="1">
      <c r="A142" s="19"/>
      <c r="B142" s="19"/>
      <c r="C142" s="48"/>
      <c r="D142" s="39"/>
      <c r="E142" s="39"/>
      <c r="F142" s="34" t="str">
        <f t="array" ref="F142">IF(INDEX('Binder Data'!$A$252:$A$501,ROW()-1)="","",IF(INDEX('Binder Data'!$D$252:$D$501,ROW()-1)="Needed",INDEX('Binder Data'!$B$252:$B$501,ROW()-1),INDEX('Binder Data'!$D$252:$D$501,ROW()-1)))</f>
        <v/>
      </c>
      <c r="G142" s="64"/>
      <c r="H142" s="19"/>
      <c r="I142" s="19"/>
      <c r="J142" s="19"/>
      <c r="K142" s="19"/>
      <c r="L142" s="32"/>
      <c r="M142" s="32"/>
      <c r="N142" s="5"/>
      <c r="O142" s="5"/>
      <c r="P142" s="19"/>
    </row>
    <row r="143" ht="15.75" customHeight="1">
      <c r="A143" s="19"/>
      <c r="B143" s="19"/>
      <c r="C143" s="48"/>
      <c r="D143" s="39"/>
      <c r="E143" s="39"/>
      <c r="F143" s="34" t="str">
        <f t="array" ref="F143">IF(INDEX('Binder Data'!$A$252:$A$501,ROW()-1)="","",IF(INDEX('Binder Data'!$D$252:$D$501,ROW()-1)="Needed",INDEX('Binder Data'!$B$252:$B$501,ROW()-1),INDEX('Binder Data'!$D$252:$D$501,ROW()-1)))</f>
        <v/>
      </c>
      <c r="G143" s="64"/>
      <c r="H143" s="19"/>
      <c r="I143" s="19"/>
      <c r="J143" s="19"/>
      <c r="K143" s="19"/>
      <c r="L143" s="32"/>
      <c r="M143" s="32"/>
      <c r="N143" s="5"/>
      <c r="O143" s="5"/>
      <c r="P143" s="19"/>
    </row>
    <row r="144" ht="15.75" customHeight="1">
      <c r="A144" s="19"/>
      <c r="B144" s="19"/>
      <c r="C144" s="48"/>
      <c r="D144" s="39"/>
      <c r="E144" s="39"/>
      <c r="F144" s="34" t="str">
        <f t="array" ref="F144">IF(INDEX('Binder Data'!$A$252:$A$501,ROW()-1)="","",IF(INDEX('Binder Data'!$D$252:$D$501,ROW()-1)="Needed",INDEX('Binder Data'!$B$252:$B$501,ROW()-1),INDEX('Binder Data'!$D$252:$D$501,ROW()-1)))</f>
        <v/>
      </c>
      <c r="G144" s="64"/>
      <c r="H144" s="19"/>
      <c r="I144" s="19"/>
      <c r="J144" s="19"/>
      <c r="K144" s="19"/>
      <c r="L144" s="32"/>
      <c r="M144" s="32"/>
      <c r="N144" s="5"/>
      <c r="O144" s="5"/>
      <c r="P144" s="19"/>
    </row>
    <row r="145" ht="15.75" customHeight="1">
      <c r="A145" s="19"/>
      <c r="B145" s="19"/>
      <c r="C145" s="48"/>
      <c r="D145" s="39"/>
      <c r="E145" s="39"/>
      <c r="F145" s="34" t="str">
        <f t="array" ref="F145">IF(INDEX('Binder Data'!$A$252:$A$501,ROW()-1)="","",IF(INDEX('Binder Data'!$D$252:$D$501,ROW()-1)="Needed",INDEX('Binder Data'!$B$252:$B$501,ROW()-1),INDEX('Binder Data'!$D$252:$D$501,ROW()-1)))</f>
        <v/>
      </c>
      <c r="G145" s="64"/>
      <c r="H145" s="19"/>
      <c r="I145" s="19"/>
      <c r="J145" s="19"/>
      <c r="K145" s="19"/>
      <c r="L145" s="32"/>
      <c r="M145" s="32"/>
      <c r="N145" s="5"/>
      <c r="O145" s="5"/>
      <c r="P145" s="19"/>
    </row>
    <row r="146" ht="15.75" customHeight="1">
      <c r="A146" s="19"/>
      <c r="B146" s="19"/>
      <c r="C146" s="48"/>
      <c r="D146" s="39"/>
      <c r="E146" s="39"/>
      <c r="F146" s="34" t="str">
        <f t="array" ref="F146">IF(INDEX('Binder Data'!$A$252:$A$501,ROW()-1)="","",IF(INDEX('Binder Data'!$D$252:$D$501,ROW()-1)="Needed",INDEX('Binder Data'!$B$252:$B$501,ROW()-1),INDEX('Binder Data'!$D$252:$D$501,ROW()-1)))</f>
        <v/>
      </c>
      <c r="G146" s="64"/>
      <c r="H146" s="19"/>
      <c r="I146" s="19"/>
      <c r="J146" s="19"/>
      <c r="K146" s="19"/>
      <c r="L146" s="32"/>
      <c r="M146" s="32"/>
      <c r="N146" s="5"/>
      <c r="O146" s="5"/>
      <c r="P146" s="19"/>
    </row>
    <row r="147" ht="15.75" customHeight="1">
      <c r="A147" s="19"/>
      <c r="B147" s="19"/>
      <c r="C147" s="48"/>
      <c r="D147" s="39"/>
      <c r="E147" s="39"/>
      <c r="F147" s="34" t="str">
        <f t="array" ref="F147">IF(INDEX('Binder Data'!$A$252:$A$501,ROW()-1)="","",IF(INDEX('Binder Data'!$D$252:$D$501,ROW()-1)="Needed",INDEX('Binder Data'!$B$252:$B$501,ROW()-1),INDEX('Binder Data'!$D$252:$D$501,ROW()-1)))</f>
        <v/>
      </c>
      <c r="G147" s="64"/>
      <c r="H147" s="19"/>
      <c r="I147" s="19"/>
      <c r="J147" s="19"/>
      <c r="K147" s="19"/>
      <c r="L147" s="32"/>
      <c r="M147" s="32"/>
      <c r="N147" s="5"/>
      <c r="O147" s="5"/>
      <c r="P147" s="19"/>
    </row>
    <row r="148" ht="15.75" customHeight="1">
      <c r="A148" s="19"/>
      <c r="B148" s="19"/>
      <c r="C148" s="48"/>
      <c r="D148" s="39"/>
      <c r="E148" s="39"/>
      <c r="F148" s="34" t="str">
        <f t="array" ref="F148">IF(INDEX('Binder Data'!$A$252:$A$501,ROW()-1)="","",IF(INDEX('Binder Data'!$D$252:$D$501,ROW()-1)="Needed",INDEX('Binder Data'!$B$252:$B$501,ROW()-1),INDEX('Binder Data'!$D$252:$D$501,ROW()-1)))</f>
        <v/>
      </c>
      <c r="G148" s="64"/>
      <c r="H148" s="19"/>
      <c r="I148" s="19"/>
      <c r="J148" s="19"/>
      <c r="K148" s="19"/>
      <c r="L148" s="32"/>
      <c r="M148" s="32"/>
      <c r="N148" s="5"/>
      <c r="O148" s="5"/>
      <c r="P148" s="19"/>
    </row>
    <row r="149" ht="15.75" customHeight="1">
      <c r="A149" s="19"/>
      <c r="B149" s="19"/>
      <c r="C149" s="48"/>
      <c r="D149" s="39"/>
      <c r="E149" s="39"/>
      <c r="F149" s="34" t="str">
        <f t="array" ref="F149">IF(INDEX('Binder Data'!$A$252:$A$501,ROW()-1)="","",IF(INDEX('Binder Data'!$D$252:$D$501,ROW()-1)="Needed",INDEX('Binder Data'!$B$252:$B$501,ROW()-1),INDEX('Binder Data'!$D$252:$D$501,ROW()-1)))</f>
        <v/>
      </c>
      <c r="G149" s="64"/>
      <c r="H149" s="19"/>
      <c r="I149" s="19"/>
      <c r="J149" s="19"/>
      <c r="K149" s="19"/>
      <c r="L149" s="32"/>
      <c r="M149" s="32"/>
      <c r="N149" s="5"/>
      <c r="O149" s="5"/>
      <c r="P149" s="19"/>
    </row>
    <row r="150" ht="15.75" customHeight="1">
      <c r="A150" s="19"/>
      <c r="B150" s="19"/>
      <c r="C150" s="48"/>
      <c r="D150" s="39"/>
      <c r="E150" s="39"/>
      <c r="F150" s="34" t="str">
        <f t="array" ref="F150">IF(INDEX('Binder Data'!$A$252:$A$501,ROW()-1)="","",IF(INDEX('Binder Data'!$D$252:$D$501,ROW()-1)="Needed",INDEX('Binder Data'!$B$252:$B$501,ROW()-1),INDEX('Binder Data'!$D$252:$D$501,ROW()-1)))</f>
        <v/>
      </c>
      <c r="G150" s="64"/>
      <c r="H150" s="19"/>
      <c r="I150" s="19"/>
      <c r="J150" s="19"/>
      <c r="K150" s="19"/>
      <c r="L150" s="32"/>
      <c r="M150" s="32"/>
      <c r="N150" s="5"/>
      <c r="O150" s="5"/>
      <c r="P150" s="19"/>
    </row>
    <row r="151" ht="15.75" customHeight="1">
      <c r="A151" s="19"/>
      <c r="B151" s="19"/>
      <c r="C151" s="48"/>
      <c r="D151" s="39"/>
      <c r="E151" s="39"/>
      <c r="F151" s="34" t="str">
        <f t="array" ref="F151">IF(INDEX('Binder Data'!$A$252:$A$501,ROW()-1)="","",IF(INDEX('Binder Data'!$D$252:$D$501,ROW()-1)="Needed",INDEX('Binder Data'!$B$252:$B$501,ROW()-1),INDEX('Binder Data'!$D$252:$D$501,ROW()-1)))</f>
        <v/>
      </c>
      <c r="G151" s="64"/>
      <c r="H151" s="19"/>
      <c r="I151" s="19"/>
      <c r="J151" s="19"/>
      <c r="K151" s="19"/>
      <c r="L151" s="32"/>
      <c r="M151" s="32"/>
      <c r="N151" s="5"/>
      <c r="O151" s="5"/>
      <c r="P151" s="19"/>
    </row>
    <row r="152" ht="15.75" customHeight="1">
      <c r="A152" s="19"/>
      <c r="B152" s="19"/>
      <c r="C152" s="48"/>
      <c r="D152" s="39"/>
      <c r="E152" s="39"/>
      <c r="F152" s="34" t="str">
        <f t="array" ref="F152">IF(INDEX('Binder Data'!$A$252:$A$501,ROW()-1)="","",IF(INDEX('Binder Data'!$D$252:$D$501,ROW()-1)="Needed",INDEX('Binder Data'!$B$252:$B$501,ROW()-1),INDEX('Binder Data'!$D$252:$D$501,ROW()-1)))</f>
        <v/>
      </c>
      <c r="G152" s="64"/>
      <c r="H152" s="19"/>
      <c r="I152" s="19"/>
      <c r="J152" s="19"/>
      <c r="K152" s="19"/>
      <c r="L152" s="32"/>
      <c r="M152" s="32"/>
      <c r="N152" s="19"/>
      <c r="O152" s="5"/>
      <c r="P152" s="19"/>
    </row>
    <row r="153" ht="15.75" customHeight="1">
      <c r="A153" s="19"/>
      <c r="B153" s="19"/>
      <c r="C153" s="48"/>
      <c r="D153" s="39"/>
      <c r="E153" s="39"/>
      <c r="F153" s="34" t="str">
        <f t="array" ref="F153">IF(INDEX('Binder Data'!$A$252:$A$501,ROW()-1)="","",IF(INDEX('Binder Data'!$D$252:$D$501,ROW()-1)="Needed",INDEX('Binder Data'!$B$252:$B$501,ROW()-1),INDEX('Binder Data'!$D$252:$D$501,ROW()-1)))</f>
        <v/>
      </c>
      <c r="G153" s="64"/>
      <c r="H153" s="19"/>
      <c r="I153" s="19"/>
      <c r="J153" s="19"/>
      <c r="K153" s="19"/>
      <c r="L153" s="32"/>
      <c r="M153" s="32"/>
      <c r="N153" s="19"/>
      <c r="O153" s="5"/>
      <c r="P153" s="19"/>
    </row>
    <row r="154" ht="15.75" customHeight="1">
      <c r="A154" s="19"/>
      <c r="B154" s="19"/>
      <c r="C154" s="48"/>
      <c r="D154" s="39"/>
      <c r="E154" s="39"/>
      <c r="F154" s="34" t="str">
        <f t="array" ref="F154">IF(INDEX('Binder Data'!$A$252:$A$501,ROW()-1)="","",IF(INDEX('Binder Data'!$D$252:$D$501,ROW()-1)="Needed",INDEX('Binder Data'!$B$252:$B$501,ROW()-1),INDEX('Binder Data'!$D$252:$D$501,ROW()-1)))</f>
        <v/>
      </c>
      <c r="G154" s="64"/>
      <c r="H154" s="19"/>
      <c r="I154" s="19"/>
      <c r="J154" s="19"/>
      <c r="K154" s="19"/>
      <c r="L154" s="32"/>
      <c r="M154" s="32"/>
      <c r="N154" s="19"/>
      <c r="O154" s="5"/>
      <c r="P154" s="19"/>
    </row>
    <row r="155" ht="15.75" customHeight="1">
      <c r="A155" s="19"/>
      <c r="B155" s="19"/>
      <c r="C155" s="48"/>
      <c r="D155" s="39"/>
      <c r="E155" s="39"/>
      <c r="F155" s="34" t="str">
        <f t="array" ref="F155">IF(INDEX('Binder Data'!$A$252:$A$501,ROW()-1)="","",IF(INDEX('Binder Data'!$D$252:$D$501,ROW()-1)="Needed",INDEX('Binder Data'!$B$252:$B$501,ROW()-1),INDEX('Binder Data'!$D$252:$D$501,ROW()-1)))</f>
        <v/>
      </c>
      <c r="G155" s="64"/>
      <c r="H155" s="19"/>
      <c r="I155" s="19"/>
      <c r="J155" s="19"/>
      <c r="K155" s="19"/>
      <c r="L155" s="32"/>
      <c r="M155" s="32"/>
      <c r="N155" s="19"/>
      <c r="O155" s="5"/>
      <c r="P155" s="19"/>
    </row>
    <row r="156" ht="15.75" customHeight="1">
      <c r="A156" s="19"/>
      <c r="B156" s="19"/>
      <c r="C156" s="48"/>
      <c r="D156" s="39"/>
      <c r="E156" s="39"/>
      <c r="F156" s="34" t="str">
        <f t="array" ref="F156">IF(INDEX('Binder Data'!$A$252:$A$501,ROW()-1)="","",IF(INDEX('Binder Data'!$D$252:$D$501,ROW()-1)="Needed",INDEX('Binder Data'!$B$252:$B$501,ROW()-1),INDEX('Binder Data'!$D$252:$D$501,ROW()-1)))</f>
        <v/>
      </c>
      <c r="G156" s="64"/>
      <c r="H156" s="19"/>
      <c r="I156" s="19"/>
      <c r="J156" s="19"/>
      <c r="K156" s="19"/>
      <c r="L156" s="32"/>
      <c r="M156" s="32"/>
      <c r="N156" s="19"/>
      <c r="O156" s="5"/>
      <c r="P156" s="19"/>
    </row>
    <row r="157" ht="15.75" customHeight="1">
      <c r="A157" s="19"/>
      <c r="B157" s="19"/>
      <c r="C157" s="48"/>
      <c r="D157" s="39"/>
      <c r="E157" s="39"/>
      <c r="F157" s="34" t="str">
        <f t="array" ref="F157">IF(INDEX('Binder Data'!$A$252:$A$501,ROW()-1)="","",IF(INDEX('Binder Data'!$D$252:$D$501,ROW()-1)="Needed",INDEX('Binder Data'!$B$252:$B$501,ROW()-1),INDEX('Binder Data'!$D$252:$D$501,ROW()-1)))</f>
        <v/>
      </c>
      <c r="G157" s="64"/>
      <c r="H157" s="19"/>
      <c r="I157" s="19"/>
      <c r="J157" s="19"/>
      <c r="K157" s="19"/>
      <c r="L157" s="32"/>
      <c r="M157" s="32"/>
      <c r="N157" s="19"/>
      <c r="O157" s="5"/>
      <c r="P157" s="19"/>
    </row>
    <row r="158" ht="15.75" customHeight="1">
      <c r="A158" s="19"/>
      <c r="B158" s="19"/>
      <c r="C158" s="48"/>
      <c r="D158" s="39"/>
      <c r="E158" s="39"/>
      <c r="F158" s="34" t="str">
        <f t="array" ref="F158">IF(INDEX('Binder Data'!$A$252:$A$501,ROW()-1)="","",IF(INDEX('Binder Data'!$D$252:$D$501,ROW()-1)="Needed",INDEX('Binder Data'!$B$252:$B$501,ROW()-1),INDEX('Binder Data'!$D$252:$D$501,ROW()-1)))</f>
        <v/>
      </c>
      <c r="G158" s="64"/>
      <c r="H158" s="19"/>
      <c r="I158" s="19"/>
      <c r="J158" s="19"/>
      <c r="K158" s="19"/>
      <c r="L158" s="32"/>
      <c r="M158" s="32"/>
      <c r="N158" s="19"/>
      <c r="O158" s="5"/>
      <c r="P158" s="19"/>
    </row>
    <row r="159" ht="15.75" customHeight="1">
      <c r="A159" s="19"/>
      <c r="B159" s="19"/>
      <c r="C159" s="48"/>
      <c r="D159" s="39"/>
      <c r="E159" s="39"/>
      <c r="F159" s="34" t="str">
        <f t="array" ref="F159">IF(INDEX('Binder Data'!$A$252:$A$501,ROW()-1)="","",IF(INDEX('Binder Data'!$D$252:$D$501,ROW()-1)="Needed",INDEX('Binder Data'!$B$252:$B$501,ROW()-1),INDEX('Binder Data'!$D$252:$D$501,ROW()-1)))</f>
        <v/>
      </c>
      <c r="G159" s="64"/>
      <c r="H159" s="19"/>
      <c r="I159" s="19"/>
      <c r="J159" s="19"/>
      <c r="K159" s="19"/>
      <c r="L159" s="32"/>
      <c r="M159" s="32"/>
      <c r="N159" s="19"/>
      <c r="O159" s="5"/>
      <c r="P159" s="19"/>
    </row>
    <row r="160" ht="15.75" customHeight="1">
      <c r="A160" s="19"/>
      <c r="B160" s="19"/>
      <c r="C160" s="48"/>
      <c r="D160" s="39"/>
      <c r="E160" s="39"/>
      <c r="F160" s="34" t="str">
        <f t="array" ref="F160">IF(INDEX('Binder Data'!$A$252:$A$501,ROW()-1)="","",IF(INDEX('Binder Data'!$D$252:$D$501,ROW()-1)="Needed",INDEX('Binder Data'!$B$252:$B$501,ROW()-1),INDEX('Binder Data'!$D$252:$D$501,ROW()-1)))</f>
        <v/>
      </c>
      <c r="G160" s="64"/>
      <c r="H160" s="19"/>
      <c r="I160" s="19"/>
      <c r="J160" s="19"/>
      <c r="K160" s="19"/>
      <c r="L160" s="32"/>
      <c r="M160" s="32"/>
      <c r="N160" s="19"/>
      <c r="O160" s="5"/>
      <c r="P160" s="19"/>
    </row>
    <row r="161" ht="15.75" customHeight="1">
      <c r="A161" s="19"/>
      <c r="B161" s="19"/>
      <c r="C161" s="48"/>
      <c r="D161" s="39"/>
      <c r="E161" s="39"/>
      <c r="F161" s="34" t="str">
        <f t="array" ref="F161">IF(INDEX('Binder Data'!$A$252:$A$501,ROW()-1)="","",IF(INDEX('Binder Data'!$D$252:$D$501,ROW()-1)="Needed",INDEX('Binder Data'!$B$252:$B$501,ROW()-1),INDEX('Binder Data'!$D$252:$D$501,ROW()-1)))</f>
        <v/>
      </c>
      <c r="G161" s="64"/>
      <c r="H161" s="19"/>
      <c r="I161" s="19"/>
      <c r="J161" s="19"/>
      <c r="K161" s="19"/>
      <c r="L161" s="32"/>
      <c r="M161" s="32"/>
      <c r="N161" s="19"/>
      <c r="O161" s="5"/>
      <c r="P161" s="19"/>
    </row>
    <row r="162" ht="15.75" customHeight="1">
      <c r="A162" s="19"/>
      <c r="B162" s="19"/>
      <c r="C162" s="48"/>
      <c r="D162" s="39"/>
      <c r="E162" s="39"/>
      <c r="F162" s="34" t="str">
        <f t="array" ref="F162">IF(INDEX('Binder Data'!$A$252:$A$501,ROW()-1)="","",IF(INDEX('Binder Data'!$D$252:$D$501,ROW()-1)="Needed",INDEX('Binder Data'!$B$252:$B$501,ROW()-1),INDEX('Binder Data'!$D$252:$D$501,ROW()-1)))</f>
        <v/>
      </c>
      <c r="G162" s="64"/>
      <c r="H162" s="19"/>
      <c r="I162" s="19"/>
      <c r="J162" s="19"/>
      <c r="K162" s="19"/>
      <c r="L162" s="32"/>
      <c r="M162" s="32"/>
      <c r="N162" s="19"/>
      <c r="O162" s="5"/>
      <c r="P162" s="19"/>
    </row>
    <row r="163" ht="15.75" customHeight="1">
      <c r="A163" s="19"/>
      <c r="B163" s="19"/>
      <c r="C163" s="48"/>
      <c r="D163" s="39"/>
      <c r="E163" s="39"/>
      <c r="F163" s="34" t="str">
        <f t="array" ref="F163">IF(INDEX('Binder Data'!$A$252:$A$501,ROW()-1)="","",IF(INDEX('Binder Data'!$D$252:$D$501,ROW()-1)="Needed",INDEX('Binder Data'!$B$252:$B$501,ROW()-1),INDEX('Binder Data'!$D$252:$D$501,ROW()-1)))</f>
        <v/>
      </c>
      <c r="G163" s="64"/>
      <c r="H163" s="19"/>
      <c r="I163" s="19"/>
      <c r="J163" s="19"/>
      <c r="K163" s="19"/>
      <c r="L163" s="32"/>
      <c r="M163" s="32"/>
      <c r="N163" s="19"/>
      <c r="O163" s="5"/>
      <c r="P163" s="19"/>
    </row>
    <row r="164" ht="15.75" customHeight="1">
      <c r="A164" s="19"/>
      <c r="B164" s="19"/>
      <c r="C164" s="48"/>
      <c r="D164" s="39"/>
      <c r="E164" s="39"/>
      <c r="F164" s="34" t="str">
        <f t="array" ref="F164">IF(INDEX('Binder Data'!$A$252:$A$501,ROW()-1)="","",IF(INDEX('Binder Data'!$D$252:$D$501,ROW()-1)="Needed",INDEX('Binder Data'!$B$252:$B$501,ROW()-1),INDEX('Binder Data'!$D$252:$D$501,ROW()-1)))</f>
        <v/>
      </c>
      <c r="G164" s="64"/>
      <c r="H164" s="19"/>
      <c r="I164" s="19"/>
      <c r="J164" s="19"/>
      <c r="K164" s="19"/>
      <c r="L164" s="32"/>
      <c r="M164" s="32"/>
      <c r="N164" s="19"/>
      <c r="O164" s="5"/>
      <c r="P164" s="19"/>
    </row>
    <row r="165" ht="15.75" customHeight="1">
      <c r="A165" s="19"/>
      <c r="B165" s="19"/>
      <c r="C165" s="48"/>
      <c r="D165" s="39"/>
      <c r="E165" s="39"/>
      <c r="F165" s="34" t="str">
        <f t="array" ref="F165">IF(INDEX('Binder Data'!$A$252:$A$501,ROW()-1)="","",IF(INDEX('Binder Data'!$D$252:$D$501,ROW()-1)="Needed",INDEX('Binder Data'!$B$252:$B$501,ROW()-1),INDEX('Binder Data'!$D$252:$D$501,ROW()-1)))</f>
        <v/>
      </c>
      <c r="G165" s="64"/>
      <c r="H165" s="19"/>
      <c r="I165" s="19"/>
      <c r="J165" s="19"/>
      <c r="K165" s="19"/>
      <c r="L165" s="32"/>
      <c r="M165" s="32"/>
      <c r="N165" s="19"/>
      <c r="O165" s="5"/>
      <c r="P165" s="19"/>
    </row>
    <row r="166" ht="15.75" customHeight="1">
      <c r="A166" s="19"/>
      <c r="B166" s="19"/>
      <c r="C166" s="48"/>
      <c r="D166" s="39"/>
      <c r="E166" s="39"/>
      <c r="F166" s="34" t="str">
        <f t="array" ref="F166">IF(INDEX('Binder Data'!$A$252:$A$501,ROW()-1)="","",IF(INDEX('Binder Data'!$D$252:$D$501,ROW()-1)="Needed",INDEX('Binder Data'!$B$252:$B$501,ROW()-1),INDEX('Binder Data'!$D$252:$D$501,ROW()-1)))</f>
        <v/>
      </c>
      <c r="G166" s="64"/>
      <c r="H166" s="19"/>
      <c r="I166" s="19"/>
      <c r="J166" s="19"/>
      <c r="K166" s="19"/>
      <c r="L166" s="32"/>
      <c r="M166" s="32"/>
      <c r="N166" s="19"/>
      <c r="O166" s="5"/>
      <c r="P166" s="19"/>
    </row>
    <row r="167" ht="15.75" customHeight="1">
      <c r="A167" s="19"/>
      <c r="B167" s="19"/>
      <c r="C167" s="48"/>
      <c r="D167" s="39"/>
      <c r="E167" s="39"/>
      <c r="F167" s="34" t="str">
        <f t="array" ref="F167">IF(INDEX('Binder Data'!$A$252:$A$501,ROW()-1)="","",IF(INDEX('Binder Data'!$D$252:$D$501,ROW()-1)="Needed",INDEX('Binder Data'!$B$252:$B$501,ROW()-1),INDEX('Binder Data'!$D$252:$D$501,ROW()-1)))</f>
        <v/>
      </c>
      <c r="G167" s="64"/>
      <c r="H167" s="19"/>
      <c r="I167" s="19"/>
      <c r="J167" s="19"/>
      <c r="K167" s="19"/>
      <c r="L167" s="32"/>
      <c r="M167" s="32"/>
      <c r="N167" s="19"/>
      <c r="O167" s="5"/>
      <c r="P167" s="19"/>
    </row>
    <row r="168" ht="15.75" customHeight="1">
      <c r="A168" s="19"/>
      <c r="B168" s="19"/>
      <c r="C168" s="48"/>
      <c r="D168" s="39"/>
      <c r="E168" s="39"/>
      <c r="F168" s="34" t="str">
        <f t="array" ref="F168">IF(INDEX('Binder Data'!$A$252:$A$501,ROW()-1)="","",IF(INDEX('Binder Data'!$D$252:$D$501,ROW()-1)="Needed",INDEX('Binder Data'!$B$252:$B$501,ROW()-1),INDEX('Binder Data'!$D$252:$D$501,ROW()-1)))</f>
        <v/>
      </c>
      <c r="G168" s="64"/>
      <c r="H168" s="19"/>
      <c r="I168" s="19"/>
      <c r="J168" s="19"/>
      <c r="K168" s="19"/>
      <c r="L168" s="32"/>
      <c r="M168" s="32"/>
      <c r="N168" s="19"/>
      <c r="O168" s="5"/>
      <c r="P168" s="19"/>
    </row>
    <row r="169" ht="15.75" customHeight="1">
      <c r="A169" s="19"/>
      <c r="B169" s="19"/>
      <c r="C169" s="48"/>
      <c r="D169" s="39"/>
      <c r="E169" s="39"/>
      <c r="F169" s="34" t="str">
        <f t="array" ref="F169">IF(INDEX('Binder Data'!$A$252:$A$501,ROW()-1)="","",IF(INDEX('Binder Data'!$D$252:$D$501,ROW()-1)="Needed",INDEX('Binder Data'!$B$252:$B$501,ROW()-1),INDEX('Binder Data'!$D$252:$D$501,ROW()-1)))</f>
        <v/>
      </c>
      <c r="G169" s="64"/>
      <c r="H169" s="19"/>
      <c r="I169" s="19"/>
      <c r="J169" s="19"/>
      <c r="K169" s="19"/>
      <c r="L169" s="32"/>
      <c r="M169" s="32"/>
      <c r="N169" s="19"/>
      <c r="O169" s="5"/>
      <c r="P169" s="19"/>
    </row>
    <row r="170" ht="15.75" customHeight="1">
      <c r="A170" s="19"/>
      <c r="B170" s="19"/>
      <c r="C170" s="48"/>
      <c r="D170" s="39"/>
      <c r="E170" s="39"/>
      <c r="F170" s="34" t="str">
        <f t="array" ref="F170">IF(INDEX('Binder Data'!$A$252:$A$501,ROW()-1)="","",IF(INDEX('Binder Data'!$D$252:$D$501,ROW()-1)="Needed",INDEX('Binder Data'!$B$252:$B$501,ROW()-1),INDEX('Binder Data'!$D$252:$D$501,ROW()-1)))</f>
        <v/>
      </c>
      <c r="G170" s="64"/>
      <c r="H170" s="19"/>
      <c r="I170" s="19"/>
      <c r="J170" s="19"/>
      <c r="K170" s="19"/>
      <c r="L170" s="32"/>
      <c r="M170" s="32"/>
      <c r="N170" s="19"/>
      <c r="O170" s="5"/>
      <c r="P170" s="19"/>
    </row>
    <row r="171" ht="15.75" customHeight="1">
      <c r="A171" s="19"/>
      <c r="B171" s="19"/>
      <c r="C171" s="48"/>
      <c r="D171" s="39"/>
      <c r="E171" s="39"/>
      <c r="F171" s="34" t="str">
        <f t="array" ref="F171">IF(INDEX('Binder Data'!$A$252:$A$501,ROW()-1)="","",IF(INDEX('Binder Data'!$D$252:$D$501,ROW()-1)="Needed",INDEX('Binder Data'!$B$252:$B$501,ROW()-1),INDEX('Binder Data'!$D$252:$D$501,ROW()-1)))</f>
        <v/>
      </c>
      <c r="G171" s="64"/>
      <c r="H171" s="19"/>
      <c r="I171" s="19"/>
      <c r="J171" s="19"/>
      <c r="K171" s="19"/>
      <c r="L171" s="32"/>
      <c r="M171" s="32"/>
      <c r="N171" s="19"/>
      <c r="O171" s="5"/>
      <c r="P171" s="19"/>
    </row>
    <row r="172" ht="15.75" customHeight="1">
      <c r="A172" s="19"/>
      <c r="B172" s="19"/>
      <c r="C172" s="48"/>
      <c r="D172" s="39"/>
      <c r="E172" s="39"/>
      <c r="F172" s="34" t="str">
        <f t="array" ref="F172">IF(INDEX('Binder Data'!$A$252:$A$501,ROW()-1)="","",IF(INDEX('Binder Data'!$D$252:$D$501,ROW()-1)="Needed",INDEX('Binder Data'!$B$252:$B$501,ROW()-1),INDEX('Binder Data'!$D$252:$D$501,ROW()-1)))</f>
        <v/>
      </c>
      <c r="G172" s="64"/>
      <c r="H172" s="19"/>
      <c r="I172" s="19"/>
      <c r="J172" s="19"/>
      <c r="K172" s="19"/>
      <c r="L172" s="32"/>
      <c r="M172" s="32"/>
      <c r="N172" s="19"/>
      <c r="O172" s="5"/>
      <c r="P172" s="19"/>
    </row>
    <row r="173" ht="15.75" customHeight="1">
      <c r="A173" s="19"/>
      <c r="B173" s="19"/>
      <c r="C173" s="48"/>
      <c r="D173" s="39"/>
      <c r="E173" s="39"/>
      <c r="F173" s="34" t="str">
        <f t="array" ref="F173">IF(INDEX('Binder Data'!$A$252:$A$501,ROW()-1)="","",IF(INDEX('Binder Data'!$D$252:$D$501,ROW()-1)="Needed",INDEX('Binder Data'!$B$252:$B$501,ROW()-1),INDEX('Binder Data'!$D$252:$D$501,ROW()-1)))</f>
        <v/>
      </c>
      <c r="G173" s="64"/>
      <c r="H173" s="19"/>
      <c r="I173" s="19"/>
      <c r="J173" s="19"/>
      <c r="K173" s="19"/>
      <c r="L173" s="32"/>
      <c r="M173" s="32"/>
      <c r="N173" s="19"/>
      <c r="O173" s="5"/>
      <c r="P173" s="19"/>
    </row>
    <row r="174" ht="15.75" customHeight="1">
      <c r="A174" s="19"/>
      <c r="B174" s="19"/>
      <c r="C174" s="48"/>
      <c r="D174" s="39"/>
      <c r="E174" s="39"/>
      <c r="F174" s="34" t="str">
        <f t="array" ref="F174">IF(INDEX('Binder Data'!$A$252:$A$501,ROW()-1)="","",IF(INDEX('Binder Data'!$D$252:$D$501,ROW()-1)="Needed",INDEX('Binder Data'!$B$252:$B$501,ROW()-1),INDEX('Binder Data'!$D$252:$D$501,ROW()-1)))</f>
        <v/>
      </c>
      <c r="G174" s="64"/>
      <c r="H174" s="19"/>
      <c r="I174" s="19"/>
      <c r="J174" s="19"/>
      <c r="K174" s="19"/>
      <c r="L174" s="32"/>
      <c r="M174" s="32"/>
      <c r="N174" s="19"/>
      <c r="O174" s="5"/>
      <c r="P174" s="19"/>
    </row>
    <row r="175" ht="15.75" customHeight="1">
      <c r="A175" s="19"/>
      <c r="B175" s="19"/>
      <c r="C175" s="48"/>
      <c r="D175" s="39"/>
      <c r="E175" s="39"/>
      <c r="F175" s="34" t="str">
        <f t="array" ref="F175">IF(INDEX('Binder Data'!$A$252:$A$501,ROW()-1)="","",IF(INDEX('Binder Data'!$D$252:$D$501,ROW()-1)="Needed",INDEX('Binder Data'!$B$252:$B$501,ROW()-1),INDEX('Binder Data'!$D$252:$D$501,ROW()-1)))</f>
        <v/>
      </c>
      <c r="G175" s="64"/>
      <c r="H175" s="19"/>
      <c r="I175" s="19"/>
      <c r="J175" s="19"/>
      <c r="K175" s="19"/>
      <c r="L175" s="32"/>
      <c r="M175" s="32"/>
      <c r="N175" s="19"/>
      <c r="O175" s="5"/>
      <c r="P175" s="19"/>
    </row>
    <row r="176" ht="15.75" customHeight="1">
      <c r="A176" s="19"/>
      <c r="B176" s="19"/>
      <c r="C176" s="48"/>
      <c r="D176" s="39"/>
      <c r="E176" s="39"/>
      <c r="F176" s="34" t="str">
        <f t="array" ref="F176">IF(INDEX('Binder Data'!$A$252:$A$501,ROW()-1)="","",IF(INDEX('Binder Data'!$D$252:$D$501,ROW()-1)="Needed",INDEX('Binder Data'!$B$252:$B$501,ROW()-1),INDEX('Binder Data'!$D$252:$D$501,ROW()-1)))</f>
        <v/>
      </c>
      <c r="G176" s="64"/>
      <c r="H176" s="19"/>
      <c r="I176" s="19"/>
      <c r="J176" s="19"/>
      <c r="K176" s="19"/>
      <c r="L176" s="32"/>
      <c r="M176" s="32"/>
      <c r="N176" s="19"/>
      <c r="O176" s="5"/>
      <c r="P176" s="19"/>
    </row>
    <row r="177" ht="15.75" customHeight="1">
      <c r="A177" s="19"/>
      <c r="B177" s="19"/>
      <c r="C177" s="48"/>
      <c r="D177" s="39"/>
      <c r="E177" s="39"/>
      <c r="F177" s="34" t="str">
        <f t="array" ref="F177">IF(INDEX('Binder Data'!$A$252:$A$501,ROW()-1)="","",IF(INDEX('Binder Data'!$D$252:$D$501,ROW()-1)="Needed",INDEX('Binder Data'!$B$252:$B$501,ROW()-1),INDEX('Binder Data'!$D$252:$D$501,ROW()-1)))</f>
        <v/>
      </c>
      <c r="G177" s="64"/>
      <c r="H177" s="19"/>
      <c r="I177" s="19"/>
      <c r="J177" s="19"/>
      <c r="K177" s="19"/>
      <c r="L177" s="32"/>
      <c r="M177" s="32"/>
      <c r="N177" s="19"/>
      <c r="O177" s="5"/>
      <c r="P177" s="19"/>
    </row>
    <row r="178" ht="15.75" customHeight="1">
      <c r="A178" s="19"/>
      <c r="B178" s="19"/>
      <c r="C178" s="48"/>
      <c r="D178" s="39"/>
      <c r="E178" s="39"/>
      <c r="F178" s="34" t="str">
        <f t="array" ref="F178">IF(INDEX('Binder Data'!$A$252:$A$501,ROW()-1)="","",IF(INDEX('Binder Data'!$D$252:$D$501,ROW()-1)="Needed",INDEX('Binder Data'!$B$252:$B$501,ROW()-1),INDEX('Binder Data'!$D$252:$D$501,ROW()-1)))</f>
        <v/>
      </c>
      <c r="G178" s="64"/>
      <c r="H178" s="19"/>
      <c r="I178" s="19"/>
      <c r="J178" s="19"/>
      <c r="K178" s="19"/>
      <c r="L178" s="32"/>
      <c r="M178" s="32"/>
      <c r="N178" s="19"/>
      <c r="O178" s="5"/>
      <c r="P178" s="19"/>
    </row>
    <row r="179" ht="15.75" customHeight="1">
      <c r="A179" s="19"/>
      <c r="B179" s="19"/>
      <c r="C179" s="48"/>
      <c r="D179" s="39"/>
      <c r="E179" s="39"/>
      <c r="F179" s="34" t="str">
        <f t="array" ref="F179">IF(INDEX('Binder Data'!$A$252:$A$501,ROW()-1)="","",IF(INDEX('Binder Data'!$D$252:$D$501,ROW()-1)="Needed",INDEX('Binder Data'!$B$252:$B$501,ROW()-1),INDEX('Binder Data'!$D$252:$D$501,ROW()-1)))</f>
        <v/>
      </c>
      <c r="G179" s="64"/>
      <c r="H179" s="19"/>
      <c r="I179" s="19"/>
      <c r="J179" s="19"/>
      <c r="K179" s="19"/>
      <c r="L179" s="32"/>
      <c r="M179" s="32"/>
      <c r="N179" s="19"/>
      <c r="O179" s="5"/>
      <c r="P179" s="19"/>
    </row>
    <row r="180" ht="15.75" customHeight="1">
      <c r="A180" s="19"/>
      <c r="B180" s="19"/>
      <c r="C180" s="48"/>
      <c r="D180" s="39"/>
      <c r="E180" s="39"/>
      <c r="F180" s="34" t="str">
        <f t="array" ref="F180">IF(INDEX('Binder Data'!$A$252:$A$501,ROW()-1)="","",IF(INDEX('Binder Data'!$D$252:$D$501,ROW()-1)="Needed",INDEX('Binder Data'!$B$252:$B$501,ROW()-1),INDEX('Binder Data'!$D$252:$D$501,ROW()-1)))</f>
        <v/>
      </c>
      <c r="G180" s="64"/>
      <c r="H180" s="19"/>
      <c r="I180" s="19"/>
      <c r="J180" s="19"/>
      <c r="K180" s="19"/>
      <c r="L180" s="32"/>
      <c r="M180" s="32"/>
      <c r="N180" s="19"/>
      <c r="O180" s="5"/>
      <c r="P180" s="19"/>
    </row>
    <row r="181" ht="15.75" customHeight="1">
      <c r="A181" s="19"/>
      <c r="B181" s="19"/>
      <c r="C181" s="48"/>
      <c r="D181" s="39"/>
      <c r="E181" s="39"/>
      <c r="F181" s="34" t="str">
        <f t="array" ref="F181">IF(INDEX('Binder Data'!$A$252:$A$501,ROW()-1)="","",IF(INDEX('Binder Data'!$D$252:$D$501,ROW()-1)="Needed",INDEX('Binder Data'!$B$252:$B$501,ROW()-1),INDEX('Binder Data'!$D$252:$D$501,ROW()-1)))</f>
        <v/>
      </c>
      <c r="G181" s="64"/>
      <c r="H181" s="19"/>
      <c r="I181" s="19"/>
      <c r="J181" s="19"/>
      <c r="K181" s="19"/>
      <c r="L181" s="32"/>
      <c r="M181" s="32"/>
      <c r="N181" s="19"/>
      <c r="O181" s="5"/>
      <c r="P181" s="19"/>
    </row>
    <row r="182" ht="15.75" customHeight="1">
      <c r="A182" s="19"/>
      <c r="B182" s="19"/>
      <c r="C182" s="48"/>
      <c r="D182" s="39"/>
      <c r="E182" s="39"/>
      <c r="F182" s="34" t="str">
        <f t="array" ref="F182">IF(INDEX('Binder Data'!$A$252:$A$501,ROW()-1)="","",IF(INDEX('Binder Data'!$D$252:$D$501,ROW()-1)="Needed",INDEX('Binder Data'!$B$252:$B$501,ROW()-1),INDEX('Binder Data'!$D$252:$D$501,ROW()-1)))</f>
        <v/>
      </c>
      <c r="G182" s="64"/>
      <c r="H182" s="19"/>
      <c r="I182" s="19"/>
      <c r="J182" s="19"/>
      <c r="K182" s="19"/>
      <c r="L182" s="32"/>
      <c r="M182" s="32"/>
      <c r="N182" s="19"/>
      <c r="O182" s="5"/>
      <c r="P182" s="19"/>
    </row>
    <row r="183" ht="15.75" customHeight="1">
      <c r="A183" s="19"/>
      <c r="B183" s="19"/>
      <c r="C183" s="48"/>
      <c r="D183" s="39"/>
      <c r="E183" s="39"/>
      <c r="F183" s="34" t="str">
        <f t="array" ref="F183">IF(INDEX('Binder Data'!$A$252:$A$501,ROW()-1)="","",IF(INDEX('Binder Data'!$D$252:$D$501,ROW()-1)="Needed",INDEX('Binder Data'!$B$252:$B$501,ROW()-1),INDEX('Binder Data'!$D$252:$D$501,ROW()-1)))</f>
        <v/>
      </c>
      <c r="G183" s="64"/>
      <c r="H183" s="19"/>
      <c r="I183" s="19"/>
      <c r="J183" s="19"/>
      <c r="K183" s="19"/>
      <c r="L183" s="32"/>
      <c r="M183" s="32"/>
      <c r="N183" s="19"/>
      <c r="O183" s="5"/>
      <c r="P183" s="19"/>
    </row>
    <row r="184" ht="15.75" customHeight="1">
      <c r="A184" s="19"/>
      <c r="B184" s="19"/>
      <c r="C184" s="48"/>
      <c r="D184" s="39"/>
      <c r="E184" s="39"/>
      <c r="F184" s="34" t="str">
        <f t="array" ref="F184">IF(INDEX('Binder Data'!$A$252:$A$501,ROW()-1)="","",IF(INDEX('Binder Data'!$D$252:$D$501,ROW()-1)="Needed",INDEX('Binder Data'!$B$252:$B$501,ROW()-1),INDEX('Binder Data'!$D$252:$D$501,ROW()-1)))</f>
        <v/>
      </c>
      <c r="G184" s="64"/>
      <c r="H184" s="19"/>
      <c r="I184" s="19"/>
      <c r="J184" s="19"/>
      <c r="K184" s="19"/>
      <c r="L184" s="32"/>
      <c r="M184" s="32"/>
      <c r="N184" s="19"/>
      <c r="O184" s="5"/>
      <c r="P184" s="19"/>
    </row>
    <row r="185" ht="15.75" customHeight="1">
      <c r="A185" s="19"/>
      <c r="B185" s="19"/>
      <c r="C185" s="48"/>
      <c r="D185" s="39"/>
      <c r="E185" s="39"/>
      <c r="F185" s="34" t="str">
        <f t="array" ref="F185">IF(INDEX('Binder Data'!$A$252:$A$501,ROW()-1)="","",IF(INDEX('Binder Data'!$D$252:$D$501,ROW()-1)="Needed",INDEX('Binder Data'!$B$252:$B$501,ROW()-1),INDEX('Binder Data'!$D$252:$D$501,ROW()-1)))</f>
        <v/>
      </c>
      <c r="G185" s="64"/>
      <c r="H185" s="19"/>
      <c r="I185" s="19"/>
      <c r="J185" s="19"/>
      <c r="K185" s="19"/>
      <c r="L185" s="32"/>
      <c r="M185" s="32"/>
      <c r="N185" s="19"/>
      <c r="O185" s="5"/>
      <c r="P185" s="19"/>
    </row>
    <row r="186" ht="15.75" customHeight="1">
      <c r="A186" s="19"/>
      <c r="B186" s="19"/>
      <c r="C186" s="48"/>
      <c r="D186" s="5"/>
      <c r="E186" s="5"/>
      <c r="F186" s="34" t="str">
        <f t="array" ref="F186">IF(INDEX('Binder Data'!$A$252:$A$501,ROW()-1)="","",IF(INDEX('Binder Data'!$D$252:$D$501,ROW()-1)="Needed",INDEX('Binder Data'!$B$252:$B$501,ROW()-1),INDEX('Binder Data'!$D$252:$D$501,ROW()-1)))</f>
        <v/>
      </c>
      <c r="G186" s="64"/>
      <c r="H186" s="19"/>
      <c r="I186" s="19"/>
      <c r="J186" s="19"/>
      <c r="K186" s="19"/>
      <c r="L186" s="32"/>
      <c r="M186" s="32"/>
      <c r="N186" s="19"/>
      <c r="O186" s="5"/>
      <c r="P186" s="19"/>
    </row>
    <row r="187" ht="15.75" customHeight="1">
      <c r="A187" s="19"/>
      <c r="B187" s="19"/>
      <c r="C187" s="48"/>
      <c r="D187" s="5"/>
      <c r="E187" s="5"/>
      <c r="F187" s="34" t="str">
        <f t="array" ref="F187">IF(INDEX('Binder Data'!$A$252:$A$501,ROW()-1)="","",IF(INDEX('Binder Data'!$D$252:$D$501,ROW()-1)="Needed",INDEX('Binder Data'!$B$252:$B$501,ROW()-1),INDEX('Binder Data'!$D$252:$D$501,ROW()-1)))</f>
        <v/>
      </c>
      <c r="G187" s="64"/>
      <c r="H187" s="19"/>
      <c r="I187" s="19"/>
      <c r="J187" s="19"/>
      <c r="K187" s="19"/>
      <c r="L187" s="32"/>
      <c r="M187" s="32"/>
      <c r="N187" s="19"/>
      <c r="O187" s="5"/>
      <c r="P187" s="19"/>
    </row>
    <row r="188" ht="15.75" customHeight="1">
      <c r="A188" s="19"/>
      <c r="B188" s="19"/>
      <c r="C188" s="48"/>
      <c r="D188" s="39"/>
      <c r="E188" s="39"/>
      <c r="F188" s="34" t="str">
        <f t="array" ref="F188">IF(INDEX('Binder Data'!$A$252:$A$501,ROW()-1)="","",IF(INDEX('Binder Data'!$D$252:$D$501,ROW()-1)="Needed",INDEX('Binder Data'!$B$252:$B$501,ROW()-1),INDEX('Binder Data'!$D$252:$D$501,ROW()-1)))</f>
        <v/>
      </c>
      <c r="G188" s="64"/>
      <c r="H188" s="19"/>
      <c r="I188" s="19"/>
      <c r="J188" s="19"/>
      <c r="K188" s="19"/>
      <c r="L188" s="32"/>
      <c r="M188" s="32"/>
      <c r="N188" s="19"/>
      <c r="O188" s="5"/>
      <c r="P188" s="19"/>
    </row>
    <row r="189" ht="15.75" customHeight="1">
      <c r="A189" s="19"/>
      <c r="B189" s="19"/>
      <c r="C189" s="48"/>
      <c r="D189" s="39"/>
      <c r="E189" s="39"/>
      <c r="F189" s="34" t="str">
        <f t="array" ref="F189">IF(INDEX('Binder Data'!$A$252:$A$501,ROW()-1)="","",IF(INDEX('Binder Data'!$D$252:$D$501,ROW()-1)="Needed",INDEX('Binder Data'!$B$252:$B$501,ROW()-1),INDEX('Binder Data'!$D$252:$D$501,ROW()-1)))</f>
        <v/>
      </c>
      <c r="G189" s="64"/>
      <c r="H189" s="19"/>
      <c r="I189" s="19"/>
      <c r="J189" s="19"/>
      <c r="K189" s="19"/>
      <c r="L189" s="32"/>
      <c r="M189" s="32"/>
      <c r="N189" s="19"/>
      <c r="O189" s="5"/>
      <c r="P189" s="19"/>
    </row>
    <row r="190" ht="15.75" customHeight="1">
      <c r="A190" s="19"/>
      <c r="B190" s="19"/>
      <c r="C190" s="48"/>
      <c r="D190" s="39"/>
      <c r="E190" s="39"/>
      <c r="F190" s="34" t="str">
        <f t="array" ref="F190">IF(INDEX('Binder Data'!$A$252:$A$501,ROW()-1)="","",IF(INDEX('Binder Data'!$D$252:$D$501,ROW()-1)="Needed",INDEX('Binder Data'!$B$252:$B$501,ROW()-1),INDEX('Binder Data'!$D$252:$D$501,ROW()-1)))</f>
        <v/>
      </c>
      <c r="G190" s="64"/>
      <c r="H190" s="19"/>
      <c r="I190" s="19"/>
      <c r="J190" s="19"/>
      <c r="K190" s="19"/>
      <c r="L190" s="32"/>
      <c r="M190" s="32"/>
      <c r="N190" s="19"/>
      <c r="O190" s="5"/>
      <c r="P190" s="19"/>
    </row>
    <row r="191" ht="15.75" customHeight="1">
      <c r="A191" s="19"/>
      <c r="B191" s="19"/>
      <c r="C191" s="48"/>
      <c r="D191" s="39"/>
      <c r="E191" s="39"/>
      <c r="F191" s="34" t="str">
        <f t="array" ref="F191">IF(INDEX('Binder Data'!$A$252:$A$501,ROW()-1)="","",IF(INDEX('Binder Data'!$D$252:$D$501,ROW()-1)="Needed",INDEX('Binder Data'!$B$252:$B$501,ROW()-1),INDEX('Binder Data'!$D$252:$D$501,ROW()-1)))</f>
        <v/>
      </c>
      <c r="G191" s="64"/>
      <c r="H191" s="19"/>
      <c r="I191" s="19"/>
      <c r="J191" s="19"/>
      <c r="K191" s="19"/>
      <c r="L191" s="32"/>
      <c r="M191" s="32"/>
      <c r="N191" s="19"/>
      <c r="O191" s="5"/>
      <c r="P191" s="19"/>
    </row>
    <row r="192" ht="15.75" customHeight="1">
      <c r="A192" s="19"/>
      <c r="B192" s="19"/>
      <c r="C192" s="48"/>
      <c r="D192" s="39"/>
      <c r="E192" s="39"/>
      <c r="F192" s="34" t="str">
        <f t="array" ref="F192">IF(INDEX('Binder Data'!$A$252:$A$501,ROW()-1)="","",IF(INDEX('Binder Data'!$D$252:$D$501,ROW()-1)="Needed",INDEX('Binder Data'!$B$252:$B$501,ROW()-1),INDEX('Binder Data'!$D$252:$D$501,ROW()-1)))</f>
        <v/>
      </c>
      <c r="G192" s="64"/>
      <c r="H192" s="19"/>
      <c r="I192" s="19"/>
      <c r="J192" s="19"/>
      <c r="K192" s="19"/>
      <c r="L192" s="32"/>
      <c r="M192" s="32"/>
      <c r="N192" s="19"/>
      <c r="O192" s="5"/>
      <c r="P192" s="19"/>
    </row>
    <row r="193" ht="15.75" customHeight="1">
      <c r="A193" s="19"/>
      <c r="B193" s="19"/>
      <c r="C193" s="48"/>
      <c r="D193" s="39"/>
      <c r="E193" s="39"/>
      <c r="F193" s="34" t="str">
        <f t="array" ref="F193">IF(INDEX('Binder Data'!$A$252:$A$501,ROW()-1)="","",IF(INDEX('Binder Data'!$D$252:$D$501,ROW()-1)="Needed",INDEX('Binder Data'!$B$252:$B$501,ROW()-1),INDEX('Binder Data'!$D$252:$D$501,ROW()-1)))</f>
        <v/>
      </c>
      <c r="G193" s="64"/>
      <c r="H193" s="19"/>
      <c r="I193" s="19"/>
      <c r="J193" s="19"/>
      <c r="K193" s="19"/>
      <c r="L193" s="32"/>
      <c r="M193" s="32"/>
      <c r="N193" s="19"/>
      <c r="O193" s="5"/>
      <c r="P193" s="19"/>
    </row>
    <row r="194" ht="15.75" customHeight="1">
      <c r="A194" s="19"/>
      <c r="B194" s="19"/>
      <c r="C194" s="48"/>
      <c r="D194" s="39"/>
      <c r="E194" s="39"/>
      <c r="F194" s="34" t="str">
        <f t="array" ref="F194">IF(INDEX('Binder Data'!$A$252:$A$501,ROW()-1)="","",IF(INDEX('Binder Data'!$D$252:$D$501,ROW()-1)="Needed",INDEX('Binder Data'!$B$252:$B$501,ROW()-1),INDEX('Binder Data'!$D$252:$D$501,ROW()-1)))</f>
        <v/>
      </c>
      <c r="G194" s="64"/>
      <c r="H194" s="19"/>
      <c r="I194" s="19"/>
      <c r="J194" s="19"/>
      <c r="K194" s="19"/>
      <c r="L194" s="32"/>
      <c r="M194" s="32"/>
      <c r="N194" s="19"/>
      <c r="O194" s="5"/>
      <c r="P194" s="19"/>
    </row>
    <row r="195" ht="15.75" customHeight="1">
      <c r="A195" s="19"/>
      <c r="B195" s="19"/>
      <c r="C195" s="48"/>
      <c r="D195" s="39"/>
      <c r="E195" s="39"/>
      <c r="F195" s="34" t="str">
        <f t="array" ref="F195">IF(INDEX('Binder Data'!$A$252:$A$501,ROW()-1)="","",IF(INDEX('Binder Data'!$D$252:$D$501,ROW()-1)="Needed",INDEX('Binder Data'!$B$252:$B$501,ROW()-1),INDEX('Binder Data'!$D$252:$D$501,ROW()-1)))</f>
        <v/>
      </c>
      <c r="G195" s="64"/>
      <c r="H195" s="19"/>
      <c r="I195" s="19"/>
      <c r="J195" s="19"/>
      <c r="K195" s="19"/>
      <c r="L195" s="32"/>
      <c r="M195" s="32"/>
      <c r="N195" s="19"/>
      <c r="O195" s="5"/>
      <c r="P195" s="19"/>
    </row>
    <row r="196" ht="15.75" customHeight="1">
      <c r="A196" s="19"/>
      <c r="B196" s="19"/>
      <c r="C196" s="48"/>
      <c r="D196" s="39"/>
      <c r="E196" s="39"/>
      <c r="F196" s="34" t="str">
        <f t="array" ref="F196">IF(INDEX('Binder Data'!$A$252:$A$501,ROW()-1)="","",IF(INDEX('Binder Data'!$D$252:$D$501,ROW()-1)="Needed",INDEX('Binder Data'!$B$252:$B$501,ROW()-1),INDEX('Binder Data'!$D$252:$D$501,ROW()-1)))</f>
        <v/>
      </c>
      <c r="G196" s="64"/>
      <c r="H196" s="19"/>
      <c r="I196" s="19"/>
      <c r="J196" s="19"/>
      <c r="K196" s="19"/>
      <c r="L196" s="32"/>
      <c r="M196" s="32"/>
      <c r="N196" s="19"/>
      <c r="O196" s="5"/>
      <c r="P196" s="19"/>
    </row>
    <row r="197" ht="15.75" customHeight="1">
      <c r="A197" s="19"/>
      <c r="B197" s="19"/>
      <c r="C197" s="48"/>
      <c r="D197" s="39"/>
      <c r="E197" s="39"/>
      <c r="F197" s="34" t="str">
        <f t="array" ref="F197">IF(INDEX('Binder Data'!$A$252:$A$501,ROW()-1)="","",IF(INDEX('Binder Data'!$D$252:$D$501,ROW()-1)="Needed",INDEX('Binder Data'!$B$252:$B$501,ROW()-1),INDEX('Binder Data'!$D$252:$D$501,ROW()-1)))</f>
        <v/>
      </c>
      <c r="G197" s="64"/>
      <c r="H197" s="19"/>
      <c r="I197" s="19"/>
      <c r="J197" s="19"/>
      <c r="K197" s="19"/>
      <c r="L197" s="32"/>
      <c r="M197" s="32"/>
      <c r="N197" s="19"/>
      <c r="O197" s="5"/>
      <c r="P197" s="19"/>
    </row>
    <row r="198" ht="15.75" customHeight="1">
      <c r="A198" s="19"/>
      <c r="B198" s="19"/>
      <c r="C198" s="48"/>
      <c r="D198" s="39"/>
      <c r="E198" s="39"/>
      <c r="F198" s="34" t="str">
        <f t="array" ref="F198">IF(INDEX('Binder Data'!$A$252:$A$501,ROW()-1)="","",IF(INDEX('Binder Data'!$D$252:$D$501,ROW()-1)="Needed",INDEX('Binder Data'!$B$252:$B$501,ROW()-1),INDEX('Binder Data'!$D$252:$D$501,ROW()-1)))</f>
        <v/>
      </c>
      <c r="G198" s="64"/>
      <c r="H198" s="19"/>
      <c r="I198" s="19"/>
      <c r="J198" s="19"/>
      <c r="K198" s="19"/>
      <c r="L198" s="32"/>
      <c r="M198" s="32"/>
      <c r="N198" s="19"/>
      <c r="O198" s="5"/>
      <c r="P198" s="19"/>
    </row>
    <row r="199" ht="15.75" customHeight="1">
      <c r="A199" s="19"/>
      <c r="B199" s="19"/>
      <c r="C199" s="48"/>
      <c r="D199" s="39"/>
      <c r="E199" s="39"/>
      <c r="F199" s="34" t="str">
        <f t="array" ref="F199">IF(INDEX('Binder Data'!$A$252:$A$501,ROW()-1)="","",IF(INDEX('Binder Data'!$D$252:$D$501,ROW()-1)="Needed",INDEX('Binder Data'!$B$252:$B$501,ROW()-1),INDEX('Binder Data'!$D$252:$D$501,ROW()-1)))</f>
        <v/>
      </c>
      <c r="G199" s="64"/>
      <c r="H199" s="19"/>
      <c r="I199" s="19"/>
      <c r="J199" s="19"/>
      <c r="K199" s="19"/>
      <c r="L199" s="32"/>
      <c r="M199" s="32"/>
      <c r="N199" s="19"/>
      <c r="O199" s="5"/>
      <c r="P199" s="19"/>
    </row>
    <row r="200" ht="15.75" customHeight="1">
      <c r="A200" s="19"/>
      <c r="B200" s="19"/>
      <c r="C200" s="48"/>
      <c r="D200" s="39"/>
      <c r="E200" s="39"/>
      <c r="F200" s="34" t="str">
        <f t="array" ref="F200">IF(INDEX('Binder Data'!$A$252:$A$501,ROW()-1)="","",IF(INDEX('Binder Data'!$D$252:$D$501,ROW()-1)="Needed",INDEX('Binder Data'!$B$252:$B$501,ROW()-1),INDEX('Binder Data'!$D$252:$D$501,ROW()-1)))</f>
        <v/>
      </c>
      <c r="G200" s="64"/>
      <c r="H200" s="19"/>
      <c r="I200" s="19"/>
      <c r="J200" s="19"/>
      <c r="K200" s="19"/>
      <c r="L200" s="32"/>
      <c r="M200" s="32"/>
      <c r="N200" s="19"/>
      <c r="O200" s="5"/>
      <c r="P200" s="19"/>
    </row>
    <row r="201" ht="15.75" customHeight="1">
      <c r="A201" s="19"/>
      <c r="B201" s="19"/>
      <c r="C201" s="48"/>
      <c r="D201" s="39"/>
      <c r="E201" s="39"/>
      <c r="F201" s="34" t="str">
        <f t="array" ref="F201">IF(INDEX('Binder Data'!$A$252:$A$501,ROW()-1)="","",IF(INDEX('Binder Data'!$D$252:$D$501,ROW()-1)="Needed",INDEX('Binder Data'!$B$252:$B$501,ROW()-1),INDEX('Binder Data'!$D$252:$D$501,ROW()-1)))</f>
        <v/>
      </c>
      <c r="G201" s="64"/>
      <c r="H201" s="19"/>
      <c r="I201" s="19"/>
      <c r="J201" s="19"/>
      <c r="K201" s="19"/>
      <c r="L201" s="32"/>
      <c r="M201" s="32"/>
      <c r="N201" s="19"/>
      <c r="O201" s="5"/>
      <c r="P201" s="19"/>
    </row>
    <row r="202" ht="15.75" customHeight="1">
      <c r="A202" s="19"/>
      <c r="B202" s="19"/>
      <c r="C202" s="48"/>
      <c r="D202" s="39"/>
      <c r="E202" s="39"/>
      <c r="F202" s="34" t="str">
        <f t="array" ref="F202">IF(INDEX('Binder Data'!$A$252:$A$501,ROW()-1)="","",IF(INDEX('Binder Data'!$D$252:$D$501,ROW()-1)="Needed",INDEX('Binder Data'!$B$252:$B$501,ROW()-1),INDEX('Binder Data'!$D$252:$D$501,ROW()-1)))</f>
        <v/>
      </c>
      <c r="G202" s="64"/>
      <c r="H202" s="19"/>
      <c r="I202" s="19"/>
      <c r="J202" s="19"/>
      <c r="K202" s="19"/>
      <c r="L202" s="32"/>
      <c r="M202" s="32"/>
      <c r="N202" s="19"/>
      <c r="O202" s="5"/>
      <c r="P202" s="19"/>
    </row>
    <row r="203" ht="15.75" customHeight="1">
      <c r="A203" s="19"/>
      <c r="B203" s="19"/>
      <c r="C203" s="48"/>
      <c r="D203" s="39"/>
      <c r="E203" s="39"/>
      <c r="F203" s="34" t="str">
        <f t="array" ref="F203">IF(INDEX('Binder Data'!$A$252:$A$501,ROW()-1)="","",IF(INDEX('Binder Data'!$D$252:$D$501,ROW()-1)="Needed",INDEX('Binder Data'!$B$252:$B$501,ROW()-1),INDEX('Binder Data'!$D$252:$D$501,ROW()-1)))</f>
        <v/>
      </c>
      <c r="G203" s="64"/>
      <c r="H203" s="19"/>
      <c r="I203" s="19"/>
      <c r="J203" s="19"/>
      <c r="K203" s="19"/>
      <c r="L203" s="32"/>
      <c r="M203" s="32"/>
      <c r="N203" s="19"/>
      <c r="O203" s="5"/>
      <c r="P203" s="19"/>
    </row>
    <row r="204" ht="15.75" customHeight="1">
      <c r="A204" s="19"/>
      <c r="B204" s="19"/>
      <c r="C204" s="48"/>
      <c r="D204" s="39"/>
      <c r="E204" s="39"/>
      <c r="F204" s="34" t="str">
        <f t="array" ref="F204">IF(INDEX('Binder Data'!$A$252:$A$501,ROW()-1)="","",IF(INDEX('Binder Data'!$D$252:$D$501,ROW()-1)="Needed",INDEX('Binder Data'!$B$252:$B$501,ROW()-1),INDEX('Binder Data'!$D$252:$D$501,ROW()-1)))</f>
        <v/>
      </c>
      <c r="G204" s="64"/>
      <c r="H204" s="19"/>
      <c r="I204" s="19"/>
      <c r="J204" s="19"/>
      <c r="K204" s="19"/>
      <c r="L204" s="32"/>
      <c r="M204" s="32"/>
      <c r="N204" s="19"/>
      <c r="O204" s="5"/>
      <c r="P204" s="19"/>
    </row>
    <row r="205" ht="15.75" customHeight="1">
      <c r="A205" s="19"/>
      <c r="B205" s="19"/>
      <c r="C205" s="48"/>
      <c r="D205" s="39"/>
      <c r="E205" s="39"/>
      <c r="F205" s="34" t="str">
        <f t="array" ref="F205">IF(INDEX('Binder Data'!$A$252:$A$501,ROW()-1)="","",IF(INDEX('Binder Data'!$D$252:$D$501,ROW()-1)="Needed",INDEX('Binder Data'!$B$252:$B$501,ROW()-1),INDEX('Binder Data'!$D$252:$D$501,ROW()-1)))</f>
        <v/>
      </c>
      <c r="G205" s="64"/>
      <c r="H205" s="19"/>
      <c r="I205" s="19"/>
      <c r="J205" s="19"/>
      <c r="K205" s="19"/>
      <c r="L205" s="32"/>
      <c r="M205" s="32"/>
      <c r="N205" s="19"/>
      <c r="O205" s="5"/>
      <c r="P205" s="19"/>
    </row>
    <row r="206" ht="15.75" customHeight="1">
      <c r="A206" s="19"/>
      <c r="B206" s="19"/>
      <c r="C206" s="48"/>
      <c r="D206" s="39"/>
      <c r="E206" s="39"/>
      <c r="F206" s="34" t="str">
        <f t="array" ref="F206">IF(INDEX('Binder Data'!$A$252:$A$501,ROW()-1)="","",IF(INDEX('Binder Data'!$D$252:$D$501,ROW()-1)="Needed",INDEX('Binder Data'!$B$252:$B$501,ROW()-1),INDEX('Binder Data'!$D$252:$D$501,ROW()-1)))</f>
        <v/>
      </c>
      <c r="G206" s="64"/>
      <c r="H206" s="19"/>
      <c r="I206" s="19"/>
      <c r="J206" s="19"/>
      <c r="K206" s="19"/>
      <c r="L206" s="32"/>
      <c r="M206" s="32"/>
      <c r="N206" s="19"/>
      <c r="O206" s="5"/>
      <c r="P206" s="19"/>
    </row>
    <row r="207" ht="15.75" customHeight="1">
      <c r="A207" s="19"/>
      <c r="B207" s="19"/>
      <c r="C207" s="48"/>
      <c r="D207" s="39"/>
      <c r="E207" s="39"/>
      <c r="F207" s="34" t="str">
        <f t="array" ref="F207">IF(INDEX('Binder Data'!$A$252:$A$501,ROW()-1)="","",IF(INDEX('Binder Data'!$D$252:$D$501,ROW()-1)="Needed",INDEX('Binder Data'!$B$252:$B$501,ROW()-1),INDEX('Binder Data'!$D$252:$D$501,ROW()-1)))</f>
        <v/>
      </c>
      <c r="G207" s="64"/>
      <c r="H207" s="19"/>
      <c r="I207" s="19"/>
      <c r="J207" s="19"/>
      <c r="K207" s="19"/>
      <c r="L207" s="32"/>
      <c r="M207" s="32"/>
      <c r="N207" s="19"/>
      <c r="O207" s="5"/>
      <c r="P207" s="19"/>
    </row>
    <row r="208" ht="15.75" customHeight="1">
      <c r="A208" s="19"/>
      <c r="B208" s="19"/>
      <c r="C208" s="48"/>
      <c r="D208" s="39"/>
      <c r="E208" s="39"/>
      <c r="F208" s="34" t="str">
        <f t="array" ref="F208">IF(INDEX('Binder Data'!$A$252:$A$501,ROW()-1)="","",IF(INDEX('Binder Data'!$D$252:$D$501,ROW()-1)="Needed",INDEX('Binder Data'!$B$252:$B$501,ROW()-1),INDEX('Binder Data'!$D$252:$D$501,ROW()-1)))</f>
        <v/>
      </c>
      <c r="G208" s="64"/>
      <c r="H208" s="19"/>
      <c r="I208" s="19"/>
      <c r="J208" s="19"/>
      <c r="K208" s="19"/>
      <c r="L208" s="32"/>
      <c r="M208" s="32"/>
      <c r="N208" s="19"/>
      <c r="O208" s="5"/>
      <c r="P208" s="19"/>
    </row>
    <row r="209" ht="15.75" customHeight="1">
      <c r="A209" s="19"/>
      <c r="B209" s="19"/>
      <c r="C209" s="48"/>
      <c r="D209" s="39"/>
      <c r="E209" s="39"/>
      <c r="F209" s="34" t="str">
        <f t="array" ref="F209">IF(INDEX('Binder Data'!$A$252:$A$501,ROW()-1)="","",IF(INDEX('Binder Data'!$D$252:$D$501,ROW()-1)="Needed",INDEX('Binder Data'!$B$252:$B$501,ROW()-1),INDEX('Binder Data'!$D$252:$D$501,ROW()-1)))</f>
        <v/>
      </c>
      <c r="G209" s="64"/>
      <c r="H209" s="19"/>
      <c r="I209" s="19"/>
      <c r="J209" s="19"/>
      <c r="K209" s="19"/>
      <c r="L209" s="32"/>
      <c r="M209" s="32"/>
      <c r="N209" s="19"/>
      <c r="O209" s="5"/>
      <c r="P209" s="19"/>
    </row>
    <row r="210" ht="15.75" customHeight="1">
      <c r="A210" s="19"/>
      <c r="B210" s="19"/>
      <c r="C210" s="48"/>
      <c r="D210" s="39"/>
      <c r="E210" s="39"/>
      <c r="F210" s="34" t="str">
        <f t="array" ref="F210">IF(INDEX('Binder Data'!$A$252:$A$501,ROW()-1)="","",IF(INDEX('Binder Data'!$D$252:$D$501,ROW()-1)="Needed",INDEX('Binder Data'!$B$252:$B$501,ROW()-1),INDEX('Binder Data'!$D$252:$D$501,ROW()-1)))</f>
        <v/>
      </c>
      <c r="G210" s="64"/>
      <c r="H210" s="19"/>
      <c r="I210" s="19"/>
      <c r="J210" s="19"/>
      <c r="K210" s="19"/>
      <c r="L210" s="32"/>
      <c r="M210" s="32"/>
      <c r="N210" s="19"/>
      <c r="O210" s="5"/>
      <c r="P210" s="19"/>
    </row>
    <row r="211" ht="15.75" customHeight="1">
      <c r="A211" s="19"/>
      <c r="B211" s="19"/>
      <c r="C211" s="48"/>
      <c r="D211" s="39"/>
      <c r="E211" s="39"/>
      <c r="F211" s="34" t="str">
        <f t="array" ref="F211">IF(INDEX('Binder Data'!$A$252:$A$501,ROW()-1)="","",IF(INDEX('Binder Data'!$D$252:$D$501,ROW()-1)="Needed",INDEX('Binder Data'!$B$252:$B$501,ROW()-1),INDEX('Binder Data'!$D$252:$D$501,ROW()-1)))</f>
        <v/>
      </c>
      <c r="G211" s="64"/>
      <c r="H211" s="19"/>
      <c r="I211" s="19"/>
      <c r="J211" s="19"/>
      <c r="K211" s="19"/>
      <c r="L211" s="32"/>
      <c r="M211" s="32"/>
      <c r="N211" s="19"/>
      <c r="O211" s="5"/>
      <c r="P211" s="19"/>
    </row>
    <row r="212" ht="15.75" customHeight="1">
      <c r="A212" s="19"/>
      <c r="B212" s="19"/>
      <c r="C212" s="48"/>
      <c r="D212" s="39"/>
      <c r="E212" s="39"/>
      <c r="F212" s="34" t="str">
        <f t="array" ref="F212">IF(INDEX('Binder Data'!$A$252:$A$501,ROW()-1)="","",IF(INDEX('Binder Data'!$D$252:$D$501,ROW()-1)="Needed",INDEX('Binder Data'!$B$252:$B$501,ROW()-1),INDEX('Binder Data'!$D$252:$D$501,ROW()-1)))</f>
        <v/>
      </c>
      <c r="G212" s="64"/>
      <c r="H212" s="19"/>
      <c r="I212" s="19"/>
      <c r="J212" s="19"/>
      <c r="K212" s="19"/>
      <c r="L212" s="32"/>
      <c r="M212" s="32"/>
      <c r="N212" s="19"/>
      <c r="O212" s="5"/>
      <c r="P212" s="19"/>
    </row>
    <row r="213" ht="15.75" customHeight="1">
      <c r="A213" s="19"/>
      <c r="B213" s="19"/>
      <c r="C213" s="48"/>
      <c r="D213" s="39"/>
      <c r="E213" s="39"/>
      <c r="F213" s="34" t="str">
        <f t="array" ref="F213">IF(INDEX('Binder Data'!$A$252:$A$501,ROW()-1)="","",IF(INDEX('Binder Data'!$D$252:$D$501,ROW()-1)="Needed",INDEX('Binder Data'!$B$252:$B$501,ROW()-1),INDEX('Binder Data'!$D$252:$D$501,ROW()-1)))</f>
        <v/>
      </c>
      <c r="G213" s="64"/>
      <c r="H213" s="19"/>
      <c r="I213" s="19"/>
      <c r="J213" s="19"/>
      <c r="K213" s="19"/>
      <c r="L213" s="32"/>
      <c r="M213" s="32"/>
      <c r="N213" s="19"/>
      <c r="O213" s="5"/>
      <c r="P213" s="19"/>
    </row>
    <row r="214" ht="15.75" customHeight="1">
      <c r="A214" s="19"/>
      <c r="B214" s="19"/>
      <c r="C214" s="48"/>
      <c r="D214" s="39"/>
      <c r="E214" s="39"/>
      <c r="F214" s="34" t="str">
        <f t="array" ref="F214">IF(INDEX('Binder Data'!$A$252:$A$501,ROW()-1)="","",IF(INDEX('Binder Data'!$D$252:$D$501,ROW()-1)="Needed",INDEX('Binder Data'!$B$252:$B$501,ROW()-1),INDEX('Binder Data'!$D$252:$D$501,ROW()-1)))</f>
        <v/>
      </c>
      <c r="G214" s="64"/>
      <c r="H214" s="19"/>
      <c r="I214" s="19"/>
      <c r="J214" s="19"/>
      <c r="K214" s="19"/>
      <c r="L214" s="32"/>
      <c r="M214" s="32"/>
      <c r="N214" s="19"/>
      <c r="O214" s="5"/>
      <c r="P214" s="19"/>
    </row>
    <row r="215" ht="15.75" customHeight="1">
      <c r="A215" s="19"/>
      <c r="B215" s="19"/>
      <c r="C215" s="48"/>
      <c r="D215" s="39"/>
      <c r="E215" s="39"/>
      <c r="F215" s="34" t="str">
        <f t="array" ref="F215">IF(INDEX('Binder Data'!$A$252:$A$501,ROW()-1)="","",IF(INDEX('Binder Data'!$D$252:$D$501,ROW()-1)="Needed",INDEX('Binder Data'!$B$252:$B$501,ROW()-1),INDEX('Binder Data'!$D$252:$D$501,ROW()-1)))</f>
        <v/>
      </c>
      <c r="G215" s="64"/>
      <c r="H215" s="19"/>
      <c r="I215" s="19"/>
      <c r="J215" s="19"/>
      <c r="K215" s="19"/>
      <c r="L215" s="32"/>
      <c r="M215" s="32"/>
      <c r="N215" s="19"/>
      <c r="O215" s="5"/>
      <c r="P215" s="19"/>
    </row>
    <row r="216" ht="15.75" customHeight="1">
      <c r="A216" s="19"/>
      <c r="B216" s="19"/>
      <c r="C216" s="48"/>
      <c r="D216" s="39"/>
      <c r="E216" s="39"/>
      <c r="F216" s="34" t="str">
        <f t="array" ref="F216">IF(INDEX('Binder Data'!$A$252:$A$501,ROW()-1)="","",IF(INDEX('Binder Data'!$D$252:$D$501,ROW()-1)="Needed",INDEX('Binder Data'!$B$252:$B$501,ROW()-1),INDEX('Binder Data'!$D$252:$D$501,ROW()-1)))</f>
        <v/>
      </c>
      <c r="G216" s="64"/>
      <c r="H216" s="19"/>
      <c r="I216" s="19"/>
      <c r="J216" s="19"/>
      <c r="K216" s="19"/>
      <c r="L216" s="32"/>
      <c r="M216" s="32"/>
      <c r="N216" s="19"/>
      <c r="O216" s="5"/>
      <c r="P216" s="19"/>
    </row>
    <row r="217" ht="15.75" customHeight="1">
      <c r="A217" s="19"/>
      <c r="B217" s="19"/>
      <c r="C217" s="48"/>
      <c r="D217" s="39"/>
      <c r="E217" s="39"/>
      <c r="F217" s="34" t="str">
        <f t="array" ref="F217">IF(INDEX('Binder Data'!$A$252:$A$501,ROW()-1)="","",IF(INDEX('Binder Data'!$D$252:$D$501,ROW()-1)="Needed",INDEX('Binder Data'!$B$252:$B$501,ROW()-1),INDEX('Binder Data'!$D$252:$D$501,ROW()-1)))</f>
        <v/>
      </c>
      <c r="G217" s="64"/>
      <c r="H217" s="19"/>
      <c r="I217" s="19"/>
      <c r="J217" s="19"/>
      <c r="K217" s="19"/>
      <c r="L217" s="32"/>
      <c r="M217" s="32"/>
      <c r="N217" s="19"/>
      <c r="O217" s="5"/>
      <c r="P217" s="19"/>
    </row>
    <row r="218" ht="15.75" customHeight="1">
      <c r="A218" s="19"/>
      <c r="B218" s="19"/>
      <c r="C218" s="48"/>
      <c r="D218" s="39"/>
      <c r="E218" s="39"/>
      <c r="F218" s="34" t="str">
        <f t="array" ref="F218">IF(INDEX('Binder Data'!$A$252:$A$501,ROW()-1)="","",IF(INDEX('Binder Data'!$D$252:$D$501,ROW()-1)="Needed",INDEX('Binder Data'!$B$252:$B$501,ROW()-1),INDEX('Binder Data'!$D$252:$D$501,ROW()-1)))</f>
        <v/>
      </c>
      <c r="G218" s="64"/>
      <c r="H218" s="19"/>
      <c r="I218" s="19"/>
      <c r="J218" s="19"/>
      <c r="K218" s="19"/>
      <c r="L218" s="32"/>
      <c r="M218" s="32"/>
      <c r="N218" s="19"/>
      <c r="O218" s="5"/>
      <c r="P218" s="19"/>
    </row>
    <row r="219" ht="15.75" customHeight="1">
      <c r="A219" s="19"/>
      <c r="B219" s="19"/>
      <c r="C219" s="48"/>
      <c r="D219" s="39"/>
      <c r="E219" s="39"/>
      <c r="F219" s="34" t="str">
        <f t="array" ref="F219">IF(INDEX('Binder Data'!$A$252:$A$501,ROW()-1)="","",IF(INDEX('Binder Data'!$D$252:$D$501,ROW()-1)="Needed",INDEX('Binder Data'!$B$252:$B$501,ROW()-1),INDEX('Binder Data'!$D$252:$D$501,ROW()-1)))</f>
        <v/>
      </c>
      <c r="G219" s="64"/>
      <c r="H219" s="19"/>
      <c r="I219" s="19"/>
      <c r="J219" s="19"/>
      <c r="K219" s="19"/>
      <c r="L219" s="32"/>
      <c r="M219" s="32"/>
      <c r="N219" s="19"/>
      <c r="O219" s="5"/>
      <c r="P219" s="19"/>
    </row>
    <row r="220" ht="15.75" customHeight="1">
      <c r="A220" s="19"/>
      <c r="B220" s="19"/>
      <c r="C220" s="48"/>
      <c r="D220" s="39"/>
      <c r="E220" s="39"/>
      <c r="F220" s="34" t="str">
        <f t="array" ref="F220">IF(INDEX('Binder Data'!$A$252:$A$501,ROW()-1)="","",IF(INDEX('Binder Data'!$D$252:$D$501,ROW()-1)="Needed",INDEX('Binder Data'!$B$252:$B$501,ROW()-1),INDEX('Binder Data'!$D$252:$D$501,ROW()-1)))</f>
        <v/>
      </c>
      <c r="G220" s="64"/>
      <c r="H220" s="19"/>
      <c r="I220" s="19"/>
      <c r="J220" s="19"/>
      <c r="K220" s="19"/>
      <c r="L220" s="32"/>
      <c r="M220" s="32"/>
      <c r="N220" s="19"/>
      <c r="O220" s="5"/>
      <c r="P220" s="19"/>
    </row>
    <row r="221" ht="15.75" customHeight="1">
      <c r="A221" s="19"/>
      <c r="B221" s="19"/>
      <c r="C221" s="48"/>
      <c r="D221" s="19"/>
      <c r="E221" s="19"/>
      <c r="F221" s="34" t="str">
        <f t="array" ref="F221">IF(INDEX('Binder Data'!$A$252:$A$501,ROW()-1)="","",IF(INDEX('Binder Data'!$D$252:$D$501,ROW()-1)="Needed",INDEX('Binder Data'!$B$252:$B$501,ROW()-1),INDEX('Binder Data'!$D$252:$D$501,ROW()-1)))</f>
        <v/>
      </c>
      <c r="G221" s="64"/>
      <c r="H221" s="19"/>
      <c r="I221" s="19"/>
      <c r="J221" s="19"/>
      <c r="K221" s="19"/>
      <c r="L221" s="19"/>
      <c r="M221" s="19"/>
      <c r="N221" s="19"/>
      <c r="O221" s="19"/>
      <c r="P221" s="19"/>
    </row>
    <row r="222" ht="15.75" customHeight="1">
      <c r="A222" s="19"/>
      <c r="B222" s="19"/>
      <c r="C222" s="48"/>
      <c r="D222" s="19"/>
      <c r="E222" s="19"/>
      <c r="F222" s="34" t="str">
        <f t="array" ref="F222">IF(INDEX('Binder Data'!$A$252:$A$501,ROW()-1)="","",IF(INDEX('Binder Data'!$D$252:$D$501,ROW()-1)="Needed",INDEX('Binder Data'!$B$252:$B$501,ROW()-1),INDEX('Binder Data'!$D$252:$D$501,ROW()-1)))</f>
        <v/>
      </c>
      <c r="G222" s="64"/>
      <c r="H222" s="19"/>
      <c r="I222" s="19"/>
      <c r="J222" s="19"/>
      <c r="K222" s="19"/>
      <c r="L222" s="19"/>
      <c r="M222" s="19"/>
      <c r="N222" s="19"/>
      <c r="O222" s="19"/>
      <c r="P222" s="19"/>
    </row>
    <row r="223" ht="15.75" customHeight="1">
      <c r="A223" s="19"/>
      <c r="B223" s="19"/>
      <c r="C223" s="48"/>
      <c r="D223" s="19"/>
      <c r="E223" s="19"/>
      <c r="F223" s="34" t="str">
        <f t="array" ref="F223">IF(INDEX('Binder Data'!$A$252:$A$501,ROW()-1)="","",IF(INDEX('Binder Data'!$D$252:$D$501,ROW()-1)="Needed",INDEX('Binder Data'!$B$252:$B$501,ROW()-1),INDEX('Binder Data'!$D$252:$D$501,ROW()-1)))</f>
        <v/>
      </c>
      <c r="G223" s="64"/>
      <c r="H223" s="19"/>
      <c r="I223" s="19"/>
      <c r="J223" s="19"/>
      <c r="K223" s="19"/>
      <c r="L223" s="19"/>
      <c r="M223" s="19"/>
      <c r="N223" s="19"/>
      <c r="O223" s="19"/>
      <c r="P223" s="19"/>
    </row>
    <row r="224" ht="15.75" customHeight="1">
      <c r="A224" s="19"/>
      <c r="B224" s="19"/>
      <c r="C224" s="48"/>
      <c r="D224" s="19"/>
      <c r="E224" s="19"/>
      <c r="F224" s="34" t="str">
        <f t="array" ref="F224">IF(INDEX('Binder Data'!$A$252:$A$501,ROW()-1)="","",IF(INDEX('Binder Data'!$D$252:$D$501,ROW()-1)="Needed",INDEX('Binder Data'!$B$252:$B$501,ROW()-1),INDEX('Binder Data'!$D$252:$D$501,ROW()-1)))</f>
        <v/>
      </c>
      <c r="G224" s="64"/>
      <c r="H224" s="19"/>
      <c r="I224" s="19"/>
      <c r="J224" s="19"/>
      <c r="K224" s="19"/>
      <c r="L224" s="19"/>
      <c r="M224" s="19"/>
      <c r="N224" s="19"/>
      <c r="O224" s="19"/>
      <c r="P224" s="19"/>
    </row>
    <row r="225" ht="15.75" customHeight="1">
      <c r="A225" s="19"/>
      <c r="B225" s="19"/>
      <c r="C225" s="48"/>
      <c r="D225" s="19"/>
      <c r="E225" s="19"/>
      <c r="F225" s="34" t="str">
        <f t="array" ref="F225">IF(INDEX('Binder Data'!$A$252:$A$501,ROW()-1)="","",IF(INDEX('Binder Data'!$D$252:$D$501,ROW()-1)="Needed",INDEX('Binder Data'!$B$252:$B$501,ROW()-1),INDEX('Binder Data'!$D$252:$D$501,ROW()-1)))</f>
        <v/>
      </c>
      <c r="G225" s="64"/>
      <c r="H225" s="19"/>
      <c r="I225" s="19"/>
      <c r="J225" s="19"/>
      <c r="K225" s="19"/>
      <c r="L225" s="19"/>
      <c r="M225" s="19"/>
      <c r="N225" s="19"/>
      <c r="O225" s="19"/>
      <c r="P225" s="19"/>
    </row>
    <row r="226" ht="15.75" customHeight="1">
      <c r="A226" s="19"/>
      <c r="B226" s="19"/>
      <c r="C226" s="48"/>
      <c r="D226" s="19"/>
      <c r="E226" s="19"/>
      <c r="F226" s="34" t="str">
        <f t="array" ref="F226">IF(INDEX('Binder Data'!$A$252:$A$501,ROW()-1)="","",IF(INDEX('Binder Data'!$D$252:$D$501,ROW()-1)="Needed",INDEX('Binder Data'!$B$252:$B$501,ROW()-1),INDEX('Binder Data'!$D$252:$D$501,ROW()-1)))</f>
        <v/>
      </c>
      <c r="G226" s="64"/>
      <c r="H226" s="19"/>
      <c r="I226" s="19"/>
      <c r="J226" s="19"/>
      <c r="K226" s="19"/>
      <c r="L226" s="19"/>
      <c r="M226" s="19"/>
      <c r="N226" s="19"/>
      <c r="O226" s="19"/>
      <c r="P226" s="19"/>
    </row>
    <row r="227" ht="15.75" customHeight="1">
      <c r="A227" s="19"/>
      <c r="B227" s="19"/>
      <c r="C227" s="48"/>
      <c r="D227" s="19"/>
      <c r="E227" s="19"/>
      <c r="F227" s="34" t="str">
        <f t="array" ref="F227">IF(INDEX('Binder Data'!$A$252:$A$501,ROW()-1)="","",IF(INDEX('Binder Data'!$D$252:$D$501,ROW()-1)="Needed",INDEX('Binder Data'!$B$252:$B$501,ROW()-1),INDEX('Binder Data'!$D$252:$D$501,ROW()-1)))</f>
        <v/>
      </c>
      <c r="G227" s="64"/>
      <c r="H227" s="19"/>
      <c r="I227" s="19"/>
      <c r="J227" s="19"/>
      <c r="K227" s="19"/>
      <c r="L227" s="19"/>
      <c r="M227" s="19"/>
      <c r="N227" s="19"/>
      <c r="O227" s="19"/>
      <c r="P227" s="19"/>
    </row>
    <row r="228" ht="15.75" customHeight="1">
      <c r="A228" s="19"/>
      <c r="B228" s="19"/>
      <c r="C228" s="48"/>
      <c r="D228" s="19"/>
      <c r="E228" s="19"/>
      <c r="F228" s="34" t="str">
        <f t="array" ref="F228">IF(INDEX('Binder Data'!$A$252:$A$501,ROW()-1)="","",IF(INDEX('Binder Data'!$D$252:$D$501,ROW()-1)="Needed",INDEX('Binder Data'!$B$252:$B$501,ROW()-1),INDEX('Binder Data'!$D$252:$D$501,ROW()-1)))</f>
        <v/>
      </c>
      <c r="G228" s="64"/>
      <c r="H228" s="19"/>
      <c r="I228" s="19"/>
      <c r="J228" s="19"/>
      <c r="K228" s="19"/>
      <c r="L228" s="19"/>
      <c r="M228" s="19"/>
      <c r="N228" s="19"/>
      <c r="O228" s="19"/>
      <c r="P228" s="19"/>
    </row>
    <row r="229" ht="15.75" customHeight="1">
      <c r="A229" s="19"/>
      <c r="B229" s="19"/>
      <c r="C229" s="48"/>
      <c r="D229" s="19"/>
      <c r="E229" s="19"/>
      <c r="F229" s="34" t="str">
        <f t="array" ref="F229">IF(INDEX('Binder Data'!$A$252:$A$501,ROW()-1)="","",IF(INDEX('Binder Data'!$D$252:$D$501,ROW()-1)="Needed",INDEX('Binder Data'!$B$252:$B$501,ROW()-1),INDEX('Binder Data'!$D$252:$D$501,ROW()-1)))</f>
        <v/>
      </c>
      <c r="G229" s="64"/>
      <c r="H229" s="19"/>
      <c r="I229" s="19"/>
      <c r="J229" s="19"/>
      <c r="K229" s="19"/>
      <c r="L229" s="19"/>
      <c r="M229" s="19"/>
      <c r="N229" s="19"/>
      <c r="O229" s="19"/>
      <c r="P229" s="19"/>
    </row>
    <row r="230" ht="15.75" customHeight="1">
      <c r="A230" s="19"/>
      <c r="B230" s="19"/>
      <c r="C230" s="48"/>
      <c r="D230" s="19"/>
      <c r="E230" s="19"/>
      <c r="F230" s="34" t="str">
        <f t="array" ref="F230">IF(INDEX('Binder Data'!$A$252:$A$501,ROW()-1)="","",IF(INDEX('Binder Data'!$D$252:$D$501,ROW()-1)="Needed",INDEX('Binder Data'!$B$252:$B$501,ROW()-1),INDEX('Binder Data'!$D$252:$D$501,ROW()-1)))</f>
        <v/>
      </c>
      <c r="G230" s="64"/>
      <c r="H230" s="19"/>
      <c r="I230" s="19"/>
      <c r="J230" s="19"/>
      <c r="K230" s="19"/>
      <c r="L230" s="19"/>
      <c r="M230" s="19"/>
      <c r="N230" s="19"/>
      <c r="O230" s="19"/>
      <c r="P230" s="19"/>
    </row>
    <row r="231" ht="15.75" customHeight="1">
      <c r="A231" s="19"/>
      <c r="B231" s="19"/>
      <c r="C231" s="48"/>
      <c r="D231" s="19"/>
      <c r="E231" s="19"/>
      <c r="F231" s="34" t="str">
        <f t="array" ref="F231">IF(INDEX('Binder Data'!$A$252:$A$501,ROW()-1)="","",IF(INDEX('Binder Data'!$D$252:$D$501,ROW()-1)="Needed",INDEX('Binder Data'!$B$252:$B$501,ROW()-1),INDEX('Binder Data'!$D$252:$D$501,ROW()-1)))</f>
        <v/>
      </c>
      <c r="G231" s="64"/>
      <c r="H231" s="19"/>
      <c r="I231" s="19"/>
      <c r="J231" s="19"/>
      <c r="K231" s="19"/>
      <c r="L231" s="19"/>
      <c r="M231" s="19"/>
      <c r="N231" s="19"/>
      <c r="O231" s="19"/>
      <c r="P231" s="19"/>
    </row>
    <row r="232" ht="15.75" customHeight="1">
      <c r="A232" s="19"/>
      <c r="B232" s="19"/>
      <c r="C232" s="48"/>
      <c r="D232" s="19"/>
      <c r="E232" s="19"/>
      <c r="F232" s="34" t="str">
        <f t="array" ref="F232">IF(INDEX('Binder Data'!$A$252:$A$501,ROW()-1)="","",IF(INDEX('Binder Data'!$D$252:$D$501,ROW()-1)="Needed",INDEX('Binder Data'!$B$252:$B$501,ROW()-1),INDEX('Binder Data'!$D$252:$D$501,ROW()-1)))</f>
        <v/>
      </c>
      <c r="G232" s="64"/>
      <c r="H232" s="19"/>
      <c r="I232" s="19"/>
      <c r="J232" s="19"/>
      <c r="K232" s="19"/>
      <c r="L232" s="19"/>
      <c r="M232" s="19"/>
      <c r="N232" s="19"/>
      <c r="O232" s="19"/>
      <c r="P232" s="19"/>
    </row>
    <row r="233" ht="15.75" customHeight="1">
      <c r="A233" s="19"/>
      <c r="B233" s="19"/>
      <c r="C233" s="48"/>
      <c r="D233" s="19"/>
      <c r="E233" s="19"/>
      <c r="F233" s="34" t="str">
        <f t="array" ref="F233">IF(INDEX('Binder Data'!$A$252:$A$501,ROW()-1)="","",IF(INDEX('Binder Data'!$D$252:$D$501,ROW()-1)="Needed",INDEX('Binder Data'!$B$252:$B$501,ROW()-1),INDEX('Binder Data'!$D$252:$D$501,ROW()-1)))</f>
        <v/>
      </c>
      <c r="G233" s="64"/>
      <c r="H233" s="19"/>
      <c r="I233" s="19"/>
      <c r="J233" s="19"/>
      <c r="K233" s="19"/>
      <c r="L233" s="19"/>
      <c r="M233" s="19"/>
      <c r="N233" s="19"/>
      <c r="O233" s="19"/>
      <c r="P233" s="19"/>
    </row>
    <row r="234" ht="15.75" customHeight="1">
      <c r="A234" s="19"/>
      <c r="B234" s="19"/>
      <c r="C234" s="48"/>
      <c r="D234" s="19"/>
      <c r="E234" s="19"/>
      <c r="F234" s="34" t="str">
        <f t="array" ref="F234">IF(INDEX('Binder Data'!$A$252:$A$501,ROW()-1)="","",IF(INDEX('Binder Data'!$D$252:$D$501,ROW()-1)="Needed",INDEX('Binder Data'!$B$252:$B$501,ROW()-1),INDEX('Binder Data'!$D$252:$D$501,ROW()-1)))</f>
        <v/>
      </c>
      <c r="G234" s="64"/>
      <c r="H234" s="19"/>
      <c r="I234" s="19"/>
      <c r="J234" s="19"/>
      <c r="K234" s="19"/>
      <c r="L234" s="19"/>
      <c r="M234" s="19"/>
      <c r="N234" s="19"/>
      <c r="O234" s="19"/>
      <c r="P234" s="19"/>
    </row>
    <row r="235" ht="15.75" customHeight="1">
      <c r="A235" s="19"/>
      <c r="B235" s="19"/>
      <c r="C235" s="48"/>
      <c r="D235" s="19"/>
      <c r="E235" s="19"/>
      <c r="F235" s="34" t="str">
        <f t="array" ref="F235">IF(INDEX('Binder Data'!$A$252:$A$501,ROW()-1)="","",IF(INDEX('Binder Data'!$D$252:$D$501,ROW()-1)="Needed",INDEX('Binder Data'!$B$252:$B$501,ROW()-1),INDEX('Binder Data'!$D$252:$D$501,ROW()-1)))</f>
        <v/>
      </c>
      <c r="G235" s="64"/>
      <c r="H235" s="19"/>
      <c r="I235" s="19"/>
      <c r="J235" s="19"/>
      <c r="K235" s="19"/>
      <c r="L235" s="19"/>
      <c r="M235" s="19"/>
      <c r="N235" s="19"/>
      <c r="O235" s="19"/>
      <c r="P235" s="19"/>
    </row>
    <row r="236" ht="15.75" customHeight="1">
      <c r="A236" s="19"/>
      <c r="B236" s="19"/>
      <c r="C236" s="48"/>
      <c r="D236" s="19"/>
      <c r="E236" s="19"/>
      <c r="F236" s="34" t="str">
        <f t="array" ref="F236">IF(INDEX('Binder Data'!$A$252:$A$501,ROW()-1)="","",IF(INDEX('Binder Data'!$D$252:$D$501,ROW()-1)="Needed",INDEX('Binder Data'!$B$252:$B$501,ROW()-1),INDEX('Binder Data'!$D$252:$D$501,ROW()-1)))</f>
        <v/>
      </c>
      <c r="G236" s="64"/>
      <c r="H236" s="19"/>
      <c r="I236" s="19"/>
      <c r="J236" s="19"/>
      <c r="K236" s="19"/>
      <c r="L236" s="19"/>
      <c r="M236" s="19"/>
      <c r="N236" s="19"/>
      <c r="O236" s="19"/>
      <c r="P236" s="19"/>
    </row>
    <row r="237" ht="15.75" customHeight="1">
      <c r="A237" s="19"/>
      <c r="B237" s="19"/>
      <c r="C237" s="48"/>
      <c r="D237" s="19"/>
      <c r="E237" s="19"/>
      <c r="F237" s="34" t="str">
        <f t="array" ref="F237">IF(INDEX('Binder Data'!$A$252:$A$501,ROW()-1)="","",IF(INDEX('Binder Data'!$D$252:$D$501,ROW()-1)="Needed",INDEX('Binder Data'!$B$252:$B$501,ROW()-1),INDEX('Binder Data'!$D$252:$D$501,ROW()-1)))</f>
        <v/>
      </c>
      <c r="G237" s="64"/>
      <c r="H237" s="19"/>
      <c r="I237" s="19"/>
      <c r="J237" s="19"/>
      <c r="K237" s="19"/>
      <c r="L237" s="19"/>
      <c r="M237" s="19"/>
      <c r="N237" s="19"/>
      <c r="O237" s="19"/>
      <c r="P237" s="19"/>
    </row>
    <row r="238" ht="15.75" customHeight="1">
      <c r="A238" s="19"/>
      <c r="B238" s="19"/>
      <c r="C238" s="48"/>
      <c r="D238" s="19"/>
      <c r="E238" s="19"/>
      <c r="F238" s="34" t="str">
        <f t="array" ref="F238">IF(INDEX('Binder Data'!$A$252:$A$501,ROW()-1)="","",IF(INDEX('Binder Data'!$D$252:$D$501,ROW()-1)="Needed",INDEX('Binder Data'!$B$252:$B$501,ROW()-1),INDEX('Binder Data'!$D$252:$D$501,ROW()-1)))</f>
        <v/>
      </c>
      <c r="G238" s="64"/>
      <c r="H238" s="19"/>
      <c r="I238" s="19"/>
      <c r="J238" s="19"/>
      <c r="K238" s="19"/>
      <c r="L238" s="19"/>
      <c r="M238" s="19"/>
      <c r="N238" s="19"/>
      <c r="O238" s="19"/>
      <c r="P238" s="19"/>
    </row>
    <row r="239" ht="15.75" customHeight="1">
      <c r="A239" s="19"/>
      <c r="B239" s="19"/>
      <c r="C239" s="48"/>
      <c r="D239" s="19"/>
      <c r="E239" s="19"/>
      <c r="F239" s="34" t="str">
        <f t="array" ref="F239">IF(INDEX('Binder Data'!$A$252:$A$501,ROW()-1)="","",IF(INDEX('Binder Data'!$D$252:$D$501,ROW()-1)="Needed",INDEX('Binder Data'!$B$252:$B$501,ROW()-1),INDEX('Binder Data'!$D$252:$D$501,ROW()-1)))</f>
        <v/>
      </c>
      <c r="G239" s="64"/>
      <c r="H239" s="19"/>
      <c r="I239" s="19"/>
      <c r="J239" s="19"/>
      <c r="K239" s="19"/>
      <c r="L239" s="19"/>
      <c r="M239" s="19"/>
      <c r="N239" s="19"/>
      <c r="O239" s="19"/>
      <c r="P239" s="19"/>
    </row>
    <row r="240" ht="15.75" customHeight="1">
      <c r="A240" s="19"/>
      <c r="B240" s="19"/>
      <c r="C240" s="48"/>
      <c r="D240" s="19"/>
      <c r="E240" s="19"/>
      <c r="F240" s="34" t="str">
        <f t="array" ref="F240">IF(INDEX('Binder Data'!$A$252:$A$501,ROW()-1)="","",IF(INDEX('Binder Data'!$D$252:$D$501,ROW()-1)="Needed",INDEX('Binder Data'!$B$252:$B$501,ROW()-1),INDEX('Binder Data'!$D$252:$D$501,ROW()-1)))</f>
        <v/>
      </c>
      <c r="G240" s="64"/>
      <c r="H240" s="19"/>
      <c r="I240" s="19"/>
      <c r="J240" s="19"/>
      <c r="K240" s="19"/>
      <c r="L240" s="19"/>
      <c r="M240" s="19"/>
      <c r="N240" s="19"/>
      <c r="O240" s="19"/>
      <c r="P240" s="19"/>
    </row>
    <row r="241" ht="15.75" customHeight="1">
      <c r="A241" s="19"/>
      <c r="B241" s="19"/>
      <c r="C241" s="48"/>
      <c r="D241" s="19"/>
      <c r="E241" s="19"/>
      <c r="F241" s="34" t="str">
        <f t="array" ref="F241">IF(INDEX('Binder Data'!$A$252:$A$501,ROW()-1)="","",IF(INDEX('Binder Data'!$D$252:$D$501,ROW()-1)="Needed",INDEX('Binder Data'!$B$252:$B$501,ROW()-1),INDEX('Binder Data'!$D$252:$D$501,ROW()-1)))</f>
        <v/>
      </c>
      <c r="G241" s="64"/>
      <c r="H241" s="19"/>
      <c r="I241" s="19"/>
      <c r="J241" s="19"/>
      <c r="K241" s="19"/>
      <c r="L241" s="19"/>
      <c r="M241" s="19"/>
      <c r="N241" s="19"/>
      <c r="O241" s="19"/>
      <c r="P241" s="19"/>
    </row>
    <row r="242" ht="15.75" customHeight="1">
      <c r="A242" s="19"/>
      <c r="B242" s="19"/>
      <c r="C242" s="48"/>
      <c r="D242" s="19"/>
      <c r="E242" s="19"/>
      <c r="F242" s="34" t="str">
        <f t="array" ref="F242">IF(INDEX('Binder Data'!$A$252:$A$501,ROW()-1)="","",IF(INDEX('Binder Data'!$D$252:$D$501,ROW()-1)="Needed",INDEX('Binder Data'!$B$252:$B$501,ROW()-1),INDEX('Binder Data'!$D$252:$D$501,ROW()-1)))</f>
        <v/>
      </c>
      <c r="G242" s="64"/>
      <c r="H242" s="19"/>
      <c r="I242" s="19"/>
      <c r="J242" s="19"/>
      <c r="K242" s="19"/>
      <c r="L242" s="19"/>
      <c r="M242" s="19"/>
      <c r="N242" s="19"/>
      <c r="O242" s="19"/>
      <c r="P242" s="19"/>
    </row>
    <row r="243" ht="15.75" customHeight="1">
      <c r="A243" s="19"/>
      <c r="B243" s="19"/>
      <c r="C243" s="48"/>
      <c r="D243" s="19"/>
      <c r="E243" s="19"/>
      <c r="F243" s="34" t="str">
        <f t="array" ref="F243">IF(INDEX('Binder Data'!$A$252:$A$501,ROW()-1)="","",IF(INDEX('Binder Data'!$D$252:$D$501,ROW()-1)="Needed",INDEX('Binder Data'!$B$252:$B$501,ROW()-1),INDEX('Binder Data'!$D$252:$D$501,ROW()-1)))</f>
        <v/>
      </c>
      <c r="G243" s="64"/>
      <c r="H243" s="19"/>
      <c r="I243" s="19"/>
      <c r="J243" s="19"/>
      <c r="K243" s="19"/>
      <c r="L243" s="19"/>
      <c r="M243" s="19"/>
      <c r="N243" s="19"/>
      <c r="O243" s="19"/>
      <c r="P243" s="19"/>
    </row>
    <row r="244" ht="15.75" customHeight="1">
      <c r="A244" s="19"/>
      <c r="B244" s="19"/>
      <c r="C244" s="48"/>
      <c r="D244" s="19"/>
      <c r="E244" s="19"/>
      <c r="F244" s="34" t="str">
        <f t="array" ref="F244">IF(INDEX('Binder Data'!$A$252:$A$501,ROW()-1)="","",IF(INDEX('Binder Data'!$D$252:$D$501,ROW()-1)="Needed",INDEX('Binder Data'!$B$252:$B$501,ROW()-1),INDEX('Binder Data'!$D$252:$D$501,ROW()-1)))</f>
        <v/>
      </c>
      <c r="G244" s="64"/>
      <c r="H244" s="19"/>
      <c r="I244" s="19"/>
      <c r="J244" s="19"/>
      <c r="K244" s="19"/>
      <c r="L244" s="19"/>
      <c r="M244" s="19"/>
      <c r="N244" s="19"/>
      <c r="O244" s="19"/>
      <c r="P244" s="19"/>
    </row>
    <row r="245" ht="15.75" customHeight="1">
      <c r="A245" s="19"/>
      <c r="B245" s="19"/>
      <c r="C245" s="48"/>
      <c r="D245" s="19"/>
      <c r="E245" s="19"/>
      <c r="F245" s="34" t="str">
        <f t="array" ref="F245">IF(INDEX('Binder Data'!$A$252:$A$501,ROW()-1)="","",IF(INDEX('Binder Data'!$D$252:$D$501,ROW()-1)="Needed",INDEX('Binder Data'!$B$252:$B$501,ROW()-1),INDEX('Binder Data'!$D$252:$D$501,ROW()-1)))</f>
        <v/>
      </c>
      <c r="G245" s="64"/>
      <c r="H245" s="19"/>
      <c r="I245" s="19"/>
      <c r="J245" s="19"/>
      <c r="K245" s="19"/>
      <c r="L245" s="19"/>
      <c r="M245" s="19"/>
      <c r="N245" s="19"/>
      <c r="O245" s="19"/>
      <c r="P245" s="19"/>
    </row>
    <row r="246" ht="15.75" customHeight="1">
      <c r="A246" s="19"/>
      <c r="B246" s="19"/>
      <c r="C246" s="48"/>
      <c r="D246" s="19"/>
      <c r="E246" s="19"/>
      <c r="F246" s="34" t="str">
        <f t="array" ref="F246">IF(INDEX('Binder Data'!$A$252:$A$501,ROW()-1)="","",IF(INDEX('Binder Data'!$D$252:$D$501,ROW()-1)="Needed",INDEX('Binder Data'!$B$252:$B$501,ROW()-1),INDEX('Binder Data'!$D$252:$D$501,ROW()-1)))</f>
        <v/>
      </c>
      <c r="G246" s="64"/>
      <c r="H246" s="19"/>
      <c r="I246" s="19"/>
      <c r="J246" s="19"/>
      <c r="K246" s="19"/>
      <c r="L246" s="19"/>
      <c r="M246" s="19"/>
      <c r="N246" s="19"/>
      <c r="O246" s="19"/>
      <c r="P246" s="19"/>
    </row>
    <row r="247" ht="15.75" customHeight="1">
      <c r="A247" s="19"/>
      <c r="B247" s="19"/>
      <c r="C247" s="48"/>
      <c r="D247" s="19"/>
      <c r="E247" s="19"/>
      <c r="F247" s="34" t="str">
        <f t="array" ref="F247">IF(INDEX('Binder Data'!$A$252:$A$501,ROW()-1)="","",IF(INDEX('Binder Data'!$D$252:$D$501,ROW()-1)="Needed",INDEX('Binder Data'!$B$252:$B$501,ROW()-1),INDEX('Binder Data'!$D$252:$D$501,ROW()-1)))</f>
        <v/>
      </c>
      <c r="G247" s="64"/>
      <c r="H247" s="19"/>
      <c r="I247" s="19"/>
      <c r="J247" s="19"/>
      <c r="K247" s="19"/>
      <c r="L247" s="19"/>
      <c r="M247" s="19"/>
      <c r="N247" s="19"/>
      <c r="O247" s="19"/>
      <c r="P247" s="19"/>
    </row>
    <row r="248" ht="15.75" customHeight="1">
      <c r="A248" s="19"/>
      <c r="B248" s="19"/>
      <c r="C248" s="48"/>
      <c r="D248" s="19"/>
      <c r="E248" s="19"/>
      <c r="F248" s="34" t="str">
        <f t="array" ref="F248">IF(INDEX('Binder Data'!$A$252:$A$501,ROW()-1)="","",IF(INDEX('Binder Data'!$D$252:$D$501,ROW()-1)="Needed",INDEX('Binder Data'!$B$252:$B$501,ROW()-1),INDEX('Binder Data'!$D$252:$D$501,ROW()-1)))</f>
        <v/>
      </c>
      <c r="G248" s="64"/>
      <c r="H248" s="19"/>
      <c r="I248" s="19"/>
      <c r="J248" s="19"/>
      <c r="K248" s="19"/>
      <c r="L248" s="19"/>
      <c r="M248" s="19"/>
      <c r="N248" s="19"/>
      <c r="O248" s="19"/>
      <c r="P248" s="19"/>
    </row>
    <row r="249" ht="15.75" customHeight="1">
      <c r="A249" s="19"/>
      <c r="B249" s="19"/>
      <c r="C249" s="48"/>
      <c r="D249" s="19"/>
      <c r="E249" s="19"/>
      <c r="F249" s="34" t="str">
        <f t="array" ref="F249">IF(INDEX('Binder Data'!$A$252:$A$501,ROW()-1)="","",IF(INDEX('Binder Data'!$D$252:$D$501,ROW()-1)="Needed",INDEX('Binder Data'!$B$252:$B$501,ROW()-1),INDEX('Binder Data'!$D$252:$D$501,ROW()-1)))</f>
        <v/>
      </c>
      <c r="G249" s="64"/>
      <c r="H249" s="19"/>
      <c r="I249" s="19"/>
      <c r="J249" s="19"/>
      <c r="K249" s="19"/>
      <c r="L249" s="19"/>
      <c r="M249" s="19"/>
      <c r="N249" s="19"/>
      <c r="O249" s="19"/>
      <c r="P249" s="19"/>
    </row>
    <row r="250" ht="15.75" customHeight="1">
      <c r="A250" s="19"/>
      <c r="B250" s="19"/>
      <c r="C250" s="48"/>
      <c r="D250" s="19"/>
      <c r="E250" s="19"/>
      <c r="F250" s="34" t="str">
        <f t="array" ref="F250">IF(INDEX('Binder Data'!$A$252:$A$501,ROW()-1)="","",IF(INDEX('Binder Data'!$D$252:$D$501,ROW()-1)="Needed",INDEX('Binder Data'!$B$252:$B$501,ROW()-1),INDEX('Binder Data'!$D$252:$D$501,ROW()-1)))</f>
        <v/>
      </c>
      <c r="G250" s="64"/>
      <c r="H250" s="19"/>
      <c r="I250" s="19"/>
      <c r="J250" s="19"/>
      <c r="K250" s="19"/>
      <c r="L250" s="19"/>
      <c r="M250" s="19"/>
      <c r="N250" s="19"/>
      <c r="O250" s="19"/>
      <c r="P250" s="19"/>
    </row>
    <row r="251" ht="15.75" customHeight="1">
      <c r="A251" s="19"/>
      <c r="B251" s="19"/>
      <c r="C251" s="48"/>
      <c r="D251" s="19"/>
      <c r="E251" s="19"/>
      <c r="F251" s="34" t="str">
        <f t="array" ref="F251">IF(INDEX('Binder Data'!$A$252:$A$501,ROW()-1)="","",IF(INDEX('Binder Data'!$D$252:$D$501,ROW()-1)="Needed",INDEX('Binder Data'!$B$252:$B$501,ROW()-1),INDEX('Binder Data'!$D$252:$D$501,ROW()-1)))</f>
        <v/>
      </c>
      <c r="G251" s="64"/>
      <c r="H251" s="19"/>
      <c r="I251" s="19"/>
      <c r="J251" s="19"/>
      <c r="K251" s="19"/>
      <c r="L251" s="19"/>
      <c r="M251" s="19"/>
      <c r="N251" s="19"/>
      <c r="O251" s="19"/>
      <c r="P251" s="19"/>
    </row>
    <row r="252" ht="15.75" customHeight="1">
      <c r="A252" s="19"/>
      <c r="B252" s="19"/>
      <c r="C252" s="19"/>
      <c r="D252" s="19"/>
      <c r="E252" s="19"/>
      <c r="F252" s="2"/>
      <c r="G252" s="19"/>
      <c r="H252" s="19"/>
      <c r="I252" s="19"/>
      <c r="J252" s="19"/>
      <c r="K252" s="19"/>
      <c r="L252" s="19"/>
      <c r="M252" s="19"/>
      <c r="N252" s="19"/>
      <c r="O252" s="19"/>
      <c r="P252" s="19"/>
    </row>
    <row r="253" ht="15.75" customHeight="1">
      <c r="A253" s="19"/>
      <c r="B253" s="19"/>
      <c r="C253" s="19"/>
      <c r="D253" s="19"/>
      <c r="E253" s="19"/>
      <c r="F253" s="2"/>
      <c r="G253" s="19"/>
      <c r="H253" s="19"/>
      <c r="I253" s="19"/>
      <c r="J253" s="19"/>
      <c r="K253" s="19"/>
      <c r="L253" s="19"/>
      <c r="M253" s="19"/>
      <c r="N253" s="19"/>
      <c r="O253" s="19"/>
      <c r="P253" s="19"/>
    </row>
    <row r="254" ht="15.75" customHeight="1">
      <c r="A254" s="19"/>
      <c r="B254" s="19"/>
      <c r="C254" s="19"/>
      <c r="D254" s="19"/>
      <c r="E254" s="19"/>
      <c r="F254" s="2"/>
      <c r="G254" s="19"/>
      <c r="H254" s="19"/>
      <c r="I254" s="19"/>
      <c r="J254" s="19"/>
      <c r="K254" s="19"/>
      <c r="L254" s="19"/>
      <c r="M254" s="19"/>
      <c r="N254" s="19"/>
      <c r="O254" s="19"/>
      <c r="P254" s="19"/>
    </row>
    <row r="255" ht="15.75" customHeight="1">
      <c r="A255" s="19"/>
      <c r="B255" s="19"/>
      <c r="C255" s="19"/>
      <c r="D255" s="19"/>
      <c r="E255" s="19"/>
      <c r="F255" s="2"/>
      <c r="G255" s="19"/>
      <c r="H255" s="19"/>
      <c r="I255" s="19"/>
      <c r="J255" s="19"/>
      <c r="K255" s="19"/>
      <c r="L255" s="19"/>
      <c r="M255" s="19"/>
      <c r="N255" s="19"/>
      <c r="O255" s="19"/>
      <c r="P255" s="19"/>
    </row>
    <row r="256" ht="15.75" customHeight="1">
      <c r="A256" s="19"/>
      <c r="B256" s="19"/>
      <c r="C256" s="19"/>
      <c r="D256" s="19"/>
      <c r="E256" s="19"/>
      <c r="F256" s="2"/>
      <c r="G256" s="19"/>
      <c r="H256" s="19"/>
      <c r="I256" s="19"/>
      <c r="J256" s="19"/>
      <c r="K256" s="19"/>
      <c r="L256" s="19"/>
      <c r="M256" s="19"/>
      <c r="N256" s="19"/>
      <c r="O256" s="19"/>
      <c r="P256" s="19"/>
    </row>
    <row r="257" ht="15.75" customHeight="1">
      <c r="A257" s="19"/>
      <c r="B257" s="19"/>
      <c r="C257" s="19"/>
      <c r="D257" s="19"/>
      <c r="E257" s="19"/>
      <c r="F257" s="2"/>
      <c r="G257" s="19"/>
      <c r="H257" s="19"/>
      <c r="I257" s="19"/>
      <c r="J257" s="19"/>
      <c r="K257" s="19"/>
      <c r="L257" s="19"/>
      <c r="M257" s="19"/>
      <c r="N257" s="19"/>
      <c r="O257" s="19"/>
      <c r="P257" s="19"/>
    </row>
    <row r="258" ht="15.75" customHeight="1">
      <c r="A258" s="19"/>
      <c r="B258" s="19"/>
      <c r="C258" s="19"/>
      <c r="D258" s="19"/>
      <c r="E258" s="19"/>
      <c r="F258" s="2"/>
      <c r="G258" s="19"/>
      <c r="H258" s="19"/>
      <c r="I258" s="19"/>
      <c r="J258" s="19"/>
      <c r="K258" s="19"/>
      <c r="L258" s="19"/>
      <c r="M258" s="19"/>
      <c r="N258" s="19"/>
      <c r="O258" s="19"/>
      <c r="P258" s="19"/>
    </row>
    <row r="259" ht="15.75" customHeight="1">
      <c r="A259" s="19"/>
      <c r="B259" s="19"/>
      <c r="C259" s="19"/>
      <c r="D259" s="19"/>
      <c r="E259" s="19"/>
      <c r="F259" s="2"/>
      <c r="G259" s="19"/>
      <c r="H259" s="19"/>
      <c r="I259" s="19"/>
      <c r="J259" s="19"/>
      <c r="K259" s="19"/>
      <c r="L259" s="19"/>
      <c r="M259" s="19"/>
      <c r="N259" s="19"/>
      <c r="O259" s="19"/>
      <c r="P259" s="19"/>
    </row>
    <row r="260" ht="15.75" customHeight="1">
      <c r="A260" s="19"/>
      <c r="B260" s="19"/>
      <c r="C260" s="19"/>
      <c r="D260" s="19"/>
      <c r="E260" s="19"/>
      <c r="F260" s="2"/>
      <c r="G260" s="19"/>
      <c r="H260" s="19"/>
      <c r="I260" s="19"/>
      <c r="J260" s="19"/>
      <c r="K260" s="19"/>
      <c r="L260" s="19"/>
      <c r="M260" s="19"/>
      <c r="N260" s="19"/>
      <c r="O260" s="19"/>
      <c r="P260" s="19"/>
    </row>
    <row r="261" ht="15.75" customHeight="1">
      <c r="A261" s="19"/>
      <c r="B261" s="19"/>
      <c r="C261" s="19"/>
      <c r="D261" s="19"/>
      <c r="E261" s="19"/>
      <c r="F261" s="2"/>
      <c r="G261" s="19"/>
      <c r="H261" s="19"/>
      <c r="I261" s="19"/>
      <c r="J261" s="19"/>
      <c r="K261" s="19"/>
      <c r="L261" s="19"/>
      <c r="M261" s="19"/>
      <c r="N261" s="19"/>
      <c r="O261" s="19"/>
      <c r="P261" s="19"/>
    </row>
    <row r="262" ht="15.75" customHeight="1">
      <c r="A262" s="19"/>
      <c r="B262" s="19"/>
      <c r="C262" s="19"/>
      <c r="D262" s="19"/>
      <c r="E262" s="19"/>
      <c r="F262" s="2"/>
      <c r="G262" s="19"/>
      <c r="H262" s="19"/>
      <c r="I262" s="19"/>
      <c r="J262" s="19"/>
      <c r="K262" s="19"/>
      <c r="L262" s="19"/>
      <c r="M262" s="19"/>
      <c r="N262" s="19"/>
      <c r="O262" s="19"/>
      <c r="P262" s="19"/>
    </row>
    <row r="263" ht="15.75" customHeight="1">
      <c r="A263" s="19"/>
      <c r="B263" s="19"/>
      <c r="C263" s="19"/>
      <c r="D263" s="19"/>
      <c r="E263" s="19"/>
      <c r="F263" s="2"/>
      <c r="G263" s="19"/>
      <c r="H263" s="19"/>
      <c r="I263" s="19"/>
      <c r="J263" s="19"/>
      <c r="K263" s="19"/>
      <c r="L263" s="19"/>
      <c r="M263" s="19"/>
      <c r="N263" s="19"/>
      <c r="O263" s="19"/>
      <c r="P263" s="19"/>
    </row>
    <row r="264" ht="15.75" customHeight="1">
      <c r="A264" s="19"/>
      <c r="B264" s="19"/>
      <c r="C264" s="19"/>
      <c r="D264" s="19"/>
      <c r="E264" s="19"/>
      <c r="F264" s="2"/>
      <c r="G264" s="19"/>
      <c r="H264" s="19"/>
      <c r="I264" s="19"/>
      <c r="J264" s="19"/>
      <c r="K264" s="19"/>
      <c r="L264" s="19"/>
      <c r="M264" s="19"/>
      <c r="N264" s="19"/>
      <c r="O264" s="19"/>
      <c r="P264" s="19"/>
    </row>
    <row r="265" ht="15.75" customHeight="1">
      <c r="A265" s="19"/>
      <c r="B265" s="19"/>
      <c r="C265" s="19"/>
      <c r="D265" s="19"/>
      <c r="E265" s="19"/>
      <c r="F265" s="2"/>
      <c r="G265" s="19"/>
      <c r="H265" s="19"/>
      <c r="I265" s="19"/>
      <c r="J265" s="19"/>
      <c r="K265" s="19"/>
      <c r="L265" s="19"/>
      <c r="M265" s="19"/>
      <c r="N265" s="19"/>
      <c r="O265" s="19"/>
      <c r="P265" s="19"/>
    </row>
    <row r="266" ht="15.75" customHeight="1">
      <c r="A266" s="19"/>
      <c r="B266" s="19"/>
      <c r="C266" s="19"/>
      <c r="D266" s="19"/>
      <c r="E266" s="19"/>
      <c r="F266" s="2"/>
      <c r="G266" s="19"/>
      <c r="H266" s="19"/>
      <c r="I266" s="19"/>
      <c r="J266" s="19"/>
      <c r="K266" s="19"/>
      <c r="L266" s="19"/>
      <c r="M266" s="19"/>
      <c r="N266" s="19"/>
      <c r="O266" s="19"/>
      <c r="P266" s="19"/>
    </row>
    <row r="267" ht="15.75" customHeight="1">
      <c r="A267" s="19"/>
      <c r="B267" s="19"/>
      <c r="C267" s="19"/>
      <c r="D267" s="19"/>
      <c r="E267" s="19"/>
      <c r="F267" s="2"/>
      <c r="G267" s="19"/>
      <c r="H267" s="19"/>
      <c r="I267" s="19"/>
      <c r="J267" s="19"/>
      <c r="K267" s="19"/>
      <c r="L267" s="19"/>
      <c r="M267" s="19"/>
      <c r="N267" s="19"/>
      <c r="O267" s="19"/>
      <c r="P267" s="19"/>
    </row>
    <row r="268" ht="15.75" customHeight="1">
      <c r="A268" s="19"/>
      <c r="B268" s="19"/>
      <c r="C268" s="19"/>
      <c r="D268" s="19"/>
      <c r="E268" s="19"/>
      <c r="F268" s="2"/>
      <c r="G268" s="19"/>
      <c r="H268" s="19"/>
      <c r="I268" s="19"/>
      <c r="J268" s="19"/>
      <c r="K268" s="19"/>
      <c r="L268" s="19"/>
      <c r="M268" s="19"/>
      <c r="N268" s="19"/>
      <c r="O268" s="19"/>
      <c r="P268" s="19"/>
    </row>
    <row r="269" ht="15.75" customHeight="1">
      <c r="A269" s="19"/>
      <c r="B269" s="19"/>
      <c r="C269" s="19"/>
      <c r="D269" s="19"/>
      <c r="E269" s="19"/>
      <c r="F269" s="2"/>
      <c r="G269" s="19"/>
      <c r="H269" s="19"/>
      <c r="I269" s="19"/>
      <c r="J269" s="19"/>
      <c r="K269" s="19"/>
      <c r="L269" s="19"/>
      <c r="M269" s="19"/>
      <c r="N269" s="19"/>
      <c r="O269" s="19"/>
      <c r="P269" s="19"/>
    </row>
    <row r="270" ht="15.75" customHeight="1">
      <c r="A270" s="19"/>
      <c r="B270" s="19"/>
      <c r="C270" s="19"/>
      <c r="D270" s="19"/>
      <c r="E270" s="19"/>
      <c r="F270" s="2"/>
      <c r="G270" s="19"/>
      <c r="H270" s="19"/>
      <c r="I270" s="19"/>
      <c r="J270" s="19"/>
      <c r="K270" s="19"/>
      <c r="L270" s="19"/>
      <c r="M270" s="19"/>
      <c r="N270" s="19"/>
      <c r="O270" s="19"/>
      <c r="P270" s="19"/>
    </row>
    <row r="271" ht="15.75" customHeight="1">
      <c r="A271" s="19"/>
      <c r="B271" s="19"/>
      <c r="C271" s="19"/>
      <c r="D271" s="19"/>
      <c r="E271" s="19"/>
      <c r="F271" s="2"/>
      <c r="G271" s="19"/>
      <c r="H271" s="19"/>
      <c r="I271" s="19"/>
      <c r="J271" s="19"/>
      <c r="K271" s="19"/>
      <c r="L271" s="19"/>
      <c r="M271" s="19"/>
      <c r="N271" s="19"/>
      <c r="O271" s="19"/>
      <c r="P271" s="19"/>
    </row>
    <row r="272" ht="15.75" customHeight="1">
      <c r="A272" s="19"/>
      <c r="B272" s="19"/>
      <c r="C272" s="19"/>
      <c r="D272" s="19"/>
      <c r="E272" s="19"/>
      <c r="F272" s="2"/>
      <c r="G272" s="19"/>
      <c r="H272" s="19"/>
      <c r="I272" s="19"/>
      <c r="J272" s="19"/>
      <c r="K272" s="19"/>
      <c r="L272" s="19"/>
      <c r="M272" s="19"/>
      <c r="N272" s="19"/>
      <c r="O272" s="19"/>
      <c r="P272" s="19"/>
    </row>
    <row r="273" ht="15.75" customHeight="1">
      <c r="A273" s="19"/>
      <c r="B273" s="19"/>
      <c r="C273" s="19"/>
      <c r="D273" s="19"/>
      <c r="E273" s="19"/>
      <c r="F273" s="2"/>
      <c r="G273" s="19"/>
      <c r="H273" s="19"/>
      <c r="I273" s="19"/>
      <c r="J273" s="19"/>
      <c r="K273" s="19"/>
      <c r="L273" s="19"/>
      <c r="M273" s="19"/>
      <c r="N273" s="19"/>
      <c r="O273" s="19"/>
      <c r="P273" s="19"/>
    </row>
    <row r="274" ht="15.75" customHeight="1">
      <c r="A274" s="19"/>
      <c r="B274" s="19"/>
      <c r="C274" s="19"/>
      <c r="D274" s="19"/>
      <c r="E274" s="19"/>
      <c r="F274" s="2"/>
      <c r="G274" s="19"/>
      <c r="H274" s="19"/>
      <c r="I274" s="19"/>
      <c r="J274" s="19"/>
      <c r="K274" s="19"/>
      <c r="L274" s="19"/>
      <c r="M274" s="19"/>
      <c r="N274" s="19"/>
      <c r="O274" s="19"/>
      <c r="P274" s="19"/>
    </row>
    <row r="275" ht="15.75" customHeight="1">
      <c r="A275" s="19"/>
      <c r="B275" s="19"/>
      <c r="C275" s="19"/>
      <c r="D275" s="19"/>
      <c r="E275" s="19"/>
      <c r="F275" s="2"/>
      <c r="G275" s="19"/>
      <c r="H275" s="19"/>
      <c r="I275" s="19"/>
      <c r="J275" s="19"/>
      <c r="K275" s="19"/>
      <c r="L275" s="19"/>
      <c r="M275" s="19"/>
      <c r="N275" s="19"/>
      <c r="O275" s="19"/>
      <c r="P275" s="19"/>
    </row>
    <row r="276" ht="15.75" customHeight="1">
      <c r="A276" s="19"/>
      <c r="B276" s="19"/>
      <c r="C276" s="19"/>
      <c r="D276" s="19"/>
      <c r="E276" s="19"/>
      <c r="F276" s="2"/>
      <c r="G276" s="19"/>
      <c r="H276" s="19"/>
      <c r="I276" s="19"/>
      <c r="J276" s="19"/>
      <c r="K276" s="19"/>
      <c r="L276" s="19"/>
      <c r="M276" s="19"/>
      <c r="N276" s="19"/>
      <c r="O276" s="19"/>
      <c r="P276" s="19"/>
    </row>
    <row r="277" ht="15.75" customHeight="1">
      <c r="A277" s="19"/>
      <c r="B277" s="19"/>
      <c r="C277" s="19"/>
      <c r="D277" s="19"/>
      <c r="E277" s="19"/>
      <c r="F277" s="2"/>
      <c r="G277" s="19"/>
      <c r="H277" s="19"/>
      <c r="I277" s="19"/>
      <c r="J277" s="19"/>
      <c r="K277" s="19"/>
      <c r="L277" s="19"/>
      <c r="M277" s="19"/>
      <c r="N277" s="19"/>
      <c r="O277" s="19"/>
      <c r="P277" s="19"/>
    </row>
    <row r="278" ht="15.75" customHeight="1">
      <c r="A278" s="19"/>
      <c r="B278" s="19"/>
      <c r="C278" s="19"/>
      <c r="D278" s="19"/>
      <c r="E278" s="19"/>
      <c r="F278" s="2"/>
      <c r="G278" s="19"/>
      <c r="H278" s="19"/>
      <c r="I278" s="19"/>
      <c r="J278" s="19"/>
      <c r="K278" s="19"/>
      <c r="L278" s="19"/>
      <c r="M278" s="19"/>
      <c r="N278" s="19"/>
      <c r="O278" s="19"/>
      <c r="P278" s="19"/>
    </row>
    <row r="279" ht="15.75" customHeight="1">
      <c r="A279" s="19"/>
      <c r="B279" s="19"/>
      <c r="C279" s="19"/>
      <c r="D279" s="19"/>
      <c r="E279" s="19"/>
      <c r="F279" s="2"/>
      <c r="G279" s="19"/>
      <c r="H279" s="19"/>
      <c r="I279" s="19"/>
      <c r="J279" s="19"/>
      <c r="K279" s="19"/>
      <c r="L279" s="19"/>
      <c r="M279" s="19"/>
      <c r="N279" s="19"/>
      <c r="O279" s="19"/>
      <c r="P279" s="19"/>
    </row>
    <row r="280" ht="15.75" customHeight="1">
      <c r="A280" s="19"/>
      <c r="B280" s="19"/>
      <c r="C280" s="19"/>
      <c r="D280" s="19"/>
      <c r="E280" s="19"/>
      <c r="F280" s="2"/>
      <c r="G280" s="19"/>
      <c r="H280" s="19"/>
      <c r="I280" s="19"/>
      <c r="J280" s="19"/>
      <c r="K280" s="19"/>
      <c r="L280" s="19"/>
      <c r="M280" s="19"/>
      <c r="N280" s="19"/>
      <c r="O280" s="19"/>
      <c r="P280" s="19"/>
    </row>
    <row r="281" ht="15.75" customHeight="1">
      <c r="A281" s="19"/>
      <c r="B281" s="19"/>
      <c r="C281" s="19"/>
      <c r="D281" s="19"/>
      <c r="E281" s="19"/>
      <c r="F281" s="2"/>
      <c r="G281" s="19"/>
      <c r="H281" s="19"/>
      <c r="I281" s="19"/>
      <c r="J281" s="19"/>
      <c r="K281" s="19"/>
      <c r="L281" s="19"/>
      <c r="M281" s="19"/>
      <c r="N281" s="19"/>
      <c r="O281" s="19"/>
      <c r="P281" s="19"/>
    </row>
    <row r="282" ht="15.75" customHeight="1">
      <c r="A282" s="19"/>
      <c r="B282" s="19"/>
      <c r="C282" s="19"/>
      <c r="D282" s="19"/>
      <c r="E282" s="19"/>
      <c r="F282" s="2"/>
      <c r="G282" s="19"/>
      <c r="H282" s="19"/>
      <c r="I282" s="19"/>
      <c r="J282" s="19"/>
      <c r="K282" s="19"/>
      <c r="L282" s="19"/>
      <c r="M282" s="19"/>
      <c r="N282" s="19"/>
      <c r="O282" s="19"/>
      <c r="P282" s="19"/>
    </row>
    <row r="283" ht="15.75" customHeight="1">
      <c r="A283" s="19"/>
      <c r="B283" s="19"/>
      <c r="C283" s="19"/>
      <c r="D283" s="19"/>
      <c r="E283" s="19"/>
      <c r="F283" s="2"/>
      <c r="G283" s="19"/>
      <c r="H283" s="19"/>
      <c r="I283" s="19"/>
      <c r="J283" s="19"/>
      <c r="K283" s="19"/>
      <c r="L283" s="19"/>
      <c r="M283" s="19"/>
      <c r="N283" s="19"/>
      <c r="O283" s="19"/>
      <c r="P283" s="19"/>
    </row>
    <row r="284" ht="15.75" customHeight="1">
      <c r="A284" s="19"/>
      <c r="B284" s="19"/>
      <c r="C284" s="19"/>
      <c r="D284" s="19"/>
      <c r="E284" s="19"/>
      <c r="F284" s="2"/>
      <c r="G284" s="19"/>
      <c r="H284" s="19"/>
      <c r="I284" s="19"/>
      <c r="J284" s="19"/>
      <c r="K284" s="19"/>
      <c r="L284" s="19"/>
      <c r="M284" s="19"/>
      <c r="N284" s="19"/>
      <c r="O284" s="19"/>
      <c r="P284" s="19"/>
    </row>
    <row r="285" ht="15.75" customHeight="1">
      <c r="A285" s="19"/>
      <c r="B285" s="19"/>
      <c r="C285" s="19"/>
      <c r="D285" s="19"/>
      <c r="E285" s="19"/>
      <c r="F285" s="2"/>
      <c r="G285" s="19"/>
      <c r="H285" s="19"/>
      <c r="I285" s="19"/>
      <c r="J285" s="19"/>
      <c r="K285" s="19"/>
      <c r="L285" s="19"/>
      <c r="M285" s="19"/>
      <c r="N285" s="19"/>
      <c r="O285" s="19"/>
      <c r="P285" s="19"/>
    </row>
    <row r="286" ht="15.75" customHeight="1">
      <c r="A286" s="19"/>
      <c r="B286" s="19"/>
      <c r="C286" s="19"/>
      <c r="D286" s="19"/>
      <c r="E286" s="19"/>
      <c r="F286" s="2"/>
      <c r="G286" s="19"/>
      <c r="H286" s="19"/>
      <c r="I286" s="19"/>
      <c r="J286" s="19"/>
      <c r="K286" s="19"/>
      <c r="L286" s="19"/>
      <c r="M286" s="19"/>
      <c r="N286" s="19"/>
      <c r="O286" s="19"/>
      <c r="P286" s="19"/>
    </row>
    <row r="287" ht="15.75" customHeight="1">
      <c r="A287" s="19"/>
      <c r="B287" s="19"/>
      <c r="C287" s="19"/>
      <c r="D287" s="19"/>
      <c r="E287" s="19"/>
      <c r="F287" s="2"/>
      <c r="G287" s="19"/>
      <c r="H287" s="19"/>
      <c r="I287" s="19"/>
      <c r="J287" s="19"/>
      <c r="K287" s="19"/>
      <c r="L287" s="19"/>
      <c r="M287" s="19"/>
      <c r="N287" s="19"/>
      <c r="O287" s="19"/>
      <c r="P287" s="19"/>
    </row>
    <row r="288" ht="15.75" customHeight="1">
      <c r="A288" s="19"/>
      <c r="B288" s="19"/>
      <c r="C288" s="19"/>
      <c r="D288" s="19"/>
      <c r="E288" s="19"/>
      <c r="F288" s="2"/>
      <c r="G288" s="19"/>
      <c r="H288" s="19"/>
      <c r="I288" s="19"/>
      <c r="J288" s="19"/>
      <c r="K288" s="19"/>
      <c r="L288" s="19"/>
      <c r="M288" s="19"/>
      <c r="N288" s="19"/>
      <c r="O288" s="19"/>
      <c r="P288" s="19"/>
    </row>
    <row r="289" ht="15.75" customHeight="1">
      <c r="A289" s="19"/>
      <c r="B289" s="19"/>
      <c r="C289" s="19"/>
      <c r="D289" s="19"/>
      <c r="E289" s="19"/>
      <c r="F289" s="2"/>
      <c r="G289" s="19"/>
      <c r="H289" s="19"/>
      <c r="I289" s="19"/>
      <c r="J289" s="19"/>
      <c r="K289" s="19"/>
      <c r="L289" s="19"/>
      <c r="M289" s="19"/>
      <c r="N289" s="19"/>
      <c r="O289" s="19"/>
      <c r="P289" s="19"/>
    </row>
    <row r="290" ht="15.75" customHeight="1">
      <c r="A290" s="19"/>
      <c r="B290" s="19"/>
      <c r="C290" s="19"/>
      <c r="D290" s="19"/>
      <c r="E290" s="19"/>
      <c r="F290" s="2"/>
      <c r="G290" s="19"/>
      <c r="H290" s="19"/>
      <c r="I290" s="19"/>
      <c r="J290" s="19"/>
      <c r="K290" s="19"/>
      <c r="L290" s="19"/>
      <c r="M290" s="19"/>
      <c r="N290" s="19"/>
      <c r="O290" s="19"/>
      <c r="P290" s="19"/>
    </row>
    <row r="291" ht="15.75" customHeight="1">
      <c r="A291" s="19"/>
      <c r="B291" s="19"/>
      <c r="C291" s="19"/>
      <c r="D291" s="19"/>
      <c r="E291" s="19"/>
      <c r="F291" s="2"/>
      <c r="G291" s="19"/>
      <c r="H291" s="19"/>
      <c r="I291" s="19"/>
      <c r="J291" s="19"/>
      <c r="K291" s="19"/>
      <c r="L291" s="19"/>
      <c r="M291" s="19"/>
      <c r="N291" s="19"/>
      <c r="O291" s="19"/>
      <c r="P291" s="19"/>
    </row>
    <row r="292" ht="15.75" customHeight="1">
      <c r="A292" s="19"/>
      <c r="B292" s="19"/>
      <c r="C292" s="19"/>
      <c r="D292" s="19"/>
      <c r="E292" s="19"/>
      <c r="F292" s="2"/>
      <c r="G292" s="19"/>
      <c r="H292" s="19"/>
      <c r="I292" s="19"/>
      <c r="J292" s="19"/>
      <c r="K292" s="19"/>
      <c r="L292" s="19"/>
      <c r="M292" s="19"/>
      <c r="N292" s="19"/>
      <c r="O292" s="19"/>
      <c r="P292" s="19"/>
    </row>
    <row r="293" ht="15.75" customHeight="1">
      <c r="A293" s="19"/>
      <c r="B293" s="19"/>
      <c r="C293" s="19"/>
      <c r="D293" s="19"/>
      <c r="E293" s="19"/>
      <c r="F293" s="2"/>
      <c r="G293" s="19"/>
      <c r="H293" s="19"/>
      <c r="I293" s="19"/>
      <c r="J293" s="19"/>
      <c r="K293" s="19"/>
      <c r="L293" s="19"/>
      <c r="M293" s="19"/>
      <c r="N293" s="19"/>
      <c r="O293" s="19"/>
      <c r="P293" s="19"/>
    </row>
    <row r="294" ht="15.75" customHeight="1">
      <c r="A294" s="19"/>
      <c r="B294" s="19"/>
      <c r="C294" s="19"/>
      <c r="D294" s="19"/>
      <c r="E294" s="19"/>
      <c r="F294" s="2"/>
      <c r="G294" s="19"/>
      <c r="H294" s="19"/>
      <c r="I294" s="19"/>
      <c r="J294" s="19"/>
      <c r="K294" s="19"/>
      <c r="L294" s="19"/>
      <c r="M294" s="19"/>
      <c r="N294" s="19"/>
      <c r="O294" s="19"/>
      <c r="P294" s="19"/>
    </row>
    <row r="295" ht="15.75" customHeight="1">
      <c r="A295" s="19"/>
      <c r="B295" s="19"/>
      <c r="C295" s="19"/>
      <c r="D295" s="19"/>
      <c r="E295" s="19"/>
      <c r="F295" s="2"/>
      <c r="G295" s="19"/>
      <c r="H295" s="19"/>
      <c r="I295" s="19"/>
      <c r="J295" s="19"/>
      <c r="K295" s="19"/>
      <c r="L295" s="19"/>
      <c r="M295" s="19"/>
      <c r="N295" s="19"/>
      <c r="O295" s="19"/>
      <c r="P295" s="19"/>
    </row>
    <row r="296" ht="15.75" customHeight="1">
      <c r="A296" s="19"/>
      <c r="B296" s="19"/>
      <c r="C296" s="19"/>
      <c r="D296" s="19"/>
      <c r="E296" s="19"/>
      <c r="F296" s="2"/>
      <c r="G296" s="19"/>
      <c r="H296" s="19"/>
      <c r="I296" s="19"/>
      <c r="J296" s="19"/>
      <c r="K296" s="19"/>
      <c r="L296" s="19"/>
      <c r="M296" s="19"/>
      <c r="N296" s="19"/>
      <c r="O296" s="19"/>
      <c r="P296" s="19"/>
    </row>
    <row r="297" ht="15.75" customHeight="1">
      <c r="A297" s="19"/>
      <c r="B297" s="19"/>
      <c r="C297" s="19"/>
      <c r="D297" s="19"/>
      <c r="E297" s="19"/>
      <c r="F297" s="2"/>
      <c r="G297" s="19"/>
      <c r="H297" s="19"/>
      <c r="I297" s="19"/>
      <c r="J297" s="19"/>
      <c r="K297" s="19"/>
      <c r="L297" s="19"/>
      <c r="M297" s="19"/>
      <c r="N297" s="19"/>
      <c r="O297" s="19"/>
      <c r="P297" s="19"/>
    </row>
    <row r="298" ht="15.75" customHeight="1">
      <c r="A298" s="19"/>
      <c r="B298" s="19"/>
      <c r="C298" s="19"/>
      <c r="D298" s="19"/>
      <c r="E298" s="19"/>
      <c r="F298" s="2"/>
      <c r="G298" s="19"/>
      <c r="H298" s="19"/>
      <c r="I298" s="19"/>
      <c r="J298" s="19"/>
      <c r="K298" s="19"/>
      <c r="L298" s="19"/>
      <c r="M298" s="19"/>
      <c r="N298" s="19"/>
      <c r="O298" s="19"/>
      <c r="P298" s="19"/>
    </row>
    <row r="299" ht="15.75" customHeight="1">
      <c r="A299" s="19"/>
      <c r="B299" s="19"/>
      <c r="C299" s="19"/>
      <c r="D299" s="19"/>
      <c r="E299" s="19"/>
      <c r="F299" s="2"/>
      <c r="G299" s="19"/>
      <c r="H299" s="19"/>
      <c r="I299" s="19"/>
      <c r="J299" s="19"/>
      <c r="K299" s="19"/>
      <c r="L299" s="19"/>
      <c r="M299" s="19"/>
      <c r="N299" s="19"/>
      <c r="O299" s="19"/>
      <c r="P299" s="19"/>
    </row>
    <row r="300" ht="15.75" customHeight="1">
      <c r="A300" s="19"/>
      <c r="B300" s="19"/>
      <c r="C300" s="19"/>
      <c r="D300" s="19"/>
      <c r="E300" s="19"/>
      <c r="F300" s="2"/>
      <c r="G300" s="19"/>
      <c r="H300" s="19"/>
      <c r="I300" s="19"/>
      <c r="J300" s="19"/>
      <c r="K300" s="19"/>
      <c r="L300" s="19"/>
      <c r="M300" s="19"/>
      <c r="N300" s="19"/>
      <c r="O300" s="19"/>
      <c r="P300" s="19"/>
    </row>
    <row r="301" ht="15.75" customHeight="1">
      <c r="A301" s="19"/>
      <c r="B301" s="19"/>
      <c r="C301" s="19"/>
      <c r="D301" s="19"/>
      <c r="E301" s="19"/>
      <c r="F301" s="2"/>
      <c r="G301" s="19"/>
      <c r="H301" s="19"/>
      <c r="I301" s="19"/>
      <c r="J301" s="19"/>
      <c r="K301" s="19"/>
      <c r="L301" s="19"/>
      <c r="M301" s="19"/>
      <c r="N301" s="19"/>
      <c r="O301" s="19"/>
      <c r="P301" s="19"/>
    </row>
    <row r="302" ht="15.75" customHeight="1">
      <c r="A302" s="19"/>
      <c r="B302" s="19"/>
      <c r="C302" s="19"/>
      <c r="D302" s="19"/>
      <c r="E302" s="19"/>
      <c r="F302" s="2"/>
      <c r="G302" s="19"/>
      <c r="H302" s="19"/>
      <c r="I302" s="19"/>
      <c r="J302" s="19"/>
      <c r="K302" s="19"/>
      <c r="L302" s="19"/>
      <c r="M302" s="19"/>
      <c r="N302" s="19"/>
      <c r="O302" s="19"/>
      <c r="P302" s="19"/>
    </row>
    <row r="303" ht="15.75" customHeight="1">
      <c r="A303" s="19"/>
      <c r="B303" s="19"/>
      <c r="C303" s="19"/>
      <c r="D303" s="19"/>
      <c r="E303" s="19"/>
      <c r="F303" s="2"/>
      <c r="G303" s="19"/>
      <c r="H303" s="19"/>
      <c r="I303" s="19"/>
      <c r="J303" s="19"/>
      <c r="K303" s="19"/>
      <c r="L303" s="19"/>
      <c r="M303" s="19"/>
      <c r="N303" s="19"/>
      <c r="O303" s="19"/>
      <c r="P303" s="19"/>
    </row>
    <row r="304" ht="15.75" customHeight="1">
      <c r="A304" s="19"/>
      <c r="B304" s="19"/>
      <c r="C304" s="19"/>
      <c r="D304" s="19"/>
      <c r="E304" s="19"/>
      <c r="F304" s="2"/>
      <c r="G304" s="19"/>
      <c r="H304" s="19"/>
      <c r="I304" s="19"/>
      <c r="J304" s="19"/>
      <c r="K304" s="19"/>
      <c r="L304" s="19"/>
      <c r="M304" s="19"/>
      <c r="N304" s="19"/>
      <c r="O304" s="19"/>
      <c r="P304" s="19"/>
    </row>
    <row r="305" ht="15.75" customHeight="1">
      <c r="A305" s="19"/>
      <c r="B305" s="19"/>
      <c r="C305" s="19"/>
      <c r="D305" s="19"/>
      <c r="E305" s="19"/>
      <c r="F305" s="2"/>
      <c r="G305" s="19"/>
      <c r="H305" s="19"/>
      <c r="I305" s="19"/>
      <c r="J305" s="19"/>
      <c r="K305" s="19"/>
      <c r="L305" s="19"/>
      <c r="M305" s="19"/>
      <c r="N305" s="19"/>
      <c r="O305" s="19"/>
      <c r="P305" s="19"/>
    </row>
    <row r="306" ht="15.75" customHeight="1">
      <c r="A306" s="19"/>
      <c r="B306" s="19"/>
      <c r="C306" s="19"/>
      <c r="D306" s="19"/>
      <c r="E306" s="19"/>
      <c r="F306" s="2"/>
      <c r="G306" s="19"/>
      <c r="H306" s="19"/>
      <c r="I306" s="19"/>
      <c r="J306" s="19"/>
      <c r="K306" s="19"/>
      <c r="L306" s="19"/>
      <c r="M306" s="19"/>
      <c r="N306" s="19"/>
      <c r="O306" s="19"/>
      <c r="P306" s="19"/>
    </row>
    <row r="307" ht="15.75" customHeight="1">
      <c r="A307" s="19"/>
      <c r="B307" s="19"/>
      <c r="C307" s="19"/>
      <c r="D307" s="19"/>
      <c r="E307" s="19"/>
      <c r="F307" s="2"/>
      <c r="G307" s="19"/>
      <c r="H307" s="19"/>
      <c r="I307" s="19"/>
      <c r="J307" s="19"/>
      <c r="K307" s="19"/>
      <c r="L307" s="19"/>
      <c r="M307" s="19"/>
      <c r="N307" s="19"/>
      <c r="O307" s="19"/>
      <c r="P307" s="19"/>
    </row>
    <row r="308" ht="15.75" customHeight="1">
      <c r="A308" s="19"/>
      <c r="B308" s="19"/>
      <c r="C308" s="19"/>
      <c r="D308" s="19"/>
      <c r="E308" s="19"/>
      <c r="F308" s="2"/>
      <c r="G308" s="19"/>
      <c r="H308" s="19"/>
      <c r="I308" s="19"/>
      <c r="J308" s="19"/>
      <c r="K308" s="19"/>
      <c r="L308" s="19"/>
      <c r="M308" s="19"/>
      <c r="N308" s="19"/>
      <c r="O308" s="19"/>
      <c r="P308" s="19"/>
    </row>
    <row r="309" ht="15.75" customHeight="1">
      <c r="A309" s="19"/>
      <c r="B309" s="19"/>
      <c r="C309" s="19"/>
      <c r="D309" s="19"/>
      <c r="E309" s="19"/>
      <c r="F309" s="2"/>
      <c r="G309" s="19"/>
      <c r="H309" s="19"/>
      <c r="I309" s="19"/>
      <c r="J309" s="19"/>
      <c r="K309" s="19"/>
      <c r="L309" s="19"/>
      <c r="M309" s="19"/>
      <c r="N309" s="19"/>
      <c r="O309" s="19"/>
      <c r="P309" s="19"/>
    </row>
    <row r="310" ht="15.75" customHeight="1">
      <c r="A310" s="19"/>
      <c r="B310" s="19"/>
      <c r="C310" s="19"/>
      <c r="D310" s="19"/>
      <c r="E310" s="19"/>
      <c r="F310" s="2"/>
      <c r="G310" s="19"/>
      <c r="H310" s="19"/>
      <c r="I310" s="19"/>
      <c r="J310" s="19"/>
      <c r="K310" s="19"/>
      <c r="L310" s="19"/>
      <c r="M310" s="19"/>
      <c r="N310" s="19"/>
      <c r="O310" s="19"/>
      <c r="P310" s="19"/>
    </row>
    <row r="311" ht="15.75" customHeight="1">
      <c r="A311" s="19"/>
      <c r="B311" s="19"/>
      <c r="C311" s="19"/>
      <c r="D311" s="19"/>
      <c r="E311" s="19"/>
      <c r="F311" s="2"/>
      <c r="G311" s="19"/>
      <c r="H311" s="19"/>
      <c r="I311" s="19"/>
      <c r="J311" s="19"/>
      <c r="K311" s="19"/>
      <c r="L311" s="19"/>
      <c r="M311" s="19"/>
      <c r="N311" s="19"/>
      <c r="O311" s="19"/>
      <c r="P311" s="19"/>
    </row>
    <row r="312" ht="15.75" customHeight="1">
      <c r="A312" s="19"/>
      <c r="B312" s="19"/>
      <c r="C312" s="19"/>
      <c r="D312" s="19"/>
      <c r="E312" s="19"/>
      <c r="F312" s="2"/>
      <c r="G312" s="19"/>
      <c r="H312" s="19"/>
      <c r="I312" s="19"/>
      <c r="J312" s="19"/>
      <c r="K312" s="19"/>
      <c r="L312" s="19"/>
      <c r="M312" s="19"/>
      <c r="N312" s="19"/>
      <c r="O312" s="19"/>
      <c r="P312" s="19"/>
    </row>
    <row r="313" ht="15.75" customHeight="1">
      <c r="A313" s="19"/>
      <c r="B313" s="19"/>
      <c r="C313" s="19"/>
      <c r="D313" s="19"/>
      <c r="E313" s="19"/>
      <c r="F313" s="2"/>
      <c r="G313" s="19"/>
      <c r="H313" s="19"/>
      <c r="I313" s="19"/>
      <c r="J313" s="19"/>
      <c r="K313" s="19"/>
      <c r="L313" s="19"/>
      <c r="M313" s="19"/>
      <c r="N313" s="19"/>
      <c r="O313" s="19"/>
      <c r="P313" s="19"/>
    </row>
    <row r="314" ht="15.75" customHeight="1">
      <c r="A314" s="19"/>
      <c r="B314" s="19"/>
      <c r="C314" s="19"/>
      <c r="D314" s="19"/>
      <c r="E314" s="19"/>
      <c r="F314" s="2"/>
      <c r="G314" s="19"/>
      <c r="H314" s="19"/>
      <c r="I314" s="19"/>
      <c r="J314" s="19"/>
      <c r="K314" s="19"/>
      <c r="L314" s="19"/>
      <c r="M314" s="19"/>
      <c r="N314" s="19"/>
      <c r="O314" s="19"/>
      <c r="P314" s="19"/>
    </row>
    <row r="315" ht="15.75" customHeight="1">
      <c r="A315" s="19"/>
      <c r="B315" s="19"/>
      <c r="C315" s="19"/>
      <c r="D315" s="19"/>
      <c r="E315" s="19"/>
      <c r="F315" s="2"/>
      <c r="G315" s="19"/>
      <c r="H315" s="19"/>
      <c r="I315" s="19"/>
      <c r="J315" s="19"/>
      <c r="K315" s="19"/>
      <c r="L315" s="19"/>
      <c r="M315" s="19"/>
      <c r="N315" s="19"/>
      <c r="O315" s="19"/>
      <c r="P315" s="19"/>
    </row>
    <row r="316" ht="15.75" customHeight="1">
      <c r="A316" s="19"/>
      <c r="B316" s="19"/>
      <c r="C316" s="19"/>
      <c r="D316" s="19"/>
      <c r="E316" s="19"/>
      <c r="F316" s="2"/>
      <c r="G316" s="19"/>
      <c r="H316" s="19"/>
      <c r="I316" s="19"/>
      <c r="J316" s="19"/>
      <c r="K316" s="19"/>
      <c r="L316" s="19"/>
      <c r="M316" s="19"/>
      <c r="N316" s="19"/>
      <c r="O316" s="19"/>
      <c r="P316" s="19"/>
    </row>
    <row r="317" ht="15.75" customHeight="1">
      <c r="A317" s="19"/>
      <c r="B317" s="19"/>
      <c r="C317" s="19"/>
      <c r="D317" s="19"/>
      <c r="E317" s="19"/>
      <c r="F317" s="2"/>
      <c r="G317" s="19"/>
      <c r="H317" s="19"/>
      <c r="I317" s="19"/>
      <c r="J317" s="19"/>
      <c r="K317" s="19"/>
      <c r="L317" s="19"/>
      <c r="M317" s="19"/>
      <c r="N317" s="19"/>
      <c r="O317" s="19"/>
      <c r="P317" s="19"/>
    </row>
    <row r="318" ht="15.75" customHeight="1">
      <c r="A318" s="19"/>
      <c r="B318" s="19"/>
      <c r="C318" s="19"/>
      <c r="D318" s="19"/>
      <c r="E318" s="19"/>
      <c r="F318" s="2"/>
      <c r="G318" s="19"/>
      <c r="H318" s="19"/>
      <c r="I318" s="19"/>
      <c r="J318" s="19"/>
      <c r="K318" s="19"/>
      <c r="L318" s="19"/>
      <c r="M318" s="19"/>
      <c r="N318" s="19"/>
      <c r="O318" s="19"/>
      <c r="P318" s="19"/>
    </row>
    <row r="319" ht="15.75" customHeight="1">
      <c r="A319" s="19"/>
      <c r="B319" s="19"/>
      <c r="C319" s="19"/>
      <c r="D319" s="19"/>
      <c r="E319" s="19"/>
      <c r="F319" s="2"/>
      <c r="G319" s="19"/>
      <c r="H319" s="19"/>
      <c r="I319" s="19"/>
      <c r="J319" s="19"/>
      <c r="K319" s="19"/>
      <c r="L319" s="19"/>
      <c r="M319" s="19"/>
      <c r="N319" s="19"/>
      <c r="O319" s="19"/>
      <c r="P319" s="19"/>
    </row>
    <row r="320" ht="15.75" customHeight="1">
      <c r="A320" s="19"/>
      <c r="B320" s="19"/>
      <c r="C320" s="19"/>
      <c r="D320" s="19"/>
      <c r="E320" s="19"/>
      <c r="F320" s="2"/>
      <c r="G320" s="19"/>
      <c r="H320" s="19"/>
      <c r="I320" s="19"/>
      <c r="J320" s="19"/>
      <c r="K320" s="19"/>
      <c r="L320" s="19"/>
      <c r="M320" s="19"/>
      <c r="N320" s="19"/>
      <c r="O320" s="19"/>
      <c r="P320" s="19"/>
    </row>
    <row r="321" ht="15.75" customHeight="1">
      <c r="A321" s="19"/>
      <c r="B321" s="19"/>
      <c r="C321" s="19"/>
      <c r="D321" s="19"/>
      <c r="E321" s="19"/>
      <c r="F321" s="2"/>
      <c r="G321" s="19"/>
      <c r="H321" s="19"/>
      <c r="I321" s="19"/>
      <c r="J321" s="19"/>
      <c r="K321" s="19"/>
      <c r="L321" s="19"/>
      <c r="M321" s="19"/>
      <c r="N321" s="19"/>
      <c r="O321" s="19"/>
      <c r="P321" s="19"/>
    </row>
    <row r="322" ht="15.75" customHeight="1">
      <c r="A322" s="19"/>
      <c r="B322" s="19"/>
      <c r="C322" s="19"/>
      <c r="D322" s="19"/>
      <c r="E322" s="19"/>
      <c r="F322" s="2"/>
      <c r="G322" s="19"/>
      <c r="H322" s="19"/>
      <c r="I322" s="19"/>
      <c r="J322" s="19"/>
      <c r="K322" s="19"/>
      <c r="L322" s="19"/>
      <c r="M322" s="19"/>
      <c r="N322" s="19"/>
      <c r="O322" s="19"/>
      <c r="P322" s="19"/>
    </row>
    <row r="323" ht="15.75" customHeight="1">
      <c r="A323" s="19"/>
      <c r="B323" s="19"/>
      <c r="C323" s="19"/>
      <c r="D323" s="19"/>
      <c r="E323" s="19"/>
      <c r="F323" s="2"/>
      <c r="G323" s="19"/>
      <c r="H323" s="19"/>
      <c r="I323" s="19"/>
      <c r="J323" s="19"/>
      <c r="K323" s="19"/>
      <c r="L323" s="19"/>
      <c r="M323" s="19"/>
      <c r="N323" s="19"/>
      <c r="O323" s="19"/>
      <c r="P323" s="19"/>
    </row>
    <row r="324" ht="15.75" customHeight="1">
      <c r="A324" s="19"/>
      <c r="B324" s="19"/>
      <c r="C324" s="19"/>
      <c r="D324" s="19"/>
      <c r="E324" s="19"/>
      <c r="F324" s="2"/>
      <c r="G324" s="19"/>
      <c r="H324" s="19"/>
      <c r="I324" s="19"/>
      <c r="J324" s="19"/>
      <c r="K324" s="19"/>
      <c r="L324" s="19"/>
      <c r="M324" s="19"/>
      <c r="N324" s="19"/>
      <c r="O324" s="19"/>
      <c r="P324" s="19"/>
    </row>
    <row r="325" ht="15.75" customHeight="1">
      <c r="A325" s="19"/>
      <c r="B325" s="19"/>
      <c r="C325" s="19"/>
      <c r="D325" s="19"/>
      <c r="E325" s="19"/>
      <c r="F325" s="2"/>
      <c r="G325" s="19"/>
      <c r="H325" s="19"/>
      <c r="I325" s="19"/>
      <c r="J325" s="19"/>
      <c r="K325" s="19"/>
      <c r="L325" s="19"/>
      <c r="M325" s="19"/>
      <c r="N325" s="19"/>
      <c r="O325" s="19"/>
      <c r="P325" s="19"/>
    </row>
    <row r="326" ht="15.75" customHeight="1">
      <c r="A326" s="19"/>
      <c r="B326" s="19"/>
      <c r="C326" s="19"/>
      <c r="D326" s="19"/>
      <c r="E326" s="19"/>
      <c r="F326" s="2"/>
      <c r="G326" s="19"/>
      <c r="H326" s="19"/>
      <c r="I326" s="19"/>
      <c r="J326" s="19"/>
      <c r="K326" s="19"/>
      <c r="L326" s="19"/>
      <c r="M326" s="19"/>
      <c r="N326" s="19"/>
      <c r="O326" s="19"/>
      <c r="P326" s="19"/>
    </row>
    <row r="327" ht="15.75" customHeight="1">
      <c r="A327" s="19"/>
      <c r="B327" s="19"/>
      <c r="C327" s="19"/>
      <c r="D327" s="19"/>
      <c r="E327" s="19"/>
      <c r="F327" s="2"/>
      <c r="G327" s="19"/>
      <c r="H327" s="19"/>
      <c r="I327" s="19"/>
      <c r="J327" s="19"/>
      <c r="K327" s="19"/>
      <c r="L327" s="19"/>
      <c r="M327" s="19"/>
      <c r="N327" s="19"/>
      <c r="O327" s="19"/>
      <c r="P327" s="19"/>
    </row>
    <row r="328" ht="15.75" customHeight="1">
      <c r="A328" s="19"/>
      <c r="B328" s="19"/>
      <c r="C328" s="19"/>
      <c r="D328" s="19"/>
      <c r="E328" s="19"/>
      <c r="F328" s="2"/>
      <c r="G328" s="19"/>
      <c r="H328" s="19"/>
      <c r="I328" s="19"/>
      <c r="J328" s="19"/>
      <c r="K328" s="19"/>
      <c r="L328" s="19"/>
      <c r="M328" s="19"/>
      <c r="N328" s="19"/>
      <c r="O328" s="19"/>
      <c r="P328" s="19"/>
    </row>
    <row r="329" ht="15.75" customHeight="1">
      <c r="A329" s="19"/>
      <c r="B329" s="19"/>
      <c r="C329" s="19"/>
      <c r="D329" s="19"/>
      <c r="E329" s="19"/>
      <c r="F329" s="2"/>
      <c r="G329" s="19"/>
      <c r="H329" s="19"/>
      <c r="I329" s="19"/>
      <c r="J329" s="19"/>
      <c r="K329" s="19"/>
      <c r="L329" s="19"/>
      <c r="M329" s="19"/>
      <c r="N329" s="19"/>
      <c r="O329" s="19"/>
      <c r="P329" s="19"/>
    </row>
    <row r="330" ht="15.75" customHeight="1">
      <c r="A330" s="19"/>
      <c r="B330" s="19"/>
      <c r="C330" s="19"/>
      <c r="D330" s="19"/>
      <c r="E330" s="19"/>
      <c r="F330" s="2"/>
      <c r="G330" s="19"/>
      <c r="H330" s="19"/>
      <c r="I330" s="19"/>
      <c r="J330" s="19"/>
      <c r="K330" s="19"/>
      <c r="L330" s="19"/>
      <c r="M330" s="19"/>
      <c r="N330" s="19"/>
      <c r="O330" s="19"/>
      <c r="P330" s="19"/>
    </row>
    <row r="331" ht="15.75" customHeight="1">
      <c r="A331" s="19"/>
      <c r="B331" s="19"/>
      <c r="C331" s="19"/>
      <c r="D331" s="19"/>
      <c r="E331" s="19"/>
      <c r="F331" s="2"/>
      <c r="G331" s="19"/>
      <c r="H331" s="19"/>
      <c r="I331" s="19"/>
      <c r="J331" s="19"/>
      <c r="K331" s="19"/>
      <c r="L331" s="19"/>
      <c r="M331" s="19"/>
      <c r="N331" s="19"/>
      <c r="O331" s="19"/>
      <c r="P331" s="19"/>
    </row>
    <row r="332" ht="15.75" customHeight="1">
      <c r="A332" s="19"/>
      <c r="B332" s="19"/>
      <c r="C332" s="19"/>
      <c r="D332" s="19"/>
      <c r="E332" s="19"/>
      <c r="F332" s="2"/>
      <c r="G332" s="19"/>
      <c r="H332" s="19"/>
      <c r="I332" s="19"/>
      <c r="J332" s="19"/>
      <c r="K332" s="19"/>
      <c r="L332" s="19"/>
      <c r="M332" s="19"/>
      <c r="N332" s="19"/>
      <c r="O332" s="19"/>
      <c r="P332" s="19"/>
    </row>
    <row r="333" ht="15.75" customHeight="1">
      <c r="A333" s="19"/>
      <c r="B333" s="19"/>
      <c r="C333" s="19"/>
      <c r="D333" s="19"/>
      <c r="E333" s="19"/>
      <c r="F333" s="2"/>
      <c r="G333" s="19"/>
      <c r="H333" s="19"/>
      <c r="I333" s="19"/>
      <c r="J333" s="19"/>
      <c r="K333" s="19"/>
      <c r="L333" s="19"/>
      <c r="M333" s="19"/>
      <c r="N333" s="19"/>
      <c r="O333" s="19"/>
      <c r="P333" s="19"/>
    </row>
    <row r="334" ht="15.75" customHeight="1">
      <c r="A334" s="19"/>
      <c r="B334" s="19"/>
      <c r="C334" s="19"/>
      <c r="D334" s="19"/>
      <c r="E334" s="19"/>
      <c r="F334" s="2"/>
      <c r="G334" s="19"/>
      <c r="H334" s="19"/>
      <c r="I334" s="19"/>
      <c r="J334" s="19"/>
      <c r="K334" s="19"/>
      <c r="L334" s="19"/>
      <c r="M334" s="19"/>
      <c r="N334" s="19"/>
      <c r="O334" s="19"/>
      <c r="P334" s="19"/>
    </row>
    <row r="335" ht="15.75" customHeight="1">
      <c r="A335" s="19"/>
      <c r="B335" s="19"/>
      <c r="C335" s="19"/>
      <c r="D335" s="19"/>
      <c r="E335" s="19"/>
      <c r="F335" s="2"/>
      <c r="G335" s="19"/>
      <c r="H335" s="19"/>
      <c r="I335" s="19"/>
      <c r="J335" s="19"/>
      <c r="K335" s="19"/>
      <c r="L335" s="19"/>
      <c r="M335" s="19"/>
      <c r="N335" s="19"/>
      <c r="O335" s="19"/>
      <c r="P335" s="19"/>
    </row>
    <row r="336" ht="15.75" customHeight="1">
      <c r="A336" s="19"/>
      <c r="B336" s="19"/>
      <c r="C336" s="19"/>
      <c r="D336" s="19"/>
      <c r="E336" s="19"/>
      <c r="F336" s="2"/>
      <c r="G336" s="19"/>
      <c r="H336" s="19"/>
      <c r="I336" s="19"/>
      <c r="J336" s="19"/>
      <c r="K336" s="19"/>
      <c r="L336" s="19"/>
      <c r="M336" s="19"/>
      <c r="N336" s="19"/>
      <c r="O336" s="19"/>
      <c r="P336" s="19"/>
    </row>
    <row r="337" ht="15.75" customHeight="1">
      <c r="A337" s="19"/>
      <c r="B337" s="19"/>
      <c r="C337" s="19"/>
      <c r="D337" s="19"/>
      <c r="E337" s="19"/>
      <c r="F337" s="2"/>
      <c r="G337" s="19"/>
      <c r="H337" s="19"/>
      <c r="I337" s="19"/>
      <c r="J337" s="19"/>
      <c r="K337" s="19"/>
      <c r="L337" s="19"/>
      <c r="M337" s="19"/>
      <c r="N337" s="19"/>
      <c r="O337" s="19"/>
      <c r="P337" s="19"/>
    </row>
    <row r="338" ht="15.75" customHeight="1">
      <c r="A338" s="19"/>
      <c r="B338" s="19"/>
      <c r="C338" s="19"/>
      <c r="D338" s="19"/>
      <c r="E338" s="19"/>
      <c r="F338" s="2"/>
      <c r="G338" s="19"/>
      <c r="H338" s="19"/>
      <c r="I338" s="19"/>
      <c r="J338" s="19"/>
      <c r="K338" s="19"/>
      <c r="L338" s="19"/>
      <c r="M338" s="19"/>
      <c r="N338" s="19"/>
      <c r="O338" s="19"/>
      <c r="P338" s="19"/>
    </row>
    <row r="339" ht="15.75" customHeight="1">
      <c r="A339" s="19"/>
      <c r="B339" s="19"/>
      <c r="C339" s="19"/>
      <c r="D339" s="19"/>
      <c r="E339" s="19"/>
      <c r="F339" s="2"/>
      <c r="G339" s="19"/>
      <c r="H339" s="19"/>
      <c r="I339" s="19"/>
      <c r="J339" s="19"/>
      <c r="K339" s="19"/>
      <c r="L339" s="19"/>
      <c r="M339" s="19"/>
      <c r="N339" s="19"/>
      <c r="O339" s="19"/>
      <c r="P339" s="19"/>
    </row>
    <row r="340" ht="15.75" customHeight="1">
      <c r="A340" s="19"/>
      <c r="B340" s="19"/>
      <c r="C340" s="19"/>
      <c r="D340" s="19"/>
      <c r="E340" s="19"/>
      <c r="F340" s="2"/>
      <c r="G340" s="19"/>
      <c r="H340" s="19"/>
      <c r="I340" s="19"/>
      <c r="J340" s="19"/>
      <c r="K340" s="19"/>
      <c r="L340" s="19"/>
      <c r="M340" s="19"/>
      <c r="N340" s="19"/>
      <c r="O340" s="19"/>
      <c r="P340" s="19"/>
    </row>
    <row r="341" ht="15.75" customHeight="1">
      <c r="A341" s="19"/>
      <c r="B341" s="19"/>
      <c r="C341" s="19"/>
      <c r="D341" s="19"/>
      <c r="E341" s="19"/>
      <c r="F341" s="2"/>
      <c r="G341" s="19"/>
      <c r="H341" s="19"/>
      <c r="I341" s="19"/>
      <c r="J341" s="19"/>
      <c r="K341" s="19"/>
      <c r="L341" s="19"/>
      <c r="M341" s="19"/>
      <c r="N341" s="19"/>
      <c r="O341" s="19"/>
      <c r="P341" s="19"/>
    </row>
    <row r="342" ht="15.75" customHeight="1">
      <c r="A342" s="19"/>
      <c r="B342" s="19"/>
      <c r="C342" s="19"/>
      <c r="D342" s="19"/>
      <c r="E342" s="19"/>
      <c r="F342" s="2"/>
      <c r="G342" s="19"/>
      <c r="H342" s="19"/>
      <c r="I342" s="19"/>
      <c r="J342" s="19"/>
      <c r="K342" s="19"/>
      <c r="L342" s="19"/>
      <c r="M342" s="19"/>
      <c r="N342" s="19"/>
      <c r="O342" s="19"/>
      <c r="P342" s="19"/>
    </row>
    <row r="343" ht="15.75" customHeight="1">
      <c r="A343" s="19"/>
      <c r="B343" s="19"/>
      <c r="C343" s="19"/>
      <c r="D343" s="19"/>
      <c r="E343" s="19"/>
      <c r="F343" s="2"/>
      <c r="G343" s="19"/>
      <c r="H343" s="19"/>
      <c r="I343" s="19"/>
      <c r="J343" s="19"/>
      <c r="K343" s="19"/>
      <c r="L343" s="19"/>
      <c r="M343" s="19"/>
      <c r="N343" s="19"/>
      <c r="O343" s="19"/>
      <c r="P343" s="19"/>
    </row>
    <row r="344" ht="15.75" customHeight="1">
      <c r="A344" s="19"/>
      <c r="B344" s="19"/>
      <c r="C344" s="19"/>
      <c r="D344" s="19"/>
      <c r="E344" s="19"/>
      <c r="F344" s="2"/>
      <c r="G344" s="19"/>
      <c r="H344" s="19"/>
      <c r="I344" s="19"/>
      <c r="J344" s="19"/>
      <c r="K344" s="19"/>
      <c r="L344" s="19"/>
      <c r="M344" s="19"/>
      <c r="N344" s="19"/>
      <c r="O344" s="19"/>
      <c r="P344" s="19"/>
    </row>
    <row r="345" ht="15.75" customHeight="1">
      <c r="A345" s="19"/>
      <c r="B345" s="19"/>
      <c r="C345" s="19"/>
      <c r="D345" s="19"/>
      <c r="E345" s="19"/>
      <c r="F345" s="2"/>
      <c r="G345" s="19"/>
      <c r="H345" s="19"/>
      <c r="I345" s="19"/>
      <c r="J345" s="19"/>
      <c r="K345" s="19"/>
      <c r="L345" s="19"/>
      <c r="M345" s="19"/>
      <c r="N345" s="19"/>
      <c r="O345" s="19"/>
      <c r="P345" s="19"/>
    </row>
    <row r="346" ht="15.75" customHeight="1">
      <c r="A346" s="19"/>
      <c r="B346" s="19"/>
      <c r="C346" s="19"/>
      <c r="D346" s="19"/>
      <c r="E346" s="19"/>
      <c r="F346" s="2"/>
      <c r="G346" s="19"/>
      <c r="H346" s="19"/>
      <c r="I346" s="19"/>
      <c r="J346" s="19"/>
      <c r="K346" s="19"/>
      <c r="L346" s="19"/>
      <c r="M346" s="19"/>
      <c r="N346" s="19"/>
      <c r="O346" s="19"/>
      <c r="P346" s="19"/>
    </row>
    <row r="347" ht="15.75" customHeight="1">
      <c r="A347" s="19"/>
      <c r="B347" s="19"/>
      <c r="C347" s="19"/>
      <c r="D347" s="19"/>
      <c r="E347" s="19"/>
      <c r="F347" s="2"/>
      <c r="G347" s="19"/>
      <c r="H347" s="19"/>
      <c r="I347" s="19"/>
      <c r="J347" s="19"/>
      <c r="K347" s="19"/>
      <c r="L347" s="19"/>
      <c r="M347" s="19"/>
      <c r="N347" s="19"/>
      <c r="O347" s="19"/>
      <c r="P347" s="19"/>
    </row>
    <row r="348" ht="15.75" customHeight="1">
      <c r="A348" s="19"/>
      <c r="B348" s="19"/>
      <c r="C348" s="19"/>
      <c r="D348" s="19"/>
      <c r="E348" s="19"/>
      <c r="F348" s="2"/>
      <c r="G348" s="19"/>
      <c r="H348" s="19"/>
      <c r="I348" s="19"/>
      <c r="J348" s="19"/>
      <c r="K348" s="19"/>
      <c r="L348" s="19"/>
      <c r="M348" s="19"/>
      <c r="N348" s="19"/>
      <c r="O348" s="19"/>
      <c r="P348" s="19"/>
    </row>
    <row r="349" ht="15.75" customHeight="1">
      <c r="A349" s="19"/>
      <c r="B349" s="19"/>
      <c r="C349" s="19"/>
      <c r="D349" s="19"/>
      <c r="E349" s="19"/>
      <c r="F349" s="2"/>
      <c r="G349" s="19"/>
      <c r="H349" s="19"/>
      <c r="I349" s="19"/>
      <c r="J349" s="19"/>
      <c r="K349" s="19"/>
      <c r="L349" s="19"/>
      <c r="M349" s="19"/>
      <c r="N349" s="19"/>
      <c r="O349" s="19"/>
      <c r="P349" s="19"/>
    </row>
    <row r="350" ht="15.75" customHeight="1">
      <c r="A350" s="19"/>
      <c r="B350" s="19"/>
      <c r="C350" s="19"/>
      <c r="D350" s="19"/>
      <c r="E350" s="19"/>
      <c r="F350" s="2"/>
      <c r="G350" s="19"/>
      <c r="H350" s="19"/>
      <c r="I350" s="19"/>
      <c r="J350" s="19"/>
      <c r="K350" s="19"/>
      <c r="L350" s="19"/>
      <c r="M350" s="19"/>
      <c r="N350" s="19"/>
      <c r="O350" s="19"/>
      <c r="P350" s="19"/>
    </row>
    <row r="351" ht="15.75" customHeight="1">
      <c r="A351" s="19"/>
      <c r="B351" s="19"/>
      <c r="C351" s="19"/>
      <c r="D351" s="19"/>
      <c r="E351" s="19"/>
      <c r="F351" s="2"/>
      <c r="G351" s="19"/>
      <c r="H351" s="19"/>
      <c r="I351" s="19"/>
      <c r="J351" s="19"/>
      <c r="K351" s="19"/>
      <c r="L351" s="19"/>
      <c r="M351" s="19"/>
      <c r="N351" s="19"/>
      <c r="O351" s="19"/>
      <c r="P351" s="19"/>
    </row>
    <row r="352" ht="15.75" customHeight="1">
      <c r="A352" s="2"/>
      <c r="B352" s="2"/>
      <c r="C352" s="2"/>
      <c r="D352" s="2"/>
      <c r="E352" s="2"/>
      <c r="F352" s="2"/>
      <c r="G352" s="2"/>
      <c r="H352" s="2"/>
      <c r="I352" s="2"/>
      <c r="J352" s="2"/>
      <c r="K352" s="2"/>
      <c r="L352" s="2"/>
      <c r="M352" s="2"/>
      <c r="N352" s="2"/>
      <c r="O352" s="2"/>
      <c r="P352" s="2"/>
    </row>
    <row r="353" ht="15.75" customHeight="1">
      <c r="A353" s="2"/>
      <c r="B353" s="2"/>
      <c r="C353" s="2"/>
      <c r="D353" s="2"/>
      <c r="E353" s="2"/>
      <c r="F353" s="2"/>
      <c r="G353" s="2"/>
      <c r="H353" s="2"/>
      <c r="I353" s="2"/>
      <c r="J353" s="2"/>
      <c r="K353" s="2"/>
      <c r="L353" s="2"/>
      <c r="M353" s="2"/>
      <c r="N353" s="2"/>
      <c r="O353" s="2"/>
      <c r="P353" s="2"/>
    </row>
    <row r="354" ht="15.75" customHeight="1">
      <c r="A354" s="2"/>
      <c r="B354" s="2"/>
      <c r="C354" s="2"/>
      <c r="D354" s="2"/>
      <c r="E354" s="2"/>
      <c r="F354" s="2"/>
      <c r="G354" s="2"/>
      <c r="H354" s="2"/>
      <c r="I354" s="2"/>
      <c r="J354" s="2"/>
      <c r="K354" s="2"/>
      <c r="L354" s="2"/>
      <c r="M354" s="2"/>
      <c r="N354" s="2"/>
      <c r="O354" s="2"/>
      <c r="P354" s="2"/>
    </row>
    <row r="355" ht="15.75" customHeight="1">
      <c r="A355" s="2"/>
      <c r="B355" s="2"/>
      <c r="C355" s="2"/>
      <c r="D355" s="2"/>
      <c r="E355" s="2"/>
      <c r="F355" s="2"/>
      <c r="G355" s="2"/>
      <c r="H355" s="2"/>
      <c r="I355" s="2"/>
      <c r="J355" s="2"/>
      <c r="K355" s="2"/>
      <c r="L355" s="2"/>
      <c r="M355" s="2"/>
      <c r="N355" s="2"/>
      <c r="O355" s="2"/>
      <c r="P355" s="2"/>
    </row>
    <row r="356" ht="15.75" customHeight="1">
      <c r="A356" s="2"/>
      <c r="B356" s="2"/>
      <c r="C356" s="2"/>
      <c r="D356" s="2"/>
      <c r="E356" s="2"/>
      <c r="F356" s="2"/>
      <c r="G356" s="2"/>
      <c r="H356" s="2"/>
      <c r="I356" s="2"/>
      <c r="J356" s="2"/>
      <c r="K356" s="2"/>
      <c r="L356" s="2"/>
      <c r="M356" s="2"/>
      <c r="N356" s="2"/>
      <c r="O356" s="2"/>
      <c r="P356" s="2"/>
    </row>
    <row r="357" ht="15.75" customHeight="1">
      <c r="A357" s="2"/>
      <c r="B357" s="2"/>
      <c r="C357" s="2"/>
      <c r="D357" s="2"/>
      <c r="E357" s="2"/>
      <c r="F357" s="2"/>
      <c r="G357" s="2"/>
      <c r="H357" s="2"/>
      <c r="I357" s="2"/>
      <c r="J357" s="2"/>
      <c r="K357" s="2"/>
      <c r="L357" s="2"/>
      <c r="M357" s="2"/>
      <c r="N357" s="2"/>
      <c r="O357" s="2"/>
      <c r="P357" s="2"/>
    </row>
    <row r="358" ht="15.75" customHeight="1">
      <c r="A358" s="2"/>
      <c r="B358" s="2"/>
      <c r="C358" s="2"/>
      <c r="D358" s="2"/>
      <c r="E358" s="2"/>
      <c r="F358" s="2"/>
      <c r="G358" s="2"/>
      <c r="H358" s="2"/>
      <c r="I358" s="2"/>
      <c r="J358" s="2"/>
      <c r="K358" s="2"/>
      <c r="L358" s="2"/>
      <c r="M358" s="2"/>
      <c r="N358" s="2"/>
      <c r="O358" s="2"/>
      <c r="P358" s="2"/>
    </row>
    <row r="359" ht="15.75" customHeight="1">
      <c r="A359" s="2"/>
      <c r="B359" s="2"/>
      <c r="C359" s="2"/>
      <c r="D359" s="2"/>
      <c r="E359" s="2"/>
      <c r="F359" s="2"/>
      <c r="G359" s="2"/>
      <c r="H359" s="2"/>
      <c r="I359" s="2"/>
      <c r="J359" s="2"/>
      <c r="K359" s="2"/>
      <c r="L359" s="2"/>
      <c r="M359" s="2"/>
      <c r="N359" s="2"/>
      <c r="O359" s="2"/>
      <c r="P359" s="2"/>
    </row>
    <row r="360" ht="15.75" customHeight="1">
      <c r="A360" s="2"/>
      <c r="B360" s="2"/>
      <c r="C360" s="2"/>
      <c r="D360" s="2"/>
      <c r="E360" s="2"/>
      <c r="F360" s="2"/>
      <c r="G360" s="2"/>
      <c r="H360" s="2"/>
      <c r="I360" s="2"/>
      <c r="J360" s="2"/>
      <c r="K360" s="2"/>
      <c r="L360" s="2"/>
      <c r="M360" s="2"/>
      <c r="N360" s="2"/>
      <c r="O360" s="2"/>
      <c r="P360" s="2"/>
    </row>
    <row r="361" ht="15.75" customHeight="1">
      <c r="A361" s="2"/>
      <c r="B361" s="2"/>
      <c r="C361" s="2"/>
      <c r="D361" s="2"/>
      <c r="E361" s="2"/>
      <c r="F361" s="2"/>
      <c r="G361" s="2"/>
      <c r="H361" s="2"/>
      <c r="I361" s="2"/>
      <c r="J361" s="2"/>
      <c r="K361" s="2"/>
      <c r="L361" s="2"/>
      <c r="M361" s="2"/>
      <c r="N361" s="2"/>
      <c r="O361" s="2"/>
      <c r="P361" s="2"/>
    </row>
    <row r="362" ht="15.75" customHeight="1">
      <c r="A362" s="2"/>
      <c r="B362" s="2"/>
      <c r="C362" s="2"/>
      <c r="D362" s="2"/>
      <c r="E362" s="2"/>
      <c r="F362" s="2"/>
      <c r="G362" s="2"/>
      <c r="H362" s="2"/>
      <c r="I362" s="2"/>
      <c r="J362" s="2"/>
      <c r="K362" s="2"/>
      <c r="L362" s="2"/>
      <c r="M362" s="2"/>
      <c r="N362" s="2"/>
      <c r="O362" s="2"/>
      <c r="P362" s="2"/>
    </row>
    <row r="363" ht="15.75" customHeight="1">
      <c r="A363" s="2"/>
      <c r="B363" s="2"/>
      <c r="C363" s="2"/>
      <c r="D363" s="2"/>
      <c r="E363" s="2"/>
      <c r="F363" s="2"/>
      <c r="G363" s="2"/>
      <c r="H363" s="2"/>
      <c r="I363" s="2"/>
      <c r="J363" s="2"/>
      <c r="K363" s="2"/>
      <c r="L363" s="2"/>
      <c r="M363" s="2"/>
      <c r="N363" s="2"/>
      <c r="O363" s="2"/>
      <c r="P363" s="2"/>
    </row>
    <row r="364" ht="15.75" customHeight="1">
      <c r="A364" s="2"/>
      <c r="B364" s="2"/>
      <c r="C364" s="2"/>
      <c r="D364" s="2"/>
      <c r="E364" s="2"/>
      <c r="F364" s="2"/>
      <c r="G364" s="2"/>
      <c r="H364" s="2"/>
      <c r="I364" s="2"/>
      <c r="J364" s="2"/>
      <c r="K364" s="2"/>
      <c r="L364" s="2"/>
      <c r="M364" s="2"/>
      <c r="N364" s="2"/>
      <c r="O364" s="2"/>
      <c r="P364" s="2"/>
    </row>
    <row r="365" ht="15.75" customHeight="1">
      <c r="A365" s="2"/>
      <c r="B365" s="2"/>
      <c r="C365" s="2"/>
      <c r="D365" s="2"/>
      <c r="E365" s="2"/>
      <c r="F365" s="2"/>
      <c r="G365" s="2"/>
      <c r="H365" s="2"/>
      <c r="I365" s="2"/>
      <c r="J365" s="2"/>
      <c r="K365" s="2"/>
      <c r="L365" s="2"/>
      <c r="M365" s="2"/>
      <c r="N365" s="2"/>
      <c r="O365" s="2"/>
      <c r="P365" s="2"/>
    </row>
    <row r="366" ht="15.75" customHeight="1">
      <c r="A366" s="2"/>
      <c r="B366" s="2"/>
      <c r="C366" s="2"/>
      <c r="D366" s="2"/>
      <c r="E366" s="2"/>
      <c r="F366" s="2"/>
      <c r="G366" s="2"/>
      <c r="H366" s="2"/>
      <c r="I366" s="2"/>
      <c r="J366" s="2"/>
      <c r="K366" s="2"/>
      <c r="L366" s="2"/>
      <c r="M366" s="2"/>
      <c r="N366" s="2"/>
      <c r="O366" s="2"/>
      <c r="P366" s="2"/>
    </row>
    <row r="367" ht="15.75" customHeight="1">
      <c r="A367" s="2"/>
      <c r="B367" s="2"/>
      <c r="C367" s="2"/>
      <c r="D367" s="2"/>
      <c r="E367" s="2"/>
      <c r="F367" s="2"/>
      <c r="G367" s="2"/>
      <c r="H367" s="2"/>
      <c r="I367" s="2"/>
      <c r="J367" s="2"/>
      <c r="K367" s="2"/>
      <c r="L367" s="2"/>
      <c r="M367" s="2"/>
      <c r="N367" s="2"/>
      <c r="O367" s="2"/>
      <c r="P367" s="2"/>
    </row>
    <row r="368" ht="15.75" customHeight="1">
      <c r="A368" s="2"/>
      <c r="B368" s="2"/>
      <c r="C368" s="2"/>
      <c r="D368" s="2"/>
      <c r="E368" s="2"/>
      <c r="F368" s="2"/>
      <c r="G368" s="2"/>
      <c r="H368" s="2"/>
      <c r="I368" s="2"/>
      <c r="J368" s="2"/>
      <c r="K368" s="2"/>
      <c r="L368" s="2"/>
      <c r="M368" s="2"/>
      <c r="N368" s="2"/>
      <c r="O368" s="2"/>
      <c r="P368" s="2"/>
    </row>
    <row r="369" ht="15.75" customHeight="1">
      <c r="A369" s="2"/>
      <c r="B369" s="2"/>
      <c r="C369" s="2"/>
      <c r="D369" s="2"/>
      <c r="E369" s="2"/>
      <c r="F369" s="2"/>
      <c r="G369" s="2"/>
      <c r="H369" s="2"/>
      <c r="I369" s="2"/>
      <c r="J369" s="2"/>
      <c r="K369" s="2"/>
      <c r="L369" s="2"/>
      <c r="M369" s="2"/>
      <c r="N369" s="2"/>
      <c r="O369" s="2"/>
      <c r="P369" s="2"/>
    </row>
    <row r="370" ht="15.75" customHeight="1">
      <c r="A370" s="2"/>
      <c r="B370" s="2"/>
      <c r="C370" s="2"/>
      <c r="D370" s="2"/>
      <c r="E370" s="2"/>
      <c r="F370" s="2"/>
      <c r="G370" s="2"/>
      <c r="H370" s="2"/>
      <c r="I370" s="2"/>
      <c r="J370" s="2"/>
      <c r="K370" s="2"/>
      <c r="L370" s="2"/>
      <c r="M370" s="2"/>
      <c r="N370" s="2"/>
      <c r="O370" s="2"/>
      <c r="P370" s="2"/>
    </row>
    <row r="371" ht="15.75" customHeight="1">
      <c r="A371" s="2"/>
      <c r="B371" s="2"/>
      <c r="C371" s="2"/>
      <c r="D371" s="2"/>
      <c r="E371" s="2"/>
      <c r="F371" s="2"/>
      <c r="G371" s="2"/>
      <c r="H371" s="2"/>
      <c r="I371" s="2"/>
      <c r="J371" s="2"/>
      <c r="K371" s="2"/>
      <c r="L371" s="2"/>
      <c r="M371" s="2"/>
      <c r="N371" s="2"/>
      <c r="O371" s="2"/>
      <c r="P371" s="2"/>
    </row>
    <row r="372" ht="15.75" customHeight="1">
      <c r="A372" s="2"/>
      <c r="B372" s="2"/>
      <c r="C372" s="2"/>
      <c r="D372" s="2"/>
      <c r="E372" s="2"/>
      <c r="F372" s="2"/>
      <c r="G372" s="2"/>
      <c r="H372" s="2"/>
      <c r="I372" s="2"/>
      <c r="J372" s="2"/>
      <c r="K372" s="2"/>
      <c r="L372" s="2"/>
      <c r="M372" s="2"/>
      <c r="N372" s="2"/>
      <c r="O372" s="2"/>
      <c r="P372" s="2"/>
    </row>
    <row r="373" ht="15.75" customHeight="1">
      <c r="A373" s="2"/>
      <c r="B373" s="2"/>
      <c r="C373" s="2"/>
      <c r="D373" s="2"/>
      <c r="E373" s="2"/>
      <c r="F373" s="2"/>
      <c r="G373" s="2"/>
      <c r="H373" s="2"/>
      <c r="I373" s="2"/>
      <c r="J373" s="2"/>
      <c r="K373" s="2"/>
      <c r="L373" s="2"/>
      <c r="M373" s="2"/>
      <c r="N373" s="2"/>
      <c r="O373" s="2"/>
      <c r="P373" s="2"/>
    </row>
    <row r="374" ht="15.75" customHeight="1">
      <c r="A374" s="2"/>
      <c r="B374" s="2"/>
      <c r="C374" s="2"/>
      <c r="D374" s="2"/>
      <c r="E374" s="2"/>
      <c r="F374" s="2"/>
      <c r="G374" s="2"/>
      <c r="H374" s="2"/>
      <c r="I374" s="2"/>
      <c r="J374" s="2"/>
      <c r="K374" s="2"/>
      <c r="L374" s="2"/>
      <c r="M374" s="2"/>
      <c r="N374" s="2"/>
      <c r="O374" s="2"/>
      <c r="P374" s="2"/>
    </row>
    <row r="375" ht="15.75" customHeight="1">
      <c r="A375" s="2"/>
      <c r="B375" s="2"/>
      <c r="C375" s="2"/>
      <c r="D375" s="2"/>
      <c r="E375" s="2"/>
      <c r="F375" s="2"/>
      <c r="G375" s="2"/>
      <c r="H375" s="2"/>
      <c r="I375" s="2"/>
      <c r="J375" s="2"/>
      <c r="K375" s="2"/>
      <c r="L375" s="2"/>
      <c r="M375" s="2"/>
      <c r="N375" s="2"/>
      <c r="O375" s="2"/>
      <c r="P375" s="2"/>
    </row>
    <row r="376" ht="15.75" customHeight="1">
      <c r="A376" s="2"/>
      <c r="B376" s="2"/>
      <c r="C376" s="2"/>
      <c r="D376" s="2"/>
      <c r="E376" s="2"/>
      <c r="F376" s="2"/>
      <c r="G376" s="2"/>
      <c r="H376" s="2"/>
      <c r="I376" s="2"/>
      <c r="J376" s="2"/>
      <c r="K376" s="2"/>
      <c r="L376" s="2"/>
      <c r="M376" s="2"/>
      <c r="N376" s="2"/>
      <c r="O376" s="2"/>
      <c r="P376" s="2"/>
    </row>
    <row r="377" ht="15.75" customHeight="1">
      <c r="A377" s="2"/>
      <c r="B377" s="2"/>
      <c r="C377" s="2"/>
      <c r="D377" s="2"/>
      <c r="E377" s="2"/>
      <c r="F377" s="2"/>
      <c r="G377" s="2"/>
      <c r="H377" s="2"/>
      <c r="I377" s="2"/>
      <c r="J377" s="2"/>
      <c r="K377" s="2"/>
      <c r="L377" s="2"/>
      <c r="M377" s="2"/>
      <c r="N377" s="2"/>
      <c r="O377" s="2"/>
      <c r="P377" s="2"/>
    </row>
    <row r="378" ht="15.75" customHeight="1">
      <c r="A378" s="2"/>
      <c r="B378" s="2"/>
      <c r="C378" s="2"/>
      <c r="D378" s="2"/>
      <c r="E378" s="2"/>
      <c r="F378" s="2"/>
      <c r="G378" s="2"/>
      <c r="H378" s="2"/>
      <c r="I378" s="2"/>
      <c r="J378" s="2"/>
      <c r="K378" s="2"/>
      <c r="L378" s="2"/>
      <c r="M378" s="2"/>
      <c r="N378" s="2"/>
      <c r="O378" s="2"/>
      <c r="P378" s="2"/>
    </row>
    <row r="379" ht="15.75" customHeight="1">
      <c r="A379" s="2"/>
      <c r="B379" s="2"/>
      <c r="C379" s="2"/>
      <c r="D379" s="2"/>
      <c r="E379" s="2"/>
      <c r="F379" s="2"/>
      <c r="G379" s="2"/>
      <c r="H379" s="2"/>
      <c r="I379" s="2"/>
      <c r="J379" s="2"/>
      <c r="K379" s="2"/>
      <c r="L379" s="2"/>
      <c r="M379" s="2"/>
      <c r="N379" s="2"/>
      <c r="O379" s="2"/>
      <c r="P379" s="2"/>
    </row>
    <row r="380" ht="15.75" customHeight="1">
      <c r="A380" s="2"/>
      <c r="B380" s="2"/>
      <c r="C380" s="2"/>
      <c r="D380" s="2"/>
      <c r="E380" s="2"/>
      <c r="F380" s="2"/>
      <c r="G380" s="2"/>
      <c r="H380" s="2"/>
      <c r="I380" s="2"/>
      <c r="J380" s="2"/>
      <c r="K380" s="2"/>
      <c r="L380" s="2"/>
      <c r="M380" s="2"/>
      <c r="N380" s="2"/>
      <c r="O380" s="2"/>
      <c r="P380" s="2"/>
    </row>
    <row r="381" ht="15.75" customHeight="1">
      <c r="A381" s="2"/>
      <c r="B381" s="2"/>
      <c r="C381" s="2"/>
      <c r="D381" s="2"/>
      <c r="E381" s="2"/>
      <c r="F381" s="2"/>
      <c r="G381" s="2"/>
      <c r="H381" s="2"/>
      <c r="I381" s="2"/>
      <c r="J381" s="2"/>
      <c r="K381" s="2"/>
      <c r="L381" s="2"/>
      <c r="M381" s="2"/>
      <c r="N381" s="2"/>
      <c r="O381" s="2"/>
      <c r="P381" s="2"/>
    </row>
    <row r="382" ht="15.75" customHeight="1">
      <c r="A382" s="2"/>
      <c r="B382" s="2"/>
      <c r="C382" s="2"/>
      <c r="D382" s="2"/>
      <c r="E382" s="2"/>
      <c r="F382" s="2"/>
      <c r="G382" s="2"/>
      <c r="H382" s="2"/>
      <c r="I382" s="2"/>
      <c r="J382" s="2"/>
      <c r="K382" s="2"/>
      <c r="L382" s="2"/>
      <c r="M382" s="2"/>
      <c r="N382" s="2"/>
      <c r="O382" s="2"/>
      <c r="P382" s="2"/>
    </row>
    <row r="383" ht="15.75" customHeight="1">
      <c r="A383" s="2"/>
      <c r="B383" s="2"/>
      <c r="C383" s="2"/>
      <c r="D383" s="2"/>
      <c r="E383" s="2"/>
      <c r="F383" s="2"/>
      <c r="G383" s="2"/>
      <c r="H383" s="2"/>
      <c r="I383" s="2"/>
      <c r="J383" s="2"/>
      <c r="K383" s="2"/>
      <c r="L383" s="2"/>
      <c r="M383" s="2"/>
      <c r="N383" s="2"/>
      <c r="O383" s="2"/>
      <c r="P383" s="2"/>
    </row>
    <row r="384" ht="15.75" customHeight="1">
      <c r="A384" s="2"/>
      <c r="B384" s="2"/>
      <c r="C384" s="2"/>
      <c r="D384" s="2"/>
      <c r="E384" s="2"/>
      <c r="F384" s="2"/>
      <c r="G384" s="2"/>
      <c r="H384" s="2"/>
      <c r="I384" s="2"/>
      <c r="J384" s="2"/>
      <c r="K384" s="2"/>
      <c r="L384" s="2"/>
      <c r="M384" s="2"/>
      <c r="N384" s="2"/>
      <c r="O384" s="2"/>
      <c r="P384" s="2"/>
    </row>
    <row r="385" ht="15.75" customHeight="1">
      <c r="A385" s="2"/>
      <c r="B385" s="2"/>
      <c r="C385" s="2"/>
      <c r="D385" s="2"/>
      <c r="E385" s="2"/>
      <c r="F385" s="2"/>
      <c r="G385" s="2"/>
      <c r="H385" s="2"/>
      <c r="I385" s="2"/>
      <c r="J385" s="2"/>
      <c r="K385" s="2"/>
      <c r="L385" s="2"/>
      <c r="M385" s="2"/>
      <c r="N385" s="2"/>
      <c r="O385" s="2"/>
      <c r="P385" s="2"/>
    </row>
    <row r="386" ht="15.75" customHeight="1">
      <c r="A386" s="2"/>
      <c r="B386" s="2"/>
      <c r="C386" s="2"/>
      <c r="D386" s="2"/>
      <c r="E386" s="2"/>
      <c r="F386" s="2"/>
      <c r="G386" s="2"/>
      <c r="H386" s="2"/>
      <c r="I386" s="2"/>
      <c r="J386" s="2"/>
      <c r="K386" s="2"/>
      <c r="L386" s="2"/>
      <c r="M386" s="2"/>
      <c r="N386" s="2"/>
      <c r="O386" s="2"/>
      <c r="P386" s="2"/>
    </row>
    <row r="387" ht="15.75" customHeight="1">
      <c r="A387" s="2"/>
      <c r="B387" s="2"/>
      <c r="C387" s="2"/>
      <c r="D387" s="2"/>
      <c r="E387" s="2"/>
      <c r="F387" s="2"/>
      <c r="G387" s="2"/>
      <c r="H387" s="2"/>
      <c r="I387" s="2"/>
      <c r="J387" s="2"/>
      <c r="K387" s="2"/>
      <c r="L387" s="2"/>
      <c r="M387" s="2"/>
      <c r="N387" s="2"/>
      <c r="O387" s="2"/>
      <c r="P387" s="2"/>
    </row>
    <row r="388" ht="15.75" customHeight="1">
      <c r="A388" s="2"/>
      <c r="B388" s="2"/>
      <c r="C388" s="2"/>
      <c r="D388" s="2"/>
      <c r="E388" s="2"/>
      <c r="F388" s="2"/>
      <c r="G388" s="2"/>
      <c r="H388" s="2"/>
      <c r="I388" s="2"/>
      <c r="J388" s="2"/>
      <c r="K388" s="2"/>
      <c r="L388" s="2"/>
      <c r="M388" s="2"/>
      <c r="N388" s="2"/>
      <c r="O388" s="2"/>
      <c r="P388" s="2"/>
    </row>
    <row r="389" ht="15.75" customHeight="1">
      <c r="A389" s="2"/>
      <c r="B389" s="2"/>
      <c r="C389" s="2"/>
      <c r="D389" s="2"/>
      <c r="E389" s="2"/>
      <c r="F389" s="2"/>
      <c r="G389" s="2"/>
      <c r="H389" s="2"/>
      <c r="I389" s="2"/>
      <c r="J389" s="2"/>
      <c r="K389" s="2"/>
      <c r="L389" s="2"/>
      <c r="M389" s="2"/>
      <c r="N389" s="2"/>
      <c r="O389" s="2"/>
      <c r="P389" s="2"/>
    </row>
    <row r="390" ht="15.75" customHeight="1">
      <c r="A390" s="2"/>
      <c r="B390" s="2"/>
      <c r="C390" s="2"/>
      <c r="D390" s="2"/>
      <c r="E390" s="2"/>
      <c r="F390" s="2"/>
      <c r="G390" s="2"/>
      <c r="H390" s="2"/>
      <c r="I390" s="2"/>
      <c r="J390" s="2"/>
      <c r="K390" s="2"/>
      <c r="L390" s="2"/>
      <c r="M390" s="2"/>
      <c r="N390" s="2"/>
      <c r="O390" s="2"/>
      <c r="P390" s="2"/>
    </row>
    <row r="391" ht="15.75" customHeight="1">
      <c r="A391" s="2"/>
      <c r="B391" s="2"/>
      <c r="C391" s="2"/>
      <c r="D391" s="2"/>
      <c r="E391" s="2"/>
      <c r="F391" s="2"/>
      <c r="G391" s="2"/>
      <c r="H391" s="2"/>
      <c r="I391" s="2"/>
      <c r="J391" s="2"/>
      <c r="K391" s="2"/>
      <c r="L391" s="2"/>
      <c r="M391" s="2"/>
      <c r="N391" s="2"/>
      <c r="O391" s="2"/>
      <c r="P391" s="2"/>
    </row>
    <row r="392" ht="15.75" customHeight="1">
      <c r="A392" s="2"/>
      <c r="B392" s="2"/>
      <c r="C392" s="2"/>
      <c r="D392" s="2"/>
      <c r="E392" s="2"/>
      <c r="F392" s="2"/>
      <c r="G392" s="2"/>
      <c r="H392" s="2"/>
      <c r="I392" s="2"/>
      <c r="J392" s="2"/>
      <c r="K392" s="2"/>
      <c r="L392" s="2"/>
      <c r="M392" s="2"/>
      <c r="N392" s="2"/>
      <c r="O392" s="2"/>
      <c r="P392" s="2"/>
    </row>
    <row r="393" ht="15.75" customHeight="1">
      <c r="A393" s="2"/>
      <c r="B393" s="2"/>
      <c r="C393" s="2"/>
      <c r="D393" s="2"/>
      <c r="E393" s="2"/>
      <c r="F393" s="2"/>
      <c r="G393" s="2"/>
      <c r="H393" s="2"/>
      <c r="I393" s="2"/>
      <c r="J393" s="2"/>
      <c r="K393" s="2"/>
      <c r="L393" s="2"/>
      <c r="M393" s="2"/>
      <c r="N393" s="2"/>
      <c r="O393" s="2"/>
      <c r="P393" s="2"/>
    </row>
    <row r="394" ht="15.75" customHeight="1">
      <c r="A394" s="2"/>
      <c r="B394" s="2"/>
      <c r="C394" s="2"/>
      <c r="D394" s="2"/>
      <c r="E394" s="2"/>
      <c r="F394" s="2"/>
      <c r="G394" s="2"/>
      <c r="H394" s="2"/>
      <c r="I394" s="2"/>
      <c r="J394" s="2"/>
      <c r="K394" s="2"/>
      <c r="L394" s="2"/>
      <c r="M394" s="2"/>
      <c r="N394" s="2"/>
      <c r="O394" s="2"/>
      <c r="P394" s="2"/>
    </row>
    <row r="395" ht="15.75" customHeight="1">
      <c r="A395" s="2"/>
      <c r="B395" s="2"/>
      <c r="C395" s="2"/>
      <c r="D395" s="2"/>
      <c r="E395" s="2"/>
      <c r="F395" s="2"/>
      <c r="G395" s="2"/>
      <c r="H395" s="2"/>
      <c r="I395" s="2"/>
      <c r="J395" s="2"/>
      <c r="K395" s="2"/>
      <c r="L395" s="2"/>
      <c r="M395" s="2"/>
      <c r="N395" s="2"/>
      <c r="O395" s="2"/>
      <c r="P395" s="2"/>
    </row>
    <row r="396" ht="15.75" customHeight="1">
      <c r="A396" s="2"/>
      <c r="B396" s="2"/>
      <c r="C396" s="2"/>
      <c r="D396" s="2"/>
      <c r="E396" s="2"/>
      <c r="F396" s="2"/>
      <c r="G396" s="2"/>
      <c r="H396" s="2"/>
      <c r="I396" s="2"/>
      <c r="J396" s="2"/>
      <c r="K396" s="2"/>
      <c r="L396" s="2"/>
      <c r="M396" s="2"/>
      <c r="N396" s="2"/>
      <c r="O396" s="2"/>
      <c r="P396" s="2"/>
    </row>
    <row r="397" ht="15.75" customHeight="1">
      <c r="A397" s="2"/>
      <c r="B397" s="2"/>
      <c r="C397" s="2"/>
      <c r="D397" s="2"/>
      <c r="E397" s="2"/>
      <c r="F397" s="2"/>
      <c r="G397" s="2"/>
      <c r="H397" s="2"/>
      <c r="I397" s="2"/>
      <c r="J397" s="2"/>
      <c r="K397" s="2"/>
      <c r="L397" s="2"/>
      <c r="M397" s="2"/>
      <c r="N397" s="2"/>
      <c r="O397" s="2"/>
      <c r="P397" s="2"/>
    </row>
    <row r="398" ht="15.75" customHeight="1">
      <c r="A398" s="2"/>
      <c r="B398" s="2"/>
      <c r="C398" s="2"/>
      <c r="D398" s="2"/>
      <c r="E398" s="2"/>
      <c r="F398" s="2"/>
      <c r="G398" s="2"/>
      <c r="H398" s="2"/>
      <c r="I398" s="2"/>
      <c r="J398" s="2"/>
      <c r="K398" s="2"/>
      <c r="L398" s="2"/>
      <c r="M398" s="2"/>
      <c r="N398" s="2"/>
      <c r="O398" s="2"/>
      <c r="P398" s="2"/>
    </row>
    <row r="399" ht="15.75" customHeight="1">
      <c r="A399" s="2"/>
      <c r="B399" s="2"/>
      <c r="C399" s="2"/>
      <c r="D399" s="2"/>
      <c r="E399" s="2"/>
      <c r="F399" s="2"/>
      <c r="G399" s="2"/>
      <c r="H399" s="2"/>
      <c r="I399" s="2"/>
      <c r="J399" s="2"/>
      <c r="K399" s="2"/>
      <c r="L399" s="2"/>
      <c r="M399" s="2"/>
      <c r="N399" s="2"/>
      <c r="O399" s="2"/>
      <c r="P399" s="2"/>
    </row>
    <row r="400" ht="15.75" customHeight="1">
      <c r="A400" s="2"/>
      <c r="B400" s="2"/>
      <c r="C400" s="2"/>
      <c r="D400" s="2"/>
      <c r="E400" s="2"/>
      <c r="F400" s="2"/>
      <c r="G400" s="2"/>
      <c r="H400" s="2"/>
      <c r="I400" s="2"/>
      <c r="J400" s="2"/>
      <c r="K400" s="2"/>
      <c r="L400" s="2"/>
      <c r="M400" s="2"/>
      <c r="N400" s="2"/>
      <c r="O400" s="2"/>
      <c r="P400" s="2"/>
    </row>
    <row r="401" ht="15.75" customHeight="1">
      <c r="A401" s="2"/>
      <c r="B401" s="2"/>
      <c r="C401" s="2"/>
      <c r="D401" s="2"/>
      <c r="E401" s="2"/>
      <c r="F401" s="2"/>
      <c r="G401" s="2"/>
      <c r="H401" s="2"/>
      <c r="I401" s="2"/>
      <c r="J401" s="2"/>
      <c r="K401" s="2"/>
      <c r="L401" s="2"/>
      <c r="M401" s="2"/>
      <c r="N401" s="2"/>
      <c r="O401" s="2"/>
      <c r="P401" s="2"/>
    </row>
    <row r="402" ht="15.75" customHeight="1">
      <c r="A402" s="2"/>
      <c r="B402" s="2"/>
      <c r="C402" s="2"/>
      <c r="D402" s="2"/>
      <c r="E402" s="2"/>
      <c r="F402" s="2"/>
      <c r="G402" s="2"/>
      <c r="H402" s="2"/>
      <c r="I402" s="2"/>
      <c r="J402" s="2"/>
      <c r="K402" s="2"/>
      <c r="L402" s="2"/>
      <c r="M402" s="2"/>
      <c r="N402" s="2"/>
      <c r="O402" s="2"/>
      <c r="P402" s="2"/>
    </row>
    <row r="403" ht="15.75" customHeight="1">
      <c r="A403" s="2"/>
      <c r="B403" s="2"/>
      <c r="C403" s="2"/>
      <c r="D403" s="2"/>
      <c r="E403" s="2"/>
      <c r="F403" s="2"/>
      <c r="G403" s="2"/>
      <c r="H403" s="2"/>
      <c r="I403" s="2"/>
      <c r="J403" s="2"/>
      <c r="K403" s="2"/>
      <c r="L403" s="2"/>
      <c r="M403" s="2"/>
      <c r="N403" s="2"/>
      <c r="O403" s="2"/>
      <c r="P403" s="2"/>
    </row>
    <row r="404" ht="15.75" customHeight="1">
      <c r="A404" s="2"/>
      <c r="B404" s="2"/>
      <c r="C404" s="2"/>
      <c r="D404" s="2"/>
      <c r="E404" s="2"/>
      <c r="F404" s="2"/>
      <c r="G404" s="2"/>
      <c r="H404" s="2"/>
      <c r="I404" s="2"/>
      <c r="J404" s="2"/>
      <c r="K404" s="2"/>
      <c r="L404" s="2"/>
      <c r="M404" s="2"/>
      <c r="N404" s="2"/>
      <c r="O404" s="2"/>
      <c r="P404" s="2"/>
    </row>
    <row r="405" ht="15.75" customHeight="1">
      <c r="A405" s="2"/>
      <c r="B405" s="2"/>
      <c r="C405" s="2"/>
      <c r="D405" s="2"/>
      <c r="E405" s="2"/>
      <c r="F405" s="2"/>
      <c r="G405" s="2"/>
      <c r="H405" s="2"/>
      <c r="I405" s="2"/>
      <c r="J405" s="2"/>
      <c r="K405" s="2"/>
      <c r="L405" s="2"/>
      <c r="M405" s="2"/>
      <c r="N405" s="2"/>
      <c r="O405" s="2"/>
      <c r="P405" s="2"/>
    </row>
    <row r="406" ht="15.75" customHeight="1">
      <c r="A406" s="2"/>
      <c r="B406" s="2"/>
      <c r="C406" s="2"/>
      <c r="D406" s="2"/>
      <c r="E406" s="2"/>
      <c r="F406" s="2"/>
      <c r="G406" s="2"/>
      <c r="H406" s="2"/>
      <c r="I406" s="2"/>
      <c r="J406" s="2"/>
      <c r="K406" s="2"/>
      <c r="L406" s="2"/>
      <c r="M406" s="2"/>
      <c r="N406" s="2"/>
      <c r="O406" s="2"/>
      <c r="P406" s="2"/>
    </row>
    <row r="407" ht="15.75" customHeight="1">
      <c r="A407" s="2"/>
      <c r="B407" s="2"/>
      <c r="C407" s="2"/>
      <c r="D407" s="2"/>
      <c r="E407" s="2"/>
      <c r="F407" s="2"/>
      <c r="G407" s="2"/>
      <c r="H407" s="2"/>
      <c r="I407" s="2"/>
      <c r="J407" s="2"/>
      <c r="K407" s="2"/>
      <c r="L407" s="2"/>
      <c r="M407" s="2"/>
      <c r="N407" s="2"/>
      <c r="O407" s="2"/>
      <c r="P407" s="2"/>
    </row>
    <row r="408" ht="15.75" customHeight="1">
      <c r="A408" s="2"/>
      <c r="B408" s="2"/>
      <c r="C408" s="2"/>
      <c r="D408" s="2"/>
      <c r="E408" s="2"/>
      <c r="F408" s="2"/>
      <c r="G408" s="2"/>
      <c r="H408" s="2"/>
      <c r="I408" s="2"/>
      <c r="J408" s="2"/>
      <c r="K408" s="2"/>
      <c r="L408" s="2"/>
      <c r="M408" s="2"/>
      <c r="N408" s="2"/>
      <c r="O408" s="2"/>
      <c r="P408" s="2"/>
    </row>
    <row r="409" ht="15.75" customHeight="1">
      <c r="A409" s="2"/>
      <c r="B409" s="2"/>
      <c r="C409" s="2"/>
      <c r="D409" s="2"/>
      <c r="E409" s="2"/>
      <c r="F409" s="2"/>
      <c r="G409" s="2"/>
      <c r="H409" s="2"/>
      <c r="I409" s="2"/>
      <c r="J409" s="2"/>
      <c r="K409" s="2"/>
      <c r="L409" s="2"/>
      <c r="M409" s="2"/>
      <c r="N409" s="2"/>
      <c r="O409" s="2"/>
      <c r="P409" s="2"/>
    </row>
    <row r="410" ht="15.75" customHeight="1">
      <c r="A410" s="2"/>
      <c r="B410" s="2"/>
      <c r="C410" s="2"/>
      <c r="D410" s="2"/>
      <c r="E410" s="2"/>
      <c r="F410" s="2"/>
      <c r="G410" s="2"/>
      <c r="H410" s="2"/>
      <c r="I410" s="2"/>
      <c r="J410" s="2"/>
      <c r="K410" s="2"/>
      <c r="L410" s="2"/>
      <c r="M410" s="2"/>
      <c r="N410" s="2"/>
      <c r="O410" s="2"/>
      <c r="P410" s="2"/>
    </row>
    <row r="411" ht="15.75" customHeight="1">
      <c r="A411" s="2"/>
      <c r="B411" s="2"/>
      <c r="C411" s="2"/>
      <c r="D411" s="2"/>
      <c r="E411" s="2"/>
      <c r="F411" s="2"/>
      <c r="G411" s="2"/>
      <c r="H411" s="2"/>
      <c r="I411" s="2"/>
      <c r="J411" s="2"/>
      <c r="K411" s="2"/>
      <c r="L411" s="2"/>
      <c r="M411" s="2"/>
      <c r="N411" s="2"/>
      <c r="O411" s="2"/>
      <c r="P411" s="2"/>
    </row>
    <row r="412" ht="15.75" customHeight="1">
      <c r="A412" s="2"/>
      <c r="B412" s="2"/>
      <c r="C412" s="2"/>
      <c r="D412" s="2"/>
      <c r="E412" s="2"/>
      <c r="F412" s="2"/>
      <c r="G412" s="2"/>
      <c r="H412" s="2"/>
      <c r="I412" s="2"/>
      <c r="J412" s="2"/>
      <c r="K412" s="2"/>
      <c r="L412" s="2"/>
      <c r="M412" s="2"/>
      <c r="N412" s="2"/>
      <c r="O412" s="2"/>
      <c r="P412" s="2"/>
    </row>
    <row r="413" ht="15.75" customHeight="1">
      <c r="A413" s="2"/>
      <c r="B413" s="2"/>
      <c r="C413" s="2"/>
      <c r="D413" s="2"/>
      <c r="E413" s="2"/>
      <c r="F413" s="2"/>
      <c r="G413" s="2"/>
      <c r="H413" s="2"/>
      <c r="I413" s="2"/>
      <c r="J413" s="2"/>
      <c r="K413" s="2"/>
      <c r="L413" s="2"/>
      <c r="M413" s="2"/>
      <c r="N413" s="2"/>
      <c r="O413" s="2"/>
      <c r="P413" s="2"/>
    </row>
    <row r="414" ht="15.75" customHeight="1">
      <c r="A414" s="2"/>
      <c r="B414" s="2"/>
      <c r="C414" s="2"/>
      <c r="D414" s="2"/>
      <c r="E414" s="2"/>
      <c r="F414" s="2"/>
      <c r="G414" s="2"/>
      <c r="H414" s="2"/>
      <c r="I414" s="2"/>
      <c r="J414" s="2"/>
      <c r="K414" s="2"/>
      <c r="L414" s="2"/>
      <c r="M414" s="2"/>
      <c r="N414" s="2"/>
      <c r="O414" s="2"/>
      <c r="P414" s="2"/>
    </row>
    <row r="415" ht="15.75" customHeight="1">
      <c r="A415" s="2"/>
      <c r="B415" s="2"/>
      <c r="C415" s="2"/>
      <c r="D415" s="2"/>
      <c r="E415" s="2"/>
      <c r="F415" s="2"/>
      <c r="G415" s="2"/>
      <c r="H415" s="2"/>
      <c r="I415" s="2"/>
      <c r="J415" s="2"/>
      <c r="K415" s="2"/>
      <c r="L415" s="2"/>
      <c r="M415" s="2"/>
      <c r="N415" s="2"/>
      <c r="O415" s="2"/>
      <c r="P415" s="2"/>
    </row>
    <row r="416" ht="15.75" customHeight="1">
      <c r="A416" s="2"/>
      <c r="B416" s="2"/>
      <c r="C416" s="2"/>
      <c r="D416" s="2"/>
      <c r="E416" s="2"/>
      <c r="F416" s="2"/>
      <c r="G416" s="2"/>
      <c r="H416" s="2"/>
      <c r="I416" s="2"/>
      <c r="J416" s="2"/>
      <c r="K416" s="2"/>
      <c r="L416" s="2"/>
      <c r="M416" s="2"/>
      <c r="N416" s="2"/>
      <c r="O416" s="2"/>
      <c r="P416" s="2"/>
    </row>
    <row r="417" ht="15.75" customHeight="1">
      <c r="A417" s="2"/>
      <c r="B417" s="2"/>
      <c r="C417" s="2"/>
      <c r="D417" s="2"/>
      <c r="E417" s="2"/>
      <c r="F417" s="2"/>
      <c r="G417" s="2"/>
      <c r="H417" s="2"/>
      <c r="I417" s="2"/>
      <c r="J417" s="2"/>
      <c r="K417" s="2"/>
      <c r="L417" s="2"/>
      <c r="M417" s="2"/>
      <c r="N417" s="2"/>
      <c r="O417" s="2"/>
      <c r="P417" s="2"/>
    </row>
    <row r="418" ht="15.75" customHeight="1">
      <c r="A418" s="2"/>
      <c r="B418" s="2"/>
      <c r="C418" s="2"/>
      <c r="D418" s="2"/>
      <c r="E418" s="2"/>
      <c r="F418" s="2"/>
      <c r="G418" s="2"/>
      <c r="H418" s="2"/>
      <c r="I418" s="2"/>
      <c r="J418" s="2"/>
      <c r="K418" s="2"/>
      <c r="L418" s="2"/>
      <c r="M418" s="2"/>
      <c r="N418" s="2"/>
      <c r="O418" s="2"/>
      <c r="P418" s="2"/>
    </row>
    <row r="419" ht="15.75" customHeight="1">
      <c r="A419" s="2"/>
      <c r="B419" s="2"/>
      <c r="C419" s="2"/>
      <c r="D419" s="2"/>
      <c r="E419" s="2"/>
      <c r="F419" s="2"/>
      <c r="G419" s="2"/>
      <c r="H419" s="2"/>
      <c r="I419" s="2"/>
      <c r="J419" s="2"/>
      <c r="K419" s="2"/>
      <c r="L419" s="2"/>
      <c r="M419" s="2"/>
      <c r="N419" s="2"/>
      <c r="O419" s="2"/>
      <c r="P419" s="2"/>
    </row>
    <row r="420" ht="15.75" customHeight="1">
      <c r="A420" s="2"/>
      <c r="B420" s="2"/>
      <c r="C420" s="2"/>
      <c r="D420" s="2"/>
      <c r="E420" s="2"/>
      <c r="F420" s="2"/>
      <c r="G420" s="2"/>
      <c r="H420" s="2"/>
      <c r="I420" s="2"/>
      <c r="J420" s="2"/>
      <c r="K420" s="2"/>
      <c r="L420" s="2"/>
      <c r="M420" s="2"/>
      <c r="N420" s="2"/>
      <c r="O420" s="2"/>
      <c r="P420" s="2"/>
    </row>
    <row r="421" ht="15.75" customHeight="1">
      <c r="A421" s="2"/>
      <c r="B421" s="2"/>
      <c r="C421" s="2"/>
      <c r="D421" s="2"/>
      <c r="E421" s="2"/>
      <c r="F421" s="2"/>
      <c r="G421" s="2"/>
      <c r="H421" s="2"/>
      <c r="I421" s="2"/>
      <c r="J421" s="2"/>
      <c r="K421" s="2"/>
      <c r="L421" s="2"/>
      <c r="M421" s="2"/>
      <c r="N421" s="2"/>
      <c r="O421" s="2"/>
      <c r="P421" s="2"/>
    </row>
    <row r="422" ht="15.75" customHeight="1">
      <c r="A422" s="2"/>
      <c r="B422" s="2"/>
      <c r="C422" s="2"/>
      <c r="D422" s="2"/>
      <c r="E422" s="2"/>
      <c r="F422" s="2"/>
      <c r="G422" s="2"/>
      <c r="H422" s="2"/>
      <c r="I422" s="2"/>
      <c r="J422" s="2"/>
      <c r="K422" s="2"/>
      <c r="L422" s="2"/>
      <c r="M422" s="2"/>
      <c r="N422" s="2"/>
      <c r="O422" s="2"/>
      <c r="P422" s="2"/>
    </row>
    <row r="423" ht="15.75" customHeight="1">
      <c r="A423" s="2"/>
      <c r="B423" s="2"/>
      <c r="C423" s="2"/>
      <c r="D423" s="2"/>
      <c r="E423" s="2"/>
      <c r="F423" s="2"/>
      <c r="G423" s="2"/>
      <c r="H423" s="2"/>
      <c r="I423" s="2"/>
      <c r="J423" s="2"/>
      <c r="K423" s="2"/>
      <c r="L423" s="2"/>
      <c r="M423" s="2"/>
      <c r="N423" s="2"/>
      <c r="O423" s="2"/>
      <c r="P423" s="2"/>
    </row>
    <row r="424" ht="15.75" customHeight="1">
      <c r="A424" s="2"/>
      <c r="B424" s="2"/>
      <c r="C424" s="2"/>
      <c r="D424" s="2"/>
      <c r="E424" s="2"/>
      <c r="F424" s="2"/>
      <c r="G424" s="2"/>
      <c r="H424" s="2"/>
      <c r="I424" s="2"/>
      <c r="J424" s="2"/>
      <c r="K424" s="2"/>
      <c r="L424" s="2"/>
      <c r="M424" s="2"/>
      <c r="N424" s="2"/>
      <c r="O424" s="2"/>
      <c r="P424" s="2"/>
    </row>
    <row r="425" ht="15.75" customHeight="1">
      <c r="A425" s="2"/>
      <c r="B425" s="2"/>
      <c r="C425" s="2"/>
      <c r="D425" s="2"/>
      <c r="E425" s="2"/>
      <c r="F425" s="2"/>
      <c r="G425" s="2"/>
      <c r="H425" s="2"/>
      <c r="I425" s="2"/>
      <c r="J425" s="2"/>
      <c r="K425" s="2"/>
      <c r="L425" s="2"/>
      <c r="M425" s="2"/>
      <c r="N425" s="2"/>
      <c r="O425" s="2"/>
      <c r="P425" s="2"/>
    </row>
    <row r="426" ht="15.75" customHeight="1">
      <c r="A426" s="2"/>
      <c r="B426" s="2"/>
      <c r="C426" s="2"/>
      <c r="D426" s="2"/>
      <c r="E426" s="2"/>
      <c r="F426" s="2"/>
      <c r="G426" s="2"/>
      <c r="H426" s="2"/>
      <c r="I426" s="2"/>
      <c r="J426" s="2"/>
      <c r="K426" s="2"/>
      <c r="L426" s="2"/>
      <c r="M426" s="2"/>
      <c r="N426" s="2"/>
      <c r="O426" s="2"/>
      <c r="P426" s="2"/>
    </row>
    <row r="427" ht="15.75" customHeight="1">
      <c r="A427" s="2"/>
      <c r="B427" s="2"/>
      <c r="C427" s="2"/>
      <c r="D427" s="2"/>
      <c r="E427" s="2"/>
      <c r="F427" s="2"/>
      <c r="G427" s="2"/>
      <c r="H427" s="2"/>
      <c r="I427" s="2"/>
      <c r="J427" s="2"/>
      <c r="K427" s="2"/>
      <c r="L427" s="2"/>
      <c r="M427" s="2"/>
      <c r="N427" s="2"/>
      <c r="O427" s="2"/>
      <c r="P427" s="2"/>
    </row>
    <row r="428" ht="15.75" customHeight="1">
      <c r="A428" s="2"/>
      <c r="B428" s="2"/>
      <c r="C428" s="2"/>
      <c r="D428" s="2"/>
      <c r="E428" s="2"/>
      <c r="F428" s="2"/>
      <c r="G428" s="2"/>
      <c r="H428" s="2"/>
      <c r="I428" s="2"/>
      <c r="J428" s="2"/>
      <c r="K428" s="2"/>
      <c r="L428" s="2"/>
      <c r="M428" s="2"/>
      <c r="N428" s="2"/>
      <c r="O428" s="2"/>
      <c r="P428" s="2"/>
    </row>
    <row r="429" ht="15.75" customHeight="1">
      <c r="A429" s="2"/>
      <c r="B429" s="2"/>
      <c r="C429" s="2"/>
      <c r="D429" s="2"/>
      <c r="E429" s="2"/>
      <c r="F429" s="2"/>
      <c r="G429" s="2"/>
      <c r="H429" s="2"/>
      <c r="I429" s="2"/>
      <c r="J429" s="2"/>
      <c r="K429" s="2"/>
      <c r="L429" s="2"/>
      <c r="M429" s="2"/>
      <c r="N429" s="2"/>
      <c r="O429" s="2"/>
      <c r="P429" s="2"/>
    </row>
    <row r="430" ht="15.75" customHeight="1">
      <c r="A430" s="2"/>
      <c r="B430" s="2"/>
      <c r="C430" s="2"/>
      <c r="D430" s="2"/>
      <c r="E430" s="2"/>
      <c r="F430" s="2"/>
      <c r="G430" s="2"/>
      <c r="H430" s="2"/>
      <c r="I430" s="2"/>
      <c r="J430" s="2"/>
      <c r="K430" s="2"/>
      <c r="L430" s="2"/>
      <c r="M430" s="2"/>
      <c r="N430" s="2"/>
      <c r="O430" s="2"/>
      <c r="P430" s="2"/>
    </row>
    <row r="431" ht="15.75" customHeight="1">
      <c r="A431" s="2"/>
      <c r="B431" s="2"/>
      <c r="C431" s="2"/>
      <c r="D431" s="2"/>
      <c r="E431" s="2"/>
      <c r="F431" s="2"/>
      <c r="G431" s="2"/>
      <c r="H431" s="2"/>
      <c r="I431" s="2"/>
      <c r="J431" s="2"/>
      <c r="K431" s="2"/>
      <c r="L431" s="2"/>
      <c r="M431" s="2"/>
      <c r="N431" s="2"/>
      <c r="O431" s="2"/>
      <c r="P431" s="2"/>
    </row>
    <row r="432" ht="15.75" customHeight="1">
      <c r="A432" s="2"/>
      <c r="B432" s="2"/>
      <c r="C432" s="2"/>
      <c r="D432" s="2"/>
      <c r="E432" s="2"/>
      <c r="F432" s="2"/>
      <c r="G432" s="2"/>
      <c r="H432" s="2"/>
      <c r="I432" s="2"/>
      <c r="J432" s="2"/>
      <c r="K432" s="2"/>
      <c r="L432" s="2"/>
      <c r="M432" s="2"/>
      <c r="N432" s="2"/>
      <c r="O432" s="2"/>
      <c r="P432" s="2"/>
    </row>
    <row r="433" ht="15.75" customHeight="1">
      <c r="A433" s="2"/>
      <c r="B433" s="2"/>
      <c r="C433" s="2"/>
      <c r="D433" s="2"/>
      <c r="E433" s="2"/>
      <c r="F433" s="2"/>
      <c r="G433" s="2"/>
      <c r="H433" s="2"/>
      <c r="I433" s="2"/>
      <c r="J433" s="2"/>
      <c r="K433" s="2"/>
      <c r="L433" s="2"/>
      <c r="M433" s="2"/>
      <c r="N433" s="2"/>
      <c r="O433" s="2"/>
      <c r="P433" s="2"/>
    </row>
    <row r="434" ht="15.75" customHeight="1">
      <c r="A434" s="2"/>
      <c r="B434" s="2"/>
      <c r="C434" s="2"/>
      <c r="D434" s="2"/>
      <c r="E434" s="2"/>
      <c r="F434" s="2"/>
      <c r="G434" s="2"/>
      <c r="H434" s="2"/>
      <c r="I434" s="2"/>
      <c r="J434" s="2"/>
      <c r="K434" s="2"/>
      <c r="L434" s="2"/>
      <c r="M434" s="2"/>
      <c r="N434" s="2"/>
      <c r="O434" s="2"/>
      <c r="P434" s="2"/>
    </row>
    <row r="435" ht="15.75" customHeight="1">
      <c r="A435" s="2"/>
      <c r="B435" s="2"/>
      <c r="C435" s="2"/>
      <c r="D435" s="2"/>
      <c r="E435" s="2"/>
      <c r="F435" s="2"/>
      <c r="G435" s="2"/>
      <c r="H435" s="2"/>
      <c r="I435" s="2"/>
      <c r="J435" s="2"/>
      <c r="K435" s="2"/>
      <c r="L435" s="2"/>
      <c r="M435" s="2"/>
      <c r="N435" s="2"/>
      <c r="O435" s="2"/>
      <c r="P435" s="2"/>
    </row>
    <row r="436" ht="15.75" customHeight="1">
      <c r="A436" s="2"/>
      <c r="B436" s="2"/>
      <c r="C436" s="2"/>
      <c r="D436" s="2"/>
      <c r="E436" s="2"/>
      <c r="F436" s="2"/>
      <c r="G436" s="2"/>
      <c r="H436" s="2"/>
      <c r="I436" s="2"/>
      <c r="J436" s="2"/>
      <c r="K436" s="2"/>
      <c r="L436" s="2"/>
      <c r="M436" s="2"/>
      <c r="N436" s="2"/>
      <c r="O436" s="2"/>
      <c r="P436" s="2"/>
    </row>
    <row r="437" ht="15.75" customHeight="1">
      <c r="A437" s="2"/>
      <c r="B437" s="2"/>
      <c r="C437" s="2"/>
      <c r="D437" s="2"/>
      <c r="E437" s="2"/>
      <c r="F437" s="2"/>
      <c r="G437" s="2"/>
      <c r="H437" s="2"/>
      <c r="I437" s="2"/>
      <c r="J437" s="2"/>
      <c r="K437" s="2"/>
      <c r="L437" s="2"/>
      <c r="M437" s="2"/>
      <c r="N437" s="2"/>
      <c r="O437" s="2"/>
      <c r="P437" s="2"/>
    </row>
    <row r="438" ht="15.75" customHeight="1">
      <c r="A438" s="2"/>
      <c r="B438" s="2"/>
      <c r="C438" s="2"/>
      <c r="D438" s="2"/>
      <c r="E438" s="2"/>
      <c r="F438" s="2"/>
      <c r="G438" s="2"/>
      <c r="H438" s="2"/>
      <c r="I438" s="2"/>
      <c r="J438" s="2"/>
      <c r="K438" s="2"/>
      <c r="L438" s="2"/>
      <c r="M438" s="2"/>
      <c r="N438" s="2"/>
      <c r="O438" s="2"/>
      <c r="P438" s="2"/>
    </row>
    <row r="439" ht="15.75" customHeight="1">
      <c r="A439" s="2"/>
      <c r="B439" s="2"/>
      <c r="C439" s="2"/>
      <c r="D439" s="2"/>
      <c r="E439" s="2"/>
      <c r="F439" s="2"/>
      <c r="G439" s="2"/>
      <c r="H439" s="2"/>
      <c r="I439" s="2"/>
      <c r="J439" s="2"/>
      <c r="K439" s="2"/>
      <c r="L439" s="2"/>
      <c r="M439" s="2"/>
      <c r="N439" s="2"/>
      <c r="O439" s="2"/>
      <c r="P439" s="2"/>
    </row>
    <row r="440" ht="15.75" customHeight="1">
      <c r="A440" s="2"/>
      <c r="B440" s="2"/>
      <c r="C440" s="2"/>
      <c r="D440" s="2"/>
      <c r="E440" s="2"/>
      <c r="F440" s="2"/>
      <c r="G440" s="2"/>
      <c r="H440" s="2"/>
      <c r="I440" s="2"/>
      <c r="J440" s="2"/>
      <c r="K440" s="2"/>
      <c r="L440" s="2"/>
      <c r="M440" s="2"/>
      <c r="N440" s="2"/>
      <c r="O440" s="2"/>
      <c r="P440" s="2"/>
    </row>
    <row r="441" ht="15.75" customHeight="1">
      <c r="A441" s="2"/>
      <c r="B441" s="2"/>
      <c r="C441" s="2"/>
      <c r="D441" s="2"/>
      <c r="E441" s="2"/>
      <c r="F441" s="2"/>
      <c r="G441" s="2"/>
      <c r="H441" s="2"/>
      <c r="I441" s="2"/>
      <c r="J441" s="2"/>
      <c r="K441" s="2"/>
      <c r="L441" s="2"/>
      <c r="M441" s="2"/>
      <c r="N441" s="2"/>
      <c r="O441" s="2"/>
      <c r="P441" s="2"/>
    </row>
    <row r="442" ht="15.75" customHeight="1">
      <c r="A442" s="2"/>
      <c r="B442" s="2"/>
      <c r="C442" s="2"/>
      <c r="D442" s="2"/>
      <c r="E442" s="2"/>
      <c r="F442" s="2"/>
      <c r="G442" s="2"/>
      <c r="H442" s="2"/>
      <c r="I442" s="2"/>
      <c r="J442" s="2"/>
      <c r="K442" s="2"/>
      <c r="L442" s="2"/>
      <c r="M442" s="2"/>
      <c r="N442" s="2"/>
      <c r="O442" s="2"/>
      <c r="P442" s="2"/>
    </row>
    <row r="443" ht="15.75" customHeight="1">
      <c r="A443" s="2"/>
      <c r="B443" s="2"/>
      <c r="C443" s="2"/>
      <c r="D443" s="2"/>
      <c r="E443" s="2"/>
      <c r="F443" s="2"/>
      <c r="G443" s="2"/>
      <c r="H443" s="2"/>
      <c r="I443" s="2"/>
      <c r="J443" s="2"/>
      <c r="K443" s="2"/>
      <c r="L443" s="2"/>
      <c r="M443" s="2"/>
      <c r="N443" s="2"/>
      <c r="O443" s="2"/>
      <c r="P443" s="2"/>
    </row>
    <row r="444" ht="15.75" customHeight="1">
      <c r="A444" s="2"/>
      <c r="B444" s="2"/>
      <c r="C444" s="2"/>
      <c r="D444" s="2"/>
      <c r="E444" s="2"/>
      <c r="F444" s="2"/>
      <c r="G444" s="2"/>
      <c r="H444" s="2"/>
      <c r="I444" s="2"/>
      <c r="J444" s="2"/>
      <c r="K444" s="2"/>
      <c r="L444" s="2"/>
      <c r="M444" s="2"/>
      <c r="N444" s="2"/>
      <c r="O444" s="2"/>
      <c r="P444" s="2"/>
    </row>
    <row r="445" ht="15.75" customHeight="1">
      <c r="A445" s="2"/>
      <c r="B445" s="2"/>
      <c r="C445" s="2"/>
      <c r="D445" s="2"/>
      <c r="E445" s="2"/>
      <c r="F445" s="2"/>
      <c r="G445" s="2"/>
      <c r="H445" s="2"/>
      <c r="I445" s="2"/>
      <c r="J445" s="2"/>
      <c r="K445" s="2"/>
      <c r="L445" s="2"/>
      <c r="M445" s="2"/>
      <c r="N445" s="2"/>
      <c r="O445" s="2"/>
      <c r="P445" s="2"/>
    </row>
    <row r="446" ht="15.75" customHeight="1">
      <c r="A446" s="2"/>
      <c r="B446" s="2"/>
      <c r="C446" s="2"/>
      <c r="D446" s="2"/>
      <c r="E446" s="2"/>
      <c r="F446" s="2"/>
      <c r="G446" s="2"/>
      <c r="H446" s="2"/>
      <c r="I446" s="2"/>
      <c r="J446" s="2"/>
      <c r="K446" s="2"/>
      <c r="L446" s="2"/>
      <c r="M446" s="2"/>
      <c r="N446" s="2"/>
      <c r="O446" s="2"/>
      <c r="P446" s="2"/>
    </row>
    <row r="447" ht="15.75" customHeight="1">
      <c r="A447" s="2"/>
      <c r="B447" s="2"/>
      <c r="C447" s="2"/>
      <c r="D447" s="2"/>
      <c r="E447" s="2"/>
      <c r="F447" s="2"/>
      <c r="G447" s="2"/>
      <c r="H447" s="2"/>
      <c r="I447" s="2"/>
      <c r="J447" s="2"/>
      <c r="K447" s="2"/>
      <c r="L447" s="2"/>
      <c r="M447" s="2"/>
      <c r="N447" s="2"/>
      <c r="O447" s="2"/>
      <c r="P447" s="2"/>
    </row>
    <row r="448" ht="15.75" customHeight="1">
      <c r="A448" s="2"/>
      <c r="B448" s="2"/>
      <c r="C448" s="2"/>
      <c r="D448" s="2"/>
      <c r="E448" s="2"/>
      <c r="F448" s="2"/>
      <c r="G448" s="2"/>
      <c r="H448" s="2"/>
      <c r="I448" s="2"/>
      <c r="J448" s="2"/>
      <c r="K448" s="2"/>
      <c r="L448" s="2"/>
      <c r="M448" s="2"/>
      <c r="N448" s="2"/>
      <c r="O448" s="2"/>
      <c r="P448" s="2"/>
    </row>
    <row r="449" ht="15.75" customHeight="1">
      <c r="A449" s="2"/>
      <c r="B449" s="2"/>
      <c r="C449" s="2"/>
      <c r="D449" s="2"/>
      <c r="E449" s="2"/>
      <c r="F449" s="2"/>
      <c r="G449" s="2"/>
      <c r="H449" s="2"/>
      <c r="I449" s="2"/>
      <c r="J449" s="2"/>
      <c r="K449" s="2"/>
      <c r="L449" s="2"/>
      <c r="M449" s="2"/>
      <c r="N449" s="2"/>
      <c r="O449" s="2"/>
      <c r="P449" s="2"/>
    </row>
    <row r="450" ht="15.75" customHeight="1">
      <c r="A450" s="2"/>
      <c r="B450" s="2"/>
      <c r="C450" s="2"/>
      <c r="D450" s="2"/>
      <c r="E450" s="2"/>
      <c r="F450" s="2"/>
      <c r="G450" s="2"/>
      <c r="H450" s="2"/>
      <c r="I450" s="2"/>
      <c r="J450" s="2"/>
      <c r="K450" s="2"/>
      <c r="L450" s="2"/>
      <c r="M450" s="2"/>
      <c r="N450" s="2"/>
      <c r="O450" s="2"/>
      <c r="P450" s="2"/>
    </row>
    <row r="451" ht="15.75" customHeight="1">
      <c r="A451" s="2"/>
      <c r="B451" s="2"/>
      <c r="C451" s="2"/>
      <c r="D451" s="2"/>
      <c r="E451" s="2"/>
      <c r="F451" s="2"/>
      <c r="G451" s="2"/>
      <c r="H451" s="2"/>
      <c r="I451" s="2"/>
      <c r="J451" s="2"/>
      <c r="K451" s="2"/>
      <c r="L451" s="2"/>
      <c r="M451" s="2"/>
      <c r="N451" s="2"/>
      <c r="O451" s="2"/>
      <c r="P451" s="2"/>
    </row>
    <row r="452" ht="15.75" customHeight="1">
      <c r="A452" s="2"/>
      <c r="B452" s="2"/>
      <c r="C452" s="2"/>
      <c r="D452" s="2"/>
      <c r="E452" s="2"/>
      <c r="F452" s="2"/>
      <c r="G452" s="2"/>
      <c r="H452" s="2"/>
      <c r="I452" s="2"/>
      <c r="J452" s="2"/>
      <c r="K452" s="2"/>
      <c r="L452" s="2"/>
      <c r="M452" s="2"/>
      <c r="N452" s="2"/>
      <c r="O452" s="2"/>
      <c r="P452" s="2"/>
    </row>
    <row r="453" ht="15.75" customHeight="1">
      <c r="A453" s="2"/>
      <c r="B453" s="2"/>
      <c r="C453" s="2"/>
      <c r="D453" s="2"/>
      <c r="E453" s="2"/>
      <c r="F453" s="2"/>
      <c r="G453" s="2"/>
      <c r="H453" s="2"/>
      <c r="I453" s="2"/>
      <c r="J453" s="2"/>
      <c r="K453" s="2"/>
      <c r="L453" s="2"/>
      <c r="M453" s="2"/>
      <c r="N453" s="2"/>
      <c r="O453" s="2"/>
      <c r="P453" s="2"/>
    </row>
    <row r="454" ht="15.75" customHeight="1">
      <c r="A454" s="2"/>
      <c r="B454" s="2"/>
      <c r="C454" s="2"/>
      <c r="D454" s="2"/>
      <c r="E454" s="2"/>
      <c r="F454" s="2"/>
      <c r="G454" s="2"/>
      <c r="H454" s="2"/>
      <c r="I454" s="2"/>
      <c r="J454" s="2"/>
      <c r="K454" s="2"/>
      <c r="L454" s="2"/>
      <c r="M454" s="2"/>
      <c r="N454" s="2"/>
      <c r="O454" s="2"/>
      <c r="P454" s="2"/>
    </row>
    <row r="455" ht="15.75" customHeight="1">
      <c r="A455" s="2"/>
      <c r="B455" s="2"/>
      <c r="C455" s="2"/>
      <c r="D455" s="2"/>
      <c r="E455" s="2"/>
      <c r="F455" s="2"/>
      <c r="G455" s="2"/>
      <c r="H455" s="2"/>
      <c r="I455" s="2"/>
      <c r="J455" s="2"/>
      <c r="K455" s="2"/>
      <c r="L455" s="2"/>
      <c r="M455" s="2"/>
      <c r="N455" s="2"/>
      <c r="O455" s="2"/>
      <c r="P455" s="2"/>
    </row>
    <row r="456" ht="15.75" customHeight="1">
      <c r="A456" s="2"/>
      <c r="B456" s="2"/>
      <c r="C456" s="2"/>
      <c r="D456" s="2"/>
      <c r="E456" s="2"/>
      <c r="F456" s="2"/>
      <c r="G456" s="2"/>
      <c r="H456" s="2"/>
      <c r="I456" s="2"/>
      <c r="J456" s="2"/>
      <c r="K456" s="2"/>
      <c r="L456" s="2"/>
      <c r="M456" s="2"/>
      <c r="N456" s="2"/>
      <c r="O456" s="2"/>
      <c r="P456" s="2"/>
    </row>
    <row r="457" ht="15.75" customHeight="1">
      <c r="A457" s="2"/>
      <c r="B457" s="2"/>
      <c r="C457" s="2"/>
      <c r="D457" s="2"/>
      <c r="E457" s="2"/>
      <c r="F457" s="2"/>
      <c r="G457" s="2"/>
      <c r="H457" s="2"/>
      <c r="I457" s="2"/>
      <c r="J457" s="2"/>
      <c r="K457" s="2"/>
      <c r="L457" s="2"/>
      <c r="M457" s="2"/>
      <c r="N457" s="2"/>
      <c r="O457" s="2"/>
      <c r="P457" s="2"/>
    </row>
    <row r="458" ht="15.75" customHeight="1">
      <c r="A458" s="2"/>
      <c r="B458" s="2"/>
      <c r="C458" s="2"/>
      <c r="D458" s="2"/>
      <c r="E458" s="2"/>
      <c r="F458" s="2"/>
      <c r="G458" s="2"/>
      <c r="H458" s="2"/>
      <c r="I458" s="2"/>
      <c r="J458" s="2"/>
      <c r="K458" s="2"/>
      <c r="L458" s="2"/>
      <c r="M458" s="2"/>
      <c r="N458" s="2"/>
      <c r="O458" s="2"/>
      <c r="P458" s="2"/>
    </row>
    <row r="459" ht="15.75" customHeight="1">
      <c r="A459" s="2"/>
      <c r="B459" s="2"/>
      <c r="C459" s="2"/>
      <c r="D459" s="2"/>
      <c r="E459" s="2"/>
      <c r="F459" s="2"/>
      <c r="G459" s="2"/>
      <c r="H459" s="2"/>
      <c r="I459" s="2"/>
      <c r="J459" s="2"/>
      <c r="K459" s="2"/>
      <c r="L459" s="2"/>
      <c r="M459" s="2"/>
      <c r="N459" s="2"/>
      <c r="O459" s="2"/>
      <c r="P459" s="2"/>
    </row>
    <row r="460" ht="15.75" customHeight="1">
      <c r="A460" s="2"/>
      <c r="B460" s="2"/>
      <c r="C460" s="2"/>
      <c r="D460" s="2"/>
      <c r="E460" s="2"/>
      <c r="F460" s="2"/>
      <c r="G460" s="2"/>
      <c r="H460" s="2"/>
      <c r="I460" s="2"/>
      <c r="J460" s="2"/>
      <c r="K460" s="2"/>
      <c r="L460" s="2"/>
      <c r="M460" s="2"/>
      <c r="N460" s="2"/>
      <c r="O460" s="2"/>
      <c r="P460" s="2"/>
    </row>
    <row r="461" ht="15.75" customHeight="1">
      <c r="A461" s="2"/>
      <c r="B461" s="2"/>
      <c r="C461" s="2"/>
      <c r="D461" s="2"/>
      <c r="E461" s="2"/>
      <c r="F461" s="2"/>
      <c r="G461" s="2"/>
      <c r="H461" s="2"/>
      <c r="I461" s="2"/>
      <c r="J461" s="2"/>
      <c r="K461" s="2"/>
      <c r="L461" s="2"/>
      <c r="M461" s="2"/>
      <c r="N461" s="2"/>
      <c r="O461" s="2"/>
      <c r="P461" s="2"/>
    </row>
    <row r="462" ht="15.75" customHeight="1">
      <c r="A462" s="2"/>
      <c r="B462" s="2"/>
      <c r="C462" s="2"/>
      <c r="D462" s="2"/>
      <c r="E462" s="2"/>
      <c r="F462" s="2"/>
      <c r="G462" s="2"/>
      <c r="H462" s="2"/>
      <c r="I462" s="2"/>
      <c r="J462" s="2"/>
      <c r="K462" s="2"/>
      <c r="L462" s="2"/>
      <c r="M462" s="2"/>
      <c r="N462" s="2"/>
      <c r="O462" s="2"/>
      <c r="P462" s="2"/>
    </row>
    <row r="463" ht="15.75" customHeight="1">
      <c r="A463" s="2"/>
      <c r="B463" s="2"/>
      <c r="C463" s="2"/>
      <c r="D463" s="2"/>
      <c r="E463" s="2"/>
      <c r="F463" s="2"/>
      <c r="G463" s="2"/>
      <c r="H463" s="2"/>
      <c r="I463" s="2"/>
      <c r="J463" s="2"/>
      <c r="K463" s="2"/>
      <c r="L463" s="2"/>
      <c r="M463" s="2"/>
      <c r="N463" s="2"/>
      <c r="O463" s="2"/>
      <c r="P463" s="2"/>
    </row>
    <row r="464" ht="15.75" customHeight="1">
      <c r="A464" s="2"/>
      <c r="B464" s="2"/>
      <c r="C464" s="2"/>
      <c r="D464" s="2"/>
      <c r="E464" s="2"/>
      <c r="F464" s="2"/>
      <c r="G464" s="2"/>
      <c r="H464" s="2"/>
      <c r="I464" s="2"/>
      <c r="J464" s="2"/>
      <c r="K464" s="2"/>
      <c r="L464" s="2"/>
      <c r="M464" s="2"/>
      <c r="N464" s="2"/>
      <c r="O464" s="2"/>
      <c r="P464" s="2"/>
    </row>
    <row r="465" ht="15.75" customHeight="1">
      <c r="A465" s="2"/>
      <c r="B465" s="2"/>
      <c r="C465" s="2"/>
      <c r="D465" s="2"/>
      <c r="E465" s="2"/>
      <c r="F465" s="2"/>
      <c r="G465" s="2"/>
      <c r="H465" s="2"/>
      <c r="I465" s="2"/>
      <c r="J465" s="2"/>
      <c r="K465" s="2"/>
      <c r="L465" s="2"/>
      <c r="M465" s="2"/>
      <c r="N465" s="2"/>
      <c r="O465" s="2"/>
      <c r="P465" s="2"/>
    </row>
    <row r="466" ht="15.75" customHeight="1">
      <c r="A466" s="2"/>
      <c r="B466" s="2"/>
      <c r="C466" s="2"/>
      <c r="D466" s="2"/>
      <c r="E466" s="2"/>
      <c r="F466" s="2"/>
      <c r="G466" s="2"/>
      <c r="H466" s="2"/>
      <c r="I466" s="2"/>
      <c r="J466" s="2"/>
      <c r="K466" s="2"/>
      <c r="L466" s="2"/>
      <c r="M466" s="2"/>
      <c r="N466" s="2"/>
      <c r="O466" s="2"/>
      <c r="P466" s="2"/>
    </row>
    <row r="467" ht="15.75" customHeight="1">
      <c r="A467" s="2"/>
      <c r="B467" s="2"/>
      <c r="C467" s="2"/>
      <c r="D467" s="2"/>
      <c r="E467" s="2"/>
      <c r="F467" s="2"/>
      <c r="G467" s="2"/>
      <c r="H467" s="2"/>
      <c r="I467" s="2"/>
      <c r="J467" s="2"/>
      <c r="K467" s="2"/>
      <c r="L467" s="2"/>
      <c r="M467" s="2"/>
      <c r="N467" s="2"/>
      <c r="O467" s="2"/>
      <c r="P467" s="2"/>
    </row>
    <row r="468" ht="15.75" customHeight="1">
      <c r="A468" s="2"/>
      <c r="B468" s="2"/>
      <c r="C468" s="2"/>
      <c r="D468" s="2"/>
      <c r="E468" s="2"/>
      <c r="F468" s="2"/>
      <c r="G468" s="2"/>
      <c r="H468" s="2"/>
      <c r="I468" s="2"/>
      <c r="J468" s="2"/>
      <c r="K468" s="2"/>
      <c r="L468" s="2"/>
      <c r="M468" s="2"/>
      <c r="N468" s="2"/>
      <c r="O468" s="2"/>
      <c r="P468" s="2"/>
    </row>
    <row r="469" ht="15.75" customHeight="1">
      <c r="A469" s="2"/>
      <c r="B469" s="2"/>
      <c r="C469" s="2"/>
      <c r="D469" s="2"/>
      <c r="E469" s="2"/>
      <c r="F469" s="2"/>
      <c r="G469" s="2"/>
      <c r="H469" s="2"/>
      <c r="I469" s="2"/>
      <c r="J469" s="2"/>
      <c r="K469" s="2"/>
      <c r="L469" s="2"/>
      <c r="M469" s="2"/>
      <c r="N469" s="2"/>
      <c r="O469" s="2"/>
      <c r="P469" s="2"/>
    </row>
    <row r="470" ht="15.75" customHeight="1">
      <c r="A470" s="2"/>
      <c r="B470" s="2"/>
      <c r="C470" s="2"/>
      <c r="D470" s="2"/>
      <c r="E470" s="2"/>
      <c r="F470" s="2"/>
      <c r="G470" s="2"/>
      <c r="H470" s="2"/>
      <c r="I470" s="2"/>
      <c r="J470" s="2"/>
      <c r="K470" s="2"/>
      <c r="L470" s="2"/>
      <c r="M470" s="2"/>
      <c r="N470" s="2"/>
      <c r="O470" s="2"/>
      <c r="P470" s="2"/>
    </row>
    <row r="471" ht="15.75" customHeight="1">
      <c r="A471" s="2"/>
      <c r="B471" s="2"/>
      <c r="C471" s="2"/>
      <c r="D471" s="2"/>
      <c r="E471" s="2"/>
      <c r="F471" s="2"/>
      <c r="G471" s="2"/>
      <c r="H471" s="2"/>
      <c r="I471" s="2"/>
      <c r="J471" s="2"/>
      <c r="K471" s="2"/>
      <c r="L471" s="2"/>
      <c r="M471" s="2"/>
      <c r="N471" s="2"/>
      <c r="O471" s="2"/>
      <c r="P471" s="2"/>
    </row>
    <row r="472" ht="15.75" customHeight="1">
      <c r="A472" s="2"/>
      <c r="B472" s="2"/>
      <c r="C472" s="2"/>
      <c r="D472" s="2"/>
      <c r="E472" s="2"/>
      <c r="F472" s="2"/>
      <c r="G472" s="2"/>
      <c r="H472" s="2"/>
      <c r="I472" s="2"/>
      <c r="J472" s="2"/>
      <c r="K472" s="2"/>
      <c r="L472" s="2"/>
      <c r="M472" s="2"/>
      <c r="N472" s="2"/>
      <c r="O472" s="2"/>
      <c r="P472" s="2"/>
    </row>
    <row r="473" ht="15.75" customHeight="1">
      <c r="A473" s="2"/>
      <c r="B473" s="2"/>
      <c r="C473" s="2"/>
      <c r="D473" s="2"/>
      <c r="E473" s="2"/>
      <c r="F473" s="2"/>
      <c r="G473" s="2"/>
      <c r="H473" s="2"/>
      <c r="I473" s="2"/>
      <c r="J473" s="2"/>
      <c r="K473" s="2"/>
      <c r="L473" s="2"/>
      <c r="M473" s="2"/>
      <c r="N473" s="2"/>
      <c r="O473" s="2"/>
      <c r="P473" s="2"/>
    </row>
    <row r="474" ht="15.75" customHeight="1">
      <c r="A474" s="2"/>
      <c r="B474" s="2"/>
      <c r="C474" s="2"/>
      <c r="D474" s="2"/>
      <c r="E474" s="2"/>
      <c r="F474" s="2"/>
      <c r="G474" s="2"/>
      <c r="H474" s="2"/>
      <c r="I474" s="2"/>
      <c r="J474" s="2"/>
      <c r="K474" s="2"/>
      <c r="L474" s="2"/>
      <c r="M474" s="2"/>
      <c r="N474" s="2"/>
      <c r="O474" s="2"/>
      <c r="P474" s="2"/>
    </row>
    <row r="475" ht="15.75" customHeight="1">
      <c r="A475" s="2"/>
      <c r="B475" s="2"/>
      <c r="C475" s="2"/>
      <c r="D475" s="2"/>
      <c r="E475" s="2"/>
      <c r="F475" s="2"/>
      <c r="G475" s="2"/>
      <c r="H475" s="2"/>
      <c r="I475" s="2"/>
      <c r="J475" s="2"/>
      <c r="K475" s="2"/>
      <c r="L475" s="2"/>
      <c r="M475" s="2"/>
      <c r="N475" s="2"/>
      <c r="O475" s="2"/>
      <c r="P475" s="2"/>
    </row>
    <row r="476" ht="15.75" customHeight="1">
      <c r="A476" s="2"/>
      <c r="B476" s="2"/>
      <c r="C476" s="2"/>
      <c r="D476" s="2"/>
      <c r="E476" s="2"/>
      <c r="F476" s="2"/>
      <c r="G476" s="2"/>
      <c r="H476" s="2"/>
      <c r="I476" s="2"/>
      <c r="J476" s="2"/>
      <c r="K476" s="2"/>
      <c r="L476" s="2"/>
      <c r="M476" s="2"/>
      <c r="N476" s="2"/>
      <c r="O476" s="2"/>
      <c r="P476" s="2"/>
    </row>
    <row r="477" ht="15.75" customHeight="1">
      <c r="A477" s="2"/>
      <c r="B477" s="2"/>
      <c r="C477" s="2"/>
      <c r="D477" s="2"/>
      <c r="E477" s="2"/>
      <c r="F477" s="2"/>
      <c r="G477" s="2"/>
      <c r="H477" s="2"/>
      <c r="I477" s="2"/>
      <c r="J477" s="2"/>
      <c r="K477" s="2"/>
      <c r="L477" s="2"/>
      <c r="M477" s="2"/>
      <c r="N477" s="2"/>
      <c r="O477" s="2"/>
      <c r="P477" s="2"/>
    </row>
    <row r="478" ht="15.75" customHeight="1">
      <c r="A478" s="2"/>
      <c r="B478" s="2"/>
      <c r="C478" s="2"/>
      <c r="D478" s="2"/>
      <c r="E478" s="2"/>
      <c r="F478" s="2"/>
      <c r="G478" s="2"/>
      <c r="H478" s="2"/>
      <c r="I478" s="2"/>
      <c r="J478" s="2"/>
      <c r="K478" s="2"/>
      <c r="L478" s="2"/>
      <c r="M478" s="2"/>
      <c r="N478" s="2"/>
      <c r="O478" s="2"/>
      <c r="P478" s="2"/>
    </row>
    <row r="479" ht="15.75" customHeight="1">
      <c r="A479" s="2"/>
      <c r="B479" s="2"/>
      <c r="C479" s="2"/>
      <c r="D479" s="2"/>
      <c r="E479" s="2"/>
      <c r="F479" s="2"/>
      <c r="G479" s="2"/>
      <c r="H479" s="2"/>
      <c r="I479" s="2"/>
      <c r="J479" s="2"/>
      <c r="K479" s="2"/>
      <c r="L479" s="2"/>
      <c r="M479" s="2"/>
      <c r="N479" s="2"/>
      <c r="O479" s="2"/>
      <c r="P479" s="2"/>
    </row>
    <row r="480" ht="15.75" customHeight="1">
      <c r="A480" s="2"/>
      <c r="B480" s="2"/>
      <c r="C480" s="2"/>
      <c r="D480" s="2"/>
      <c r="E480" s="2"/>
      <c r="F480" s="2"/>
      <c r="G480" s="2"/>
      <c r="H480" s="2"/>
      <c r="I480" s="2"/>
      <c r="J480" s="2"/>
      <c r="K480" s="2"/>
      <c r="L480" s="2"/>
      <c r="M480" s="2"/>
      <c r="N480" s="2"/>
      <c r="O480" s="2"/>
      <c r="P480" s="2"/>
    </row>
    <row r="481" ht="15.75" customHeight="1">
      <c r="A481" s="2"/>
      <c r="B481" s="2"/>
      <c r="C481" s="2"/>
      <c r="D481" s="2"/>
      <c r="E481" s="2"/>
      <c r="F481" s="2"/>
      <c r="G481" s="2"/>
      <c r="H481" s="2"/>
      <c r="I481" s="2"/>
      <c r="J481" s="2"/>
      <c r="K481" s="2"/>
      <c r="L481" s="2"/>
      <c r="M481" s="2"/>
      <c r="N481" s="2"/>
      <c r="O481" s="2"/>
      <c r="P481" s="2"/>
    </row>
    <row r="482" ht="15.75" customHeight="1">
      <c r="A482" s="2"/>
      <c r="B482" s="2"/>
      <c r="C482" s="2"/>
      <c r="D482" s="2"/>
      <c r="E482" s="2"/>
      <c r="F482" s="2"/>
      <c r="G482" s="2"/>
      <c r="H482" s="2"/>
      <c r="I482" s="2"/>
      <c r="J482" s="2"/>
      <c r="K482" s="2"/>
      <c r="L482" s="2"/>
      <c r="M482" s="2"/>
      <c r="N482" s="2"/>
      <c r="O482" s="2"/>
      <c r="P482" s="2"/>
    </row>
    <row r="483" ht="15.75" customHeight="1">
      <c r="A483" s="2"/>
      <c r="B483" s="2"/>
      <c r="C483" s="2"/>
      <c r="D483" s="2"/>
      <c r="E483" s="2"/>
      <c r="F483" s="2"/>
      <c r="G483" s="2"/>
      <c r="H483" s="2"/>
      <c r="I483" s="2"/>
      <c r="J483" s="2"/>
      <c r="K483" s="2"/>
      <c r="L483" s="2"/>
      <c r="M483" s="2"/>
      <c r="N483" s="2"/>
      <c r="O483" s="2"/>
      <c r="P483" s="2"/>
    </row>
    <row r="484" ht="15.75" customHeight="1">
      <c r="A484" s="2"/>
      <c r="B484" s="2"/>
      <c r="C484" s="2"/>
      <c r="D484" s="2"/>
      <c r="E484" s="2"/>
      <c r="F484" s="2"/>
      <c r="G484" s="2"/>
      <c r="H484" s="2"/>
      <c r="I484" s="2"/>
      <c r="J484" s="2"/>
      <c r="K484" s="2"/>
      <c r="L484" s="2"/>
      <c r="M484" s="2"/>
      <c r="N484" s="2"/>
      <c r="O484" s="2"/>
      <c r="P484" s="2"/>
    </row>
    <row r="485" ht="15.75" customHeight="1">
      <c r="A485" s="2"/>
      <c r="B485" s="2"/>
      <c r="C485" s="2"/>
      <c r="D485" s="2"/>
      <c r="E485" s="2"/>
      <c r="F485" s="2"/>
      <c r="G485" s="2"/>
      <c r="H485" s="2"/>
      <c r="I485" s="2"/>
      <c r="J485" s="2"/>
      <c r="K485" s="2"/>
      <c r="L485" s="2"/>
      <c r="M485" s="2"/>
      <c r="N485" s="2"/>
      <c r="O485" s="2"/>
      <c r="P485" s="2"/>
    </row>
    <row r="486" ht="15.75" customHeight="1">
      <c r="A486" s="2"/>
      <c r="B486" s="2"/>
      <c r="C486" s="2"/>
      <c r="D486" s="2"/>
      <c r="E486" s="2"/>
      <c r="F486" s="2"/>
      <c r="G486" s="2"/>
      <c r="H486" s="2"/>
      <c r="I486" s="2"/>
      <c r="J486" s="2"/>
      <c r="K486" s="2"/>
      <c r="L486" s="2"/>
      <c r="M486" s="2"/>
      <c r="N486" s="2"/>
      <c r="O486" s="2"/>
      <c r="P486" s="2"/>
    </row>
    <row r="487" ht="15.75" customHeight="1">
      <c r="A487" s="2"/>
      <c r="B487" s="2"/>
      <c r="C487" s="2"/>
      <c r="D487" s="2"/>
      <c r="E487" s="2"/>
      <c r="F487" s="2"/>
      <c r="G487" s="2"/>
      <c r="H487" s="2"/>
      <c r="I487" s="2"/>
      <c r="J487" s="2"/>
      <c r="K487" s="2"/>
      <c r="L487" s="2"/>
      <c r="M487" s="2"/>
      <c r="N487" s="2"/>
      <c r="O487" s="2"/>
      <c r="P487" s="2"/>
    </row>
    <row r="488" ht="15.75" customHeight="1">
      <c r="A488" s="2"/>
      <c r="B488" s="2"/>
      <c r="C488" s="2"/>
      <c r="D488" s="2"/>
      <c r="E488" s="2"/>
      <c r="F488" s="2"/>
      <c r="G488" s="2"/>
      <c r="H488" s="2"/>
      <c r="I488" s="2"/>
      <c r="J488" s="2"/>
      <c r="K488" s="2"/>
      <c r="L488" s="2"/>
      <c r="M488" s="2"/>
      <c r="N488" s="2"/>
      <c r="O488" s="2"/>
      <c r="P488" s="2"/>
    </row>
    <row r="489" ht="15.75" customHeight="1">
      <c r="A489" s="2"/>
      <c r="B489" s="2"/>
      <c r="C489" s="2"/>
      <c r="D489" s="2"/>
      <c r="E489" s="2"/>
      <c r="F489" s="2"/>
      <c r="G489" s="2"/>
      <c r="H489" s="2"/>
      <c r="I489" s="2"/>
      <c r="J489" s="2"/>
      <c r="K489" s="2"/>
      <c r="L489" s="2"/>
      <c r="M489" s="2"/>
      <c r="N489" s="2"/>
      <c r="O489" s="2"/>
      <c r="P489" s="2"/>
    </row>
    <row r="490" ht="15.75" customHeight="1">
      <c r="A490" s="2"/>
      <c r="B490" s="2"/>
      <c r="C490" s="2"/>
      <c r="D490" s="2"/>
      <c r="E490" s="2"/>
      <c r="F490" s="2"/>
      <c r="G490" s="2"/>
      <c r="H490" s="2"/>
      <c r="I490" s="2"/>
      <c r="J490" s="2"/>
      <c r="K490" s="2"/>
      <c r="L490" s="2"/>
      <c r="M490" s="2"/>
      <c r="N490" s="2"/>
      <c r="O490" s="2"/>
      <c r="P490" s="2"/>
    </row>
    <row r="491" ht="15.75" customHeight="1">
      <c r="A491" s="2"/>
      <c r="B491" s="2"/>
      <c r="C491" s="2"/>
      <c r="D491" s="2"/>
      <c r="E491" s="2"/>
      <c r="F491" s="2"/>
      <c r="G491" s="2"/>
      <c r="H491" s="2"/>
      <c r="I491" s="2"/>
      <c r="J491" s="2"/>
      <c r="K491" s="2"/>
      <c r="L491" s="2"/>
      <c r="M491" s="2"/>
      <c r="N491" s="2"/>
      <c r="O491" s="2"/>
      <c r="P491" s="2"/>
    </row>
    <row r="492" ht="15.75" customHeight="1">
      <c r="A492" s="2"/>
      <c r="B492" s="2"/>
      <c r="C492" s="2"/>
      <c r="D492" s="2"/>
      <c r="E492" s="2"/>
      <c r="F492" s="2"/>
      <c r="G492" s="2"/>
      <c r="H492" s="2"/>
      <c r="I492" s="2"/>
      <c r="J492" s="2"/>
      <c r="K492" s="2"/>
      <c r="L492" s="2"/>
      <c r="M492" s="2"/>
      <c r="N492" s="2"/>
      <c r="O492" s="2"/>
      <c r="P492" s="2"/>
    </row>
    <row r="493" ht="15.75" customHeight="1">
      <c r="A493" s="2"/>
      <c r="B493" s="2"/>
      <c r="C493" s="2"/>
      <c r="D493" s="2"/>
      <c r="E493" s="2"/>
      <c r="F493" s="2"/>
      <c r="G493" s="2"/>
      <c r="H493" s="2"/>
      <c r="I493" s="2"/>
      <c r="J493" s="2"/>
      <c r="K493" s="2"/>
      <c r="L493" s="2"/>
      <c r="M493" s="2"/>
      <c r="N493" s="2"/>
      <c r="O493" s="2"/>
      <c r="P493" s="2"/>
    </row>
    <row r="494" ht="15.75" customHeight="1">
      <c r="A494" s="2"/>
      <c r="B494" s="2"/>
      <c r="C494" s="2"/>
      <c r="D494" s="2"/>
      <c r="E494" s="2"/>
      <c r="F494" s="2"/>
      <c r="G494" s="2"/>
      <c r="H494" s="2"/>
      <c r="I494" s="2"/>
      <c r="J494" s="2"/>
      <c r="K494" s="2"/>
      <c r="L494" s="2"/>
      <c r="M494" s="2"/>
      <c r="N494" s="2"/>
      <c r="O494" s="2"/>
      <c r="P494" s="2"/>
    </row>
    <row r="495" ht="15.75" customHeight="1">
      <c r="A495" s="2"/>
      <c r="B495" s="2"/>
      <c r="C495" s="2"/>
      <c r="D495" s="2"/>
      <c r="E495" s="2"/>
      <c r="F495" s="2"/>
      <c r="G495" s="2"/>
      <c r="H495" s="2"/>
      <c r="I495" s="2"/>
      <c r="J495" s="2"/>
      <c r="K495" s="2"/>
      <c r="L495" s="2"/>
      <c r="M495" s="2"/>
      <c r="N495" s="2"/>
      <c r="O495" s="2"/>
      <c r="P495" s="2"/>
    </row>
    <row r="496" ht="15.75" customHeight="1">
      <c r="A496" s="2"/>
      <c r="B496" s="2"/>
      <c r="C496" s="2"/>
      <c r="D496" s="2"/>
      <c r="E496" s="2"/>
      <c r="F496" s="2"/>
      <c r="G496" s="2"/>
      <c r="H496" s="2"/>
      <c r="I496" s="2"/>
      <c r="J496" s="2"/>
      <c r="K496" s="2"/>
      <c r="L496" s="2"/>
      <c r="M496" s="2"/>
      <c r="N496" s="2"/>
      <c r="O496" s="2"/>
      <c r="P496" s="2"/>
    </row>
    <row r="497" ht="15.75" customHeight="1">
      <c r="A497" s="2"/>
      <c r="B497" s="2"/>
      <c r="C497" s="2"/>
      <c r="D497" s="2"/>
      <c r="E497" s="2"/>
      <c r="F497" s="2"/>
      <c r="G497" s="2"/>
      <c r="H497" s="2"/>
      <c r="I497" s="2"/>
      <c r="J497" s="2"/>
      <c r="K497" s="2"/>
      <c r="L497" s="2"/>
      <c r="M497" s="2"/>
      <c r="N497" s="2"/>
      <c r="O497" s="2"/>
      <c r="P497" s="2"/>
    </row>
    <row r="498" ht="15.75" customHeight="1">
      <c r="A498" s="2"/>
      <c r="B498" s="2"/>
      <c r="C498" s="2"/>
      <c r="D498" s="2"/>
      <c r="E498" s="2"/>
      <c r="F498" s="2"/>
      <c r="G498" s="2"/>
      <c r="H498" s="2"/>
      <c r="I498" s="2"/>
      <c r="J498" s="2"/>
      <c r="K498" s="2"/>
      <c r="L498" s="2"/>
      <c r="M498" s="2"/>
      <c r="N498" s="2"/>
      <c r="O498" s="2"/>
      <c r="P498" s="2"/>
    </row>
    <row r="499" ht="15.75" customHeight="1">
      <c r="A499" s="2"/>
      <c r="B499" s="2"/>
      <c r="C499" s="2"/>
      <c r="D499" s="2"/>
      <c r="E499" s="2"/>
      <c r="F499" s="2"/>
      <c r="G499" s="2"/>
      <c r="H499" s="2"/>
      <c r="I499" s="2"/>
      <c r="J499" s="2"/>
      <c r="K499" s="2"/>
      <c r="L499" s="2"/>
      <c r="M499" s="2"/>
      <c r="N499" s="2"/>
      <c r="O499" s="2"/>
      <c r="P499" s="2"/>
    </row>
    <row r="500" ht="15.75" customHeight="1">
      <c r="A500" s="2"/>
      <c r="B500" s="2"/>
      <c r="C500" s="2"/>
      <c r="D500" s="2"/>
      <c r="E500" s="2"/>
      <c r="F500" s="2"/>
      <c r="G500" s="2"/>
      <c r="H500" s="2"/>
      <c r="I500" s="2"/>
      <c r="J500" s="2"/>
      <c r="K500" s="2"/>
      <c r="L500" s="2"/>
      <c r="M500" s="2"/>
      <c r="N500" s="2"/>
      <c r="O500" s="2"/>
      <c r="P500" s="2"/>
    </row>
    <row r="501" ht="15.75" customHeight="1">
      <c r="A501" s="2"/>
      <c r="B501" s="2"/>
      <c r="C501" s="2"/>
      <c r="D501" s="2"/>
      <c r="E501" s="2"/>
      <c r="F501" s="2"/>
      <c r="G501" s="2"/>
      <c r="H501" s="2"/>
      <c r="I501" s="2"/>
      <c r="J501" s="2"/>
      <c r="K501" s="2"/>
      <c r="L501" s="2"/>
      <c r="M501" s="2"/>
      <c r="N501" s="2"/>
      <c r="O501" s="2"/>
      <c r="P501" s="2"/>
    </row>
    <row r="502" ht="15.75" customHeight="1">
      <c r="A502" s="2"/>
      <c r="B502" s="2"/>
      <c r="C502" s="2"/>
      <c r="D502" s="2"/>
      <c r="E502" s="2"/>
      <c r="F502" s="2"/>
      <c r="G502" s="2"/>
      <c r="H502" s="2"/>
      <c r="I502" s="2"/>
      <c r="J502" s="2"/>
      <c r="K502" s="2"/>
      <c r="L502" s="2"/>
      <c r="M502" s="2"/>
      <c r="N502" s="2"/>
      <c r="O502" s="2"/>
      <c r="P502" s="2"/>
    </row>
    <row r="503" ht="15.75" customHeight="1">
      <c r="A503" s="2"/>
      <c r="B503" s="2"/>
      <c r="C503" s="2"/>
      <c r="D503" s="2"/>
      <c r="E503" s="2"/>
      <c r="F503" s="2"/>
      <c r="G503" s="2"/>
      <c r="H503" s="2"/>
      <c r="I503" s="2"/>
      <c r="J503" s="2"/>
      <c r="K503" s="2"/>
      <c r="L503" s="2"/>
      <c r="M503" s="2"/>
      <c r="N503" s="2"/>
      <c r="O503" s="2"/>
      <c r="P503" s="2"/>
    </row>
    <row r="504" ht="15.75" customHeight="1">
      <c r="A504" s="2"/>
      <c r="B504" s="2"/>
      <c r="C504" s="2"/>
      <c r="D504" s="2"/>
      <c r="E504" s="2"/>
      <c r="F504" s="2"/>
      <c r="G504" s="2"/>
      <c r="H504" s="2"/>
      <c r="I504" s="2"/>
      <c r="J504" s="2"/>
      <c r="K504" s="2"/>
      <c r="L504" s="2"/>
      <c r="M504" s="2"/>
      <c r="N504" s="2"/>
      <c r="O504" s="2"/>
      <c r="P504" s="2"/>
    </row>
    <row r="505" ht="15.75" customHeight="1">
      <c r="A505" s="2"/>
      <c r="B505" s="2"/>
      <c r="C505" s="2"/>
      <c r="D505" s="2"/>
      <c r="E505" s="2"/>
      <c r="F505" s="2"/>
      <c r="G505" s="2"/>
      <c r="H505" s="2"/>
      <c r="I505" s="2"/>
      <c r="J505" s="2"/>
      <c r="K505" s="2"/>
      <c r="L505" s="2"/>
      <c r="M505" s="2"/>
      <c r="N505" s="2"/>
      <c r="O505" s="2"/>
      <c r="P505" s="2"/>
    </row>
    <row r="506" ht="15.75" customHeight="1">
      <c r="A506" s="2"/>
      <c r="B506" s="2"/>
      <c r="C506" s="2"/>
      <c r="D506" s="2"/>
      <c r="E506" s="2"/>
      <c r="F506" s="2"/>
      <c r="G506" s="2"/>
      <c r="H506" s="2"/>
      <c r="I506" s="2"/>
      <c r="J506" s="2"/>
      <c r="K506" s="2"/>
      <c r="L506" s="2"/>
      <c r="M506" s="2"/>
      <c r="N506" s="2"/>
      <c r="O506" s="2"/>
      <c r="P506" s="2"/>
    </row>
    <row r="507" ht="15.75" customHeight="1">
      <c r="A507" s="2"/>
      <c r="B507" s="2"/>
      <c r="C507" s="2"/>
      <c r="D507" s="2"/>
      <c r="E507" s="2"/>
      <c r="F507" s="2"/>
      <c r="G507" s="2"/>
      <c r="H507" s="2"/>
      <c r="I507" s="2"/>
      <c r="J507" s="2"/>
      <c r="K507" s="2"/>
      <c r="L507" s="2"/>
      <c r="M507" s="2"/>
      <c r="N507" s="2"/>
      <c r="O507" s="2"/>
      <c r="P507" s="2"/>
    </row>
    <row r="508" ht="15.75" customHeight="1">
      <c r="A508" s="2"/>
      <c r="B508" s="2"/>
      <c r="C508" s="2"/>
      <c r="D508" s="2"/>
      <c r="E508" s="2"/>
      <c r="F508" s="2"/>
      <c r="G508" s="2"/>
      <c r="H508" s="2"/>
      <c r="I508" s="2"/>
      <c r="J508" s="2"/>
      <c r="K508" s="2"/>
      <c r="L508" s="2"/>
      <c r="M508" s="2"/>
      <c r="N508" s="2"/>
      <c r="O508" s="2"/>
      <c r="P508" s="2"/>
    </row>
    <row r="509" ht="15.75" customHeight="1">
      <c r="A509" s="2"/>
      <c r="B509" s="2"/>
      <c r="C509" s="2"/>
      <c r="D509" s="2"/>
      <c r="E509" s="2"/>
      <c r="F509" s="2"/>
      <c r="G509" s="2"/>
      <c r="H509" s="2"/>
      <c r="I509" s="2"/>
      <c r="J509" s="2"/>
      <c r="K509" s="2"/>
      <c r="L509" s="2"/>
      <c r="M509" s="2"/>
      <c r="N509" s="2"/>
      <c r="O509" s="2"/>
      <c r="P509" s="2"/>
    </row>
    <row r="510" ht="15.75" customHeight="1">
      <c r="A510" s="2"/>
      <c r="B510" s="2"/>
      <c r="C510" s="2"/>
      <c r="D510" s="2"/>
      <c r="E510" s="2"/>
      <c r="F510" s="2"/>
      <c r="G510" s="2"/>
      <c r="H510" s="2"/>
      <c r="I510" s="2"/>
      <c r="J510" s="2"/>
      <c r="K510" s="2"/>
      <c r="L510" s="2"/>
      <c r="M510" s="2"/>
      <c r="N510" s="2"/>
      <c r="O510" s="2"/>
      <c r="P510" s="2"/>
    </row>
    <row r="511" ht="15.75" customHeight="1">
      <c r="A511" s="2"/>
      <c r="B511" s="2"/>
      <c r="C511" s="2"/>
      <c r="D511" s="2"/>
      <c r="E511" s="2"/>
      <c r="F511" s="2"/>
      <c r="G511" s="2"/>
      <c r="H511" s="2"/>
      <c r="I511" s="2"/>
      <c r="J511" s="2"/>
      <c r="K511" s="2"/>
      <c r="L511" s="2"/>
      <c r="M511" s="2"/>
      <c r="N511" s="2"/>
      <c r="O511" s="2"/>
      <c r="P511" s="2"/>
    </row>
    <row r="512" ht="15.75" customHeight="1">
      <c r="A512" s="2"/>
      <c r="B512" s="2"/>
      <c r="C512" s="2"/>
      <c r="D512" s="2"/>
      <c r="E512" s="2"/>
      <c r="F512" s="2"/>
      <c r="G512" s="2"/>
      <c r="H512" s="2"/>
      <c r="I512" s="2"/>
      <c r="J512" s="2"/>
      <c r="K512" s="2"/>
      <c r="L512" s="2"/>
      <c r="M512" s="2"/>
      <c r="N512" s="2"/>
      <c r="O512" s="2"/>
      <c r="P512" s="2"/>
    </row>
    <row r="513" ht="15.75" customHeight="1">
      <c r="A513" s="2"/>
      <c r="B513" s="2"/>
      <c r="C513" s="2"/>
      <c r="D513" s="2"/>
      <c r="E513" s="2"/>
      <c r="F513" s="2"/>
      <c r="G513" s="2"/>
      <c r="H513" s="2"/>
      <c r="I513" s="2"/>
      <c r="J513" s="2"/>
      <c r="K513" s="2"/>
      <c r="L513" s="2"/>
      <c r="M513" s="2"/>
      <c r="N513" s="2"/>
      <c r="O513" s="2"/>
      <c r="P513" s="2"/>
    </row>
    <row r="514" ht="15.75" customHeight="1">
      <c r="A514" s="2"/>
      <c r="B514" s="2"/>
      <c r="C514" s="2"/>
      <c r="D514" s="2"/>
      <c r="E514" s="2"/>
      <c r="F514" s="2"/>
      <c r="G514" s="2"/>
      <c r="H514" s="2"/>
      <c r="I514" s="2"/>
      <c r="J514" s="2"/>
      <c r="K514" s="2"/>
      <c r="L514" s="2"/>
      <c r="M514" s="2"/>
      <c r="N514" s="2"/>
      <c r="O514" s="2"/>
      <c r="P514" s="2"/>
    </row>
    <row r="515" ht="15.75" customHeight="1">
      <c r="A515" s="2"/>
      <c r="B515" s="2"/>
      <c r="C515" s="2"/>
      <c r="D515" s="2"/>
      <c r="E515" s="2"/>
      <c r="F515" s="2"/>
      <c r="G515" s="2"/>
      <c r="H515" s="2"/>
      <c r="I515" s="2"/>
      <c r="J515" s="2"/>
      <c r="K515" s="2"/>
      <c r="L515" s="2"/>
      <c r="M515" s="2"/>
      <c r="N515" s="2"/>
      <c r="O515" s="2"/>
      <c r="P515" s="2"/>
    </row>
    <row r="516" ht="15.75" customHeight="1">
      <c r="A516" s="2"/>
      <c r="B516" s="2"/>
      <c r="C516" s="2"/>
      <c r="D516" s="2"/>
      <c r="E516" s="2"/>
      <c r="F516" s="2"/>
      <c r="G516" s="2"/>
      <c r="H516" s="2"/>
      <c r="I516" s="2"/>
      <c r="J516" s="2"/>
      <c r="K516" s="2"/>
      <c r="L516" s="2"/>
      <c r="M516" s="2"/>
      <c r="N516" s="2"/>
      <c r="O516" s="2"/>
      <c r="P516" s="2"/>
    </row>
    <row r="517" ht="15.75" customHeight="1">
      <c r="A517" s="2"/>
      <c r="B517" s="2"/>
      <c r="C517" s="2"/>
      <c r="D517" s="2"/>
      <c r="E517" s="2"/>
      <c r="F517" s="2"/>
      <c r="G517" s="2"/>
      <c r="H517" s="2"/>
      <c r="I517" s="2"/>
      <c r="J517" s="2"/>
      <c r="K517" s="2"/>
      <c r="L517" s="2"/>
      <c r="M517" s="2"/>
      <c r="N517" s="2"/>
      <c r="O517" s="2"/>
      <c r="P517" s="2"/>
    </row>
    <row r="518" ht="15.75" customHeight="1">
      <c r="A518" s="2"/>
      <c r="B518" s="2"/>
      <c r="C518" s="2"/>
      <c r="D518" s="2"/>
      <c r="E518" s="2"/>
      <c r="F518" s="2"/>
      <c r="G518" s="2"/>
      <c r="H518" s="2"/>
      <c r="I518" s="2"/>
      <c r="J518" s="2"/>
      <c r="K518" s="2"/>
      <c r="L518" s="2"/>
      <c r="M518" s="2"/>
      <c r="N518" s="2"/>
      <c r="O518" s="2"/>
      <c r="P518" s="2"/>
    </row>
    <row r="519" ht="15.75" customHeight="1">
      <c r="A519" s="2"/>
      <c r="B519" s="2"/>
      <c r="C519" s="2"/>
      <c r="D519" s="2"/>
      <c r="E519" s="2"/>
      <c r="F519" s="2"/>
      <c r="G519" s="2"/>
      <c r="H519" s="2"/>
      <c r="I519" s="2"/>
      <c r="J519" s="2"/>
      <c r="K519" s="2"/>
      <c r="L519" s="2"/>
      <c r="M519" s="2"/>
      <c r="N519" s="2"/>
      <c r="O519" s="2"/>
      <c r="P519" s="2"/>
    </row>
    <row r="520" ht="15.75" customHeight="1">
      <c r="A520" s="2"/>
      <c r="B520" s="2"/>
      <c r="C520" s="2"/>
      <c r="D520" s="2"/>
      <c r="E520" s="2"/>
      <c r="F520" s="2"/>
      <c r="G520" s="2"/>
      <c r="H520" s="2"/>
      <c r="I520" s="2"/>
      <c r="J520" s="2"/>
      <c r="K520" s="2"/>
      <c r="L520" s="2"/>
      <c r="M520" s="2"/>
      <c r="N520" s="2"/>
      <c r="O520" s="2"/>
      <c r="P520" s="2"/>
    </row>
    <row r="521" ht="15.75" customHeight="1">
      <c r="A521" s="2"/>
      <c r="B521" s="2"/>
      <c r="C521" s="2"/>
      <c r="D521" s="2"/>
      <c r="E521" s="2"/>
      <c r="F521" s="2"/>
      <c r="G521" s="2"/>
      <c r="H521" s="2"/>
      <c r="I521" s="2"/>
      <c r="J521" s="2"/>
      <c r="K521" s="2"/>
      <c r="L521" s="2"/>
      <c r="M521" s="2"/>
      <c r="N521" s="2"/>
      <c r="O521" s="2"/>
      <c r="P521" s="2"/>
    </row>
    <row r="522" ht="15.75" customHeight="1">
      <c r="A522" s="2"/>
      <c r="B522" s="2"/>
      <c r="C522" s="2"/>
      <c r="D522" s="2"/>
      <c r="E522" s="2"/>
      <c r="F522" s="2"/>
      <c r="G522" s="2"/>
      <c r="H522" s="2"/>
      <c r="I522" s="2"/>
      <c r="J522" s="2"/>
      <c r="K522" s="2"/>
      <c r="L522" s="2"/>
      <c r="M522" s="2"/>
      <c r="N522" s="2"/>
      <c r="O522" s="2"/>
      <c r="P522" s="2"/>
    </row>
    <row r="523" ht="15.75" customHeight="1">
      <c r="A523" s="2"/>
      <c r="B523" s="2"/>
      <c r="C523" s="2"/>
      <c r="D523" s="2"/>
      <c r="E523" s="2"/>
      <c r="F523" s="2"/>
      <c r="G523" s="2"/>
      <c r="H523" s="2"/>
      <c r="I523" s="2"/>
      <c r="J523" s="2"/>
      <c r="K523" s="2"/>
      <c r="L523" s="2"/>
      <c r="M523" s="2"/>
      <c r="N523" s="2"/>
      <c r="O523" s="2"/>
      <c r="P523" s="2"/>
    </row>
    <row r="524" ht="15.75" customHeight="1">
      <c r="A524" s="2"/>
      <c r="B524" s="2"/>
      <c r="C524" s="2"/>
      <c r="D524" s="2"/>
      <c r="E524" s="2"/>
      <c r="F524" s="2"/>
      <c r="G524" s="2"/>
      <c r="H524" s="2"/>
      <c r="I524" s="2"/>
      <c r="J524" s="2"/>
      <c r="K524" s="2"/>
      <c r="L524" s="2"/>
      <c r="M524" s="2"/>
      <c r="N524" s="2"/>
      <c r="O524" s="2"/>
      <c r="P524" s="2"/>
    </row>
    <row r="525" ht="15.75" customHeight="1">
      <c r="A525" s="2"/>
      <c r="B525" s="2"/>
      <c r="C525" s="2"/>
      <c r="D525" s="2"/>
      <c r="E525" s="2"/>
      <c r="F525" s="2"/>
      <c r="G525" s="2"/>
      <c r="H525" s="2"/>
      <c r="I525" s="2"/>
      <c r="J525" s="2"/>
      <c r="K525" s="2"/>
      <c r="L525" s="2"/>
      <c r="M525" s="2"/>
      <c r="N525" s="2"/>
      <c r="O525" s="2"/>
      <c r="P525" s="2"/>
    </row>
    <row r="526" ht="15.75" customHeight="1">
      <c r="A526" s="2"/>
      <c r="B526" s="2"/>
      <c r="C526" s="2"/>
      <c r="D526" s="2"/>
      <c r="E526" s="2"/>
      <c r="F526" s="2"/>
      <c r="G526" s="2"/>
      <c r="H526" s="2"/>
      <c r="I526" s="2"/>
      <c r="J526" s="2"/>
      <c r="K526" s="2"/>
      <c r="L526" s="2"/>
      <c r="M526" s="2"/>
      <c r="N526" s="2"/>
      <c r="O526" s="2"/>
      <c r="P526" s="2"/>
    </row>
    <row r="527" ht="15.75" customHeight="1">
      <c r="A527" s="2"/>
      <c r="B527" s="2"/>
      <c r="C527" s="2"/>
      <c r="D527" s="2"/>
      <c r="E527" s="2"/>
      <c r="F527" s="2"/>
      <c r="G527" s="2"/>
      <c r="H527" s="2"/>
      <c r="I527" s="2"/>
      <c r="J527" s="2"/>
      <c r="K527" s="2"/>
      <c r="L527" s="2"/>
      <c r="M527" s="2"/>
      <c r="N527" s="2"/>
      <c r="O527" s="2"/>
      <c r="P527" s="2"/>
    </row>
    <row r="528" ht="15.75" customHeight="1">
      <c r="A528" s="2"/>
      <c r="B528" s="2"/>
      <c r="C528" s="2"/>
      <c r="D528" s="2"/>
      <c r="E528" s="2"/>
      <c r="F528" s="2"/>
      <c r="G528" s="2"/>
      <c r="H528" s="2"/>
      <c r="I528" s="2"/>
      <c r="J528" s="2"/>
      <c r="K528" s="2"/>
      <c r="L528" s="2"/>
      <c r="M528" s="2"/>
      <c r="N528" s="2"/>
      <c r="O528" s="2"/>
      <c r="P528" s="2"/>
    </row>
    <row r="529" ht="15.75" customHeight="1">
      <c r="A529" s="2"/>
      <c r="B529" s="2"/>
      <c r="C529" s="2"/>
      <c r="D529" s="2"/>
      <c r="E529" s="2"/>
      <c r="F529" s="2"/>
      <c r="G529" s="2"/>
      <c r="H529" s="2"/>
      <c r="I529" s="2"/>
      <c r="J529" s="2"/>
      <c r="K529" s="2"/>
      <c r="L529" s="2"/>
      <c r="M529" s="2"/>
      <c r="N529" s="2"/>
      <c r="O529" s="2"/>
      <c r="P529" s="2"/>
    </row>
    <row r="530" ht="15.75" customHeight="1">
      <c r="A530" s="2"/>
      <c r="B530" s="2"/>
      <c r="C530" s="2"/>
      <c r="D530" s="2"/>
      <c r="E530" s="2"/>
      <c r="F530" s="2"/>
      <c r="G530" s="2"/>
      <c r="H530" s="2"/>
      <c r="I530" s="2"/>
      <c r="J530" s="2"/>
      <c r="K530" s="2"/>
      <c r="L530" s="2"/>
      <c r="M530" s="2"/>
      <c r="N530" s="2"/>
      <c r="O530" s="2"/>
      <c r="P530" s="2"/>
    </row>
    <row r="531" ht="15.75" customHeight="1">
      <c r="A531" s="2"/>
      <c r="B531" s="2"/>
      <c r="C531" s="2"/>
      <c r="D531" s="2"/>
      <c r="E531" s="2"/>
      <c r="F531" s="2"/>
      <c r="G531" s="2"/>
      <c r="H531" s="2"/>
      <c r="I531" s="2"/>
      <c r="J531" s="2"/>
      <c r="K531" s="2"/>
      <c r="L531" s="2"/>
      <c r="M531" s="2"/>
      <c r="N531" s="2"/>
      <c r="O531" s="2"/>
      <c r="P531" s="2"/>
    </row>
    <row r="532" ht="15.75" customHeight="1">
      <c r="A532" s="2"/>
      <c r="B532" s="2"/>
      <c r="C532" s="2"/>
      <c r="D532" s="2"/>
      <c r="E532" s="2"/>
      <c r="F532" s="2"/>
      <c r="G532" s="2"/>
      <c r="H532" s="2"/>
      <c r="I532" s="2"/>
      <c r="J532" s="2"/>
      <c r="K532" s="2"/>
      <c r="L532" s="2"/>
      <c r="M532" s="2"/>
      <c r="N532" s="2"/>
      <c r="O532" s="2"/>
      <c r="P532" s="2"/>
    </row>
    <row r="533" ht="15.75" customHeight="1">
      <c r="A533" s="2"/>
      <c r="B533" s="2"/>
      <c r="C533" s="2"/>
      <c r="D533" s="2"/>
      <c r="E533" s="2"/>
      <c r="F533" s="2"/>
      <c r="G533" s="2"/>
      <c r="H533" s="2"/>
      <c r="I533" s="2"/>
      <c r="J533" s="2"/>
      <c r="K533" s="2"/>
      <c r="L533" s="2"/>
      <c r="M533" s="2"/>
      <c r="N533" s="2"/>
      <c r="O533" s="2"/>
      <c r="P533" s="2"/>
    </row>
    <row r="534" ht="15.75" customHeight="1">
      <c r="A534" s="2"/>
      <c r="B534" s="2"/>
      <c r="C534" s="2"/>
      <c r="D534" s="2"/>
      <c r="E534" s="2"/>
      <c r="F534" s="2"/>
      <c r="G534" s="2"/>
      <c r="H534" s="2"/>
      <c r="I534" s="2"/>
      <c r="J534" s="2"/>
      <c r="K534" s="2"/>
      <c r="L534" s="2"/>
      <c r="M534" s="2"/>
      <c r="N534" s="2"/>
      <c r="O534" s="2"/>
      <c r="P534" s="2"/>
    </row>
    <row r="535" ht="15.75" customHeight="1">
      <c r="A535" s="2"/>
      <c r="B535" s="2"/>
      <c r="C535" s="2"/>
      <c r="D535" s="2"/>
      <c r="E535" s="2"/>
      <c r="F535" s="2"/>
      <c r="G535" s="2"/>
      <c r="H535" s="2"/>
      <c r="I535" s="2"/>
      <c r="J535" s="2"/>
      <c r="K535" s="2"/>
      <c r="L535" s="2"/>
      <c r="M535" s="2"/>
      <c r="N535" s="2"/>
      <c r="O535" s="2"/>
      <c r="P535" s="2"/>
    </row>
    <row r="536" ht="15.75" customHeight="1">
      <c r="A536" s="2"/>
      <c r="B536" s="2"/>
      <c r="C536" s="2"/>
      <c r="D536" s="2"/>
      <c r="E536" s="2"/>
      <c r="F536" s="2"/>
      <c r="G536" s="2"/>
      <c r="H536" s="2"/>
      <c r="I536" s="2"/>
      <c r="J536" s="2"/>
      <c r="K536" s="2"/>
      <c r="L536" s="2"/>
      <c r="M536" s="2"/>
      <c r="N536" s="2"/>
      <c r="O536" s="2"/>
      <c r="P536" s="2"/>
    </row>
    <row r="537" ht="15.75" customHeight="1">
      <c r="A537" s="2"/>
      <c r="B537" s="2"/>
      <c r="C537" s="2"/>
      <c r="D537" s="2"/>
      <c r="E537" s="2"/>
      <c r="F537" s="2"/>
      <c r="G537" s="2"/>
      <c r="H537" s="2"/>
      <c r="I537" s="2"/>
      <c r="J537" s="2"/>
      <c r="K537" s="2"/>
      <c r="L537" s="2"/>
      <c r="M537" s="2"/>
      <c r="N537" s="2"/>
      <c r="O537" s="2"/>
      <c r="P537" s="2"/>
    </row>
    <row r="538" ht="15.75" customHeight="1">
      <c r="A538" s="2"/>
      <c r="B538" s="2"/>
      <c r="C538" s="2"/>
      <c r="D538" s="2"/>
      <c r="E538" s="2"/>
      <c r="F538" s="2"/>
      <c r="G538" s="2"/>
      <c r="H538" s="2"/>
      <c r="I538" s="2"/>
      <c r="J538" s="2"/>
      <c r="K538" s="2"/>
      <c r="L538" s="2"/>
      <c r="M538" s="2"/>
      <c r="N538" s="2"/>
      <c r="O538" s="2"/>
      <c r="P538" s="2"/>
    </row>
    <row r="539" ht="15.75" customHeight="1">
      <c r="A539" s="2"/>
      <c r="B539" s="2"/>
      <c r="C539" s="2"/>
      <c r="D539" s="2"/>
      <c r="E539" s="2"/>
      <c r="F539" s="2"/>
      <c r="G539" s="2"/>
      <c r="H539" s="2"/>
      <c r="I539" s="2"/>
      <c r="J539" s="2"/>
      <c r="K539" s="2"/>
      <c r="L539" s="2"/>
      <c r="M539" s="2"/>
      <c r="N539" s="2"/>
      <c r="O539" s="2"/>
      <c r="P539" s="2"/>
    </row>
    <row r="540" ht="15.75" customHeight="1">
      <c r="A540" s="2"/>
      <c r="B540" s="2"/>
      <c r="C540" s="2"/>
      <c r="D540" s="2"/>
      <c r="E540" s="2"/>
      <c r="F540" s="2"/>
      <c r="G540" s="2"/>
      <c r="H540" s="2"/>
      <c r="I540" s="2"/>
      <c r="J540" s="2"/>
      <c r="K540" s="2"/>
      <c r="L540" s="2"/>
      <c r="M540" s="2"/>
      <c r="N540" s="2"/>
      <c r="O540" s="2"/>
      <c r="P540" s="2"/>
    </row>
    <row r="541" ht="15.75" customHeight="1">
      <c r="A541" s="2"/>
      <c r="B541" s="2"/>
      <c r="C541" s="2"/>
      <c r="D541" s="2"/>
      <c r="E541" s="2"/>
      <c r="F541" s="2"/>
      <c r="G541" s="2"/>
      <c r="H541" s="2"/>
      <c r="I541" s="2"/>
      <c r="J541" s="2"/>
      <c r="K541" s="2"/>
      <c r="L541" s="2"/>
      <c r="M541" s="2"/>
      <c r="N541" s="2"/>
      <c r="O541" s="2"/>
      <c r="P541" s="2"/>
    </row>
    <row r="542" ht="15.75" customHeight="1">
      <c r="A542" s="2"/>
      <c r="B542" s="2"/>
      <c r="C542" s="2"/>
      <c r="D542" s="2"/>
      <c r="E542" s="2"/>
      <c r="F542" s="2"/>
      <c r="G542" s="2"/>
      <c r="H542" s="2"/>
      <c r="I542" s="2"/>
      <c r="J542" s="2"/>
      <c r="K542" s="2"/>
      <c r="L542" s="2"/>
      <c r="M542" s="2"/>
      <c r="N542" s="2"/>
      <c r="O542" s="2"/>
      <c r="P542" s="2"/>
    </row>
    <row r="543" ht="15.75" customHeight="1">
      <c r="A543" s="2"/>
      <c r="B543" s="2"/>
      <c r="C543" s="2"/>
      <c r="D543" s="2"/>
      <c r="E543" s="2"/>
      <c r="F543" s="2"/>
      <c r="G543" s="2"/>
      <c r="H543" s="2"/>
      <c r="I543" s="2"/>
      <c r="J543" s="2"/>
      <c r="K543" s="2"/>
      <c r="L543" s="2"/>
      <c r="M543" s="2"/>
      <c r="N543" s="2"/>
      <c r="O543" s="2"/>
      <c r="P543" s="2"/>
    </row>
    <row r="544" ht="15.75" customHeight="1">
      <c r="A544" s="2"/>
      <c r="B544" s="2"/>
      <c r="C544" s="2"/>
      <c r="D544" s="2"/>
      <c r="E544" s="2"/>
      <c r="F544" s="2"/>
      <c r="G544" s="2"/>
      <c r="H544" s="2"/>
      <c r="I544" s="2"/>
      <c r="J544" s="2"/>
      <c r="K544" s="2"/>
      <c r="L544" s="2"/>
      <c r="M544" s="2"/>
      <c r="N544" s="2"/>
      <c r="O544" s="2"/>
      <c r="P544" s="2"/>
    </row>
    <row r="545" ht="15.75" customHeight="1">
      <c r="A545" s="2"/>
      <c r="B545" s="2"/>
      <c r="C545" s="2"/>
      <c r="D545" s="2"/>
      <c r="E545" s="2"/>
      <c r="F545" s="2"/>
      <c r="G545" s="2"/>
      <c r="H545" s="2"/>
      <c r="I545" s="2"/>
      <c r="J545" s="2"/>
      <c r="K545" s="2"/>
      <c r="L545" s="2"/>
      <c r="M545" s="2"/>
      <c r="N545" s="2"/>
      <c r="O545" s="2"/>
      <c r="P545" s="2"/>
    </row>
    <row r="546" ht="15.75" customHeight="1">
      <c r="A546" s="2"/>
      <c r="B546" s="2"/>
      <c r="C546" s="2"/>
      <c r="D546" s="2"/>
      <c r="E546" s="2"/>
      <c r="F546" s="2"/>
      <c r="G546" s="2"/>
      <c r="H546" s="2"/>
      <c r="I546" s="2"/>
      <c r="J546" s="2"/>
      <c r="K546" s="2"/>
      <c r="L546" s="2"/>
      <c r="M546" s="2"/>
      <c r="N546" s="2"/>
      <c r="O546" s="2"/>
      <c r="P546" s="2"/>
    </row>
    <row r="547" ht="15.75" customHeight="1">
      <c r="A547" s="2"/>
      <c r="B547" s="2"/>
      <c r="C547" s="2"/>
      <c r="D547" s="2"/>
      <c r="E547" s="2"/>
      <c r="F547" s="2"/>
      <c r="G547" s="2"/>
      <c r="H547" s="2"/>
      <c r="I547" s="2"/>
      <c r="J547" s="2"/>
      <c r="K547" s="2"/>
      <c r="L547" s="2"/>
      <c r="M547" s="2"/>
      <c r="N547" s="2"/>
      <c r="O547" s="2"/>
      <c r="P547" s="2"/>
    </row>
    <row r="548" ht="15.75" customHeight="1">
      <c r="A548" s="2"/>
      <c r="B548" s="2"/>
      <c r="C548" s="2"/>
      <c r="D548" s="2"/>
      <c r="E548" s="2"/>
      <c r="F548" s="2"/>
      <c r="G548" s="2"/>
      <c r="H548" s="2"/>
      <c r="I548" s="2"/>
      <c r="J548" s="2"/>
      <c r="K548" s="2"/>
      <c r="L548" s="2"/>
      <c r="M548" s="2"/>
      <c r="N548" s="2"/>
      <c r="O548" s="2"/>
      <c r="P548" s="2"/>
    </row>
    <row r="549" ht="15.75" customHeight="1">
      <c r="A549" s="2"/>
      <c r="B549" s="2"/>
      <c r="C549" s="2"/>
      <c r="D549" s="2"/>
      <c r="E549" s="2"/>
      <c r="F549" s="2"/>
      <c r="G549" s="2"/>
      <c r="H549" s="2"/>
      <c r="I549" s="2"/>
      <c r="J549" s="2"/>
      <c r="K549" s="2"/>
      <c r="L549" s="2"/>
      <c r="M549" s="2"/>
      <c r="N549" s="2"/>
      <c r="O549" s="2"/>
      <c r="P549" s="2"/>
    </row>
    <row r="550" ht="15.75" customHeight="1">
      <c r="A550" s="2"/>
      <c r="B550" s="2"/>
      <c r="C550" s="2"/>
      <c r="D550" s="2"/>
      <c r="E550" s="2"/>
      <c r="F550" s="2"/>
      <c r="G550" s="2"/>
      <c r="H550" s="2"/>
      <c r="I550" s="2"/>
      <c r="J550" s="2"/>
      <c r="K550" s="2"/>
      <c r="L550" s="2"/>
      <c r="M550" s="2"/>
      <c r="N550" s="2"/>
      <c r="O550" s="2"/>
      <c r="P550" s="2"/>
    </row>
    <row r="551" ht="15.75" customHeight="1">
      <c r="A551" s="2"/>
      <c r="B551" s="2"/>
      <c r="C551" s="2"/>
      <c r="D551" s="2"/>
      <c r="E551" s="2"/>
      <c r="F551" s="2"/>
      <c r="G551" s="2"/>
      <c r="H551" s="2"/>
      <c r="I551" s="2"/>
      <c r="J551" s="2"/>
      <c r="K551" s="2"/>
      <c r="L551" s="2"/>
      <c r="M551" s="2"/>
      <c r="N551" s="2"/>
      <c r="O551" s="2"/>
      <c r="P551" s="2"/>
    </row>
    <row r="552" ht="15.75" customHeight="1">
      <c r="A552" s="2"/>
      <c r="B552" s="2"/>
      <c r="C552" s="2"/>
      <c r="D552" s="2"/>
      <c r="E552" s="2"/>
      <c r="F552" s="2"/>
      <c r="G552" s="2"/>
      <c r="H552" s="2"/>
      <c r="I552" s="2"/>
      <c r="J552" s="2"/>
      <c r="K552" s="2"/>
      <c r="L552" s="2"/>
      <c r="M552" s="2"/>
      <c r="N552" s="2"/>
      <c r="O552" s="2"/>
      <c r="P552" s="2"/>
    </row>
    <row r="553" ht="15.75" customHeight="1">
      <c r="A553" s="2"/>
      <c r="B553" s="2"/>
      <c r="C553" s="2"/>
      <c r="D553" s="2"/>
      <c r="E553" s="2"/>
      <c r="F553" s="2"/>
      <c r="G553" s="2"/>
      <c r="H553" s="2"/>
      <c r="I553" s="2"/>
      <c r="J553" s="2"/>
      <c r="K553" s="2"/>
      <c r="L553" s="2"/>
      <c r="M553" s="2"/>
      <c r="N553" s="2"/>
      <c r="O553" s="2"/>
      <c r="P553" s="2"/>
    </row>
    <row r="554" ht="15.75" customHeight="1">
      <c r="A554" s="2"/>
      <c r="B554" s="2"/>
      <c r="C554" s="2"/>
      <c r="D554" s="2"/>
      <c r="E554" s="2"/>
      <c r="F554" s="2"/>
      <c r="G554" s="2"/>
      <c r="H554" s="2"/>
      <c r="I554" s="2"/>
      <c r="J554" s="2"/>
      <c r="K554" s="2"/>
      <c r="L554" s="2"/>
      <c r="M554" s="2"/>
      <c r="N554" s="2"/>
      <c r="O554" s="2"/>
      <c r="P554" s="2"/>
    </row>
    <row r="555" ht="15.75" customHeight="1">
      <c r="A555" s="2"/>
      <c r="B555" s="2"/>
      <c r="C555" s="2"/>
      <c r="D555" s="2"/>
      <c r="E555" s="2"/>
      <c r="F555" s="2"/>
      <c r="G555" s="2"/>
      <c r="H555" s="2"/>
      <c r="I555" s="2"/>
      <c r="J555" s="2"/>
      <c r="K555" s="2"/>
      <c r="L555" s="2"/>
      <c r="M555" s="2"/>
      <c r="N555" s="2"/>
      <c r="O555" s="2"/>
      <c r="P555" s="2"/>
    </row>
    <row r="556" ht="15.75" customHeight="1">
      <c r="A556" s="2"/>
      <c r="B556" s="2"/>
      <c r="C556" s="2"/>
      <c r="D556" s="2"/>
      <c r="E556" s="2"/>
      <c r="F556" s="2"/>
      <c r="G556" s="2"/>
      <c r="H556" s="2"/>
      <c r="I556" s="2"/>
      <c r="J556" s="2"/>
      <c r="K556" s="2"/>
      <c r="L556" s="2"/>
      <c r="M556" s="2"/>
      <c r="N556" s="2"/>
      <c r="O556" s="2"/>
      <c r="P556" s="2"/>
    </row>
    <row r="557" ht="15.75" customHeight="1">
      <c r="A557" s="2"/>
      <c r="B557" s="2"/>
      <c r="C557" s="2"/>
      <c r="D557" s="2"/>
      <c r="E557" s="2"/>
      <c r="F557" s="2"/>
      <c r="G557" s="2"/>
      <c r="H557" s="2"/>
      <c r="I557" s="2"/>
      <c r="J557" s="2"/>
      <c r="K557" s="2"/>
      <c r="L557" s="2"/>
      <c r="M557" s="2"/>
      <c r="N557" s="2"/>
      <c r="O557" s="2"/>
      <c r="P557" s="2"/>
    </row>
    <row r="558" ht="15.75" customHeight="1">
      <c r="A558" s="2"/>
      <c r="B558" s="2"/>
      <c r="C558" s="2"/>
      <c r="D558" s="2"/>
      <c r="E558" s="2"/>
      <c r="F558" s="2"/>
      <c r="G558" s="2"/>
      <c r="H558" s="2"/>
      <c r="I558" s="2"/>
      <c r="J558" s="2"/>
      <c r="K558" s="2"/>
      <c r="L558" s="2"/>
      <c r="M558" s="2"/>
      <c r="N558" s="2"/>
      <c r="O558" s="2"/>
      <c r="P558" s="2"/>
    </row>
    <row r="559" ht="15.75" customHeight="1">
      <c r="A559" s="2"/>
      <c r="B559" s="2"/>
      <c r="C559" s="2"/>
      <c r="D559" s="2"/>
      <c r="E559" s="2"/>
      <c r="F559" s="2"/>
      <c r="G559" s="2"/>
      <c r="H559" s="2"/>
      <c r="I559" s="2"/>
      <c r="J559" s="2"/>
      <c r="K559" s="2"/>
      <c r="L559" s="2"/>
      <c r="M559" s="2"/>
      <c r="N559" s="2"/>
      <c r="O559" s="2"/>
      <c r="P559" s="2"/>
    </row>
    <row r="560" ht="15.75" customHeight="1">
      <c r="A560" s="2"/>
      <c r="B560" s="2"/>
      <c r="C560" s="2"/>
      <c r="D560" s="2"/>
      <c r="E560" s="2"/>
      <c r="F560" s="2"/>
      <c r="G560" s="2"/>
      <c r="H560" s="2"/>
      <c r="I560" s="2"/>
      <c r="J560" s="2"/>
      <c r="K560" s="2"/>
      <c r="L560" s="2"/>
      <c r="M560" s="2"/>
      <c r="N560" s="2"/>
      <c r="O560" s="2"/>
      <c r="P560" s="2"/>
    </row>
    <row r="561" ht="15.75" customHeight="1">
      <c r="A561" s="2"/>
      <c r="B561" s="2"/>
      <c r="C561" s="2"/>
      <c r="D561" s="2"/>
      <c r="E561" s="2"/>
      <c r="F561" s="2"/>
      <c r="G561" s="2"/>
      <c r="H561" s="2"/>
      <c r="I561" s="2"/>
      <c r="J561" s="2"/>
      <c r="K561" s="2"/>
      <c r="L561" s="2"/>
      <c r="M561" s="2"/>
      <c r="N561" s="2"/>
      <c r="O561" s="2"/>
      <c r="P561" s="2"/>
    </row>
    <row r="562" ht="15.75" customHeight="1">
      <c r="A562" s="2"/>
      <c r="B562" s="2"/>
      <c r="C562" s="2"/>
      <c r="D562" s="2"/>
      <c r="E562" s="2"/>
      <c r="F562" s="2"/>
      <c r="G562" s="2"/>
      <c r="H562" s="2"/>
      <c r="I562" s="2"/>
      <c r="J562" s="2"/>
      <c r="K562" s="2"/>
      <c r="L562" s="2"/>
      <c r="M562" s="2"/>
      <c r="N562" s="2"/>
      <c r="O562" s="2"/>
      <c r="P562" s="2"/>
    </row>
    <row r="563" ht="15.75" customHeight="1">
      <c r="A563" s="2"/>
      <c r="B563" s="2"/>
      <c r="C563" s="2"/>
      <c r="D563" s="2"/>
      <c r="E563" s="2"/>
      <c r="F563" s="2"/>
      <c r="G563" s="2"/>
      <c r="H563" s="2"/>
      <c r="I563" s="2"/>
      <c r="J563" s="2"/>
      <c r="K563" s="2"/>
      <c r="L563" s="2"/>
      <c r="M563" s="2"/>
      <c r="N563" s="2"/>
      <c r="O563" s="2"/>
      <c r="P563" s="2"/>
    </row>
    <row r="564" ht="15.75" customHeight="1">
      <c r="A564" s="2"/>
      <c r="B564" s="2"/>
      <c r="C564" s="2"/>
      <c r="D564" s="2"/>
      <c r="E564" s="2"/>
      <c r="F564" s="2"/>
      <c r="G564" s="2"/>
      <c r="H564" s="2"/>
      <c r="I564" s="2"/>
      <c r="J564" s="2"/>
      <c r="K564" s="2"/>
      <c r="L564" s="2"/>
      <c r="M564" s="2"/>
      <c r="N564" s="2"/>
      <c r="O564" s="2"/>
      <c r="P564" s="2"/>
    </row>
    <row r="565" ht="15.75" customHeight="1">
      <c r="A565" s="2"/>
      <c r="B565" s="2"/>
      <c r="C565" s="2"/>
      <c r="D565" s="2"/>
      <c r="E565" s="2"/>
      <c r="F565" s="2"/>
      <c r="G565" s="2"/>
      <c r="H565" s="2"/>
      <c r="I565" s="2"/>
      <c r="J565" s="2"/>
      <c r="K565" s="2"/>
      <c r="L565" s="2"/>
      <c r="M565" s="2"/>
      <c r="N565" s="2"/>
      <c r="O565" s="2"/>
      <c r="P565" s="2"/>
    </row>
    <row r="566" ht="15.75" customHeight="1">
      <c r="A566" s="2"/>
      <c r="B566" s="2"/>
      <c r="C566" s="2"/>
      <c r="D566" s="2"/>
      <c r="E566" s="2"/>
      <c r="F566" s="2"/>
      <c r="G566" s="2"/>
      <c r="H566" s="2"/>
      <c r="I566" s="2"/>
      <c r="J566" s="2"/>
      <c r="K566" s="2"/>
      <c r="L566" s="2"/>
      <c r="M566" s="2"/>
      <c r="N566" s="2"/>
      <c r="O566" s="2"/>
      <c r="P566" s="2"/>
    </row>
    <row r="567" ht="15.75" customHeight="1">
      <c r="A567" s="2"/>
      <c r="B567" s="2"/>
      <c r="C567" s="2"/>
      <c r="D567" s="2"/>
      <c r="E567" s="2"/>
      <c r="F567" s="2"/>
      <c r="G567" s="2"/>
      <c r="H567" s="2"/>
      <c r="I567" s="2"/>
      <c r="J567" s="2"/>
      <c r="K567" s="2"/>
      <c r="L567" s="2"/>
      <c r="M567" s="2"/>
      <c r="N567" s="2"/>
      <c r="O567" s="2"/>
      <c r="P567" s="2"/>
    </row>
    <row r="568" ht="15.75" customHeight="1">
      <c r="A568" s="2"/>
      <c r="B568" s="2"/>
      <c r="C568" s="2"/>
      <c r="D568" s="2"/>
      <c r="E568" s="2"/>
      <c r="F568" s="2"/>
      <c r="G568" s="2"/>
      <c r="H568" s="2"/>
      <c r="I568" s="2"/>
      <c r="J568" s="2"/>
      <c r="K568" s="2"/>
      <c r="L568" s="2"/>
      <c r="M568" s="2"/>
      <c r="N568" s="2"/>
      <c r="O568" s="2"/>
      <c r="P568" s="2"/>
    </row>
    <row r="569" ht="15.75" customHeight="1">
      <c r="A569" s="2"/>
      <c r="B569" s="2"/>
      <c r="C569" s="2"/>
      <c r="D569" s="2"/>
      <c r="E569" s="2"/>
      <c r="F569" s="2"/>
      <c r="G569" s="2"/>
      <c r="H569" s="2"/>
      <c r="I569" s="2"/>
      <c r="J569" s="2"/>
      <c r="K569" s="2"/>
      <c r="L569" s="2"/>
      <c r="M569" s="2"/>
      <c r="N569" s="2"/>
      <c r="O569" s="2"/>
      <c r="P569" s="2"/>
    </row>
    <row r="570" ht="15.75" customHeight="1">
      <c r="A570" s="2"/>
      <c r="B570" s="2"/>
      <c r="C570" s="2"/>
      <c r="D570" s="2"/>
      <c r="E570" s="2"/>
      <c r="F570" s="2"/>
      <c r="G570" s="2"/>
      <c r="H570" s="2"/>
      <c r="I570" s="2"/>
      <c r="J570" s="2"/>
      <c r="K570" s="2"/>
      <c r="L570" s="2"/>
      <c r="M570" s="2"/>
      <c r="N570" s="2"/>
      <c r="O570" s="2"/>
      <c r="P570" s="2"/>
    </row>
    <row r="571" ht="15.75" customHeight="1">
      <c r="A571" s="2"/>
      <c r="B571" s="2"/>
      <c r="C571" s="2"/>
      <c r="D571" s="2"/>
      <c r="E571" s="2"/>
      <c r="F571" s="2"/>
      <c r="G571" s="2"/>
      <c r="H571" s="2"/>
      <c r="I571" s="2"/>
      <c r="J571" s="2"/>
      <c r="K571" s="2"/>
      <c r="L571" s="2"/>
      <c r="M571" s="2"/>
      <c r="N571" s="2"/>
      <c r="O571" s="2"/>
      <c r="P571" s="2"/>
    </row>
    <row r="572" ht="15.75" customHeight="1">
      <c r="A572" s="2"/>
      <c r="B572" s="2"/>
      <c r="C572" s="2"/>
      <c r="D572" s="2"/>
      <c r="E572" s="2"/>
      <c r="F572" s="2"/>
      <c r="G572" s="2"/>
      <c r="H572" s="2"/>
      <c r="I572" s="2"/>
      <c r="J572" s="2"/>
      <c r="K572" s="2"/>
      <c r="L572" s="2"/>
      <c r="M572" s="2"/>
      <c r="N572" s="2"/>
      <c r="O572" s="2"/>
      <c r="P572" s="2"/>
    </row>
    <row r="573" ht="15.75" customHeight="1">
      <c r="A573" s="2"/>
      <c r="B573" s="2"/>
      <c r="C573" s="2"/>
      <c r="D573" s="2"/>
      <c r="E573" s="2"/>
      <c r="F573" s="2"/>
      <c r="G573" s="2"/>
      <c r="H573" s="2"/>
      <c r="I573" s="2"/>
      <c r="J573" s="2"/>
      <c r="K573" s="2"/>
      <c r="L573" s="2"/>
      <c r="M573" s="2"/>
      <c r="N573" s="2"/>
      <c r="O573" s="2"/>
      <c r="P573" s="2"/>
    </row>
    <row r="574" ht="15.75" customHeight="1">
      <c r="A574" s="2"/>
      <c r="B574" s="2"/>
      <c r="C574" s="2"/>
      <c r="D574" s="2"/>
      <c r="E574" s="2"/>
      <c r="F574" s="2"/>
      <c r="G574" s="2"/>
      <c r="H574" s="2"/>
      <c r="I574" s="2"/>
      <c r="J574" s="2"/>
      <c r="K574" s="2"/>
      <c r="L574" s="2"/>
      <c r="M574" s="2"/>
      <c r="N574" s="2"/>
      <c r="O574" s="2"/>
      <c r="P574" s="2"/>
    </row>
    <row r="575" ht="15.75" customHeight="1">
      <c r="A575" s="2"/>
      <c r="B575" s="2"/>
      <c r="C575" s="2"/>
      <c r="D575" s="2"/>
      <c r="E575" s="2"/>
      <c r="F575" s="2"/>
      <c r="G575" s="2"/>
      <c r="H575" s="2"/>
      <c r="I575" s="2"/>
      <c r="J575" s="2"/>
      <c r="K575" s="2"/>
      <c r="L575" s="2"/>
      <c r="M575" s="2"/>
      <c r="N575" s="2"/>
      <c r="O575" s="2"/>
      <c r="P575" s="2"/>
    </row>
    <row r="576" ht="15.75" customHeight="1">
      <c r="A576" s="2"/>
      <c r="B576" s="2"/>
      <c r="C576" s="2"/>
      <c r="D576" s="2"/>
      <c r="E576" s="2"/>
      <c r="F576" s="2"/>
      <c r="G576" s="2"/>
      <c r="H576" s="2"/>
      <c r="I576" s="2"/>
      <c r="J576" s="2"/>
      <c r="K576" s="2"/>
      <c r="L576" s="2"/>
      <c r="M576" s="2"/>
      <c r="N576" s="2"/>
      <c r="O576" s="2"/>
      <c r="P576" s="2"/>
    </row>
    <row r="577" ht="15.75" customHeight="1">
      <c r="A577" s="2"/>
      <c r="B577" s="2"/>
      <c r="C577" s="2"/>
      <c r="D577" s="2"/>
      <c r="E577" s="2"/>
      <c r="F577" s="2"/>
      <c r="G577" s="2"/>
      <c r="H577" s="2"/>
      <c r="I577" s="2"/>
      <c r="J577" s="2"/>
      <c r="K577" s="2"/>
      <c r="L577" s="2"/>
      <c r="M577" s="2"/>
      <c r="N577" s="2"/>
      <c r="O577" s="2"/>
      <c r="P577" s="2"/>
    </row>
    <row r="578" ht="15.75" customHeight="1">
      <c r="A578" s="2"/>
      <c r="B578" s="2"/>
      <c r="C578" s="2"/>
      <c r="D578" s="2"/>
      <c r="E578" s="2"/>
      <c r="F578" s="2"/>
      <c r="G578" s="2"/>
      <c r="H578" s="2"/>
      <c r="I578" s="2"/>
      <c r="J578" s="2"/>
      <c r="K578" s="2"/>
      <c r="L578" s="2"/>
      <c r="M578" s="2"/>
      <c r="N578" s="2"/>
      <c r="O578" s="2"/>
      <c r="P578" s="2"/>
    </row>
    <row r="579" ht="15.75" customHeight="1">
      <c r="A579" s="2"/>
      <c r="B579" s="2"/>
      <c r="C579" s="2"/>
      <c r="D579" s="2"/>
      <c r="E579" s="2"/>
      <c r="F579" s="2"/>
      <c r="G579" s="2"/>
      <c r="H579" s="2"/>
      <c r="I579" s="2"/>
      <c r="J579" s="2"/>
      <c r="K579" s="2"/>
      <c r="L579" s="2"/>
      <c r="M579" s="2"/>
      <c r="N579" s="2"/>
      <c r="O579" s="2"/>
      <c r="P579" s="2"/>
    </row>
    <row r="580" ht="15.75" customHeight="1">
      <c r="A580" s="2"/>
      <c r="B580" s="2"/>
      <c r="C580" s="2"/>
      <c r="D580" s="2"/>
      <c r="E580" s="2"/>
      <c r="F580" s="2"/>
      <c r="G580" s="2"/>
      <c r="H580" s="2"/>
      <c r="I580" s="2"/>
      <c r="J580" s="2"/>
      <c r="K580" s="2"/>
      <c r="L580" s="2"/>
      <c r="M580" s="2"/>
      <c r="N580" s="2"/>
      <c r="O580" s="2"/>
      <c r="P580" s="2"/>
    </row>
    <row r="581" ht="15.75" customHeight="1">
      <c r="A581" s="2"/>
      <c r="B581" s="2"/>
      <c r="C581" s="2"/>
      <c r="D581" s="2"/>
      <c r="E581" s="2"/>
      <c r="F581" s="2"/>
      <c r="G581" s="2"/>
      <c r="H581" s="2"/>
      <c r="I581" s="2"/>
      <c r="J581" s="2"/>
      <c r="K581" s="2"/>
      <c r="L581" s="2"/>
      <c r="M581" s="2"/>
      <c r="N581" s="2"/>
      <c r="O581" s="2"/>
      <c r="P581" s="2"/>
    </row>
    <row r="582" ht="15.75" customHeight="1">
      <c r="A582" s="2"/>
      <c r="B582" s="2"/>
      <c r="C582" s="2"/>
      <c r="D582" s="2"/>
      <c r="E582" s="2"/>
      <c r="F582" s="2"/>
      <c r="G582" s="2"/>
      <c r="H582" s="2"/>
      <c r="I582" s="2"/>
      <c r="J582" s="2"/>
      <c r="K582" s="2"/>
      <c r="L582" s="2"/>
      <c r="M582" s="2"/>
      <c r="N582" s="2"/>
      <c r="O582" s="2"/>
      <c r="P582" s="2"/>
    </row>
    <row r="583" ht="15.75" customHeight="1">
      <c r="A583" s="2"/>
      <c r="B583" s="2"/>
      <c r="C583" s="2"/>
      <c r="D583" s="2"/>
      <c r="E583" s="2"/>
      <c r="F583" s="2"/>
      <c r="G583" s="2"/>
      <c r="H583" s="2"/>
      <c r="I583" s="2"/>
      <c r="J583" s="2"/>
      <c r="K583" s="2"/>
      <c r="L583" s="2"/>
      <c r="M583" s="2"/>
      <c r="N583" s="2"/>
      <c r="O583" s="2"/>
      <c r="P583" s="2"/>
    </row>
    <row r="584" ht="15.75" customHeight="1">
      <c r="A584" s="2"/>
      <c r="B584" s="2"/>
      <c r="C584" s="2"/>
      <c r="D584" s="2"/>
      <c r="E584" s="2"/>
      <c r="F584" s="2"/>
      <c r="G584" s="2"/>
      <c r="H584" s="2"/>
      <c r="I584" s="2"/>
      <c r="J584" s="2"/>
      <c r="K584" s="2"/>
      <c r="L584" s="2"/>
      <c r="M584" s="2"/>
      <c r="N584" s="2"/>
      <c r="O584" s="2"/>
      <c r="P584" s="2"/>
    </row>
    <row r="585" ht="15.75" customHeight="1">
      <c r="A585" s="2"/>
      <c r="B585" s="2"/>
      <c r="C585" s="2"/>
      <c r="D585" s="2"/>
      <c r="E585" s="2"/>
      <c r="F585" s="2"/>
      <c r="G585" s="2"/>
      <c r="H585" s="2"/>
      <c r="I585" s="2"/>
      <c r="J585" s="2"/>
      <c r="K585" s="2"/>
      <c r="L585" s="2"/>
      <c r="M585" s="2"/>
      <c r="N585" s="2"/>
      <c r="O585" s="2"/>
      <c r="P585" s="2"/>
    </row>
    <row r="586" ht="15.75" customHeight="1">
      <c r="A586" s="2"/>
      <c r="B586" s="2"/>
      <c r="C586" s="2"/>
      <c r="D586" s="2"/>
      <c r="E586" s="2"/>
      <c r="F586" s="2"/>
      <c r="G586" s="2"/>
      <c r="H586" s="2"/>
      <c r="I586" s="2"/>
      <c r="J586" s="2"/>
      <c r="K586" s="2"/>
      <c r="L586" s="2"/>
      <c r="M586" s="2"/>
      <c r="N586" s="2"/>
      <c r="O586" s="2"/>
      <c r="P586" s="2"/>
    </row>
    <row r="587" ht="15.75" customHeight="1">
      <c r="A587" s="2"/>
      <c r="B587" s="2"/>
      <c r="C587" s="2"/>
      <c r="D587" s="2"/>
      <c r="E587" s="2"/>
      <c r="F587" s="2"/>
      <c r="G587" s="2"/>
      <c r="H587" s="2"/>
      <c r="I587" s="2"/>
      <c r="J587" s="2"/>
      <c r="K587" s="2"/>
      <c r="L587" s="2"/>
      <c r="M587" s="2"/>
      <c r="N587" s="2"/>
      <c r="O587" s="2"/>
      <c r="P587" s="2"/>
    </row>
    <row r="588" ht="15.75" customHeight="1">
      <c r="A588" s="2"/>
      <c r="B588" s="2"/>
      <c r="C588" s="2"/>
      <c r="D588" s="2"/>
      <c r="E588" s="2"/>
      <c r="F588" s="2"/>
      <c r="G588" s="2"/>
      <c r="H588" s="2"/>
      <c r="I588" s="2"/>
      <c r="J588" s="2"/>
      <c r="K588" s="2"/>
      <c r="L588" s="2"/>
      <c r="M588" s="2"/>
      <c r="N588" s="2"/>
      <c r="O588" s="2"/>
      <c r="P588" s="2"/>
    </row>
    <row r="589" ht="15.75" customHeight="1">
      <c r="A589" s="2"/>
      <c r="B589" s="2"/>
      <c r="C589" s="2"/>
      <c r="D589" s="2"/>
      <c r="E589" s="2"/>
      <c r="F589" s="2"/>
      <c r="G589" s="2"/>
      <c r="H589" s="2"/>
      <c r="I589" s="2"/>
      <c r="J589" s="2"/>
      <c r="K589" s="2"/>
      <c r="L589" s="2"/>
      <c r="M589" s="2"/>
      <c r="N589" s="2"/>
      <c r="O589" s="2"/>
      <c r="P589" s="2"/>
    </row>
    <row r="590" ht="15.75" customHeight="1">
      <c r="A590" s="2"/>
      <c r="B590" s="2"/>
      <c r="C590" s="2"/>
      <c r="D590" s="2"/>
      <c r="E590" s="2"/>
      <c r="F590" s="2"/>
      <c r="G590" s="2"/>
      <c r="H590" s="2"/>
      <c r="I590" s="2"/>
      <c r="J590" s="2"/>
      <c r="K590" s="2"/>
      <c r="L590" s="2"/>
      <c r="M590" s="2"/>
      <c r="N590" s="2"/>
      <c r="O590" s="2"/>
      <c r="P590" s="2"/>
    </row>
    <row r="591" ht="15.75" customHeight="1">
      <c r="A591" s="2"/>
      <c r="B591" s="2"/>
      <c r="C591" s="2"/>
      <c r="D591" s="2"/>
      <c r="E591" s="2"/>
      <c r="F591" s="2"/>
      <c r="G591" s="2"/>
      <c r="H591" s="2"/>
      <c r="I591" s="2"/>
      <c r="J591" s="2"/>
      <c r="K591" s="2"/>
      <c r="L591" s="2"/>
      <c r="M591" s="2"/>
      <c r="N591" s="2"/>
      <c r="O591" s="2"/>
      <c r="P591" s="2"/>
    </row>
    <row r="592" ht="15.75" customHeight="1">
      <c r="A592" s="2"/>
      <c r="B592" s="2"/>
      <c r="C592" s="2"/>
      <c r="D592" s="2"/>
      <c r="E592" s="2"/>
      <c r="F592" s="2"/>
      <c r="G592" s="2"/>
      <c r="H592" s="2"/>
      <c r="I592" s="2"/>
      <c r="J592" s="2"/>
      <c r="K592" s="2"/>
      <c r="L592" s="2"/>
      <c r="M592" s="2"/>
      <c r="N592" s="2"/>
      <c r="O592" s="2"/>
      <c r="P592" s="2"/>
    </row>
    <row r="593" ht="15.75" customHeight="1">
      <c r="A593" s="2"/>
      <c r="B593" s="2"/>
      <c r="C593" s="2"/>
      <c r="D593" s="2"/>
      <c r="E593" s="2"/>
      <c r="F593" s="2"/>
      <c r="G593" s="2"/>
      <c r="H593" s="2"/>
      <c r="I593" s="2"/>
      <c r="J593" s="2"/>
      <c r="K593" s="2"/>
      <c r="L593" s="2"/>
      <c r="M593" s="2"/>
      <c r="N593" s="2"/>
      <c r="O593" s="2"/>
      <c r="P593" s="2"/>
    </row>
    <row r="594" ht="15.75" customHeight="1">
      <c r="A594" s="2"/>
      <c r="B594" s="2"/>
      <c r="C594" s="2"/>
      <c r="D594" s="2"/>
      <c r="E594" s="2"/>
      <c r="F594" s="2"/>
      <c r="G594" s="2"/>
      <c r="H594" s="2"/>
      <c r="I594" s="2"/>
      <c r="J594" s="2"/>
      <c r="K594" s="2"/>
      <c r="L594" s="2"/>
      <c r="M594" s="2"/>
      <c r="N594" s="2"/>
      <c r="O594" s="2"/>
      <c r="P594" s="2"/>
    </row>
    <row r="595" ht="15.75" customHeight="1">
      <c r="A595" s="2"/>
      <c r="B595" s="2"/>
      <c r="C595" s="2"/>
      <c r="D595" s="2"/>
      <c r="E595" s="2"/>
      <c r="F595" s="2"/>
      <c r="G595" s="2"/>
      <c r="H595" s="2"/>
      <c r="I595" s="2"/>
      <c r="J595" s="2"/>
      <c r="K595" s="2"/>
      <c r="L595" s="2"/>
      <c r="M595" s="2"/>
      <c r="N595" s="2"/>
      <c r="O595" s="2"/>
      <c r="P595" s="2"/>
    </row>
    <row r="596" ht="15.75" customHeight="1">
      <c r="A596" s="2"/>
      <c r="B596" s="2"/>
      <c r="C596" s="2"/>
      <c r="D596" s="2"/>
      <c r="E596" s="2"/>
      <c r="F596" s="2"/>
      <c r="G596" s="2"/>
      <c r="H596" s="2"/>
      <c r="I596" s="2"/>
      <c r="J596" s="2"/>
      <c r="K596" s="2"/>
      <c r="L596" s="2"/>
      <c r="M596" s="2"/>
      <c r="N596" s="2"/>
      <c r="O596" s="2"/>
      <c r="P596" s="2"/>
    </row>
    <row r="597" ht="15.75" customHeight="1">
      <c r="A597" s="2"/>
      <c r="B597" s="2"/>
      <c r="C597" s="2"/>
      <c r="D597" s="2"/>
      <c r="E597" s="2"/>
      <c r="F597" s="2"/>
      <c r="G597" s="2"/>
      <c r="H597" s="2"/>
      <c r="I597" s="2"/>
      <c r="J597" s="2"/>
      <c r="K597" s="2"/>
      <c r="L597" s="2"/>
      <c r="M597" s="2"/>
      <c r="N597" s="2"/>
      <c r="O597" s="2"/>
      <c r="P597" s="2"/>
    </row>
    <row r="598" ht="15.75" customHeight="1">
      <c r="A598" s="2"/>
      <c r="B598" s="2"/>
      <c r="C598" s="2"/>
      <c r="D598" s="2"/>
      <c r="E598" s="2"/>
      <c r="F598" s="2"/>
      <c r="G598" s="2"/>
      <c r="H598" s="2"/>
      <c r="I598" s="2"/>
      <c r="J598" s="2"/>
      <c r="K598" s="2"/>
      <c r="L598" s="2"/>
      <c r="M598" s="2"/>
      <c r="N598" s="2"/>
      <c r="O598" s="2"/>
      <c r="P598" s="2"/>
    </row>
    <row r="599" ht="15.75" customHeight="1">
      <c r="A599" s="2"/>
      <c r="B599" s="2"/>
      <c r="C599" s="2"/>
      <c r="D599" s="2"/>
      <c r="E599" s="2"/>
      <c r="F599" s="2"/>
      <c r="G599" s="2"/>
      <c r="H599" s="2"/>
      <c r="I599" s="2"/>
      <c r="J599" s="2"/>
      <c r="K599" s="2"/>
      <c r="L599" s="2"/>
      <c r="M599" s="2"/>
      <c r="N599" s="2"/>
      <c r="O599" s="2"/>
      <c r="P599" s="2"/>
    </row>
    <row r="600" ht="15.75" customHeight="1">
      <c r="A600" s="2"/>
      <c r="B600" s="2"/>
      <c r="C600" s="2"/>
      <c r="D600" s="2"/>
      <c r="E600" s="2"/>
      <c r="F600" s="2"/>
      <c r="G600" s="2"/>
      <c r="H600" s="2"/>
      <c r="I600" s="2"/>
      <c r="J600" s="2"/>
      <c r="K600" s="2"/>
      <c r="L600" s="2"/>
      <c r="M600" s="2"/>
      <c r="N600" s="2"/>
      <c r="O600" s="2"/>
      <c r="P600" s="2"/>
    </row>
    <row r="601" ht="15.75" customHeight="1">
      <c r="A601" s="2"/>
      <c r="B601" s="2"/>
      <c r="C601" s="2"/>
      <c r="D601" s="2"/>
      <c r="E601" s="2"/>
      <c r="F601" s="2"/>
      <c r="G601" s="2"/>
      <c r="H601" s="2"/>
      <c r="I601" s="2"/>
      <c r="J601" s="2"/>
      <c r="K601" s="2"/>
      <c r="L601" s="2"/>
      <c r="M601" s="2"/>
      <c r="N601" s="2"/>
      <c r="O601" s="2"/>
      <c r="P601" s="2"/>
    </row>
    <row r="602" ht="15.75" customHeight="1">
      <c r="A602" s="2"/>
      <c r="B602" s="2"/>
      <c r="C602" s="2"/>
      <c r="D602" s="2"/>
      <c r="E602" s="2"/>
      <c r="F602" s="2"/>
      <c r="G602" s="2"/>
      <c r="H602" s="2"/>
      <c r="I602" s="2"/>
      <c r="J602" s="2"/>
      <c r="K602" s="2"/>
      <c r="L602" s="2"/>
      <c r="M602" s="2"/>
      <c r="N602" s="2"/>
      <c r="O602" s="2"/>
      <c r="P602" s="2"/>
    </row>
    <row r="603" ht="15.75" customHeight="1">
      <c r="A603" s="2"/>
      <c r="B603" s="2"/>
      <c r="C603" s="2"/>
      <c r="D603" s="2"/>
      <c r="E603" s="2"/>
      <c r="F603" s="2"/>
      <c r="G603" s="2"/>
      <c r="H603" s="2"/>
      <c r="I603" s="2"/>
      <c r="J603" s="2"/>
      <c r="K603" s="2"/>
      <c r="L603" s="2"/>
      <c r="M603" s="2"/>
      <c r="N603" s="2"/>
      <c r="O603" s="2"/>
      <c r="P603" s="2"/>
    </row>
    <row r="604" ht="15.75" customHeight="1">
      <c r="A604" s="2"/>
      <c r="B604" s="2"/>
      <c r="C604" s="2"/>
      <c r="D604" s="2"/>
      <c r="E604" s="2"/>
      <c r="F604" s="2"/>
      <c r="G604" s="2"/>
      <c r="H604" s="2"/>
      <c r="I604" s="2"/>
      <c r="J604" s="2"/>
      <c r="K604" s="2"/>
      <c r="L604" s="2"/>
      <c r="M604" s="2"/>
      <c r="N604" s="2"/>
      <c r="O604" s="2"/>
      <c r="P604" s="2"/>
    </row>
    <row r="605" ht="15.75" customHeight="1">
      <c r="A605" s="2"/>
      <c r="B605" s="2"/>
      <c r="C605" s="2"/>
      <c r="D605" s="2"/>
      <c r="E605" s="2"/>
      <c r="F605" s="2"/>
      <c r="G605" s="2"/>
      <c r="H605" s="2"/>
      <c r="I605" s="2"/>
      <c r="J605" s="2"/>
      <c r="K605" s="2"/>
      <c r="L605" s="2"/>
      <c r="M605" s="2"/>
      <c r="N605" s="2"/>
      <c r="O605" s="2"/>
      <c r="P605" s="2"/>
    </row>
    <row r="606" ht="15.75" customHeight="1">
      <c r="A606" s="2"/>
      <c r="B606" s="2"/>
      <c r="C606" s="2"/>
      <c r="D606" s="2"/>
      <c r="E606" s="2"/>
      <c r="F606" s="2"/>
      <c r="G606" s="2"/>
      <c r="H606" s="2"/>
      <c r="I606" s="2"/>
      <c r="J606" s="2"/>
      <c r="K606" s="2"/>
      <c r="L606" s="2"/>
      <c r="M606" s="2"/>
      <c r="N606" s="2"/>
      <c r="O606" s="2"/>
      <c r="P606" s="2"/>
    </row>
    <row r="607" ht="15.75" customHeight="1">
      <c r="A607" s="2"/>
      <c r="B607" s="2"/>
      <c r="C607" s="2"/>
      <c r="D607" s="2"/>
      <c r="E607" s="2"/>
      <c r="F607" s="2"/>
      <c r="G607" s="2"/>
      <c r="H607" s="2"/>
      <c r="I607" s="2"/>
      <c r="J607" s="2"/>
      <c r="K607" s="2"/>
      <c r="L607" s="2"/>
      <c r="M607" s="2"/>
      <c r="N607" s="2"/>
      <c r="O607" s="2"/>
      <c r="P607" s="2"/>
    </row>
    <row r="608" ht="15.75" customHeight="1">
      <c r="A608" s="2"/>
      <c r="B608" s="2"/>
      <c r="C608" s="2"/>
      <c r="D608" s="2"/>
      <c r="E608" s="2"/>
      <c r="F608" s="2"/>
      <c r="G608" s="2"/>
      <c r="H608" s="2"/>
      <c r="I608" s="2"/>
      <c r="J608" s="2"/>
      <c r="K608" s="2"/>
      <c r="L608" s="2"/>
      <c r="M608" s="2"/>
      <c r="N608" s="2"/>
      <c r="O608" s="2"/>
      <c r="P608" s="2"/>
    </row>
    <row r="609" ht="15.75" customHeight="1">
      <c r="A609" s="2"/>
      <c r="B609" s="2"/>
      <c r="C609" s="2"/>
      <c r="D609" s="2"/>
      <c r="E609" s="2"/>
      <c r="F609" s="2"/>
      <c r="G609" s="2"/>
      <c r="H609" s="2"/>
      <c r="I609" s="2"/>
      <c r="J609" s="2"/>
      <c r="K609" s="2"/>
      <c r="L609" s="2"/>
      <c r="M609" s="2"/>
      <c r="N609" s="2"/>
      <c r="O609" s="2"/>
      <c r="P609" s="2"/>
    </row>
    <row r="610" ht="15.75" customHeight="1">
      <c r="A610" s="2"/>
      <c r="B610" s="2"/>
      <c r="C610" s="2"/>
      <c r="D610" s="2"/>
      <c r="E610" s="2"/>
      <c r="F610" s="2"/>
      <c r="G610" s="2"/>
      <c r="H610" s="2"/>
      <c r="I610" s="2"/>
      <c r="J610" s="2"/>
      <c r="K610" s="2"/>
      <c r="L610" s="2"/>
      <c r="M610" s="2"/>
      <c r="N610" s="2"/>
      <c r="O610" s="2"/>
      <c r="P610" s="2"/>
    </row>
    <row r="611" ht="15.75" customHeight="1">
      <c r="A611" s="2"/>
      <c r="B611" s="2"/>
      <c r="C611" s="2"/>
      <c r="D611" s="2"/>
      <c r="E611" s="2"/>
      <c r="F611" s="2"/>
      <c r="G611" s="2"/>
      <c r="H611" s="2"/>
      <c r="I611" s="2"/>
      <c r="J611" s="2"/>
      <c r="K611" s="2"/>
      <c r="L611" s="2"/>
      <c r="M611" s="2"/>
      <c r="N611" s="2"/>
      <c r="O611" s="2"/>
      <c r="P611" s="2"/>
    </row>
    <row r="612" ht="15.75" customHeight="1">
      <c r="A612" s="2"/>
      <c r="B612" s="2"/>
      <c r="C612" s="2"/>
      <c r="D612" s="2"/>
      <c r="E612" s="2"/>
      <c r="F612" s="2"/>
      <c r="G612" s="2"/>
      <c r="H612" s="2"/>
      <c r="I612" s="2"/>
      <c r="J612" s="2"/>
      <c r="K612" s="2"/>
      <c r="L612" s="2"/>
      <c r="M612" s="2"/>
      <c r="N612" s="2"/>
      <c r="O612" s="2"/>
      <c r="P612" s="2"/>
    </row>
    <row r="613" ht="15.75" customHeight="1">
      <c r="A613" s="2"/>
      <c r="B613" s="2"/>
      <c r="C613" s="2"/>
      <c r="D613" s="2"/>
      <c r="E613" s="2"/>
      <c r="F613" s="2"/>
      <c r="G613" s="2"/>
      <c r="H613" s="2"/>
      <c r="I613" s="2"/>
      <c r="J613" s="2"/>
      <c r="K613" s="2"/>
      <c r="L613" s="2"/>
      <c r="M613" s="2"/>
      <c r="N613" s="2"/>
      <c r="O613" s="2"/>
      <c r="P613" s="2"/>
    </row>
    <row r="614" ht="15.75" customHeight="1">
      <c r="A614" s="2"/>
      <c r="B614" s="2"/>
      <c r="C614" s="2"/>
      <c r="D614" s="2"/>
      <c r="E614" s="2"/>
      <c r="F614" s="2"/>
      <c r="G614" s="2"/>
      <c r="H614" s="2"/>
      <c r="I614" s="2"/>
      <c r="J614" s="2"/>
      <c r="K614" s="2"/>
      <c r="L614" s="2"/>
      <c r="M614" s="2"/>
      <c r="N614" s="2"/>
      <c r="O614" s="2"/>
      <c r="P614" s="2"/>
    </row>
    <row r="615" ht="15.75" customHeight="1">
      <c r="A615" s="2"/>
      <c r="B615" s="2"/>
      <c r="C615" s="2"/>
      <c r="D615" s="2"/>
      <c r="E615" s="2"/>
      <c r="F615" s="2"/>
      <c r="G615" s="2"/>
      <c r="H615" s="2"/>
      <c r="I615" s="2"/>
      <c r="J615" s="2"/>
      <c r="K615" s="2"/>
      <c r="L615" s="2"/>
      <c r="M615" s="2"/>
      <c r="N615" s="2"/>
      <c r="O615" s="2"/>
      <c r="P615" s="2"/>
    </row>
    <row r="616" ht="15.75" customHeight="1">
      <c r="A616" s="2"/>
      <c r="B616" s="2"/>
      <c r="C616" s="2"/>
      <c r="D616" s="2"/>
      <c r="E616" s="2"/>
      <c r="F616" s="2"/>
      <c r="G616" s="2"/>
      <c r="H616" s="2"/>
      <c r="I616" s="2"/>
      <c r="J616" s="2"/>
      <c r="K616" s="2"/>
      <c r="L616" s="2"/>
      <c r="M616" s="2"/>
      <c r="N616" s="2"/>
      <c r="O616" s="2"/>
      <c r="P616" s="2"/>
    </row>
    <row r="617" ht="15.75" customHeight="1">
      <c r="A617" s="2"/>
      <c r="B617" s="2"/>
      <c r="C617" s="2"/>
      <c r="D617" s="2"/>
      <c r="E617" s="2"/>
      <c r="F617" s="2"/>
      <c r="G617" s="2"/>
      <c r="H617" s="2"/>
      <c r="I617" s="2"/>
      <c r="J617" s="2"/>
      <c r="K617" s="2"/>
      <c r="L617" s="2"/>
      <c r="M617" s="2"/>
      <c r="N617" s="2"/>
      <c r="O617" s="2"/>
      <c r="P617" s="2"/>
    </row>
    <row r="618" ht="15.75" customHeight="1">
      <c r="A618" s="2"/>
      <c r="B618" s="2"/>
      <c r="C618" s="2"/>
      <c r="D618" s="2"/>
      <c r="E618" s="2"/>
      <c r="F618" s="2"/>
      <c r="G618" s="2"/>
      <c r="H618" s="2"/>
      <c r="I618" s="2"/>
      <c r="J618" s="2"/>
      <c r="K618" s="2"/>
      <c r="L618" s="2"/>
      <c r="M618" s="2"/>
      <c r="N618" s="2"/>
      <c r="O618" s="2"/>
      <c r="P618" s="2"/>
    </row>
    <row r="619" ht="15.75" customHeight="1">
      <c r="A619" s="2"/>
      <c r="B619" s="2"/>
      <c r="C619" s="2"/>
      <c r="D619" s="2"/>
      <c r="E619" s="2"/>
      <c r="F619" s="2"/>
      <c r="G619" s="2"/>
      <c r="H619" s="2"/>
      <c r="I619" s="2"/>
      <c r="J619" s="2"/>
      <c r="K619" s="2"/>
      <c r="L619" s="2"/>
      <c r="M619" s="2"/>
      <c r="N619" s="2"/>
      <c r="O619" s="2"/>
      <c r="P619" s="2"/>
    </row>
    <row r="620" ht="15.75" customHeight="1">
      <c r="A620" s="2"/>
      <c r="B620" s="2"/>
      <c r="C620" s="2"/>
      <c r="D620" s="2"/>
      <c r="E620" s="2"/>
      <c r="F620" s="2"/>
      <c r="G620" s="2"/>
      <c r="H620" s="2"/>
      <c r="I620" s="2"/>
      <c r="J620" s="2"/>
      <c r="K620" s="2"/>
      <c r="L620" s="2"/>
      <c r="M620" s="2"/>
      <c r="N620" s="2"/>
      <c r="O620" s="2"/>
      <c r="P620" s="2"/>
    </row>
    <row r="621" ht="15.75" customHeight="1">
      <c r="A621" s="2"/>
      <c r="B621" s="2"/>
      <c r="C621" s="2"/>
      <c r="D621" s="2"/>
      <c r="E621" s="2"/>
      <c r="F621" s="2"/>
      <c r="G621" s="2"/>
      <c r="H621" s="2"/>
      <c r="I621" s="2"/>
      <c r="J621" s="2"/>
      <c r="K621" s="2"/>
      <c r="L621" s="2"/>
      <c r="M621" s="2"/>
      <c r="N621" s="2"/>
      <c r="O621" s="2"/>
      <c r="P621" s="2"/>
    </row>
    <row r="622" ht="15.75" customHeight="1">
      <c r="A622" s="2"/>
      <c r="B622" s="2"/>
      <c r="C622" s="2"/>
      <c r="D622" s="2"/>
      <c r="E622" s="2"/>
      <c r="F622" s="2"/>
      <c r="G622" s="2"/>
      <c r="H622" s="2"/>
      <c r="I622" s="2"/>
      <c r="J622" s="2"/>
      <c r="K622" s="2"/>
      <c r="L622" s="2"/>
      <c r="M622" s="2"/>
      <c r="N622" s="2"/>
      <c r="O622" s="2"/>
      <c r="P622" s="2"/>
    </row>
    <row r="623" ht="15.75" customHeight="1">
      <c r="A623" s="2"/>
      <c r="B623" s="2"/>
      <c r="C623" s="2"/>
      <c r="D623" s="2"/>
      <c r="E623" s="2"/>
      <c r="F623" s="2"/>
      <c r="G623" s="2"/>
      <c r="H623" s="2"/>
      <c r="I623" s="2"/>
      <c r="J623" s="2"/>
      <c r="K623" s="2"/>
      <c r="L623" s="2"/>
      <c r="M623" s="2"/>
      <c r="N623" s="2"/>
      <c r="O623" s="2"/>
      <c r="P623" s="2"/>
    </row>
    <row r="624" ht="15.75" customHeight="1">
      <c r="A624" s="2"/>
      <c r="B624" s="2"/>
      <c r="C624" s="2"/>
      <c r="D624" s="2"/>
      <c r="E624" s="2"/>
      <c r="F624" s="2"/>
      <c r="G624" s="2"/>
      <c r="H624" s="2"/>
      <c r="I624" s="2"/>
      <c r="J624" s="2"/>
      <c r="K624" s="2"/>
      <c r="L624" s="2"/>
      <c r="M624" s="2"/>
      <c r="N624" s="2"/>
      <c r="O624" s="2"/>
      <c r="P624" s="2"/>
    </row>
    <row r="625" ht="15.75" customHeight="1">
      <c r="A625" s="2"/>
      <c r="B625" s="2"/>
      <c r="C625" s="2"/>
      <c r="D625" s="2"/>
      <c r="E625" s="2"/>
      <c r="F625" s="2"/>
      <c r="G625" s="2"/>
      <c r="H625" s="2"/>
      <c r="I625" s="2"/>
      <c r="J625" s="2"/>
      <c r="K625" s="2"/>
      <c r="L625" s="2"/>
      <c r="M625" s="2"/>
      <c r="N625" s="2"/>
      <c r="O625" s="2"/>
      <c r="P625" s="2"/>
    </row>
    <row r="626" ht="15.75" customHeight="1">
      <c r="A626" s="2"/>
      <c r="B626" s="2"/>
      <c r="C626" s="2"/>
      <c r="D626" s="2"/>
      <c r="E626" s="2"/>
      <c r="F626" s="2"/>
      <c r="G626" s="2"/>
      <c r="H626" s="2"/>
      <c r="I626" s="2"/>
      <c r="J626" s="2"/>
      <c r="K626" s="2"/>
      <c r="L626" s="2"/>
      <c r="M626" s="2"/>
      <c r="N626" s="2"/>
      <c r="O626" s="2"/>
      <c r="P626" s="2"/>
    </row>
    <row r="627" ht="15.75" customHeight="1">
      <c r="A627" s="2"/>
      <c r="B627" s="2"/>
      <c r="C627" s="2"/>
      <c r="D627" s="2"/>
      <c r="E627" s="2"/>
      <c r="F627" s="2"/>
      <c r="G627" s="2"/>
      <c r="H627" s="2"/>
      <c r="I627" s="2"/>
      <c r="J627" s="2"/>
      <c r="K627" s="2"/>
      <c r="L627" s="2"/>
      <c r="M627" s="2"/>
      <c r="N627" s="2"/>
      <c r="O627" s="2"/>
      <c r="P627" s="2"/>
    </row>
    <row r="628" ht="15.75" customHeight="1">
      <c r="A628" s="2"/>
      <c r="B628" s="2"/>
      <c r="C628" s="2"/>
      <c r="D628" s="2"/>
      <c r="E628" s="2"/>
      <c r="F628" s="2"/>
      <c r="G628" s="2"/>
      <c r="H628" s="2"/>
      <c r="I628" s="2"/>
      <c r="J628" s="2"/>
      <c r="K628" s="2"/>
      <c r="L628" s="2"/>
      <c r="M628" s="2"/>
      <c r="N628" s="2"/>
      <c r="O628" s="2"/>
      <c r="P628" s="2"/>
    </row>
    <row r="629" ht="15.75" customHeight="1">
      <c r="A629" s="2"/>
      <c r="B629" s="2"/>
      <c r="C629" s="2"/>
      <c r="D629" s="2"/>
      <c r="E629" s="2"/>
      <c r="F629" s="2"/>
      <c r="G629" s="2"/>
      <c r="H629" s="2"/>
      <c r="I629" s="2"/>
      <c r="J629" s="2"/>
      <c r="K629" s="2"/>
      <c r="L629" s="2"/>
      <c r="M629" s="2"/>
      <c r="N629" s="2"/>
      <c r="O629" s="2"/>
      <c r="P629" s="2"/>
    </row>
    <row r="630" ht="15.75" customHeight="1">
      <c r="A630" s="2"/>
      <c r="B630" s="2"/>
      <c r="C630" s="2"/>
      <c r="D630" s="2"/>
      <c r="E630" s="2"/>
      <c r="F630" s="2"/>
      <c r="G630" s="2"/>
      <c r="H630" s="2"/>
      <c r="I630" s="2"/>
      <c r="J630" s="2"/>
      <c r="K630" s="2"/>
      <c r="L630" s="2"/>
      <c r="M630" s="2"/>
      <c r="N630" s="2"/>
      <c r="O630" s="2"/>
      <c r="P630" s="2"/>
    </row>
    <row r="631" ht="15.75" customHeight="1">
      <c r="A631" s="2"/>
      <c r="B631" s="2"/>
      <c r="C631" s="2"/>
      <c r="D631" s="2"/>
      <c r="E631" s="2"/>
      <c r="F631" s="2"/>
      <c r="G631" s="2"/>
      <c r="H631" s="2"/>
      <c r="I631" s="2"/>
      <c r="J631" s="2"/>
      <c r="K631" s="2"/>
      <c r="L631" s="2"/>
      <c r="M631" s="2"/>
      <c r="N631" s="2"/>
      <c r="O631" s="2"/>
      <c r="P631" s="2"/>
    </row>
    <row r="632" ht="15.75" customHeight="1">
      <c r="A632" s="2"/>
      <c r="B632" s="2"/>
      <c r="C632" s="2"/>
      <c r="D632" s="2"/>
      <c r="E632" s="2"/>
      <c r="F632" s="2"/>
      <c r="G632" s="2"/>
      <c r="H632" s="2"/>
      <c r="I632" s="2"/>
      <c r="J632" s="2"/>
      <c r="K632" s="2"/>
      <c r="L632" s="2"/>
      <c r="M632" s="2"/>
      <c r="N632" s="2"/>
      <c r="O632" s="2"/>
      <c r="P632" s="2"/>
    </row>
    <row r="633" ht="15.75" customHeight="1">
      <c r="A633" s="2"/>
      <c r="B633" s="2"/>
      <c r="C633" s="2"/>
      <c r="D633" s="2"/>
      <c r="E633" s="2"/>
      <c r="F633" s="2"/>
      <c r="G633" s="2"/>
      <c r="H633" s="2"/>
      <c r="I633" s="2"/>
      <c r="J633" s="2"/>
      <c r="K633" s="2"/>
      <c r="L633" s="2"/>
      <c r="M633" s="2"/>
      <c r="N633" s="2"/>
      <c r="O633" s="2"/>
      <c r="P633" s="2"/>
    </row>
    <row r="634" ht="15.75" customHeight="1">
      <c r="A634" s="2"/>
      <c r="B634" s="2"/>
      <c r="C634" s="2"/>
      <c r="D634" s="2"/>
      <c r="E634" s="2"/>
      <c r="F634" s="2"/>
      <c r="G634" s="2"/>
      <c r="H634" s="2"/>
      <c r="I634" s="2"/>
      <c r="J634" s="2"/>
      <c r="K634" s="2"/>
      <c r="L634" s="2"/>
      <c r="M634" s="2"/>
      <c r="N634" s="2"/>
      <c r="O634" s="2"/>
      <c r="P634" s="2"/>
    </row>
    <row r="635" ht="15.75" customHeight="1">
      <c r="A635" s="2"/>
      <c r="B635" s="2"/>
      <c r="C635" s="2"/>
      <c r="D635" s="2"/>
      <c r="E635" s="2"/>
      <c r="F635" s="2"/>
      <c r="G635" s="2"/>
      <c r="H635" s="2"/>
      <c r="I635" s="2"/>
      <c r="J635" s="2"/>
      <c r="K635" s="2"/>
      <c r="L635" s="2"/>
      <c r="M635" s="2"/>
      <c r="N635" s="2"/>
      <c r="O635" s="2"/>
      <c r="P635" s="2"/>
    </row>
    <row r="636" ht="15.75" customHeight="1">
      <c r="A636" s="2"/>
      <c r="B636" s="2"/>
      <c r="C636" s="2"/>
      <c r="D636" s="2"/>
      <c r="E636" s="2"/>
      <c r="F636" s="2"/>
      <c r="G636" s="2"/>
      <c r="H636" s="2"/>
      <c r="I636" s="2"/>
      <c r="J636" s="2"/>
      <c r="K636" s="2"/>
      <c r="L636" s="2"/>
      <c r="M636" s="2"/>
      <c r="N636" s="2"/>
      <c r="O636" s="2"/>
      <c r="P636" s="2"/>
    </row>
    <row r="637" ht="15.75" customHeight="1">
      <c r="A637" s="2"/>
      <c r="B637" s="2"/>
      <c r="C637" s="2"/>
      <c r="D637" s="2"/>
      <c r="E637" s="2"/>
      <c r="F637" s="2"/>
      <c r="G637" s="2"/>
      <c r="H637" s="2"/>
      <c r="I637" s="2"/>
      <c r="J637" s="2"/>
      <c r="K637" s="2"/>
      <c r="L637" s="2"/>
      <c r="M637" s="2"/>
      <c r="N637" s="2"/>
      <c r="O637" s="2"/>
      <c r="P637" s="2"/>
    </row>
    <row r="638" ht="15.75" customHeight="1">
      <c r="A638" s="2"/>
      <c r="B638" s="2"/>
      <c r="C638" s="2"/>
      <c r="D638" s="2"/>
      <c r="E638" s="2"/>
      <c r="F638" s="2"/>
      <c r="G638" s="2"/>
      <c r="H638" s="2"/>
      <c r="I638" s="2"/>
      <c r="J638" s="2"/>
      <c r="K638" s="2"/>
      <c r="L638" s="2"/>
      <c r="M638" s="2"/>
      <c r="N638" s="2"/>
      <c r="O638" s="2"/>
      <c r="P638" s="2"/>
    </row>
    <row r="639" ht="15.75" customHeight="1">
      <c r="A639" s="2"/>
      <c r="B639" s="2"/>
      <c r="C639" s="2"/>
      <c r="D639" s="2"/>
      <c r="E639" s="2"/>
      <c r="F639" s="2"/>
      <c r="G639" s="2"/>
      <c r="H639" s="2"/>
      <c r="I639" s="2"/>
      <c r="J639" s="2"/>
      <c r="K639" s="2"/>
      <c r="L639" s="2"/>
      <c r="M639" s="2"/>
      <c r="N639" s="2"/>
      <c r="O639" s="2"/>
      <c r="P639" s="2"/>
    </row>
    <row r="640" ht="15.75" customHeight="1">
      <c r="A640" s="2"/>
      <c r="B640" s="2"/>
      <c r="C640" s="2"/>
      <c r="D640" s="2"/>
      <c r="E640" s="2"/>
      <c r="F640" s="2"/>
      <c r="G640" s="2"/>
      <c r="H640" s="2"/>
      <c r="I640" s="2"/>
      <c r="J640" s="2"/>
      <c r="K640" s="2"/>
      <c r="L640" s="2"/>
      <c r="M640" s="2"/>
      <c r="N640" s="2"/>
      <c r="O640" s="2"/>
      <c r="P640" s="2"/>
    </row>
    <row r="641" ht="15.75" customHeight="1">
      <c r="A641" s="2"/>
      <c r="B641" s="2"/>
      <c r="C641" s="2"/>
      <c r="D641" s="2"/>
      <c r="E641" s="2"/>
      <c r="F641" s="2"/>
      <c r="G641" s="2"/>
      <c r="H641" s="2"/>
      <c r="I641" s="2"/>
      <c r="J641" s="2"/>
      <c r="K641" s="2"/>
      <c r="L641" s="2"/>
      <c r="M641" s="2"/>
      <c r="N641" s="2"/>
      <c r="O641" s="2"/>
      <c r="P641" s="2"/>
    </row>
    <row r="642" ht="15.75" customHeight="1">
      <c r="A642" s="2"/>
      <c r="B642" s="2"/>
      <c r="C642" s="2"/>
      <c r="D642" s="2"/>
      <c r="E642" s="2"/>
      <c r="F642" s="2"/>
      <c r="G642" s="2"/>
      <c r="H642" s="2"/>
      <c r="I642" s="2"/>
      <c r="J642" s="2"/>
      <c r="K642" s="2"/>
      <c r="L642" s="2"/>
      <c r="M642" s="2"/>
      <c r="N642" s="2"/>
      <c r="O642" s="2"/>
      <c r="P642" s="2"/>
    </row>
    <row r="643" ht="15.75" customHeight="1">
      <c r="A643" s="2"/>
      <c r="B643" s="2"/>
      <c r="C643" s="2"/>
      <c r="D643" s="2"/>
      <c r="E643" s="2"/>
      <c r="F643" s="2"/>
      <c r="G643" s="2"/>
      <c r="H643" s="2"/>
      <c r="I643" s="2"/>
      <c r="J643" s="2"/>
      <c r="K643" s="2"/>
      <c r="L643" s="2"/>
      <c r="M643" s="2"/>
      <c r="N643" s="2"/>
      <c r="O643" s="2"/>
      <c r="P643" s="2"/>
    </row>
    <row r="644" ht="15.75" customHeight="1">
      <c r="A644" s="2"/>
      <c r="B644" s="2"/>
      <c r="C644" s="2"/>
      <c r="D644" s="2"/>
      <c r="E644" s="2"/>
      <c r="F644" s="2"/>
      <c r="G644" s="2"/>
      <c r="H644" s="2"/>
      <c r="I644" s="2"/>
      <c r="J644" s="2"/>
      <c r="K644" s="2"/>
      <c r="L644" s="2"/>
      <c r="M644" s="2"/>
      <c r="N644" s="2"/>
      <c r="O644" s="2"/>
      <c r="P644" s="2"/>
    </row>
    <row r="645" ht="15.75" customHeight="1">
      <c r="A645" s="2"/>
      <c r="B645" s="2"/>
      <c r="C645" s="2"/>
      <c r="D645" s="2"/>
      <c r="E645" s="2"/>
      <c r="F645" s="2"/>
      <c r="G645" s="2"/>
      <c r="H645" s="2"/>
      <c r="I645" s="2"/>
      <c r="J645" s="2"/>
      <c r="K645" s="2"/>
      <c r="L645" s="2"/>
      <c r="M645" s="2"/>
      <c r="N645" s="2"/>
      <c r="O645" s="2"/>
      <c r="P645" s="2"/>
    </row>
    <row r="646" ht="15.75" customHeight="1">
      <c r="A646" s="2"/>
      <c r="B646" s="2"/>
      <c r="C646" s="2"/>
      <c r="D646" s="2"/>
      <c r="E646" s="2"/>
      <c r="F646" s="2"/>
      <c r="G646" s="2"/>
      <c r="H646" s="2"/>
      <c r="I646" s="2"/>
      <c r="J646" s="2"/>
      <c r="K646" s="2"/>
      <c r="L646" s="2"/>
      <c r="M646" s="2"/>
      <c r="N646" s="2"/>
      <c r="O646" s="2"/>
      <c r="P646" s="2"/>
    </row>
    <row r="647" ht="15.75" customHeight="1">
      <c r="A647" s="2"/>
      <c r="B647" s="2"/>
      <c r="C647" s="2"/>
      <c r="D647" s="2"/>
      <c r="E647" s="2"/>
      <c r="F647" s="2"/>
      <c r="G647" s="2"/>
      <c r="H647" s="2"/>
      <c r="I647" s="2"/>
      <c r="J647" s="2"/>
      <c r="K647" s="2"/>
      <c r="L647" s="2"/>
      <c r="M647" s="2"/>
      <c r="N647" s="2"/>
      <c r="O647" s="2"/>
      <c r="P647" s="2"/>
    </row>
    <row r="648" ht="15.75" customHeight="1">
      <c r="A648" s="2"/>
      <c r="B648" s="2"/>
      <c r="C648" s="2"/>
      <c r="D648" s="2"/>
      <c r="E648" s="2"/>
      <c r="F648" s="2"/>
      <c r="G648" s="2"/>
      <c r="H648" s="2"/>
      <c r="I648" s="2"/>
      <c r="J648" s="2"/>
      <c r="K648" s="2"/>
      <c r="L648" s="2"/>
      <c r="M648" s="2"/>
      <c r="N648" s="2"/>
      <c r="O648" s="2"/>
      <c r="P648" s="2"/>
    </row>
    <row r="649" ht="15.75" customHeight="1">
      <c r="A649" s="2"/>
      <c r="B649" s="2"/>
      <c r="C649" s="2"/>
      <c r="D649" s="2"/>
      <c r="E649" s="2"/>
      <c r="F649" s="2"/>
      <c r="G649" s="2"/>
      <c r="H649" s="2"/>
      <c r="I649" s="2"/>
      <c r="J649" s="2"/>
      <c r="K649" s="2"/>
      <c r="L649" s="2"/>
      <c r="M649" s="2"/>
      <c r="N649" s="2"/>
      <c r="O649" s="2"/>
      <c r="P649" s="2"/>
    </row>
    <row r="650" ht="15.75" customHeight="1">
      <c r="A650" s="2"/>
      <c r="B650" s="2"/>
      <c r="C650" s="2"/>
      <c r="D650" s="2"/>
      <c r="E650" s="2"/>
      <c r="F650" s="2"/>
      <c r="G650" s="2"/>
      <c r="H650" s="2"/>
      <c r="I650" s="2"/>
      <c r="J650" s="2"/>
      <c r="K650" s="2"/>
      <c r="L650" s="2"/>
      <c r="M650" s="2"/>
      <c r="N650" s="2"/>
      <c r="O650" s="2"/>
      <c r="P650" s="2"/>
    </row>
    <row r="651" ht="15.75" customHeight="1">
      <c r="A651" s="2"/>
      <c r="B651" s="2"/>
      <c r="C651" s="2"/>
      <c r="D651" s="2"/>
      <c r="E651" s="2"/>
      <c r="F651" s="2"/>
      <c r="G651" s="2"/>
      <c r="H651" s="2"/>
      <c r="I651" s="2"/>
      <c r="J651" s="2"/>
      <c r="K651" s="2"/>
      <c r="L651" s="2"/>
      <c r="M651" s="2"/>
      <c r="N651" s="2"/>
      <c r="O651" s="2"/>
      <c r="P651" s="2"/>
    </row>
    <row r="652" ht="15.75" customHeight="1">
      <c r="A652" s="2"/>
      <c r="B652" s="2"/>
      <c r="C652" s="2"/>
      <c r="D652" s="2"/>
      <c r="E652" s="2"/>
      <c r="F652" s="2"/>
      <c r="G652" s="2"/>
      <c r="H652" s="2"/>
      <c r="I652" s="2"/>
      <c r="J652" s="2"/>
      <c r="K652" s="2"/>
      <c r="L652" s="2"/>
      <c r="M652" s="2"/>
      <c r="N652" s="2"/>
      <c r="O652" s="2"/>
      <c r="P652" s="2"/>
    </row>
    <row r="653" ht="15.75" customHeight="1">
      <c r="A653" s="2"/>
      <c r="B653" s="2"/>
      <c r="C653" s="2"/>
      <c r="D653" s="2"/>
      <c r="E653" s="2"/>
      <c r="F653" s="2"/>
      <c r="G653" s="2"/>
      <c r="H653" s="2"/>
      <c r="I653" s="2"/>
      <c r="J653" s="2"/>
      <c r="K653" s="2"/>
      <c r="L653" s="2"/>
      <c r="M653" s="2"/>
      <c r="N653" s="2"/>
      <c r="O653" s="2"/>
      <c r="P653" s="2"/>
    </row>
    <row r="654" ht="15.75" customHeight="1">
      <c r="A654" s="2"/>
      <c r="B654" s="2"/>
      <c r="C654" s="2"/>
      <c r="D654" s="2"/>
      <c r="E654" s="2"/>
      <c r="F654" s="2"/>
      <c r="G654" s="2"/>
      <c r="H654" s="2"/>
      <c r="I654" s="2"/>
      <c r="J654" s="2"/>
      <c r="K654" s="2"/>
      <c r="L654" s="2"/>
      <c r="M654" s="2"/>
      <c r="N654" s="2"/>
      <c r="O654" s="2"/>
      <c r="P654" s="2"/>
    </row>
    <row r="655" ht="15.75" customHeight="1">
      <c r="A655" s="2"/>
      <c r="B655" s="2"/>
      <c r="C655" s="2"/>
      <c r="D655" s="2"/>
      <c r="E655" s="2"/>
      <c r="F655" s="2"/>
      <c r="G655" s="2"/>
      <c r="H655" s="2"/>
      <c r="I655" s="2"/>
      <c r="J655" s="2"/>
      <c r="K655" s="2"/>
      <c r="L655" s="2"/>
      <c r="M655" s="2"/>
      <c r="N655" s="2"/>
      <c r="O655" s="2"/>
      <c r="P655" s="2"/>
    </row>
    <row r="656" ht="15.75" customHeight="1">
      <c r="A656" s="2"/>
      <c r="B656" s="2"/>
      <c r="C656" s="2"/>
      <c r="D656" s="2"/>
      <c r="E656" s="2"/>
      <c r="F656" s="2"/>
      <c r="G656" s="2"/>
      <c r="H656" s="2"/>
      <c r="I656" s="2"/>
      <c r="J656" s="2"/>
      <c r="K656" s="2"/>
      <c r="L656" s="2"/>
      <c r="M656" s="2"/>
      <c r="N656" s="2"/>
      <c r="O656" s="2"/>
      <c r="P656" s="2"/>
    </row>
    <row r="657" ht="15.75" customHeight="1">
      <c r="A657" s="2"/>
      <c r="B657" s="2"/>
      <c r="C657" s="2"/>
      <c r="D657" s="2"/>
      <c r="E657" s="2"/>
      <c r="F657" s="2"/>
      <c r="G657" s="2"/>
      <c r="H657" s="2"/>
      <c r="I657" s="2"/>
      <c r="J657" s="2"/>
      <c r="K657" s="2"/>
      <c r="L657" s="2"/>
      <c r="M657" s="2"/>
      <c r="N657" s="2"/>
      <c r="O657" s="2"/>
      <c r="P657" s="2"/>
    </row>
    <row r="658" ht="15.75" customHeight="1">
      <c r="A658" s="2"/>
      <c r="B658" s="2"/>
      <c r="C658" s="2"/>
      <c r="D658" s="2"/>
      <c r="E658" s="2"/>
      <c r="F658" s="2"/>
      <c r="G658" s="2"/>
      <c r="H658" s="2"/>
      <c r="I658" s="2"/>
      <c r="J658" s="2"/>
      <c r="K658" s="2"/>
      <c r="L658" s="2"/>
      <c r="M658" s="2"/>
      <c r="N658" s="2"/>
      <c r="O658" s="2"/>
      <c r="P658" s="2"/>
    </row>
    <row r="659" ht="15.75" customHeight="1">
      <c r="A659" s="2"/>
      <c r="B659" s="2"/>
      <c r="C659" s="2"/>
      <c r="D659" s="2"/>
      <c r="E659" s="2"/>
      <c r="F659" s="2"/>
      <c r="G659" s="2"/>
      <c r="H659" s="2"/>
      <c r="I659" s="2"/>
      <c r="J659" s="2"/>
      <c r="K659" s="2"/>
      <c r="L659" s="2"/>
      <c r="M659" s="2"/>
      <c r="N659" s="2"/>
      <c r="O659" s="2"/>
      <c r="P659" s="2"/>
    </row>
    <row r="660" ht="15.75" customHeight="1">
      <c r="A660" s="2"/>
      <c r="B660" s="2"/>
      <c r="C660" s="2"/>
      <c r="D660" s="2"/>
      <c r="E660" s="2"/>
      <c r="F660" s="2"/>
      <c r="G660" s="2"/>
      <c r="H660" s="2"/>
      <c r="I660" s="2"/>
      <c r="J660" s="2"/>
      <c r="K660" s="2"/>
      <c r="L660" s="2"/>
      <c r="M660" s="2"/>
      <c r="N660" s="2"/>
      <c r="O660" s="2"/>
      <c r="P660" s="2"/>
    </row>
    <row r="661" ht="15.75" customHeight="1">
      <c r="A661" s="2"/>
      <c r="B661" s="2"/>
      <c r="C661" s="2"/>
      <c r="D661" s="2"/>
      <c r="E661" s="2"/>
      <c r="F661" s="2"/>
      <c r="G661" s="2"/>
      <c r="H661" s="2"/>
      <c r="I661" s="2"/>
      <c r="J661" s="2"/>
      <c r="K661" s="2"/>
      <c r="L661" s="2"/>
      <c r="M661" s="2"/>
      <c r="N661" s="2"/>
      <c r="O661" s="2"/>
      <c r="P661" s="2"/>
    </row>
    <row r="662" ht="15.75" customHeight="1">
      <c r="A662" s="2"/>
      <c r="B662" s="2"/>
      <c r="C662" s="2"/>
      <c r="D662" s="2"/>
      <c r="E662" s="2"/>
      <c r="F662" s="2"/>
      <c r="G662" s="2"/>
      <c r="H662" s="2"/>
      <c r="I662" s="2"/>
      <c r="J662" s="2"/>
      <c r="K662" s="2"/>
      <c r="L662" s="2"/>
      <c r="M662" s="2"/>
      <c r="N662" s="2"/>
      <c r="O662" s="2"/>
      <c r="P662" s="2"/>
    </row>
    <row r="663" ht="15.75" customHeight="1">
      <c r="A663" s="2"/>
      <c r="B663" s="2"/>
      <c r="C663" s="2"/>
      <c r="D663" s="2"/>
      <c r="E663" s="2"/>
      <c r="F663" s="2"/>
      <c r="G663" s="2"/>
      <c r="H663" s="2"/>
      <c r="I663" s="2"/>
      <c r="J663" s="2"/>
      <c r="K663" s="2"/>
      <c r="L663" s="2"/>
      <c r="M663" s="2"/>
      <c r="N663" s="2"/>
      <c r="O663" s="2"/>
      <c r="P663" s="2"/>
    </row>
    <row r="664" ht="15.75" customHeight="1">
      <c r="A664" s="2"/>
      <c r="B664" s="2"/>
      <c r="C664" s="2"/>
      <c r="D664" s="2"/>
      <c r="E664" s="2"/>
      <c r="F664" s="2"/>
      <c r="G664" s="2"/>
      <c r="H664" s="2"/>
      <c r="I664" s="2"/>
      <c r="J664" s="2"/>
      <c r="K664" s="2"/>
      <c r="L664" s="2"/>
      <c r="M664" s="2"/>
      <c r="N664" s="2"/>
      <c r="O664" s="2"/>
      <c r="P664" s="2"/>
    </row>
    <row r="665" ht="15.75" customHeight="1">
      <c r="A665" s="2"/>
      <c r="B665" s="2"/>
      <c r="C665" s="2"/>
      <c r="D665" s="2"/>
      <c r="E665" s="2"/>
      <c r="F665" s="2"/>
      <c r="G665" s="2"/>
      <c r="H665" s="2"/>
      <c r="I665" s="2"/>
      <c r="J665" s="2"/>
      <c r="K665" s="2"/>
      <c r="L665" s="2"/>
      <c r="M665" s="2"/>
      <c r="N665" s="2"/>
      <c r="O665" s="2"/>
      <c r="P665" s="2"/>
    </row>
    <row r="666" ht="15.75" customHeight="1">
      <c r="A666" s="2"/>
      <c r="B666" s="2"/>
      <c r="C666" s="2"/>
      <c r="D666" s="2"/>
      <c r="E666" s="2"/>
      <c r="F666" s="2"/>
      <c r="G666" s="2"/>
      <c r="H666" s="2"/>
      <c r="I666" s="2"/>
      <c r="J666" s="2"/>
      <c r="K666" s="2"/>
      <c r="L666" s="2"/>
      <c r="M666" s="2"/>
      <c r="N666" s="2"/>
      <c r="O666" s="2"/>
      <c r="P666" s="2"/>
    </row>
    <row r="667" ht="15.75" customHeight="1">
      <c r="A667" s="2"/>
      <c r="B667" s="2"/>
      <c r="C667" s="2"/>
      <c r="D667" s="2"/>
      <c r="E667" s="2"/>
      <c r="F667" s="2"/>
      <c r="G667" s="2"/>
      <c r="H667" s="2"/>
      <c r="I667" s="2"/>
      <c r="J667" s="2"/>
      <c r="K667" s="2"/>
      <c r="L667" s="2"/>
      <c r="M667" s="2"/>
      <c r="N667" s="2"/>
      <c r="O667" s="2"/>
      <c r="P667" s="2"/>
    </row>
    <row r="668" ht="15.75" customHeight="1">
      <c r="A668" s="2"/>
      <c r="B668" s="2"/>
      <c r="C668" s="2"/>
      <c r="D668" s="2"/>
      <c r="E668" s="2"/>
      <c r="F668" s="2"/>
      <c r="G668" s="2"/>
      <c r="H668" s="2"/>
      <c r="I668" s="2"/>
      <c r="J668" s="2"/>
      <c r="K668" s="2"/>
      <c r="L668" s="2"/>
      <c r="M668" s="2"/>
      <c r="N668" s="2"/>
      <c r="O668" s="2"/>
      <c r="P668" s="2"/>
    </row>
    <row r="669" ht="15.75" customHeight="1">
      <c r="A669" s="2"/>
      <c r="B669" s="2"/>
      <c r="C669" s="2"/>
      <c r="D669" s="2"/>
      <c r="E669" s="2"/>
      <c r="F669" s="2"/>
      <c r="G669" s="2"/>
      <c r="H669" s="2"/>
      <c r="I669" s="2"/>
      <c r="J669" s="2"/>
      <c r="K669" s="2"/>
      <c r="L669" s="2"/>
      <c r="M669" s="2"/>
      <c r="N669" s="2"/>
      <c r="O669" s="2"/>
      <c r="P669" s="2"/>
    </row>
    <row r="670" ht="15.75" customHeight="1">
      <c r="A670" s="2"/>
      <c r="B670" s="2"/>
      <c r="C670" s="2"/>
      <c r="D670" s="2"/>
      <c r="E670" s="2"/>
      <c r="F670" s="2"/>
      <c r="G670" s="2"/>
      <c r="H670" s="2"/>
      <c r="I670" s="2"/>
      <c r="J670" s="2"/>
      <c r="K670" s="2"/>
      <c r="L670" s="2"/>
      <c r="M670" s="2"/>
      <c r="N670" s="2"/>
      <c r="O670" s="2"/>
      <c r="P670" s="2"/>
    </row>
    <row r="671" ht="15.75" customHeight="1">
      <c r="A671" s="2"/>
      <c r="B671" s="2"/>
      <c r="C671" s="2"/>
      <c r="D671" s="2"/>
      <c r="E671" s="2"/>
      <c r="F671" s="2"/>
      <c r="G671" s="2"/>
      <c r="H671" s="2"/>
      <c r="I671" s="2"/>
      <c r="J671" s="2"/>
      <c r="K671" s="2"/>
      <c r="L671" s="2"/>
      <c r="M671" s="2"/>
      <c r="N671" s="2"/>
      <c r="O671" s="2"/>
      <c r="P671" s="2"/>
    </row>
    <row r="672" ht="15.75" customHeight="1">
      <c r="A672" s="2"/>
      <c r="B672" s="2"/>
      <c r="C672" s="2"/>
      <c r="D672" s="2"/>
      <c r="E672" s="2"/>
      <c r="F672" s="2"/>
      <c r="G672" s="2"/>
      <c r="H672" s="2"/>
      <c r="I672" s="2"/>
      <c r="J672" s="2"/>
      <c r="K672" s="2"/>
      <c r="L672" s="2"/>
      <c r="M672" s="2"/>
      <c r="N672" s="2"/>
      <c r="O672" s="2"/>
      <c r="P672" s="2"/>
    </row>
    <row r="673" ht="15.75" customHeight="1">
      <c r="A673" s="2"/>
      <c r="B673" s="2"/>
      <c r="C673" s="2"/>
      <c r="D673" s="2"/>
      <c r="E673" s="2"/>
      <c r="F673" s="2"/>
      <c r="G673" s="2"/>
      <c r="H673" s="2"/>
      <c r="I673" s="2"/>
      <c r="J673" s="2"/>
      <c r="K673" s="2"/>
      <c r="L673" s="2"/>
      <c r="M673" s="2"/>
      <c r="N673" s="2"/>
      <c r="O673" s="2"/>
      <c r="P673" s="2"/>
    </row>
    <row r="674" ht="15.75" customHeight="1">
      <c r="A674" s="2"/>
      <c r="B674" s="2"/>
      <c r="C674" s="2"/>
      <c r="D674" s="2"/>
      <c r="E674" s="2"/>
      <c r="F674" s="2"/>
      <c r="G674" s="2"/>
      <c r="H674" s="2"/>
      <c r="I674" s="2"/>
      <c r="J674" s="2"/>
      <c r="K674" s="2"/>
      <c r="L674" s="2"/>
      <c r="M674" s="2"/>
      <c r="N674" s="2"/>
      <c r="O674" s="2"/>
      <c r="P674" s="2"/>
    </row>
    <row r="675" ht="15.75" customHeight="1">
      <c r="A675" s="2"/>
      <c r="B675" s="2"/>
      <c r="C675" s="2"/>
      <c r="D675" s="2"/>
      <c r="E675" s="2"/>
      <c r="F675" s="2"/>
      <c r="G675" s="2"/>
      <c r="H675" s="2"/>
      <c r="I675" s="2"/>
      <c r="J675" s="2"/>
      <c r="K675" s="2"/>
      <c r="L675" s="2"/>
      <c r="M675" s="2"/>
      <c r="N675" s="2"/>
      <c r="O675" s="2"/>
      <c r="P675" s="2"/>
    </row>
    <row r="676" ht="15.75" customHeight="1">
      <c r="A676" s="2"/>
      <c r="B676" s="2"/>
      <c r="C676" s="2"/>
      <c r="D676" s="2"/>
      <c r="E676" s="2"/>
      <c r="F676" s="2"/>
      <c r="G676" s="2"/>
      <c r="H676" s="2"/>
      <c r="I676" s="2"/>
      <c r="J676" s="2"/>
      <c r="K676" s="2"/>
      <c r="L676" s="2"/>
      <c r="M676" s="2"/>
      <c r="N676" s="2"/>
      <c r="O676" s="2"/>
      <c r="P676" s="2"/>
    </row>
    <row r="677" ht="15.75" customHeight="1">
      <c r="A677" s="2"/>
      <c r="B677" s="2"/>
      <c r="C677" s="2"/>
      <c r="D677" s="2"/>
      <c r="E677" s="2"/>
      <c r="F677" s="2"/>
      <c r="G677" s="2"/>
      <c r="H677" s="2"/>
      <c r="I677" s="2"/>
      <c r="J677" s="2"/>
      <c r="K677" s="2"/>
      <c r="L677" s="2"/>
      <c r="M677" s="2"/>
      <c r="N677" s="2"/>
      <c r="O677" s="2"/>
      <c r="P677" s="2"/>
    </row>
    <row r="678" ht="15.75" customHeight="1">
      <c r="A678" s="2"/>
      <c r="B678" s="2"/>
      <c r="C678" s="2"/>
      <c r="D678" s="2"/>
      <c r="E678" s="2"/>
      <c r="F678" s="2"/>
      <c r="G678" s="2"/>
      <c r="H678" s="2"/>
      <c r="I678" s="2"/>
      <c r="J678" s="2"/>
      <c r="K678" s="2"/>
      <c r="L678" s="2"/>
      <c r="M678" s="2"/>
      <c r="N678" s="2"/>
      <c r="O678" s="2"/>
      <c r="P678" s="2"/>
    </row>
    <row r="679" ht="15.75" customHeight="1">
      <c r="A679" s="2"/>
      <c r="B679" s="2"/>
      <c r="C679" s="2"/>
      <c r="D679" s="2"/>
      <c r="E679" s="2"/>
      <c r="F679" s="2"/>
      <c r="G679" s="2"/>
      <c r="H679" s="2"/>
      <c r="I679" s="2"/>
      <c r="J679" s="2"/>
      <c r="K679" s="2"/>
      <c r="L679" s="2"/>
      <c r="M679" s="2"/>
      <c r="N679" s="2"/>
      <c r="O679" s="2"/>
      <c r="P679" s="2"/>
    </row>
    <row r="680" ht="15.75" customHeight="1">
      <c r="A680" s="2"/>
      <c r="B680" s="2"/>
      <c r="C680" s="2"/>
      <c r="D680" s="2"/>
      <c r="E680" s="2"/>
      <c r="F680" s="2"/>
      <c r="G680" s="2"/>
      <c r="H680" s="2"/>
      <c r="I680" s="2"/>
      <c r="J680" s="2"/>
      <c r="K680" s="2"/>
      <c r="L680" s="2"/>
      <c r="M680" s="2"/>
      <c r="N680" s="2"/>
      <c r="O680" s="2"/>
      <c r="P680" s="2"/>
    </row>
    <row r="681" ht="15.75" customHeight="1">
      <c r="A681" s="2"/>
      <c r="B681" s="2"/>
      <c r="C681" s="2"/>
      <c r="D681" s="2"/>
      <c r="E681" s="2"/>
      <c r="F681" s="2"/>
      <c r="G681" s="2"/>
      <c r="H681" s="2"/>
      <c r="I681" s="2"/>
      <c r="J681" s="2"/>
      <c r="K681" s="2"/>
      <c r="L681" s="2"/>
      <c r="M681" s="2"/>
      <c r="N681" s="2"/>
      <c r="O681" s="2"/>
      <c r="P681" s="2"/>
    </row>
    <row r="682" ht="15.75" customHeight="1">
      <c r="A682" s="2"/>
      <c r="B682" s="2"/>
      <c r="C682" s="2"/>
      <c r="D682" s="2"/>
      <c r="E682" s="2"/>
      <c r="F682" s="2"/>
      <c r="G682" s="2"/>
      <c r="H682" s="2"/>
      <c r="I682" s="2"/>
      <c r="J682" s="2"/>
      <c r="K682" s="2"/>
      <c r="L682" s="2"/>
      <c r="M682" s="2"/>
      <c r="N682" s="2"/>
      <c r="O682" s="2"/>
      <c r="P682" s="2"/>
    </row>
    <row r="683" ht="15.75" customHeight="1">
      <c r="A683" s="2"/>
      <c r="B683" s="2"/>
      <c r="C683" s="2"/>
      <c r="D683" s="2"/>
      <c r="E683" s="2"/>
      <c r="F683" s="2"/>
      <c r="G683" s="2"/>
      <c r="H683" s="2"/>
      <c r="I683" s="2"/>
      <c r="J683" s="2"/>
      <c r="K683" s="2"/>
      <c r="L683" s="2"/>
      <c r="M683" s="2"/>
      <c r="N683" s="2"/>
      <c r="O683" s="2"/>
      <c r="P683" s="2"/>
    </row>
    <row r="684" ht="15.75" customHeight="1">
      <c r="A684" s="2"/>
      <c r="B684" s="2"/>
      <c r="C684" s="2"/>
      <c r="D684" s="2"/>
      <c r="E684" s="2"/>
      <c r="F684" s="2"/>
      <c r="G684" s="2"/>
      <c r="H684" s="2"/>
      <c r="I684" s="2"/>
      <c r="J684" s="2"/>
      <c r="K684" s="2"/>
      <c r="L684" s="2"/>
      <c r="M684" s="2"/>
      <c r="N684" s="2"/>
      <c r="O684" s="2"/>
      <c r="P684" s="2"/>
    </row>
    <row r="685" ht="15.75" customHeight="1">
      <c r="A685" s="2"/>
      <c r="B685" s="2"/>
      <c r="C685" s="2"/>
      <c r="D685" s="2"/>
      <c r="E685" s="2"/>
      <c r="F685" s="2"/>
      <c r="G685" s="2"/>
      <c r="H685" s="2"/>
      <c r="I685" s="2"/>
      <c r="J685" s="2"/>
      <c r="K685" s="2"/>
      <c r="L685" s="2"/>
      <c r="M685" s="2"/>
      <c r="N685" s="2"/>
      <c r="O685" s="2"/>
      <c r="P685" s="2"/>
    </row>
    <row r="686" ht="15.75" customHeight="1">
      <c r="A686" s="2"/>
      <c r="B686" s="2"/>
      <c r="C686" s="2"/>
      <c r="D686" s="2"/>
      <c r="E686" s="2"/>
      <c r="F686" s="2"/>
      <c r="G686" s="2"/>
      <c r="H686" s="2"/>
      <c r="I686" s="2"/>
      <c r="J686" s="2"/>
      <c r="K686" s="2"/>
      <c r="L686" s="2"/>
      <c r="M686" s="2"/>
      <c r="N686" s="2"/>
      <c r="O686" s="2"/>
      <c r="P686" s="2"/>
    </row>
    <row r="687" ht="15.75" customHeight="1">
      <c r="A687" s="2"/>
      <c r="B687" s="2"/>
      <c r="C687" s="2"/>
      <c r="D687" s="2"/>
      <c r="E687" s="2"/>
      <c r="F687" s="2"/>
      <c r="G687" s="2"/>
      <c r="H687" s="2"/>
      <c r="I687" s="2"/>
      <c r="J687" s="2"/>
      <c r="K687" s="2"/>
      <c r="L687" s="2"/>
      <c r="M687" s="2"/>
      <c r="N687" s="2"/>
      <c r="O687" s="2"/>
      <c r="P687" s="2"/>
    </row>
    <row r="688" ht="15.75" customHeight="1">
      <c r="A688" s="2"/>
      <c r="B688" s="2"/>
      <c r="C688" s="2"/>
      <c r="D688" s="2"/>
      <c r="E688" s="2"/>
      <c r="F688" s="2"/>
      <c r="G688" s="2"/>
      <c r="H688" s="2"/>
      <c r="I688" s="2"/>
      <c r="J688" s="2"/>
      <c r="K688" s="2"/>
      <c r="L688" s="2"/>
      <c r="M688" s="2"/>
      <c r="N688" s="2"/>
      <c r="O688" s="2"/>
      <c r="P688" s="2"/>
    </row>
    <row r="689" ht="15.75" customHeight="1">
      <c r="A689" s="2"/>
      <c r="B689" s="2"/>
      <c r="C689" s="2"/>
      <c r="D689" s="2"/>
      <c r="E689" s="2"/>
      <c r="F689" s="2"/>
      <c r="G689" s="2"/>
      <c r="H689" s="2"/>
      <c r="I689" s="2"/>
      <c r="J689" s="2"/>
      <c r="K689" s="2"/>
      <c r="L689" s="2"/>
      <c r="M689" s="2"/>
      <c r="N689" s="2"/>
      <c r="O689" s="2"/>
      <c r="P689" s="2"/>
    </row>
    <row r="690" ht="15.75" customHeight="1">
      <c r="A690" s="2"/>
      <c r="B690" s="2"/>
      <c r="C690" s="2"/>
      <c r="D690" s="2"/>
      <c r="E690" s="2"/>
      <c r="F690" s="2"/>
      <c r="G690" s="2"/>
      <c r="H690" s="2"/>
      <c r="I690" s="2"/>
      <c r="J690" s="2"/>
      <c r="K690" s="2"/>
      <c r="L690" s="2"/>
      <c r="M690" s="2"/>
      <c r="N690" s="2"/>
      <c r="O690" s="2"/>
      <c r="P690" s="2"/>
    </row>
    <row r="691" ht="15.75" customHeight="1">
      <c r="A691" s="2"/>
      <c r="B691" s="2"/>
      <c r="C691" s="2"/>
      <c r="D691" s="2"/>
      <c r="E691" s="2"/>
      <c r="F691" s="2"/>
      <c r="G691" s="2"/>
      <c r="H691" s="2"/>
      <c r="I691" s="2"/>
      <c r="J691" s="2"/>
      <c r="K691" s="2"/>
      <c r="L691" s="2"/>
      <c r="M691" s="2"/>
      <c r="N691" s="2"/>
      <c r="O691" s="2"/>
      <c r="P691" s="2"/>
    </row>
    <row r="692" ht="15.75" customHeight="1">
      <c r="A692" s="2"/>
      <c r="B692" s="2"/>
      <c r="C692" s="2"/>
      <c r="D692" s="2"/>
      <c r="E692" s="2"/>
      <c r="F692" s="2"/>
      <c r="G692" s="2"/>
      <c r="H692" s="2"/>
      <c r="I692" s="2"/>
      <c r="J692" s="2"/>
      <c r="K692" s="2"/>
      <c r="L692" s="2"/>
      <c r="M692" s="2"/>
      <c r="N692" s="2"/>
      <c r="O692" s="2"/>
      <c r="P692" s="2"/>
    </row>
    <row r="693" ht="15.75" customHeight="1">
      <c r="A693" s="2"/>
      <c r="B693" s="2"/>
      <c r="C693" s="2"/>
      <c r="D693" s="2"/>
      <c r="E693" s="2"/>
      <c r="F693" s="2"/>
      <c r="G693" s="2"/>
      <c r="H693" s="2"/>
      <c r="I693" s="2"/>
      <c r="J693" s="2"/>
      <c r="K693" s="2"/>
      <c r="L693" s="2"/>
      <c r="M693" s="2"/>
      <c r="N693" s="2"/>
      <c r="O693" s="2"/>
      <c r="P693" s="2"/>
    </row>
    <row r="694" ht="15.75" customHeight="1">
      <c r="A694" s="2"/>
      <c r="B694" s="2"/>
      <c r="C694" s="2"/>
      <c r="D694" s="2"/>
      <c r="E694" s="2"/>
      <c r="F694" s="2"/>
      <c r="G694" s="2"/>
      <c r="H694" s="2"/>
      <c r="I694" s="2"/>
      <c r="J694" s="2"/>
      <c r="K694" s="2"/>
      <c r="L694" s="2"/>
      <c r="M694" s="2"/>
      <c r="N694" s="2"/>
      <c r="O694" s="2"/>
      <c r="P694" s="2"/>
    </row>
    <row r="695" ht="15.75" customHeight="1">
      <c r="A695" s="2"/>
      <c r="B695" s="2"/>
      <c r="C695" s="2"/>
      <c r="D695" s="2"/>
      <c r="E695" s="2"/>
      <c r="F695" s="2"/>
      <c r="G695" s="2"/>
      <c r="H695" s="2"/>
      <c r="I695" s="2"/>
      <c r="J695" s="2"/>
      <c r="K695" s="2"/>
      <c r="L695" s="2"/>
      <c r="M695" s="2"/>
      <c r="N695" s="2"/>
      <c r="O695" s="2"/>
      <c r="P695" s="2"/>
    </row>
    <row r="696" ht="15.75" customHeight="1">
      <c r="A696" s="2"/>
      <c r="B696" s="2"/>
      <c r="C696" s="2"/>
      <c r="D696" s="2"/>
      <c r="E696" s="2"/>
      <c r="F696" s="2"/>
      <c r="G696" s="2"/>
      <c r="H696" s="2"/>
      <c r="I696" s="2"/>
      <c r="J696" s="2"/>
      <c r="K696" s="2"/>
      <c r="L696" s="2"/>
      <c r="M696" s="2"/>
      <c r="N696" s="2"/>
      <c r="O696" s="2"/>
      <c r="P696" s="2"/>
    </row>
    <row r="697" ht="15.75" customHeight="1">
      <c r="A697" s="2"/>
      <c r="B697" s="2"/>
      <c r="C697" s="2"/>
      <c r="D697" s="2"/>
      <c r="E697" s="2"/>
      <c r="F697" s="2"/>
      <c r="G697" s="2"/>
      <c r="H697" s="2"/>
      <c r="I697" s="2"/>
      <c r="J697" s="2"/>
      <c r="K697" s="2"/>
      <c r="L697" s="2"/>
      <c r="M697" s="2"/>
      <c r="N697" s="2"/>
      <c r="O697" s="2"/>
      <c r="P697" s="2"/>
    </row>
    <row r="698" ht="15.75" customHeight="1">
      <c r="A698" s="2"/>
      <c r="B698" s="2"/>
      <c r="C698" s="2"/>
      <c r="D698" s="2"/>
      <c r="E698" s="2"/>
      <c r="F698" s="2"/>
      <c r="G698" s="2"/>
      <c r="H698" s="2"/>
      <c r="I698" s="2"/>
      <c r="J698" s="2"/>
      <c r="K698" s="2"/>
      <c r="L698" s="2"/>
      <c r="M698" s="2"/>
      <c r="N698" s="2"/>
      <c r="O698" s="2"/>
      <c r="P698" s="2"/>
    </row>
    <row r="699" ht="15.75" customHeight="1">
      <c r="A699" s="2"/>
      <c r="B699" s="2"/>
      <c r="C699" s="2"/>
      <c r="D699" s="2"/>
      <c r="E699" s="2"/>
      <c r="F699" s="2"/>
      <c r="G699" s="2"/>
      <c r="H699" s="2"/>
      <c r="I699" s="2"/>
      <c r="J699" s="2"/>
      <c r="K699" s="2"/>
      <c r="L699" s="2"/>
      <c r="M699" s="2"/>
      <c r="N699" s="2"/>
      <c r="O699" s="2"/>
      <c r="P699" s="2"/>
    </row>
    <row r="700" ht="15.75" customHeight="1">
      <c r="A700" s="2"/>
      <c r="B700" s="2"/>
      <c r="C700" s="2"/>
      <c r="D700" s="2"/>
      <c r="E700" s="2"/>
      <c r="F700" s="2"/>
      <c r="G700" s="2"/>
      <c r="H700" s="2"/>
      <c r="I700" s="2"/>
      <c r="J700" s="2"/>
      <c r="K700" s="2"/>
      <c r="L700" s="2"/>
      <c r="M700" s="2"/>
      <c r="N700" s="2"/>
      <c r="O700" s="2"/>
      <c r="P700" s="2"/>
    </row>
    <row r="701" ht="15.75" customHeight="1">
      <c r="A701" s="2"/>
      <c r="B701" s="2"/>
      <c r="C701" s="2"/>
      <c r="D701" s="2"/>
      <c r="E701" s="2"/>
      <c r="F701" s="2"/>
      <c r="G701" s="2"/>
      <c r="H701" s="2"/>
      <c r="I701" s="2"/>
      <c r="J701" s="2"/>
      <c r="K701" s="2"/>
      <c r="L701" s="2"/>
      <c r="M701" s="2"/>
      <c r="N701" s="2"/>
      <c r="O701" s="2"/>
      <c r="P701" s="2"/>
    </row>
    <row r="702" ht="15.75" customHeight="1">
      <c r="A702" s="2"/>
      <c r="B702" s="2"/>
      <c r="C702" s="2"/>
      <c r="D702" s="2"/>
      <c r="E702" s="2"/>
      <c r="F702" s="2"/>
      <c r="G702" s="2"/>
      <c r="H702" s="2"/>
      <c r="I702" s="2"/>
      <c r="J702" s="2"/>
      <c r="K702" s="2"/>
      <c r="L702" s="2"/>
      <c r="M702" s="2"/>
      <c r="N702" s="2"/>
      <c r="O702" s="2"/>
      <c r="P702" s="2"/>
    </row>
    <row r="703" ht="15.75" customHeight="1">
      <c r="A703" s="2"/>
      <c r="B703" s="2"/>
      <c r="C703" s="2"/>
      <c r="D703" s="2"/>
      <c r="E703" s="2"/>
      <c r="F703" s="2"/>
      <c r="G703" s="2"/>
      <c r="H703" s="2"/>
      <c r="I703" s="2"/>
      <c r="J703" s="2"/>
      <c r="K703" s="2"/>
      <c r="L703" s="2"/>
      <c r="M703" s="2"/>
      <c r="N703" s="2"/>
      <c r="O703" s="2"/>
      <c r="P703" s="2"/>
    </row>
    <row r="704" ht="15.75" customHeight="1">
      <c r="A704" s="2"/>
      <c r="B704" s="2"/>
      <c r="C704" s="2"/>
      <c r="D704" s="2"/>
      <c r="E704" s="2"/>
      <c r="F704" s="2"/>
      <c r="G704" s="2"/>
      <c r="H704" s="2"/>
      <c r="I704" s="2"/>
      <c r="J704" s="2"/>
      <c r="K704" s="2"/>
      <c r="L704" s="2"/>
      <c r="M704" s="2"/>
      <c r="N704" s="2"/>
      <c r="O704" s="2"/>
      <c r="P704" s="2"/>
    </row>
    <row r="705" ht="15.75" customHeight="1">
      <c r="A705" s="2"/>
      <c r="B705" s="2"/>
      <c r="C705" s="2"/>
      <c r="D705" s="2"/>
      <c r="E705" s="2"/>
      <c r="F705" s="2"/>
      <c r="G705" s="2"/>
      <c r="H705" s="2"/>
      <c r="I705" s="2"/>
      <c r="J705" s="2"/>
      <c r="K705" s="2"/>
      <c r="L705" s="2"/>
      <c r="M705" s="2"/>
      <c r="N705" s="2"/>
      <c r="O705" s="2"/>
      <c r="P705" s="2"/>
    </row>
    <row r="706" ht="15.75" customHeight="1">
      <c r="A706" s="2"/>
      <c r="B706" s="2"/>
      <c r="C706" s="2"/>
      <c r="D706" s="2"/>
      <c r="E706" s="2"/>
      <c r="F706" s="2"/>
      <c r="G706" s="2"/>
      <c r="H706" s="2"/>
      <c r="I706" s="2"/>
      <c r="J706" s="2"/>
      <c r="K706" s="2"/>
      <c r="L706" s="2"/>
      <c r="M706" s="2"/>
      <c r="N706" s="2"/>
      <c r="O706" s="2"/>
      <c r="P706" s="2"/>
    </row>
    <row r="707" ht="15.75" customHeight="1">
      <c r="A707" s="2"/>
      <c r="B707" s="2"/>
      <c r="C707" s="2"/>
      <c r="D707" s="2"/>
      <c r="E707" s="2"/>
      <c r="F707" s="2"/>
      <c r="G707" s="2"/>
      <c r="H707" s="2"/>
      <c r="I707" s="2"/>
      <c r="J707" s="2"/>
      <c r="K707" s="2"/>
      <c r="L707" s="2"/>
      <c r="M707" s="2"/>
      <c r="N707" s="2"/>
      <c r="O707" s="2"/>
      <c r="P707" s="2"/>
    </row>
    <row r="708" ht="15.75" customHeight="1">
      <c r="A708" s="2"/>
      <c r="B708" s="2"/>
      <c r="C708" s="2"/>
      <c r="D708" s="2"/>
      <c r="E708" s="2"/>
      <c r="F708" s="2"/>
      <c r="G708" s="2"/>
      <c r="H708" s="2"/>
      <c r="I708" s="2"/>
      <c r="J708" s="2"/>
      <c r="K708" s="2"/>
      <c r="L708" s="2"/>
      <c r="M708" s="2"/>
      <c r="N708" s="2"/>
      <c r="O708" s="2"/>
      <c r="P708" s="2"/>
    </row>
    <row r="709" ht="15.75" customHeight="1">
      <c r="A709" s="2"/>
      <c r="B709" s="2"/>
      <c r="C709" s="2"/>
      <c r="D709" s="2"/>
      <c r="E709" s="2"/>
      <c r="F709" s="2"/>
      <c r="G709" s="2"/>
      <c r="H709" s="2"/>
      <c r="I709" s="2"/>
      <c r="J709" s="2"/>
      <c r="K709" s="2"/>
      <c r="L709" s="2"/>
      <c r="M709" s="2"/>
      <c r="N709" s="2"/>
      <c r="O709" s="2"/>
      <c r="P709" s="2"/>
    </row>
    <row r="710" ht="15.75" customHeight="1">
      <c r="A710" s="2"/>
      <c r="B710" s="2"/>
      <c r="C710" s="2"/>
      <c r="D710" s="2"/>
      <c r="E710" s="2"/>
      <c r="F710" s="2"/>
      <c r="G710" s="2"/>
      <c r="H710" s="2"/>
      <c r="I710" s="2"/>
      <c r="J710" s="2"/>
      <c r="K710" s="2"/>
      <c r="L710" s="2"/>
      <c r="M710" s="2"/>
      <c r="N710" s="2"/>
      <c r="O710" s="2"/>
      <c r="P710" s="2"/>
    </row>
    <row r="711" ht="15.75" customHeight="1">
      <c r="A711" s="2"/>
      <c r="B711" s="2"/>
      <c r="C711" s="2"/>
      <c r="D711" s="2"/>
      <c r="E711" s="2"/>
      <c r="F711" s="2"/>
      <c r="G711" s="2"/>
      <c r="H711" s="2"/>
      <c r="I711" s="2"/>
      <c r="J711" s="2"/>
      <c r="K711" s="2"/>
      <c r="L711" s="2"/>
      <c r="M711" s="2"/>
      <c r="N711" s="2"/>
      <c r="O711" s="2"/>
      <c r="P711" s="2"/>
    </row>
    <row r="712" ht="15.75" customHeight="1">
      <c r="A712" s="2"/>
      <c r="B712" s="2"/>
      <c r="C712" s="2"/>
      <c r="D712" s="2"/>
      <c r="E712" s="2"/>
      <c r="F712" s="2"/>
      <c r="G712" s="2"/>
      <c r="H712" s="2"/>
      <c r="I712" s="2"/>
      <c r="J712" s="2"/>
      <c r="K712" s="2"/>
      <c r="L712" s="2"/>
      <c r="M712" s="2"/>
      <c r="N712" s="2"/>
      <c r="O712" s="2"/>
      <c r="P712" s="2"/>
    </row>
    <row r="713" ht="15.75" customHeight="1">
      <c r="A713" s="2"/>
      <c r="B713" s="2"/>
      <c r="C713" s="2"/>
      <c r="D713" s="2"/>
      <c r="E713" s="2"/>
      <c r="F713" s="2"/>
      <c r="G713" s="2"/>
      <c r="H713" s="2"/>
      <c r="I713" s="2"/>
      <c r="J713" s="2"/>
      <c r="K713" s="2"/>
      <c r="L713" s="2"/>
      <c r="M713" s="2"/>
      <c r="N713" s="2"/>
      <c r="O713" s="2"/>
      <c r="P713" s="2"/>
    </row>
    <row r="714" ht="15.75" customHeight="1">
      <c r="A714" s="2"/>
      <c r="B714" s="2"/>
      <c r="C714" s="2"/>
      <c r="D714" s="2"/>
      <c r="E714" s="2"/>
      <c r="F714" s="2"/>
      <c r="G714" s="2"/>
      <c r="H714" s="2"/>
      <c r="I714" s="2"/>
      <c r="J714" s="2"/>
      <c r="K714" s="2"/>
      <c r="L714" s="2"/>
      <c r="M714" s="2"/>
      <c r="N714" s="2"/>
      <c r="O714" s="2"/>
      <c r="P714" s="2"/>
    </row>
    <row r="715" ht="15.75" customHeight="1">
      <c r="A715" s="2"/>
      <c r="B715" s="2"/>
      <c r="C715" s="2"/>
      <c r="D715" s="2"/>
      <c r="E715" s="2"/>
      <c r="F715" s="2"/>
      <c r="G715" s="2"/>
      <c r="H715" s="2"/>
      <c r="I715" s="2"/>
      <c r="J715" s="2"/>
      <c r="K715" s="2"/>
      <c r="L715" s="2"/>
      <c r="M715" s="2"/>
      <c r="N715" s="2"/>
      <c r="O715" s="2"/>
      <c r="P715" s="2"/>
    </row>
    <row r="716" ht="15.75" customHeight="1">
      <c r="A716" s="2"/>
      <c r="B716" s="2"/>
      <c r="C716" s="2"/>
      <c r="D716" s="2"/>
      <c r="E716" s="2"/>
      <c r="F716" s="2"/>
      <c r="G716" s="2"/>
      <c r="H716" s="2"/>
      <c r="I716" s="2"/>
      <c r="J716" s="2"/>
      <c r="K716" s="2"/>
      <c r="L716" s="2"/>
      <c r="M716" s="2"/>
      <c r="N716" s="2"/>
      <c r="O716" s="2"/>
      <c r="P716" s="2"/>
    </row>
    <row r="717" ht="15.75" customHeight="1">
      <c r="A717" s="2"/>
      <c r="B717" s="2"/>
      <c r="C717" s="2"/>
      <c r="D717" s="2"/>
      <c r="E717" s="2"/>
      <c r="F717" s="2"/>
      <c r="G717" s="2"/>
      <c r="H717" s="2"/>
      <c r="I717" s="2"/>
      <c r="J717" s="2"/>
      <c r="K717" s="2"/>
      <c r="L717" s="2"/>
      <c r="M717" s="2"/>
      <c r="N717" s="2"/>
      <c r="O717" s="2"/>
      <c r="P717" s="2"/>
    </row>
    <row r="718" ht="15.75" customHeight="1">
      <c r="A718" s="2"/>
      <c r="B718" s="2"/>
      <c r="C718" s="2"/>
      <c r="D718" s="2"/>
      <c r="E718" s="2"/>
      <c r="F718" s="2"/>
      <c r="G718" s="2"/>
      <c r="H718" s="2"/>
      <c r="I718" s="2"/>
      <c r="J718" s="2"/>
      <c r="K718" s="2"/>
      <c r="L718" s="2"/>
      <c r="M718" s="2"/>
      <c r="N718" s="2"/>
      <c r="O718" s="2"/>
      <c r="P718" s="2"/>
    </row>
    <row r="719" ht="15.75" customHeight="1">
      <c r="A719" s="2"/>
      <c r="B719" s="2"/>
      <c r="C719" s="2"/>
      <c r="D719" s="2"/>
      <c r="E719" s="2"/>
      <c r="F719" s="2"/>
      <c r="G719" s="2"/>
      <c r="H719" s="2"/>
      <c r="I719" s="2"/>
      <c r="J719" s="2"/>
      <c r="K719" s="2"/>
      <c r="L719" s="2"/>
      <c r="M719" s="2"/>
      <c r="N719" s="2"/>
      <c r="O719" s="2"/>
      <c r="P719" s="2"/>
    </row>
    <row r="720" ht="15.75" customHeight="1">
      <c r="A720" s="2"/>
      <c r="B720" s="2"/>
      <c r="C720" s="2"/>
      <c r="D720" s="2"/>
      <c r="E720" s="2"/>
      <c r="F720" s="2"/>
      <c r="G720" s="2"/>
      <c r="H720" s="2"/>
      <c r="I720" s="2"/>
      <c r="J720" s="2"/>
      <c r="K720" s="2"/>
      <c r="L720" s="2"/>
      <c r="M720" s="2"/>
      <c r="N720" s="2"/>
      <c r="O720" s="2"/>
      <c r="P720" s="2"/>
    </row>
    <row r="721" ht="15.75" customHeight="1">
      <c r="A721" s="2"/>
      <c r="B721" s="2"/>
      <c r="C721" s="2"/>
      <c r="D721" s="2"/>
      <c r="E721" s="2"/>
      <c r="F721" s="2"/>
      <c r="G721" s="2"/>
      <c r="H721" s="2"/>
      <c r="I721" s="2"/>
      <c r="J721" s="2"/>
      <c r="K721" s="2"/>
      <c r="L721" s="2"/>
      <c r="M721" s="2"/>
      <c r="N721" s="2"/>
      <c r="O721" s="2"/>
      <c r="P721" s="2"/>
    </row>
    <row r="722" ht="15.75" customHeight="1">
      <c r="A722" s="2"/>
      <c r="B722" s="2"/>
      <c r="C722" s="2"/>
      <c r="D722" s="2"/>
      <c r="E722" s="2"/>
      <c r="F722" s="2"/>
      <c r="G722" s="2"/>
      <c r="H722" s="2"/>
      <c r="I722" s="2"/>
      <c r="J722" s="2"/>
      <c r="K722" s="2"/>
      <c r="L722" s="2"/>
      <c r="M722" s="2"/>
      <c r="N722" s="2"/>
      <c r="O722" s="2"/>
      <c r="P722" s="2"/>
    </row>
    <row r="723" ht="15.75" customHeight="1">
      <c r="A723" s="2"/>
      <c r="B723" s="2"/>
      <c r="C723" s="2"/>
      <c r="D723" s="2"/>
      <c r="E723" s="2"/>
      <c r="F723" s="2"/>
      <c r="G723" s="2"/>
      <c r="H723" s="2"/>
      <c r="I723" s="2"/>
      <c r="J723" s="2"/>
      <c r="K723" s="2"/>
      <c r="L723" s="2"/>
      <c r="M723" s="2"/>
      <c r="N723" s="2"/>
      <c r="O723" s="2"/>
      <c r="P723" s="2"/>
    </row>
    <row r="724" ht="15.75" customHeight="1">
      <c r="A724" s="2"/>
      <c r="B724" s="2"/>
      <c r="C724" s="2"/>
      <c r="D724" s="2"/>
      <c r="E724" s="2"/>
      <c r="F724" s="2"/>
      <c r="G724" s="2"/>
      <c r="H724" s="2"/>
      <c r="I724" s="2"/>
      <c r="J724" s="2"/>
      <c r="K724" s="2"/>
      <c r="L724" s="2"/>
      <c r="M724" s="2"/>
      <c r="N724" s="2"/>
      <c r="O724" s="2"/>
      <c r="P724" s="2"/>
    </row>
    <row r="725" ht="15.75" customHeight="1">
      <c r="A725" s="2"/>
      <c r="B725" s="2"/>
      <c r="C725" s="2"/>
      <c r="D725" s="2"/>
      <c r="E725" s="2"/>
      <c r="F725" s="2"/>
      <c r="G725" s="2"/>
      <c r="H725" s="2"/>
      <c r="I725" s="2"/>
      <c r="J725" s="2"/>
      <c r="K725" s="2"/>
      <c r="L725" s="2"/>
      <c r="M725" s="2"/>
      <c r="N725" s="2"/>
      <c r="O725" s="2"/>
      <c r="P725" s="2"/>
    </row>
    <row r="726" ht="15.75" customHeight="1">
      <c r="A726" s="2"/>
      <c r="B726" s="2"/>
      <c r="C726" s="2"/>
      <c r="D726" s="2"/>
      <c r="E726" s="2"/>
      <c r="F726" s="2"/>
      <c r="G726" s="2"/>
      <c r="H726" s="2"/>
      <c r="I726" s="2"/>
      <c r="J726" s="2"/>
      <c r="K726" s="2"/>
      <c r="L726" s="2"/>
      <c r="M726" s="2"/>
      <c r="N726" s="2"/>
      <c r="O726" s="2"/>
      <c r="P726" s="2"/>
    </row>
    <row r="727" ht="15.75" customHeight="1">
      <c r="A727" s="2"/>
      <c r="B727" s="2"/>
      <c r="C727" s="2"/>
      <c r="D727" s="2"/>
      <c r="E727" s="2"/>
      <c r="F727" s="2"/>
      <c r="G727" s="2"/>
      <c r="H727" s="2"/>
      <c r="I727" s="2"/>
      <c r="J727" s="2"/>
      <c r="K727" s="2"/>
      <c r="L727" s="2"/>
      <c r="M727" s="2"/>
      <c r="N727" s="2"/>
      <c r="O727" s="2"/>
      <c r="P727" s="2"/>
    </row>
    <row r="728" ht="15.75" customHeight="1">
      <c r="A728" s="2"/>
      <c r="B728" s="2"/>
      <c r="C728" s="2"/>
      <c r="D728" s="2"/>
      <c r="E728" s="2"/>
      <c r="F728" s="2"/>
      <c r="G728" s="2"/>
      <c r="H728" s="2"/>
      <c r="I728" s="2"/>
      <c r="J728" s="2"/>
      <c r="K728" s="2"/>
      <c r="L728" s="2"/>
      <c r="M728" s="2"/>
      <c r="N728" s="2"/>
      <c r="O728" s="2"/>
      <c r="P728" s="2"/>
    </row>
    <row r="729" ht="15.75" customHeight="1">
      <c r="A729" s="2"/>
      <c r="B729" s="2"/>
      <c r="C729" s="2"/>
      <c r="D729" s="2"/>
      <c r="E729" s="2"/>
      <c r="F729" s="2"/>
      <c r="G729" s="2"/>
      <c r="H729" s="2"/>
      <c r="I729" s="2"/>
      <c r="J729" s="2"/>
      <c r="K729" s="2"/>
      <c r="L729" s="2"/>
      <c r="M729" s="2"/>
      <c r="N729" s="2"/>
      <c r="O729" s="2"/>
      <c r="P729" s="2"/>
    </row>
    <row r="730" ht="15.75" customHeight="1">
      <c r="A730" s="2"/>
      <c r="B730" s="2"/>
      <c r="C730" s="2"/>
      <c r="D730" s="2"/>
      <c r="E730" s="2"/>
      <c r="F730" s="2"/>
      <c r="G730" s="2"/>
      <c r="H730" s="2"/>
      <c r="I730" s="2"/>
      <c r="J730" s="2"/>
      <c r="K730" s="2"/>
      <c r="L730" s="2"/>
      <c r="M730" s="2"/>
      <c r="N730" s="2"/>
      <c r="O730" s="2"/>
      <c r="P730" s="2"/>
    </row>
    <row r="731" ht="15.75" customHeight="1">
      <c r="A731" s="2"/>
      <c r="B731" s="2"/>
      <c r="C731" s="2"/>
      <c r="D731" s="2"/>
      <c r="E731" s="2"/>
      <c r="F731" s="2"/>
      <c r="G731" s="2"/>
      <c r="H731" s="2"/>
      <c r="I731" s="2"/>
      <c r="J731" s="2"/>
      <c r="K731" s="2"/>
      <c r="L731" s="2"/>
      <c r="M731" s="2"/>
      <c r="N731" s="2"/>
      <c r="O731" s="2"/>
      <c r="P731" s="2"/>
    </row>
    <row r="732" ht="15.75" customHeight="1">
      <c r="A732" s="2"/>
      <c r="B732" s="2"/>
      <c r="C732" s="2"/>
      <c r="D732" s="2"/>
      <c r="E732" s="2"/>
      <c r="F732" s="2"/>
      <c r="G732" s="2"/>
      <c r="H732" s="2"/>
      <c r="I732" s="2"/>
      <c r="J732" s="2"/>
      <c r="K732" s="2"/>
      <c r="L732" s="2"/>
      <c r="M732" s="2"/>
      <c r="N732" s="2"/>
      <c r="O732" s="2"/>
      <c r="P732" s="2"/>
    </row>
    <row r="733" ht="15.75" customHeight="1">
      <c r="A733" s="2"/>
      <c r="B733" s="2"/>
      <c r="C733" s="2"/>
      <c r="D733" s="2"/>
      <c r="E733" s="2"/>
      <c r="F733" s="2"/>
      <c r="G733" s="2"/>
      <c r="H733" s="2"/>
      <c r="I733" s="2"/>
      <c r="J733" s="2"/>
      <c r="K733" s="2"/>
      <c r="L733" s="2"/>
      <c r="M733" s="2"/>
      <c r="N733" s="2"/>
      <c r="O733" s="2"/>
      <c r="P733" s="2"/>
    </row>
    <row r="734" ht="15.75" customHeight="1">
      <c r="A734" s="2"/>
      <c r="B734" s="2"/>
      <c r="C734" s="2"/>
      <c r="D734" s="2"/>
      <c r="E734" s="2"/>
      <c r="F734" s="2"/>
      <c r="G734" s="2"/>
      <c r="H734" s="2"/>
      <c r="I734" s="2"/>
      <c r="J734" s="2"/>
      <c r="K734" s="2"/>
      <c r="L734" s="2"/>
      <c r="M734" s="2"/>
      <c r="N734" s="2"/>
      <c r="O734" s="2"/>
      <c r="P734" s="2"/>
    </row>
    <row r="735" ht="15.75" customHeight="1">
      <c r="A735" s="2"/>
      <c r="B735" s="2"/>
      <c r="C735" s="2"/>
      <c r="D735" s="2"/>
      <c r="E735" s="2"/>
      <c r="F735" s="2"/>
      <c r="G735" s="2"/>
      <c r="H735" s="2"/>
      <c r="I735" s="2"/>
      <c r="J735" s="2"/>
      <c r="K735" s="2"/>
      <c r="L735" s="2"/>
      <c r="M735" s="2"/>
      <c r="N735" s="2"/>
      <c r="O735" s="2"/>
      <c r="P735" s="2"/>
    </row>
    <row r="736" ht="15.75" customHeight="1">
      <c r="A736" s="2"/>
      <c r="B736" s="2"/>
      <c r="C736" s="2"/>
      <c r="D736" s="2"/>
      <c r="E736" s="2"/>
      <c r="F736" s="2"/>
      <c r="G736" s="2"/>
      <c r="H736" s="2"/>
      <c r="I736" s="2"/>
      <c r="J736" s="2"/>
      <c r="K736" s="2"/>
      <c r="L736" s="2"/>
      <c r="M736" s="2"/>
      <c r="N736" s="2"/>
      <c r="O736" s="2"/>
      <c r="P736" s="2"/>
    </row>
    <row r="737" ht="15.75" customHeight="1">
      <c r="A737" s="2"/>
      <c r="B737" s="2"/>
      <c r="C737" s="2"/>
      <c r="D737" s="2"/>
      <c r="E737" s="2"/>
      <c r="F737" s="2"/>
      <c r="G737" s="2"/>
      <c r="H737" s="2"/>
      <c r="I737" s="2"/>
      <c r="J737" s="2"/>
      <c r="K737" s="2"/>
      <c r="L737" s="2"/>
      <c r="M737" s="2"/>
      <c r="N737" s="2"/>
      <c r="O737" s="2"/>
      <c r="P737" s="2"/>
    </row>
    <row r="738" ht="15.75" customHeight="1">
      <c r="A738" s="2"/>
      <c r="B738" s="2"/>
      <c r="C738" s="2"/>
      <c r="D738" s="2"/>
      <c r="E738" s="2"/>
      <c r="F738" s="2"/>
      <c r="G738" s="2"/>
      <c r="H738" s="2"/>
      <c r="I738" s="2"/>
      <c r="J738" s="2"/>
      <c r="K738" s="2"/>
      <c r="L738" s="2"/>
      <c r="M738" s="2"/>
      <c r="N738" s="2"/>
      <c r="O738" s="2"/>
      <c r="P738" s="2"/>
    </row>
    <row r="739" ht="15.75" customHeight="1">
      <c r="A739" s="2"/>
      <c r="B739" s="2"/>
      <c r="C739" s="2"/>
      <c r="D739" s="2"/>
      <c r="E739" s="2"/>
      <c r="F739" s="2"/>
      <c r="G739" s="2"/>
      <c r="H739" s="2"/>
      <c r="I739" s="2"/>
      <c r="J739" s="2"/>
      <c r="K739" s="2"/>
      <c r="L739" s="2"/>
      <c r="M739" s="2"/>
      <c r="N739" s="2"/>
      <c r="O739" s="2"/>
      <c r="P739" s="2"/>
    </row>
    <row r="740" ht="15.75" customHeight="1">
      <c r="A740" s="2"/>
      <c r="B740" s="2"/>
      <c r="C740" s="2"/>
      <c r="D740" s="2"/>
      <c r="E740" s="2"/>
      <c r="F740" s="2"/>
      <c r="G740" s="2"/>
      <c r="H740" s="2"/>
      <c r="I740" s="2"/>
      <c r="J740" s="2"/>
      <c r="K740" s="2"/>
      <c r="L740" s="2"/>
      <c r="M740" s="2"/>
      <c r="N740" s="2"/>
      <c r="O740" s="2"/>
      <c r="P740" s="2"/>
    </row>
    <row r="741" ht="15.75" customHeight="1">
      <c r="A741" s="2"/>
      <c r="B741" s="2"/>
      <c r="C741" s="2"/>
      <c r="D741" s="2"/>
      <c r="E741" s="2"/>
      <c r="F741" s="2"/>
      <c r="G741" s="2"/>
      <c r="H741" s="2"/>
      <c r="I741" s="2"/>
      <c r="J741" s="2"/>
      <c r="K741" s="2"/>
      <c r="L741" s="2"/>
      <c r="M741" s="2"/>
      <c r="N741" s="2"/>
      <c r="O741" s="2"/>
      <c r="P741" s="2"/>
    </row>
    <row r="742" ht="15.75" customHeight="1">
      <c r="A742" s="2"/>
      <c r="B742" s="2"/>
      <c r="C742" s="2"/>
      <c r="D742" s="2"/>
      <c r="E742" s="2"/>
      <c r="F742" s="2"/>
      <c r="G742" s="2"/>
      <c r="H742" s="2"/>
      <c r="I742" s="2"/>
      <c r="J742" s="2"/>
      <c r="K742" s="2"/>
      <c r="L742" s="2"/>
      <c r="M742" s="2"/>
      <c r="N742" s="2"/>
      <c r="O742" s="2"/>
      <c r="P742" s="2"/>
    </row>
    <row r="743" ht="15.75" customHeight="1">
      <c r="A743" s="2"/>
      <c r="B743" s="2"/>
      <c r="C743" s="2"/>
      <c r="D743" s="2"/>
      <c r="E743" s="2"/>
      <c r="F743" s="2"/>
      <c r="G743" s="2"/>
      <c r="H743" s="2"/>
      <c r="I743" s="2"/>
      <c r="J743" s="2"/>
      <c r="K743" s="2"/>
      <c r="L743" s="2"/>
      <c r="M743" s="2"/>
      <c r="N743" s="2"/>
      <c r="O743" s="2"/>
      <c r="P743" s="2"/>
    </row>
    <row r="744" ht="15.75" customHeight="1">
      <c r="A744" s="2"/>
      <c r="B744" s="2"/>
      <c r="C744" s="2"/>
      <c r="D744" s="2"/>
      <c r="E744" s="2"/>
      <c r="F744" s="2"/>
      <c r="G744" s="2"/>
      <c r="H744" s="2"/>
      <c r="I744" s="2"/>
      <c r="J744" s="2"/>
      <c r="K744" s="2"/>
      <c r="L744" s="2"/>
      <c r="M744" s="2"/>
      <c r="N744" s="2"/>
      <c r="O744" s="2"/>
      <c r="P744" s="2"/>
    </row>
    <row r="745" ht="15.75" customHeight="1">
      <c r="A745" s="2"/>
      <c r="B745" s="2"/>
      <c r="C745" s="2"/>
      <c r="D745" s="2"/>
      <c r="E745" s="2"/>
      <c r="F745" s="2"/>
      <c r="G745" s="2"/>
      <c r="H745" s="2"/>
      <c r="I745" s="2"/>
      <c r="J745" s="2"/>
      <c r="K745" s="2"/>
      <c r="L745" s="2"/>
      <c r="M745" s="2"/>
      <c r="N745" s="2"/>
      <c r="O745" s="2"/>
      <c r="P745" s="2"/>
    </row>
    <row r="746" ht="15.75" customHeight="1">
      <c r="A746" s="2"/>
      <c r="B746" s="2"/>
      <c r="C746" s="2"/>
      <c r="D746" s="2"/>
      <c r="E746" s="2"/>
      <c r="F746" s="2"/>
      <c r="G746" s="2"/>
      <c r="H746" s="2"/>
      <c r="I746" s="2"/>
      <c r="J746" s="2"/>
      <c r="K746" s="2"/>
      <c r="L746" s="2"/>
      <c r="M746" s="2"/>
      <c r="N746" s="2"/>
      <c r="O746" s="2"/>
      <c r="P746" s="2"/>
    </row>
    <row r="747" ht="15.75" customHeight="1">
      <c r="A747" s="2"/>
      <c r="B747" s="2"/>
      <c r="C747" s="2"/>
      <c r="D747" s="2"/>
      <c r="E747" s="2"/>
      <c r="F747" s="2"/>
      <c r="G747" s="2"/>
      <c r="H747" s="2"/>
      <c r="I747" s="2"/>
      <c r="J747" s="2"/>
      <c r="K747" s="2"/>
      <c r="L747" s="2"/>
      <c r="M747" s="2"/>
      <c r="N747" s="2"/>
      <c r="O747" s="2"/>
      <c r="P747" s="2"/>
    </row>
    <row r="748" ht="15.75" customHeight="1">
      <c r="A748" s="2"/>
      <c r="B748" s="2"/>
      <c r="C748" s="2"/>
      <c r="D748" s="2"/>
      <c r="E748" s="2"/>
      <c r="F748" s="2"/>
      <c r="G748" s="2"/>
      <c r="H748" s="2"/>
      <c r="I748" s="2"/>
      <c r="J748" s="2"/>
      <c r="K748" s="2"/>
      <c r="L748" s="2"/>
      <c r="M748" s="2"/>
      <c r="N748" s="2"/>
      <c r="O748" s="2"/>
      <c r="P748" s="2"/>
    </row>
    <row r="749" ht="15.75" customHeight="1">
      <c r="A749" s="2"/>
      <c r="B749" s="2"/>
      <c r="C749" s="2"/>
      <c r="D749" s="2"/>
      <c r="E749" s="2"/>
      <c r="F749" s="2"/>
      <c r="G749" s="2"/>
      <c r="H749" s="2"/>
      <c r="I749" s="2"/>
      <c r="J749" s="2"/>
      <c r="K749" s="2"/>
      <c r="L749" s="2"/>
      <c r="M749" s="2"/>
      <c r="N749" s="2"/>
      <c r="O749" s="2"/>
      <c r="P749" s="2"/>
    </row>
    <row r="750" ht="15.75" customHeight="1">
      <c r="A750" s="2"/>
      <c r="B750" s="2"/>
      <c r="C750" s="2"/>
      <c r="D750" s="2"/>
      <c r="E750" s="2"/>
      <c r="F750" s="2"/>
      <c r="G750" s="2"/>
      <c r="H750" s="2"/>
      <c r="I750" s="2"/>
      <c r="J750" s="2"/>
      <c r="K750" s="2"/>
      <c r="L750" s="2"/>
      <c r="M750" s="2"/>
      <c r="N750" s="2"/>
      <c r="O750" s="2"/>
      <c r="P750" s="2"/>
    </row>
    <row r="751" ht="15.75" customHeight="1">
      <c r="A751" s="2"/>
      <c r="B751" s="2"/>
      <c r="C751" s="2"/>
      <c r="D751" s="2"/>
      <c r="E751" s="2"/>
      <c r="F751" s="2"/>
      <c r="G751" s="2"/>
      <c r="H751" s="2"/>
      <c r="I751" s="2"/>
      <c r="J751" s="2"/>
      <c r="K751" s="2"/>
      <c r="L751" s="2"/>
      <c r="M751" s="2"/>
      <c r="N751" s="2"/>
      <c r="O751" s="2"/>
      <c r="P751" s="2"/>
    </row>
    <row r="752" ht="15.75" customHeight="1">
      <c r="A752" s="2"/>
      <c r="B752" s="2"/>
      <c r="C752" s="2"/>
      <c r="D752" s="2"/>
      <c r="E752" s="2"/>
      <c r="F752" s="2"/>
      <c r="G752" s="2"/>
      <c r="H752" s="2"/>
      <c r="I752" s="2"/>
      <c r="J752" s="2"/>
      <c r="K752" s="2"/>
      <c r="L752" s="2"/>
      <c r="M752" s="2"/>
      <c r="N752" s="2"/>
      <c r="O752" s="2"/>
      <c r="P752" s="2"/>
    </row>
    <row r="753" ht="15.75" customHeight="1">
      <c r="A753" s="2"/>
      <c r="B753" s="2"/>
      <c r="C753" s="2"/>
      <c r="D753" s="2"/>
      <c r="E753" s="2"/>
      <c r="F753" s="2"/>
      <c r="G753" s="2"/>
      <c r="H753" s="2"/>
      <c r="I753" s="2"/>
      <c r="J753" s="2"/>
      <c r="K753" s="2"/>
      <c r="L753" s="2"/>
      <c r="M753" s="2"/>
      <c r="N753" s="2"/>
      <c r="O753" s="2"/>
      <c r="P753" s="2"/>
    </row>
    <row r="754" ht="15.75" customHeight="1">
      <c r="A754" s="2"/>
      <c r="B754" s="2"/>
      <c r="C754" s="2"/>
      <c r="D754" s="2"/>
      <c r="E754" s="2"/>
      <c r="F754" s="2"/>
      <c r="G754" s="2"/>
      <c r="H754" s="2"/>
      <c r="I754" s="2"/>
      <c r="J754" s="2"/>
      <c r="K754" s="2"/>
      <c r="L754" s="2"/>
      <c r="M754" s="2"/>
      <c r="N754" s="2"/>
      <c r="O754" s="2"/>
      <c r="P754" s="2"/>
    </row>
    <row r="755" ht="15.75" customHeight="1">
      <c r="A755" s="2"/>
      <c r="B755" s="2"/>
      <c r="C755" s="2"/>
      <c r="D755" s="2"/>
      <c r="E755" s="2"/>
      <c r="F755" s="2"/>
      <c r="G755" s="2"/>
      <c r="H755" s="2"/>
      <c r="I755" s="2"/>
      <c r="J755" s="2"/>
      <c r="K755" s="2"/>
      <c r="L755" s="2"/>
      <c r="M755" s="2"/>
      <c r="N755" s="2"/>
      <c r="O755" s="2"/>
      <c r="P755" s="2"/>
    </row>
    <row r="756" ht="15.75" customHeight="1">
      <c r="A756" s="2"/>
      <c r="B756" s="2"/>
      <c r="C756" s="2"/>
      <c r="D756" s="2"/>
      <c r="E756" s="2"/>
      <c r="F756" s="2"/>
      <c r="G756" s="2"/>
      <c r="H756" s="2"/>
      <c r="I756" s="2"/>
      <c r="J756" s="2"/>
      <c r="K756" s="2"/>
      <c r="L756" s="2"/>
      <c r="M756" s="2"/>
      <c r="N756" s="2"/>
      <c r="O756" s="2"/>
      <c r="P756" s="2"/>
    </row>
    <row r="757" ht="15.75" customHeight="1">
      <c r="A757" s="2"/>
      <c r="B757" s="2"/>
      <c r="C757" s="2"/>
      <c r="D757" s="2"/>
      <c r="E757" s="2"/>
      <c r="F757" s="2"/>
      <c r="G757" s="2"/>
      <c r="H757" s="2"/>
      <c r="I757" s="2"/>
      <c r="J757" s="2"/>
      <c r="K757" s="2"/>
      <c r="L757" s="2"/>
      <c r="M757" s="2"/>
      <c r="N757" s="2"/>
      <c r="O757" s="2"/>
      <c r="P757" s="2"/>
    </row>
    <row r="758" ht="15.75" customHeight="1">
      <c r="A758" s="2"/>
      <c r="B758" s="2"/>
      <c r="C758" s="2"/>
      <c r="D758" s="2"/>
      <c r="E758" s="2"/>
      <c r="F758" s="2"/>
      <c r="G758" s="2"/>
      <c r="H758" s="2"/>
      <c r="I758" s="2"/>
      <c r="J758" s="2"/>
      <c r="K758" s="2"/>
      <c r="L758" s="2"/>
      <c r="M758" s="2"/>
      <c r="N758" s="2"/>
      <c r="O758" s="2"/>
      <c r="P758" s="2"/>
    </row>
    <row r="759" ht="15.75" customHeight="1">
      <c r="A759" s="2"/>
      <c r="B759" s="2"/>
      <c r="C759" s="2"/>
      <c r="D759" s="2"/>
      <c r="E759" s="2"/>
      <c r="F759" s="2"/>
      <c r="G759" s="2"/>
      <c r="H759" s="2"/>
      <c r="I759" s="2"/>
      <c r="J759" s="2"/>
      <c r="K759" s="2"/>
      <c r="L759" s="2"/>
      <c r="M759" s="2"/>
      <c r="N759" s="2"/>
      <c r="O759" s="2"/>
      <c r="P759" s="2"/>
    </row>
    <row r="760" ht="15.75" customHeight="1">
      <c r="A760" s="2"/>
      <c r="B760" s="2"/>
      <c r="C760" s="2"/>
      <c r="D760" s="2"/>
      <c r="E760" s="2"/>
      <c r="F760" s="2"/>
      <c r="G760" s="2"/>
      <c r="H760" s="2"/>
      <c r="I760" s="2"/>
      <c r="J760" s="2"/>
      <c r="K760" s="2"/>
      <c r="L760" s="2"/>
      <c r="M760" s="2"/>
      <c r="N760" s="2"/>
      <c r="O760" s="2"/>
      <c r="P760" s="2"/>
    </row>
    <row r="761" ht="15.75" customHeight="1">
      <c r="A761" s="2"/>
      <c r="B761" s="2"/>
      <c r="C761" s="2"/>
      <c r="D761" s="2"/>
      <c r="E761" s="2"/>
      <c r="F761" s="2"/>
      <c r="G761" s="2"/>
      <c r="H761" s="2"/>
      <c r="I761" s="2"/>
      <c r="J761" s="2"/>
      <c r="K761" s="2"/>
      <c r="L761" s="2"/>
      <c r="M761" s="2"/>
      <c r="N761" s="2"/>
      <c r="O761" s="2"/>
      <c r="P761" s="2"/>
    </row>
    <row r="762" ht="15.75" customHeight="1">
      <c r="A762" s="2"/>
      <c r="B762" s="2"/>
      <c r="C762" s="2"/>
      <c r="D762" s="2"/>
      <c r="E762" s="2"/>
      <c r="F762" s="2"/>
      <c r="G762" s="2"/>
      <c r="H762" s="2"/>
      <c r="I762" s="2"/>
      <c r="J762" s="2"/>
      <c r="K762" s="2"/>
      <c r="L762" s="2"/>
      <c r="M762" s="2"/>
      <c r="N762" s="2"/>
      <c r="O762" s="2"/>
      <c r="P762" s="2"/>
    </row>
    <row r="763" ht="15.75" customHeight="1">
      <c r="A763" s="2"/>
      <c r="B763" s="2"/>
      <c r="C763" s="2"/>
      <c r="D763" s="2"/>
      <c r="E763" s="2"/>
      <c r="F763" s="2"/>
      <c r="G763" s="2"/>
      <c r="H763" s="2"/>
      <c r="I763" s="2"/>
      <c r="J763" s="2"/>
      <c r="K763" s="2"/>
      <c r="L763" s="2"/>
      <c r="M763" s="2"/>
      <c r="N763" s="2"/>
      <c r="O763" s="2"/>
      <c r="P763" s="2"/>
    </row>
    <row r="764" ht="15.75" customHeight="1">
      <c r="A764" s="2"/>
      <c r="B764" s="2"/>
      <c r="C764" s="2"/>
      <c r="D764" s="2"/>
      <c r="E764" s="2"/>
      <c r="F764" s="2"/>
      <c r="G764" s="2"/>
      <c r="H764" s="2"/>
      <c r="I764" s="2"/>
      <c r="J764" s="2"/>
      <c r="K764" s="2"/>
      <c r="L764" s="2"/>
      <c r="M764" s="2"/>
      <c r="N764" s="2"/>
      <c r="O764" s="2"/>
      <c r="P764" s="2"/>
    </row>
    <row r="765" ht="15.75" customHeight="1">
      <c r="A765" s="2"/>
      <c r="B765" s="2"/>
      <c r="C765" s="2"/>
      <c r="D765" s="2"/>
      <c r="E765" s="2"/>
      <c r="F765" s="2"/>
      <c r="G765" s="2"/>
      <c r="H765" s="2"/>
      <c r="I765" s="2"/>
      <c r="J765" s="2"/>
      <c r="K765" s="2"/>
      <c r="L765" s="2"/>
      <c r="M765" s="2"/>
      <c r="N765" s="2"/>
      <c r="O765" s="2"/>
      <c r="P765" s="2"/>
    </row>
    <row r="766" ht="15.75" customHeight="1">
      <c r="A766" s="2"/>
      <c r="B766" s="2"/>
      <c r="C766" s="2"/>
      <c r="D766" s="2"/>
      <c r="E766" s="2"/>
      <c r="F766" s="2"/>
      <c r="G766" s="2"/>
      <c r="H766" s="2"/>
      <c r="I766" s="2"/>
      <c r="J766" s="2"/>
      <c r="K766" s="2"/>
      <c r="L766" s="2"/>
      <c r="M766" s="2"/>
      <c r="N766" s="2"/>
      <c r="O766" s="2"/>
      <c r="P766" s="2"/>
    </row>
    <row r="767" ht="15.75" customHeight="1">
      <c r="A767" s="2"/>
      <c r="B767" s="2"/>
      <c r="C767" s="2"/>
      <c r="D767" s="2"/>
      <c r="E767" s="2"/>
      <c r="F767" s="2"/>
      <c r="G767" s="2"/>
      <c r="H767" s="2"/>
      <c r="I767" s="2"/>
      <c r="J767" s="2"/>
      <c r="K767" s="2"/>
      <c r="L767" s="2"/>
      <c r="M767" s="2"/>
      <c r="N767" s="2"/>
      <c r="O767" s="2"/>
      <c r="P767" s="2"/>
    </row>
    <row r="768" ht="15.75" customHeight="1">
      <c r="A768" s="2"/>
      <c r="B768" s="2"/>
      <c r="C768" s="2"/>
      <c r="D768" s="2"/>
      <c r="E768" s="2"/>
      <c r="F768" s="2"/>
      <c r="G768" s="2"/>
      <c r="H768" s="2"/>
      <c r="I768" s="2"/>
      <c r="J768" s="2"/>
      <c r="K768" s="2"/>
      <c r="L768" s="2"/>
      <c r="M768" s="2"/>
      <c r="N768" s="2"/>
      <c r="O768" s="2"/>
      <c r="P768" s="2"/>
    </row>
    <row r="769" ht="15.75" customHeight="1">
      <c r="A769" s="2"/>
      <c r="B769" s="2"/>
      <c r="C769" s="2"/>
      <c r="D769" s="2"/>
      <c r="E769" s="2"/>
      <c r="F769" s="2"/>
      <c r="G769" s="2"/>
      <c r="H769" s="2"/>
      <c r="I769" s="2"/>
      <c r="J769" s="2"/>
      <c r="K769" s="2"/>
      <c r="L769" s="2"/>
      <c r="M769" s="2"/>
      <c r="N769" s="2"/>
      <c r="O769" s="2"/>
      <c r="P769" s="2"/>
    </row>
    <row r="770" ht="15.75" customHeight="1">
      <c r="A770" s="2"/>
      <c r="B770" s="2"/>
      <c r="C770" s="2"/>
      <c r="D770" s="2"/>
      <c r="E770" s="2"/>
      <c r="F770" s="2"/>
      <c r="G770" s="2"/>
      <c r="H770" s="2"/>
      <c r="I770" s="2"/>
      <c r="J770" s="2"/>
      <c r="K770" s="2"/>
      <c r="L770" s="2"/>
      <c r="M770" s="2"/>
      <c r="N770" s="2"/>
      <c r="O770" s="2"/>
      <c r="P770" s="2"/>
    </row>
    <row r="771" ht="15.75" customHeight="1">
      <c r="A771" s="2"/>
      <c r="B771" s="2"/>
      <c r="C771" s="2"/>
      <c r="D771" s="2"/>
      <c r="E771" s="2"/>
      <c r="F771" s="2"/>
      <c r="G771" s="2"/>
      <c r="H771" s="2"/>
      <c r="I771" s="2"/>
      <c r="J771" s="2"/>
      <c r="K771" s="2"/>
      <c r="L771" s="2"/>
      <c r="M771" s="2"/>
      <c r="N771" s="2"/>
      <c r="O771" s="2"/>
      <c r="P771" s="2"/>
    </row>
    <row r="772" ht="15.75" customHeight="1">
      <c r="A772" s="2"/>
      <c r="B772" s="2"/>
      <c r="C772" s="2"/>
      <c r="D772" s="2"/>
      <c r="E772" s="2"/>
      <c r="F772" s="2"/>
      <c r="G772" s="2"/>
      <c r="H772" s="2"/>
      <c r="I772" s="2"/>
      <c r="J772" s="2"/>
      <c r="K772" s="2"/>
      <c r="L772" s="2"/>
      <c r="M772" s="2"/>
      <c r="N772" s="2"/>
      <c r="O772" s="2"/>
      <c r="P772" s="2"/>
    </row>
    <row r="773" ht="15.75" customHeight="1">
      <c r="A773" s="2"/>
      <c r="B773" s="2"/>
      <c r="C773" s="2"/>
      <c r="D773" s="2"/>
      <c r="E773" s="2"/>
      <c r="F773" s="2"/>
      <c r="G773" s="2"/>
      <c r="H773" s="2"/>
      <c r="I773" s="2"/>
      <c r="J773" s="2"/>
      <c r="K773" s="2"/>
      <c r="L773" s="2"/>
      <c r="M773" s="2"/>
      <c r="N773" s="2"/>
      <c r="O773" s="2"/>
      <c r="P773" s="2"/>
    </row>
    <row r="774" ht="15.75" customHeight="1">
      <c r="A774" s="2"/>
      <c r="B774" s="2"/>
      <c r="C774" s="2"/>
      <c r="D774" s="2"/>
      <c r="E774" s="2"/>
      <c r="F774" s="2"/>
      <c r="G774" s="2"/>
      <c r="H774" s="2"/>
      <c r="I774" s="2"/>
      <c r="J774" s="2"/>
      <c r="K774" s="2"/>
      <c r="L774" s="2"/>
      <c r="M774" s="2"/>
      <c r="N774" s="2"/>
      <c r="O774" s="2"/>
      <c r="P774" s="2"/>
    </row>
    <row r="775" ht="15.75" customHeight="1">
      <c r="A775" s="2"/>
      <c r="B775" s="2"/>
      <c r="C775" s="2"/>
      <c r="D775" s="2"/>
      <c r="E775" s="2"/>
      <c r="F775" s="2"/>
      <c r="G775" s="2"/>
      <c r="H775" s="2"/>
      <c r="I775" s="2"/>
      <c r="J775" s="2"/>
      <c r="K775" s="2"/>
      <c r="L775" s="2"/>
      <c r="M775" s="2"/>
      <c r="N775" s="2"/>
      <c r="O775" s="2"/>
      <c r="P775" s="2"/>
    </row>
    <row r="776" ht="15.75" customHeight="1">
      <c r="A776" s="2"/>
      <c r="B776" s="2"/>
      <c r="C776" s="2"/>
      <c r="D776" s="2"/>
      <c r="E776" s="2"/>
      <c r="F776" s="2"/>
      <c r="G776" s="2"/>
      <c r="H776" s="2"/>
      <c r="I776" s="2"/>
      <c r="J776" s="2"/>
      <c r="K776" s="2"/>
      <c r="L776" s="2"/>
      <c r="M776" s="2"/>
      <c r="N776" s="2"/>
      <c r="O776" s="2"/>
      <c r="P776" s="2"/>
    </row>
    <row r="777" ht="15.75" customHeight="1">
      <c r="A777" s="2"/>
      <c r="B777" s="2"/>
      <c r="C777" s="2"/>
      <c r="D777" s="2"/>
      <c r="E777" s="2"/>
      <c r="F777" s="2"/>
      <c r="G777" s="2"/>
      <c r="H777" s="2"/>
      <c r="I777" s="2"/>
      <c r="J777" s="2"/>
      <c r="K777" s="2"/>
      <c r="L777" s="2"/>
      <c r="M777" s="2"/>
      <c r="N777" s="2"/>
      <c r="O777" s="2"/>
      <c r="P777" s="2"/>
    </row>
    <row r="778" ht="15.75" customHeight="1">
      <c r="A778" s="2"/>
      <c r="B778" s="2"/>
      <c r="C778" s="2"/>
      <c r="D778" s="2"/>
      <c r="E778" s="2"/>
      <c r="F778" s="2"/>
      <c r="G778" s="2"/>
      <c r="H778" s="2"/>
      <c r="I778" s="2"/>
      <c r="J778" s="2"/>
      <c r="K778" s="2"/>
      <c r="L778" s="2"/>
      <c r="M778" s="2"/>
      <c r="N778" s="2"/>
      <c r="O778" s="2"/>
      <c r="P778" s="2"/>
    </row>
    <row r="779" ht="15.75" customHeight="1">
      <c r="A779" s="2"/>
      <c r="B779" s="2"/>
      <c r="C779" s="2"/>
      <c r="D779" s="2"/>
      <c r="E779" s="2"/>
      <c r="F779" s="2"/>
      <c r="G779" s="2"/>
      <c r="H779" s="2"/>
      <c r="I779" s="2"/>
      <c r="J779" s="2"/>
      <c r="K779" s="2"/>
      <c r="L779" s="2"/>
      <c r="M779" s="2"/>
      <c r="N779" s="2"/>
      <c r="O779" s="2"/>
      <c r="P779" s="2"/>
    </row>
    <row r="780" ht="15.75" customHeight="1">
      <c r="A780" s="2"/>
      <c r="B780" s="2"/>
      <c r="C780" s="2"/>
      <c r="D780" s="2"/>
      <c r="E780" s="2"/>
      <c r="F780" s="2"/>
      <c r="G780" s="2"/>
      <c r="H780" s="2"/>
      <c r="I780" s="2"/>
      <c r="J780" s="2"/>
      <c r="K780" s="2"/>
      <c r="L780" s="2"/>
      <c r="M780" s="2"/>
      <c r="N780" s="2"/>
      <c r="O780" s="2"/>
      <c r="P780" s="2"/>
    </row>
    <row r="781" ht="15.75" customHeight="1">
      <c r="A781" s="2"/>
      <c r="B781" s="2"/>
      <c r="C781" s="2"/>
      <c r="D781" s="2"/>
      <c r="E781" s="2"/>
      <c r="F781" s="2"/>
      <c r="G781" s="2"/>
      <c r="H781" s="2"/>
      <c r="I781" s="2"/>
      <c r="J781" s="2"/>
      <c r="K781" s="2"/>
      <c r="L781" s="2"/>
      <c r="M781" s="2"/>
      <c r="N781" s="2"/>
      <c r="O781" s="2"/>
      <c r="P781" s="2"/>
    </row>
    <row r="782" ht="15.75" customHeight="1">
      <c r="A782" s="2"/>
      <c r="B782" s="2"/>
      <c r="C782" s="2"/>
      <c r="D782" s="2"/>
      <c r="E782" s="2"/>
      <c r="F782" s="2"/>
      <c r="G782" s="2"/>
      <c r="H782" s="2"/>
      <c r="I782" s="2"/>
      <c r="J782" s="2"/>
      <c r="K782" s="2"/>
      <c r="L782" s="2"/>
      <c r="M782" s="2"/>
      <c r="N782" s="2"/>
      <c r="O782" s="2"/>
      <c r="P782" s="2"/>
    </row>
    <row r="783" ht="15.75" customHeight="1">
      <c r="A783" s="2"/>
      <c r="B783" s="2"/>
      <c r="C783" s="2"/>
      <c r="D783" s="2"/>
      <c r="E783" s="2"/>
      <c r="F783" s="2"/>
      <c r="G783" s="2"/>
      <c r="H783" s="2"/>
      <c r="I783" s="2"/>
      <c r="J783" s="2"/>
      <c r="K783" s="2"/>
      <c r="L783" s="2"/>
      <c r="M783" s="2"/>
      <c r="N783" s="2"/>
      <c r="O783" s="2"/>
      <c r="P783" s="2"/>
    </row>
    <row r="784" ht="15.75" customHeight="1">
      <c r="A784" s="2"/>
      <c r="B784" s="2"/>
      <c r="C784" s="2"/>
      <c r="D784" s="2"/>
      <c r="E784" s="2"/>
      <c r="F784" s="2"/>
      <c r="G784" s="2"/>
      <c r="H784" s="2"/>
      <c r="I784" s="2"/>
      <c r="J784" s="2"/>
      <c r="K784" s="2"/>
      <c r="L784" s="2"/>
      <c r="M784" s="2"/>
      <c r="N784" s="2"/>
      <c r="O784" s="2"/>
      <c r="P784" s="2"/>
    </row>
    <row r="785" ht="15.75" customHeight="1">
      <c r="A785" s="2"/>
      <c r="B785" s="2"/>
      <c r="C785" s="2"/>
      <c r="D785" s="2"/>
      <c r="E785" s="2"/>
      <c r="F785" s="2"/>
      <c r="G785" s="2"/>
      <c r="H785" s="2"/>
      <c r="I785" s="2"/>
      <c r="J785" s="2"/>
      <c r="K785" s="2"/>
      <c r="L785" s="2"/>
      <c r="M785" s="2"/>
      <c r="N785" s="2"/>
      <c r="O785" s="2"/>
      <c r="P785" s="2"/>
    </row>
    <row r="786" ht="15.75" customHeight="1">
      <c r="A786" s="2"/>
      <c r="B786" s="2"/>
      <c r="C786" s="2"/>
      <c r="D786" s="2"/>
      <c r="E786" s="2"/>
      <c r="F786" s="2"/>
      <c r="G786" s="2"/>
      <c r="H786" s="2"/>
      <c r="I786" s="2"/>
      <c r="J786" s="2"/>
      <c r="K786" s="2"/>
      <c r="L786" s="2"/>
      <c r="M786" s="2"/>
      <c r="N786" s="2"/>
      <c r="O786" s="2"/>
      <c r="P786" s="2"/>
    </row>
    <row r="787" ht="15.75" customHeight="1">
      <c r="A787" s="2"/>
      <c r="B787" s="2"/>
      <c r="C787" s="2"/>
      <c r="D787" s="2"/>
      <c r="E787" s="2"/>
      <c r="F787" s="2"/>
      <c r="G787" s="2"/>
      <c r="H787" s="2"/>
      <c r="I787" s="2"/>
      <c r="J787" s="2"/>
      <c r="K787" s="2"/>
      <c r="L787" s="2"/>
      <c r="M787" s="2"/>
      <c r="N787" s="2"/>
      <c r="O787" s="2"/>
      <c r="P787" s="2"/>
    </row>
    <row r="788" ht="15.75" customHeight="1">
      <c r="A788" s="2"/>
      <c r="B788" s="2"/>
      <c r="C788" s="2"/>
      <c r="D788" s="2"/>
      <c r="E788" s="2"/>
      <c r="F788" s="2"/>
      <c r="G788" s="2"/>
      <c r="H788" s="2"/>
      <c r="I788" s="2"/>
      <c r="J788" s="2"/>
      <c r="K788" s="2"/>
      <c r="L788" s="2"/>
      <c r="M788" s="2"/>
      <c r="N788" s="2"/>
      <c r="O788" s="2"/>
      <c r="P788" s="2"/>
    </row>
    <row r="789" ht="15.75" customHeight="1">
      <c r="A789" s="2"/>
      <c r="B789" s="2"/>
      <c r="C789" s="2"/>
      <c r="D789" s="2"/>
      <c r="E789" s="2"/>
      <c r="F789" s="2"/>
      <c r="G789" s="2"/>
      <c r="H789" s="2"/>
      <c r="I789" s="2"/>
      <c r="J789" s="2"/>
      <c r="K789" s="2"/>
      <c r="L789" s="2"/>
      <c r="M789" s="2"/>
      <c r="N789" s="2"/>
      <c r="O789" s="2"/>
      <c r="P789" s="2"/>
    </row>
    <row r="790" ht="15.75" customHeight="1">
      <c r="A790" s="2"/>
      <c r="B790" s="2"/>
      <c r="C790" s="2"/>
      <c r="D790" s="2"/>
      <c r="E790" s="2"/>
      <c r="F790" s="2"/>
      <c r="G790" s="2"/>
      <c r="H790" s="2"/>
      <c r="I790" s="2"/>
      <c r="J790" s="2"/>
      <c r="K790" s="2"/>
      <c r="L790" s="2"/>
      <c r="M790" s="2"/>
      <c r="N790" s="2"/>
      <c r="O790" s="2"/>
      <c r="P790" s="2"/>
    </row>
    <row r="791" ht="15.75" customHeight="1">
      <c r="A791" s="2"/>
      <c r="B791" s="2"/>
      <c r="C791" s="2"/>
      <c r="D791" s="2"/>
      <c r="E791" s="2"/>
      <c r="F791" s="2"/>
      <c r="G791" s="2"/>
      <c r="H791" s="2"/>
      <c r="I791" s="2"/>
      <c r="J791" s="2"/>
      <c r="K791" s="2"/>
      <c r="L791" s="2"/>
      <c r="M791" s="2"/>
      <c r="N791" s="2"/>
      <c r="O791" s="2"/>
      <c r="P791" s="2"/>
    </row>
    <row r="792" ht="15.75" customHeight="1">
      <c r="A792" s="2"/>
      <c r="B792" s="2"/>
      <c r="C792" s="2"/>
      <c r="D792" s="2"/>
      <c r="E792" s="2"/>
      <c r="F792" s="2"/>
      <c r="G792" s="2"/>
      <c r="H792" s="2"/>
      <c r="I792" s="2"/>
      <c r="J792" s="2"/>
      <c r="K792" s="2"/>
      <c r="L792" s="2"/>
      <c r="M792" s="2"/>
      <c r="N792" s="2"/>
      <c r="O792" s="2"/>
      <c r="P792" s="2"/>
    </row>
    <row r="793" ht="15.75" customHeight="1">
      <c r="A793" s="2"/>
      <c r="B793" s="2"/>
      <c r="C793" s="2"/>
      <c r="D793" s="2"/>
      <c r="E793" s="2"/>
      <c r="F793" s="2"/>
      <c r="G793" s="2"/>
      <c r="H793" s="2"/>
      <c r="I793" s="2"/>
      <c r="J793" s="2"/>
      <c r="K793" s="2"/>
      <c r="L793" s="2"/>
      <c r="M793" s="2"/>
      <c r="N793" s="2"/>
      <c r="O793" s="2"/>
      <c r="P793" s="2"/>
    </row>
    <row r="794" ht="15.75" customHeight="1">
      <c r="A794" s="2"/>
      <c r="B794" s="2"/>
      <c r="C794" s="2"/>
      <c r="D794" s="2"/>
      <c r="E794" s="2"/>
      <c r="F794" s="2"/>
      <c r="G794" s="2"/>
      <c r="H794" s="2"/>
      <c r="I794" s="2"/>
      <c r="J794" s="2"/>
      <c r="K794" s="2"/>
      <c r="L794" s="2"/>
      <c r="M794" s="2"/>
      <c r="N794" s="2"/>
      <c r="O794" s="2"/>
      <c r="P794" s="2"/>
    </row>
    <row r="795" ht="15.75" customHeight="1">
      <c r="A795" s="2"/>
      <c r="B795" s="2"/>
      <c r="C795" s="2"/>
      <c r="D795" s="2"/>
      <c r="E795" s="2"/>
      <c r="F795" s="2"/>
      <c r="G795" s="2"/>
      <c r="H795" s="2"/>
      <c r="I795" s="2"/>
      <c r="J795" s="2"/>
      <c r="K795" s="2"/>
      <c r="L795" s="2"/>
      <c r="M795" s="2"/>
      <c r="N795" s="2"/>
      <c r="O795" s="2"/>
      <c r="P795" s="2"/>
    </row>
    <row r="796" ht="15.75" customHeight="1">
      <c r="A796" s="2"/>
      <c r="B796" s="2"/>
      <c r="C796" s="2"/>
      <c r="D796" s="2"/>
      <c r="E796" s="2"/>
      <c r="F796" s="2"/>
      <c r="G796" s="2"/>
      <c r="H796" s="2"/>
      <c r="I796" s="2"/>
      <c r="J796" s="2"/>
      <c r="K796" s="2"/>
      <c r="L796" s="2"/>
      <c r="M796" s="2"/>
      <c r="N796" s="2"/>
      <c r="O796" s="2"/>
      <c r="P796" s="2"/>
    </row>
    <row r="797" ht="15.75" customHeight="1">
      <c r="A797" s="2"/>
      <c r="B797" s="2"/>
      <c r="C797" s="2"/>
      <c r="D797" s="2"/>
      <c r="E797" s="2"/>
      <c r="F797" s="2"/>
      <c r="G797" s="2"/>
      <c r="H797" s="2"/>
      <c r="I797" s="2"/>
      <c r="J797" s="2"/>
      <c r="K797" s="2"/>
      <c r="L797" s="2"/>
      <c r="M797" s="2"/>
      <c r="N797" s="2"/>
      <c r="O797" s="2"/>
      <c r="P797" s="2"/>
    </row>
    <row r="798" ht="15.75" customHeight="1">
      <c r="A798" s="2"/>
      <c r="B798" s="2"/>
      <c r="C798" s="2"/>
      <c r="D798" s="2"/>
      <c r="E798" s="2"/>
      <c r="F798" s="2"/>
      <c r="G798" s="2"/>
      <c r="H798" s="2"/>
      <c r="I798" s="2"/>
      <c r="J798" s="2"/>
      <c r="K798" s="2"/>
      <c r="L798" s="2"/>
      <c r="M798" s="2"/>
      <c r="N798" s="2"/>
      <c r="O798" s="2"/>
      <c r="P798" s="2"/>
    </row>
    <row r="799" ht="15.75" customHeight="1">
      <c r="A799" s="2"/>
      <c r="B799" s="2"/>
      <c r="C799" s="2"/>
      <c r="D799" s="2"/>
      <c r="E799" s="2"/>
      <c r="F799" s="2"/>
      <c r="G799" s="2"/>
      <c r="H799" s="2"/>
      <c r="I799" s="2"/>
      <c r="J799" s="2"/>
      <c r="K799" s="2"/>
      <c r="L799" s="2"/>
      <c r="M799" s="2"/>
      <c r="N799" s="2"/>
      <c r="O799" s="2"/>
      <c r="P799" s="2"/>
    </row>
    <row r="800" ht="15.75" customHeight="1">
      <c r="A800" s="2"/>
      <c r="B800" s="2"/>
      <c r="C800" s="2"/>
      <c r="D800" s="2"/>
      <c r="E800" s="2"/>
      <c r="F800" s="2"/>
      <c r="G800" s="2"/>
      <c r="H800" s="2"/>
      <c r="I800" s="2"/>
      <c r="J800" s="2"/>
      <c r="K800" s="2"/>
      <c r="L800" s="2"/>
      <c r="M800" s="2"/>
      <c r="N800" s="2"/>
      <c r="O800" s="2"/>
      <c r="P800" s="2"/>
    </row>
    <row r="801" ht="15.75" customHeight="1">
      <c r="A801" s="2"/>
      <c r="B801" s="2"/>
      <c r="C801" s="2"/>
      <c r="D801" s="2"/>
      <c r="E801" s="2"/>
      <c r="F801" s="2"/>
      <c r="G801" s="2"/>
      <c r="H801" s="2"/>
      <c r="I801" s="2"/>
      <c r="J801" s="2"/>
      <c r="K801" s="2"/>
      <c r="L801" s="2"/>
      <c r="M801" s="2"/>
      <c r="N801" s="2"/>
      <c r="O801" s="2"/>
      <c r="P801" s="2"/>
    </row>
    <row r="802" ht="15.75" customHeight="1">
      <c r="A802" s="2"/>
      <c r="B802" s="2"/>
      <c r="C802" s="2"/>
      <c r="D802" s="2"/>
      <c r="E802" s="2"/>
      <c r="F802" s="2"/>
      <c r="G802" s="2"/>
      <c r="H802" s="2"/>
      <c r="I802" s="2"/>
      <c r="J802" s="2"/>
      <c r="K802" s="2"/>
      <c r="L802" s="2"/>
      <c r="M802" s="2"/>
      <c r="N802" s="2"/>
      <c r="O802" s="2"/>
      <c r="P802" s="2"/>
    </row>
    <row r="803" ht="15.75" customHeight="1">
      <c r="A803" s="2"/>
      <c r="B803" s="2"/>
      <c r="C803" s="2"/>
      <c r="D803" s="2"/>
      <c r="E803" s="2"/>
      <c r="F803" s="2"/>
      <c r="G803" s="2"/>
      <c r="H803" s="2"/>
      <c r="I803" s="2"/>
      <c r="J803" s="2"/>
      <c r="K803" s="2"/>
      <c r="L803" s="2"/>
      <c r="M803" s="2"/>
      <c r="N803" s="2"/>
      <c r="O803" s="2"/>
      <c r="P803" s="2"/>
    </row>
    <row r="804" ht="15.75" customHeight="1">
      <c r="A804" s="2"/>
      <c r="B804" s="2"/>
      <c r="C804" s="2"/>
      <c r="D804" s="2"/>
      <c r="E804" s="2"/>
      <c r="F804" s="2"/>
      <c r="G804" s="2"/>
      <c r="H804" s="2"/>
      <c r="I804" s="2"/>
      <c r="J804" s="2"/>
      <c r="K804" s="2"/>
      <c r="L804" s="2"/>
      <c r="M804" s="2"/>
      <c r="N804" s="2"/>
      <c r="O804" s="2"/>
      <c r="P804" s="2"/>
    </row>
    <row r="805" ht="15.75" customHeight="1">
      <c r="A805" s="2"/>
      <c r="B805" s="2"/>
      <c r="C805" s="2"/>
      <c r="D805" s="2"/>
      <c r="E805" s="2"/>
      <c r="F805" s="2"/>
      <c r="G805" s="2"/>
      <c r="H805" s="2"/>
      <c r="I805" s="2"/>
      <c r="J805" s="2"/>
      <c r="K805" s="2"/>
      <c r="L805" s="2"/>
      <c r="M805" s="2"/>
      <c r="N805" s="2"/>
      <c r="O805" s="2"/>
      <c r="P805" s="2"/>
    </row>
    <row r="806" ht="15.75" customHeight="1">
      <c r="A806" s="2"/>
      <c r="B806" s="2"/>
      <c r="C806" s="2"/>
      <c r="D806" s="2"/>
      <c r="E806" s="2"/>
      <c r="F806" s="2"/>
      <c r="G806" s="2"/>
      <c r="H806" s="2"/>
      <c r="I806" s="2"/>
      <c r="J806" s="2"/>
      <c r="K806" s="2"/>
      <c r="L806" s="2"/>
      <c r="M806" s="2"/>
      <c r="N806" s="2"/>
      <c r="O806" s="2"/>
      <c r="P806" s="2"/>
    </row>
    <row r="807" ht="15.75" customHeight="1">
      <c r="A807" s="2"/>
      <c r="B807" s="2"/>
      <c r="C807" s="2"/>
      <c r="D807" s="2"/>
      <c r="E807" s="2"/>
      <c r="F807" s="2"/>
      <c r="G807" s="2"/>
      <c r="H807" s="2"/>
      <c r="I807" s="2"/>
      <c r="J807" s="2"/>
      <c r="K807" s="2"/>
      <c r="L807" s="2"/>
      <c r="M807" s="2"/>
      <c r="N807" s="2"/>
      <c r="O807" s="2"/>
      <c r="P807" s="2"/>
    </row>
    <row r="808" ht="15.75" customHeight="1">
      <c r="A808" s="2"/>
      <c r="B808" s="2"/>
      <c r="C808" s="2"/>
      <c r="D808" s="2"/>
      <c r="E808" s="2"/>
      <c r="F808" s="2"/>
      <c r="G808" s="2"/>
      <c r="H808" s="2"/>
      <c r="I808" s="2"/>
      <c r="J808" s="2"/>
      <c r="K808" s="2"/>
      <c r="L808" s="2"/>
      <c r="M808" s="2"/>
      <c r="N808" s="2"/>
      <c r="O808" s="2"/>
      <c r="P808" s="2"/>
    </row>
    <row r="809" ht="15.75" customHeight="1">
      <c r="A809" s="2"/>
      <c r="B809" s="2"/>
      <c r="C809" s="2"/>
      <c r="D809" s="2"/>
      <c r="E809" s="2"/>
      <c r="F809" s="2"/>
      <c r="G809" s="2"/>
      <c r="H809" s="2"/>
      <c r="I809" s="2"/>
      <c r="J809" s="2"/>
      <c r="K809" s="2"/>
      <c r="L809" s="2"/>
      <c r="M809" s="2"/>
      <c r="N809" s="2"/>
      <c r="O809" s="2"/>
      <c r="P809" s="2"/>
    </row>
    <row r="810" ht="15.75" customHeight="1">
      <c r="A810" s="2"/>
      <c r="B810" s="2"/>
      <c r="C810" s="2"/>
      <c r="D810" s="2"/>
      <c r="E810" s="2"/>
      <c r="F810" s="2"/>
      <c r="G810" s="2"/>
      <c r="H810" s="2"/>
      <c r="I810" s="2"/>
      <c r="J810" s="2"/>
      <c r="K810" s="2"/>
      <c r="L810" s="2"/>
      <c r="M810" s="2"/>
      <c r="N810" s="2"/>
      <c r="O810" s="2"/>
      <c r="P810" s="2"/>
    </row>
    <row r="811" ht="15.75" customHeight="1">
      <c r="A811" s="2"/>
      <c r="B811" s="2"/>
      <c r="C811" s="2"/>
      <c r="D811" s="2"/>
      <c r="E811" s="2"/>
      <c r="F811" s="2"/>
      <c r="G811" s="2"/>
      <c r="H811" s="2"/>
      <c r="I811" s="2"/>
      <c r="J811" s="2"/>
      <c r="K811" s="2"/>
      <c r="L811" s="2"/>
      <c r="M811" s="2"/>
      <c r="N811" s="2"/>
      <c r="O811" s="2"/>
      <c r="P811" s="2"/>
    </row>
    <row r="812" ht="15.75" customHeight="1">
      <c r="A812" s="2"/>
      <c r="B812" s="2"/>
      <c r="C812" s="2"/>
      <c r="D812" s="2"/>
      <c r="E812" s="2"/>
      <c r="F812" s="2"/>
      <c r="G812" s="2"/>
      <c r="H812" s="2"/>
      <c r="I812" s="2"/>
      <c r="J812" s="2"/>
      <c r="K812" s="2"/>
      <c r="L812" s="2"/>
      <c r="M812" s="2"/>
      <c r="N812" s="2"/>
      <c r="O812" s="2"/>
      <c r="P812" s="2"/>
    </row>
    <row r="813" ht="15.75" customHeight="1">
      <c r="A813" s="2"/>
      <c r="B813" s="2"/>
      <c r="C813" s="2"/>
      <c r="D813" s="2"/>
      <c r="E813" s="2"/>
      <c r="F813" s="2"/>
      <c r="G813" s="2"/>
      <c r="H813" s="2"/>
      <c r="I813" s="2"/>
      <c r="J813" s="2"/>
      <c r="K813" s="2"/>
      <c r="L813" s="2"/>
      <c r="M813" s="2"/>
      <c r="N813" s="2"/>
      <c r="O813" s="2"/>
      <c r="P813" s="2"/>
    </row>
    <row r="814" ht="15.75" customHeight="1">
      <c r="A814" s="2"/>
      <c r="B814" s="2"/>
      <c r="C814" s="2"/>
      <c r="D814" s="2"/>
      <c r="E814" s="2"/>
      <c r="F814" s="2"/>
      <c r="G814" s="2"/>
      <c r="H814" s="2"/>
      <c r="I814" s="2"/>
      <c r="J814" s="2"/>
      <c r="K814" s="2"/>
      <c r="L814" s="2"/>
      <c r="M814" s="2"/>
      <c r="N814" s="2"/>
      <c r="O814" s="2"/>
      <c r="P814" s="2"/>
    </row>
    <row r="815" ht="15.75" customHeight="1">
      <c r="A815" s="2"/>
      <c r="B815" s="2"/>
      <c r="C815" s="2"/>
      <c r="D815" s="2"/>
      <c r="E815" s="2"/>
      <c r="F815" s="2"/>
      <c r="G815" s="2"/>
      <c r="H815" s="2"/>
      <c r="I815" s="2"/>
      <c r="J815" s="2"/>
      <c r="K815" s="2"/>
      <c r="L815" s="2"/>
      <c r="M815" s="2"/>
      <c r="N815" s="2"/>
      <c r="O815" s="2"/>
      <c r="P815" s="2"/>
    </row>
    <row r="816" ht="15.75" customHeight="1">
      <c r="A816" s="2"/>
      <c r="B816" s="2"/>
      <c r="C816" s="2"/>
      <c r="D816" s="2"/>
      <c r="E816" s="2"/>
      <c r="F816" s="2"/>
      <c r="G816" s="2"/>
      <c r="H816" s="2"/>
      <c r="I816" s="2"/>
      <c r="J816" s="2"/>
      <c r="K816" s="2"/>
      <c r="L816" s="2"/>
      <c r="M816" s="2"/>
      <c r="N816" s="2"/>
      <c r="O816" s="2"/>
      <c r="P816" s="2"/>
    </row>
    <row r="817" ht="15.75" customHeight="1">
      <c r="A817" s="2"/>
      <c r="B817" s="2"/>
      <c r="C817" s="2"/>
      <c r="D817" s="2"/>
      <c r="E817" s="2"/>
      <c r="F817" s="2"/>
      <c r="G817" s="2"/>
      <c r="H817" s="2"/>
      <c r="I817" s="2"/>
      <c r="J817" s="2"/>
      <c r="K817" s="2"/>
      <c r="L817" s="2"/>
      <c r="M817" s="2"/>
      <c r="N817" s="2"/>
      <c r="O817" s="2"/>
      <c r="P817" s="2"/>
    </row>
    <row r="818" ht="15.75" customHeight="1">
      <c r="A818" s="2"/>
      <c r="B818" s="2"/>
      <c r="C818" s="2"/>
      <c r="D818" s="2"/>
      <c r="E818" s="2"/>
      <c r="F818" s="2"/>
      <c r="G818" s="2"/>
      <c r="H818" s="2"/>
      <c r="I818" s="2"/>
      <c r="J818" s="2"/>
      <c r="K818" s="2"/>
      <c r="L818" s="2"/>
      <c r="M818" s="2"/>
      <c r="N818" s="2"/>
      <c r="O818" s="2"/>
      <c r="P818" s="2"/>
    </row>
    <row r="819" ht="15.75" customHeight="1">
      <c r="A819" s="2"/>
      <c r="B819" s="2"/>
      <c r="C819" s="2"/>
      <c r="D819" s="2"/>
      <c r="E819" s="2"/>
      <c r="F819" s="2"/>
      <c r="G819" s="2"/>
      <c r="H819" s="2"/>
      <c r="I819" s="2"/>
      <c r="J819" s="2"/>
      <c r="K819" s="2"/>
      <c r="L819" s="2"/>
      <c r="M819" s="2"/>
      <c r="N819" s="2"/>
      <c r="O819" s="2"/>
      <c r="P819" s="2"/>
    </row>
    <row r="820" ht="15.75" customHeight="1">
      <c r="A820" s="2"/>
      <c r="B820" s="2"/>
      <c r="C820" s="2"/>
      <c r="D820" s="2"/>
      <c r="E820" s="2"/>
      <c r="F820" s="2"/>
      <c r="G820" s="2"/>
      <c r="H820" s="2"/>
      <c r="I820" s="2"/>
      <c r="J820" s="2"/>
      <c r="K820" s="2"/>
      <c r="L820" s="2"/>
      <c r="M820" s="2"/>
      <c r="N820" s="2"/>
      <c r="O820" s="2"/>
      <c r="P820" s="2"/>
    </row>
    <row r="821" ht="15.75" customHeight="1">
      <c r="A821" s="2"/>
      <c r="B821" s="2"/>
      <c r="C821" s="2"/>
      <c r="D821" s="2"/>
      <c r="E821" s="2"/>
      <c r="F821" s="2"/>
      <c r="G821" s="2"/>
      <c r="H821" s="2"/>
      <c r="I821" s="2"/>
      <c r="J821" s="2"/>
      <c r="K821" s="2"/>
      <c r="L821" s="2"/>
      <c r="M821" s="2"/>
      <c r="N821" s="2"/>
      <c r="O821" s="2"/>
      <c r="P821" s="2"/>
    </row>
    <row r="822" ht="15.75" customHeight="1">
      <c r="A822" s="2"/>
      <c r="B822" s="2"/>
      <c r="C822" s="2"/>
      <c r="D822" s="2"/>
      <c r="E822" s="2"/>
      <c r="F822" s="2"/>
      <c r="G822" s="2"/>
      <c r="H822" s="2"/>
      <c r="I822" s="2"/>
      <c r="J822" s="2"/>
      <c r="K822" s="2"/>
      <c r="L822" s="2"/>
      <c r="M822" s="2"/>
      <c r="N822" s="2"/>
      <c r="O822" s="2"/>
      <c r="P822" s="2"/>
    </row>
    <row r="823" ht="15.75" customHeight="1">
      <c r="A823" s="2"/>
      <c r="B823" s="2"/>
      <c r="C823" s="2"/>
      <c r="D823" s="2"/>
      <c r="E823" s="2"/>
      <c r="F823" s="2"/>
      <c r="G823" s="2"/>
      <c r="H823" s="2"/>
      <c r="I823" s="2"/>
      <c r="J823" s="2"/>
      <c r="K823" s="2"/>
      <c r="L823" s="2"/>
      <c r="M823" s="2"/>
      <c r="N823" s="2"/>
      <c r="O823" s="2"/>
      <c r="P823" s="2"/>
    </row>
    <row r="824" ht="15.75" customHeight="1">
      <c r="A824" s="2"/>
      <c r="B824" s="2"/>
      <c r="C824" s="2"/>
      <c r="D824" s="2"/>
      <c r="E824" s="2"/>
      <c r="F824" s="2"/>
      <c r="G824" s="2"/>
      <c r="H824" s="2"/>
      <c r="I824" s="2"/>
      <c r="J824" s="2"/>
      <c r="K824" s="2"/>
      <c r="L824" s="2"/>
      <c r="M824" s="2"/>
      <c r="N824" s="2"/>
      <c r="O824" s="2"/>
      <c r="P824" s="2"/>
    </row>
    <row r="825" ht="15.75" customHeight="1">
      <c r="A825" s="2"/>
      <c r="B825" s="2"/>
      <c r="C825" s="2"/>
      <c r="D825" s="2"/>
      <c r="E825" s="2"/>
      <c r="F825" s="2"/>
      <c r="G825" s="2"/>
      <c r="H825" s="2"/>
      <c r="I825" s="2"/>
      <c r="J825" s="2"/>
      <c r="K825" s="2"/>
      <c r="L825" s="2"/>
      <c r="M825" s="2"/>
      <c r="N825" s="2"/>
      <c r="O825" s="2"/>
      <c r="P825" s="2"/>
    </row>
    <row r="826" ht="15.75" customHeight="1">
      <c r="A826" s="2"/>
      <c r="B826" s="2"/>
      <c r="C826" s="2"/>
      <c r="D826" s="2"/>
      <c r="E826" s="2"/>
      <c r="F826" s="2"/>
      <c r="G826" s="2"/>
      <c r="H826" s="2"/>
      <c r="I826" s="2"/>
      <c r="J826" s="2"/>
      <c r="K826" s="2"/>
      <c r="L826" s="2"/>
      <c r="M826" s="2"/>
      <c r="N826" s="2"/>
      <c r="O826" s="2"/>
      <c r="P826" s="2"/>
    </row>
    <row r="827" ht="15.75" customHeight="1">
      <c r="A827" s="2"/>
      <c r="B827" s="2"/>
      <c r="C827" s="2"/>
      <c r="D827" s="2"/>
      <c r="E827" s="2"/>
      <c r="F827" s="2"/>
      <c r="G827" s="2"/>
      <c r="H827" s="2"/>
      <c r="I827" s="2"/>
      <c r="J827" s="2"/>
      <c r="K827" s="2"/>
      <c r="L827" s="2"/>
      <c r="M827" s="2"/>
      <c r="N827" s="2"/>
      <c r="O827" s="2"/>
      <c r="P827" s="2"/>
    </row>
    <row r="828" ht="15.75" customHeight="1">
      <c r="A828" s="2"/>
      <c r="B828" s="2"/>
      <c r="C828" s="2"/>
      <c r="D828" s="2"/>
      <c r="E828" s="2"/>
      <c r="F828" s="2"/>
      <c r="G828" s="2"/>
      <c r="H828" s="2"/>
      <c r="I828" s="2"/>
      <c r="J828" s="2"/>
      <c r="K828" s="2"/>
      <c r="L828" s="2"/>
      <c r="M828" s="2"/>
      <c r="N828" s="2"/>
      <c r="O828" s="2"/>
      <c r="P828" s="2"/>
    </row>
    <row r="829" ht="15.75" customHeight="1">
      <c r="A829" s="2"/>
      <c r="B829" s="2"/>
      <c r="C829" s="2"/>
      <c r="D829" s="2"/>
      <c r="E829" s="2"/>
      <c r="F829" s="2"/>
      <c r="G829" s="2"/>
      <c r="H829" s="2"/>
      <c r="I829" s="2"/>
      <c r="J829" s="2"/>
      <c r="K829" s="2"/>
      <c r="L829" s="2"/>
      <c r="M829" s="2"/>
      <c r="N829" s="2"/>
      <c r="O829" s="2"/>
      <c r="P829" s="2"/>
    </row>
    <row r="830" ht="15.75" customHeight="1">
      <c r="A830" s="2"/>
      <c r="B830" s="2"/>
      <c r="C830" s="2"/>
      <c r="D830" s="2"/>
      <c r="E830" s="2"/>
      <c r="F830" s="2"/>
      <c r="G830" s="2"/>
      <c r="H830" s="2"/>
      <c r="I830" s="2"/>
      <c r="J830" s="2"/>
      <c r="K830" s="2"/>
      <c r="L830" s="2"/>
      <c r="M830" s="2"/>
      <c r="N830" s="2"/>
      <c r="O830" s="2"/>
      <c r="P830" s="2"/>
    </row>
    <row r="831" ht="15.75" customHeight="1">
      <c r="A831" s="2"/>
      <c r="B831" s="2"/>
      <c r="C831" s="2"/>
      <c r="D831" s="2"/>
      <c r="E831" s="2"/>
      <c r="F831" s="2"/>
      <c r="G831" s="2"/>
      <c r="H831" s="2"/>
      <c r="I831" s="2"/>
      <c r="J831" s="2"/>
      <c r="K831" s="2"/>
      <c r="L831" s="2"/>
      <c r="M831" s="2"/>
      <c r="N831" s="2"/>
      <c r="O831" s="2"/>
      <c r="P831" s="2"/>
    </row>
    <row r="832" ht="15.75" customHeight="1">
      <c r="A832" s="2"/>
      <c r="B832" s="2"/>
      <c r="C832" s="2"/>
      <c r="D832" s="2"/>
      <c r="E832" s="2"/>
      <c r="F832" s="2"/>
      <c r="G832" s="2"/>
      <c r="H832" s="2"/>
      <c r="I832" s="2"/>
      <c r="J832" s="2"/>
      <c r="K832" s="2"/>
      <c r="L832" s="2"/>
      <c r="M832" s="2"/>
      <c r="N832" s="2"/>
      <c r="O832" s="2"/>
      <c r="P832" s="2"/>
    </row>
    <row r="833" ht="15.75" customHeight="1">
      <c r="A833" s="2"/>
      <c r="B833" s="2"/>
      <c r="C833" s="2"/>
      <c r="D833" s="2"/>
      <c r="E833" s="2"/>
      <c r="F833" s="2"/>
      <c r="G833" s="2"/>
      <c r="H833" s="2"/>
      <c r="I833" s="2"/>
      <c r="J833" s="2"/>
      <c r="K833" s="2"/>
      <c r="L833" s="2"/>
      <c r="M833" s="2"/>
      <c r="N833" s="2"/>
      <c r="O833" s="2"/>
      <c r="P833" s="2"/>
    </row>
    <row r="834" ht="15.75" customHeight="1">
      <c r="A834" s="2"/>
      <c r="B834" s="2"/>
      <c r="C834" s="2"/>
      <c r="D834" s="2"/>
      <c r="E834" s="2"/>
      <c r="F834" s="2"/>
      <c r="G834" s="2"/>
      <c r="H834" s="2"/>
      <c r="I834" s="2"/>
      <c r="J834" s="2"/>
      <c r="K834" s="2"/>
      <c r="L834" s="2"/>
      <c r="M834" s="2"/>
      <c r="N834" s="2"/>
      <c r="O834" s="2"/>
      <c r="P834" s="2"/>
    </row>
    <row r="835" ht="15.75" customHeight="1">
      <c r="A835" s="2"/>
      <c r="B835" s="2"/>
      <c r="C835" s="2"/>
      <c r="D835" s="2"/>
      <c r="E835" s="2"/>
      <c r="F835" s="2"/>
      <c r="G835" s="2"/>
      <c r="H835" s="2"/>
      <c r="I835" s="2"/>
      <c r="J835" s="2"/>
      <c r="K835" s="2"/>
      <c r="L835" s="2"/>
      <c r="M835" s="2"/>
      <c r="N835" s="2"/>
      <c r="O835" s="2"/>
      <c r="P835" s="2"/>
    </row>
    <row r="836" ht="15.75" customHeight="1">
      <c r="A836" s="2"/>
      <c r="B836" s="2"/>
      <c r="C836" s="2"/>
      <c r="D836" s="2"/>
      <c r="E836" s="2"/>
      <c r="F836" s="2"/>
      <c r="G836" s="2"/>
      <c r="H836" s="2"/>
      <c r="I836" s="2"/>
      <c r="J836" s="2"/>
      <c r="K836" s="2"/>
      <c r="L836" s="2"/>
      <c r="M836" s="2"/>
      <c r="N836" s="2"/>
      <c r="O836" s="2"/>
      <c r="P836" s="2"/>
    </row>
    <row r="837" ht="15.75" customHeight="1">
      <c r="A837" s="2"/>
      <c r="B837" s="2"/>
      <c r="C837" s="2"/>
      <c r="D837" s="2"/>
      <c r="E837" s="2"/>
      <c r="F837" s="2"/>
      <c r="G837" s="2"/>
      <c r="H837" s="2"/>
      <c r="I837" s="2"/>
      <c r="J837" s="2"/>
      <c r="K837" s="2"/>
      <c r="L837" s="2"/>
      <c r="M837" s="2"/>
      <c r="N837" s="2"/>
      <c r="O837" s="2"/>
      <c r="P837" s="2"/>
    </row>
    <row r="838" ht="15.75" customHeight="1">
      <c r="A838" s="2"/>
      <c r="B838" s="2"/>
      <c r="C838" s="2"/>
      <c r="D838" s="2"/>
      <c r="E838" s="2"/>
      <c r="F838" s="2"/>
      <c r="G838" s="2"/>
      <c r="H838" s="2"/>
      <c r="I838" s="2"/>
      <c r="J838" s="2"/>
      <c r="K838" s="2"/>
      <c r="L838" s="2"/>
      <c r="M838" s="2"/>
      <c r="N838" s="2"/>
      <c r="O838" s="2"/>
      <c r="P838" s="2"/>
    </row>
    <row r="839" ht="15.75" customHeight="1">
      <c r="A839" s="2"/>
      <c r="B839" s="2"/>
      <c r="C839" s="2"/>
      <c r="D839" s="2"/>
      <c r="E839" s="2"/>
      <c r="F839" s="2"/>
      <c r="G839" s="2"/>
      <c r="H839" s="2"/>
      <c r="I839" s="2"/>
      <c r="J839" s="2"/>
      <c r="K839" s="2"/>
      <c r="L839" s="2"/>
      <c r="M839" s="2"/>
      <c r="N839" s="2"/>
      <c r="O839" s="2"/>
      <c r="P839" s="2"/>
    </row>
    <row r="840" ht="15.75" customHeight="1">
      <c r="A840" s="2"/>
      <c r="B840" s="2"/>
      <c r="C840" s="2"/>
      <c r="D840" s="2"/>
      <c r="E840" s="2"/>
      <c r="F840" s="2"/>
      <c r="G840" s="2"/>
      <c r="H840" s="2"/>
      <c r="I840" s="2"/>
      <c r="J840" s="2"/>
      <c r="K840" s="2"/>
      <c r="L840" s="2"/>
      <c r="M840" s="2"/>
      <c r="N840" s="2"/>
      <c r="O840" s="2"/>
      <c r="P840" s="2"/>
    </row>
    <row r="841" ht="15.75" customHeight="1">
      <c r="A841" s="2"/>
      <c r="B841" s="2"/>
      <c r="C841" s="2"/>
      <c r="D841" s="2"/>
      <c r="E841" s="2"/>
      <c r="F841" s="2"/>
      <c r="G841" s="2"/>
      <c r="H841" s="2"/>
      <c r="I841" s="2"/>
      <c r="J841" s="2"/>
      <c r="K841" s="2"/>
      <c r="L841" s="2"/>
      <c r="M841" s="2"/>
      <c r="N841" s="2"/>
      <c r="O841" s="2"/>
      <c r="P841" s="2"/>
    </row>
    <row r="842" ht="15.75" customHeight="1">
      <c r="A842" s="2"/>
      <c r="B842" s="2"/>
      <c r="C842" s="2"/>
      <c r="D842" s="2"/>
      <c r="E842" s="2"/>
      <c r="F842" s="2"/>
      <c r="G842" s="2"/>
      <c r="H842" s="2"/>
      <c r="I842" s="2"/>
      <c r="J842" s="2"/>
      <c r="K842" s="2"/>
      <c r="L842" s="2"/>
      <c r="M842" s="2"/>
      <c r="N842" s="2"/>
      <c r="O842" s="2"/>
      <c r="P842" s="2"/>
    </row>
    <row r="843" ht="15.75" customHeight="1">
      <c r="A843" s="2"/>
      <c r="B843" s="2"/>
      <c r="C843" s="2"/>
      <c r="D843" s="2"/>
      <c r="E843" s="2"/>
      <c r="F843" s="2"/>
      <c r="G843" s="2"/>
      <c r="H843" s="2"/>
      <c r="I843" s="2"/>
      <c r="J843" s="2"/>
      <c r="K843" s="2"/>
      <c r="L843" s="2"/>
      <c r="M843" s="2"/>
      <c r="N843" s="2"/>
      <c r="O843" s="2"/>
      <c r="P843" s="2"/>
    </row>
    <row r="844" ht="15.75" customHeight="1">
      <c r="A844" s="2"/>
      <c r="B844" s="2"/>
      <c r="C844" s="2"/>
      <c r="D844" s="2"/>
      <c r="E844" s="2"/>
      <c r="F844" s="2"/>
      <c r="G844" s="2"/>
      <c r="H844" s="2"/>
      <c r="I844" s="2"/>
      <c r="J844" s="2"/>
      <c r="K844" s="2"/>
      <c r="L844" s="2"/>
      <c r="M844" s="2"/>
      <c r="N844" s="2"/>
      <c r="O844" s="2"/>
      <c r="P844" s="2"/>
    </row>
    <row r="845" ht="15.75" customHeight="1">
      <c r="A845" s="2"/>
      <c r="B845" s="2"/>
      <c r="C845" s="2"/>
      <c r="D845" s="2"/>
      <c r="E845" s="2"/>
      <c r="F845" s="2"/>
      <c r="G845" s="2"/>
      <c r="H845" s="2"/>
      <c r="I845" s="2"/>
      <c r="J845" s="2"/>
      <c r="K845" s="2"/>
      <c r="L845" s="2"/>
      <c r="M845" s="2"/>
      <c r="N845" s="2"/>
      <c r="O845" s="2"/>
      <c r="P845" s="2"/>
    </row>
    <row r="846" ht="15.75" customHeight="1">
      <c r="A846" s="2"/>
      <c r="B846" s="2"/>
      <c r="C846" s="2"/>
      <c r="D846" s="2"/>
      <c r="E846" s="2"/>
      <c r="F846" s="2"/>
      <c r="G846" s="2"/>
      <c r="H846" s="2"/>
      <c r="I846" s="2"/>
      <c r="J846" s="2"/>
      <c r="K846" s="2"/>
      <c r="L846" s="2"/>
      <c r="M846" s="2"/>
      <c r="N846" s="2"/>
      <c r="O846" s="2"/>
      <c r="P846" s="2"/>
    </row>
    <row r="847" ht="15.75" customHeight="1">
      <c r="A847" s="2"/>
      <c r="B847" s="2"/>
      <c r="C847" s="2"/>
      <c r="D847" s="2"/>
      <c r="E847" s="2"/>
      <c r="F847" s="2"/>
      <c r="G847" s="2"/>
      <c r="H847" s="2"/>
      <c r="I847" s="2"/>
      <c r="J847" s="2"/>
      <c r="K847" s="2"/>
      <c r="L847" s="2"/>
      <c r="M847" s="2"/>
      <c r="N847" s="2"/>
      <c r="O847" s="2"/>
      <c r="P847" s="2"/>
    </row>
    <row r="848" ht="15.75" customHeight="1">
      <c r="A848" s="2"/>
      <c r="B848" s="2"/>
      <c r="C848" s="2"/>
      <c r="D848" s="2"/>
      <c r="E848" s="2"/>
      <c r="F848" s="2"/>
      <c r="G848" s="2"/>
      <c r="H848" s="2"/>
      <c r="I848" s="2"/>
      <c r="J848" s="2"/>
      <c r="K848" s="2"/>
      <c r="L848" s="2"/>
      <c r="M848" s="2"/>
      <c r="N848" s="2"/>
      <c r="O848" s="2"/>
      <c r="P848" s="2"/>
    </row>
    <row r="849" ht="15.75" customHeight="1">
      <c r="A849" s="2"/>
      <c r="B849" s="2"/>
      <c r="C849" s="2"/>
      <c r="D849" s="2"/>
      <c r="E849" s="2"/>
      <c r="F849" s="2"/>
      <c r="G849" s="2"/>
      <c r="H849" s="2"/>
      <c r="I849" s="2"/>
      <c r="J849" s="2"/>
      <c r="K849" s="2"/>
      <c r="L849" s="2"/>
      <c r="M849" s="2"/>
      <c r="N849" s="2"/>
      <c r="O849" s="2"/>
      <c r="P849" s="2"/>
    </row>
    <row r="850" ht="15.75" customHeight="1">
      <c r="A850" s="2"/>
      <c r="B850" s="2"/>
      <c r="C850" s="2"/>
      <c r="D850" s="2"/>
      <c r="E850" s="2"/>
      <c r="F850" s="2"/>
      <c r="G850" s="2"/>
      <c r="H850" s="2"/>
      <c r="I850" s="2"/>
      <c r="J850" s="2"/>
      <c r="K850" s="2"/>
      <c r="L850" s="2"/>
      <c r="M850" s="2"/>
      <c r="N850" s="2"/>
      <c r="O850" s="2"/>
      <c r="P850" s="2"/>
    </row>
    <row r="851" ht="15.75" customHeight="1">
      <c r="A851" s="2"/>
      <c r="B851" s="2"/>
      <c r="C851" s="2"/>
      <c r="D851" s="2"/>
      <c r="E851" s="2"/>
      <c r="F851" s="2"/>
      <c r="G851" s="2"/>
      <c r="H851" s="2"/>
      <c r="I851" s="2"/>
      <c r="J851" s="2"/>
      <c r="K851" s="2"/>
      <c r="L851" s="2"/>
      <c r="M851" s="2"/>
      <c r="N851" s="2"/>
      <c r="O851" s="2"/>
      <c r="P851" s="2"/>
    </row>
    <row r="852" ht="15.75" customHeight="1">
      <c r="A852" s="2"/>
      <c r="B852" s="2"/>
      <c r="C852" s="2"/>
      <c r="D852" s="2"/>
      <c r="E852" s="2"/>
      <c r="F852" s="2"/>
      <c r="G852" s="2"/>
      <c r="H852" s="2"/>
      <c r="I852" s="2"/>
      <c r="J852" s="2"/>
      <c r="K852" s="2"/>
      <c r="L852" s="2"/>
      <c r="M852" s="2"/>
      <c r="N852" s="2"/>
      <c r="O852" s="2"/>
      <c r="P852" s="2"/>
    </row>
    <row r="853" ht="15.75" customHeight="1">
      <c r="A853" s="2"/>
      <c r="B853" s="2"/>
      <c r="C853" s="2"/>
      <c r="D853" s="2"/>
      <c r="E853" s="2"/>
      <c r="F853" s="2"/>
      <c r="G853" s="2"/>
      <c r="H853" s="2"/>
      <c r="I853" s="2"/>
      <c r="J853" s="2"/>
      <c r="K853" s="2"/>
      <c r="L853" s="2"/>
      <c r="M853" s="2"/>
      <c r="N853" s="2"/>
      <c r="O853" s="2"/>
      <c r="P853" s="2"/>
    </row>
    <row r="854" ht="15.75" customHeight="1">
      <c r="A854" s="2"/>
      <c r="B854" s="2"/>
      <c r="C854" s="2"/>
      <c r="D854" s="2"/>
      <c r="E854" s="2"/>
      <c r="F854" s="2"/>
      <c r="G854" s="2"/>
      <c r="H854" s="2"/>
      <c r="I854" s="2"/>
      <c r="J854" s="2"/>
      <c r="K854" s="2"/>
      <c r="L854" s="2"/>
      <c r="M854" s="2"/>
      <c r="N854" s="2"/>
      <c r="O854" s="2"/>
      <c r="P854" s="2"/>
    </row>
    <row r="855" ht="15.75" customHeight="1">
      <c r="A855" s="2"/>
      <c r="B855" s="2"/>
      <c r="C855" s="2"/>
      <c r="D855" s="2"/>
      <c r="E855" s="2"/>
      <c r="F855" s="2"/>
      <c r="G855" s="2"/>
      <c r="H855" s="2"/>
      <c r="I855" s="2"/>
      <c r="J855" s="2"/>
      <c r="K855" s="2"/>
      <c r="L855" s="2"/>
      <c r="M855" s="2"/>
      <c r="N855" s="2"/>
      <c r="O855" s="2"/>
      <c r="P855" s="2"/>
    </row>
    <row r="856" ht="15.75" customHeight="1">
      <c r="A856" s="2"/>
      <c r="B856" s="2"/>
      <c r="C856" s="2"/>
      <c r="D856" s="2"/>
      <c r="E856" s="2"/>
      <c r="F856" s="2"/>
      <c r="G856" s="2"/>
      <c r="H856" s="2"/>
      <c r="I856" s="2"/>
      <c r="J856" s="2"/>
      <c r="K856" s="2"/>
      <c r="L856" s="2"/>
      <c r="M856" s="2"/>
      <c r="N856" s="2"/>
      <c r="O856" s="2"/>
      <c r="P856" s="2"/>
    </row>
    <row r="857" ht="15.75" customHeight="1">
      <c r="A857" s="2"/>
      <c r="B857" s="2"/>
      <c r="C857" s="2"/>
      <c r="D857" s="2"/>
      <c r="E857" s="2"/>
      <c r="F857" s="2"/>
      <c r="G857" s="2"/>
      <c r="H857" s="2"/>
      <c r="I857" s="2"/>
      <c r="J857" s="2"/>
      <c r="K857" s="2"/>
      <c r="L857" s="2"/>
      <c r="M857" s="2"/>
      <c r="N857" s="2"/>
      <c r="O857" s="2"/>
      <c r="P857" s="2"/>
    </row>
    <row r="858" ht="15.75" customHeight="1">
      <c r="A858" s="2"/>
      <c r="B858" s="2"/>
      <c r="C858" s="2"/>
      <c r="D858" s="2"/>
      <c r="E858" s="2"/>
      <c r="F858" s="2"/>
      <c r="G858" s="2"/>
      <c r="H858" s="2"/>
      <c r="I858" s="2"/>
      <c r="J858" s="2"/>
      <c r="K858" s="2"/>
      <c r="L858" s="2"/>
      <c r="M858" s="2"/>
      <c r="N858" s="2"/>
      <c r="O858" s="2"/>
      <c r="P858" s="2"/>
    </row>
    <row r="859" ht="15.75" customHeight="1">
      <c r="A859" s="2"/>
      <c r="B859" s="2"/>
      <c r="C859" s="2"/>
      <c r="D859" s="2"/>
      <c r="E859" s="2"/>
      <c r="F859" s="2"/>
      <c r="G859" s="2"/>
      <c r="H859" s="2"/>
      <c r="I859" s="2"/>
      <c r="J859" s="2"/>
      <c r="K859" s="2"/>
      <c r="L859" s="2"/>
      <c r="M859" s="2"/>
      <c r="N859" s="2"/>
      <c r="O859" s="2"/>
      <c r="P859" s="2"/>
    </row>
    <row r="860" ht="15.75" customHeight="1">
      <c r="A860" s="2"/>
      <c r="B860" s="2"/>
      <c r="C860" s="2"/>
      <c r="D860" s="2"/>
      <c r="E860" s="2"/>
      <c r="F860" s="2"/>
      <c r="G860" s="2"/>
      <c r="H860" s="2"/>
      <c r="I860" s="2"/>
      <c r="J860" s="2"/>
      <c r="K860" s="2"/>
      <c r="L860" s="2"/>
      <c r="M860" s="2"/>
      <c r="N860" s="2"/>
      <c r="O860" s="2"/>
      <c r="P860" s="2"/>
    </row>
    <row r="861" ht="15.75" customHeight="1">
      <c r="A861" s="2"/>
      <c r="B861" s="2"/>
      <c r="C861" s="2"/>
      <c r="D861" s="2"/>
      <c r="E861" s="2"/>
      <c r="F861" s="2"/>
      <c r="G861" s="2"/>
      <c r="H861" s="2"/>
      <c r="I861" s="2"/>
      <c r="J861" s="2"/>
      <c r="K861" s="2"/>
      <c r="L861" s="2"/>
      <c r="M861" s="2"/>
      <c r="N861" s="2"/>
      <c r="O861" s="2"/>
      <c r="P861" s="2"/>
    </row>
    <row r="862" ht="15.75" customHeight="1">
      <c r="A862" s="2"/>
      <c r="B862" s="2"/>
      <c r="C862" s="2"/>
      <c r="D862" s="2"/>
      <c r="E862" s="2"/>
      <c r="F862" s="2"/>
      <c r="G862" s="2"/>
      <c r="H862" s="2"/>
      <c r="I862" s="2"/>
      <c r="J862" s="2"/>
      <c r="K862" s="2"/>
      <c r="L862" s="2"/>
      <c r="M862" s="2"/>
      <c r="N862" s="2"/>
      <c r="O862" s="2"/>
      <c r="P862" s="2"/>
    </row>
    <row r="863" ht="15.75" customHeight="1">
      <c r="A863" s="2"/>
      <c r="B863" s="2"/>
      <c r="C863" s="2"/>
      <c r="D863" s="2"/>
      <c r="E863" s="2"/>
      <c r="F863" s="2"/>
      <c r="G863" s="2"/>
      <c r="H863" s="2"/>
      <c r="I863" s="2"/>
      <c r="J863" s="2"/>
      <c r="K863" s="2"/>
      <c r="L863" s="2"/>
      <c r="M863" s="2"/>
      <c r="N863" s="2"/>
      <c r="O863" s="2"/>
      <c r="P863" s="2"/>
    </row>
    <row r="864" ht="15.75" customHeight="1">
      <c r="A864" s="2"/>
      <c r="B864" s="2"/>
      <c r="C864" s="2"/>
      <c r="D864" s="2"/>
      <c r="E864" s="2"/>
      <c r="F864" s="2"/>
      <c r="G864" s="2"/>
      <c r="H864" s="2"/>
      <c r="I864" s="2"/>
      <c r="J864" s="2"/>
      <c r="K864" s="2"/>
      <c r="L864" s="2"/>
      <c r="M864" s="2"/>
      <c r="N864" s="2"/>
      <c r="O864" s="2"/>
      <c r="P864" s="2"/>
    </row>
    <row r="865" ht="15.75" customHeight="1">
      <c r="A865" s="2"/>
      <c r="B865" s="2"/>
      <c r="C865" s="2"/>
      <c r="D865" s="2"/>
      <c r="E865" s="2"/>
      <c r="F865" s="2"/>
      <c r="G865" s="2"/>
      <c r="H865" s="2"/>
      <c r="I865" s="2"/>
      <c r="J865" s="2"/>
      <c r="K865" s="2"/>
      <c r="L865" s="2"/>
      <c r="M865" s="2"/>
      <c r="N865" s="2"/>
      <c r="O865" s="2"/>
      <c r="P865" s="2"/>
    </row>
    <row r="866" ht="15.75" customHeight="1">
      <c r="A866" s="2"/>
      <c r="B866" s="2"/>
      <c r="C866" s="2"/>
      <c r="D866" s="2"/>
      <c r="E866" s="2"/>
      <c r="F866" s="2"/>
      <c r="G866" s="2"/>
      <c r="H866" s="2"/>
      <c r="I866" s="2"/>
      <c r="J866" s="2"/>
      <c r="K866" s="2"/>
      <c r="L866" s="2"/>
      <c r="M866" s="2"/>
      <c r="N866" s="2"/>
      <c r="O866" s="2"/>
      <c r="P866" s="2"/>
    </row>
    <row r="867" ht="15.75" customHeight="1">
      <c r="A867" s="2"/>
      <c r="B867" s="2"/>
      <c r="C867" s="2"/>
      <c r="D867" s="2"/>
      <c r="E867" s="2"/>
      <c r="F867" s="2"/>
      <c r="G867" s="2"/>
      <c r="H867" s="2"/>
      <c r="I867" s="2"/>
      <c r="J867" s="2"/>
      <c r="K867" s="2"/>
      <c r="L867" s="2"/>
      <c r="M867" s="2"/>
      <c r="N867" s="2"/>
      <c r="O867" s="2"/>
      <c r="P867" s="2"/>
    </row>
    <row r="868" ht="15.75" customHeight="1">
      <c r="A868" s="2"/>
      <c r="B868" s="2"/>
      <c r="C868" s="2"/>
      <c r="D868" s="2"/>
      <c r="E868" s="2"/>
      <c r="F868" s="2"/>
      <c r="G868" s="2"/>
      <c r="H868" s="2"/>
      <c r="I868" s="2"/>
      <c r="J868" s="2"/>
      <c r="K868" s="2"/>
      <c r="L868" s="2"/>
      <c r="M868" s="2"/>
      <c r="N868" s="2"/>
      <c r="O868" s="2"/>
      <c r="P868" s="2"/>
    </row>
    <row r="869" ht="15.75" customHeight="1">
      <c r="A869" s="2"/>
      <c r="B869" s="2"/>
      <c r="C869" s="2"/>
      <c r="D869" s="2"/>
      <c r="E869" s="2"/>
      <c r="F869" s="2"/>
      <c r="G869" s="2"/>
      <c r="H869" s="2"/>
      <c r="I869" s="2"/>
      <c r="J869" s="2"/>
      <c r="K869" s="2"/>
      <c r="L869" s="2"/>
      <c r="M869" s="2"/>
      <c r="N869" s="2"/>
      <c r="O869" s="2"/>
      <c r="P869" s="2"/>
    </row>
    <row r="870" ht="15.75" customHeight="1">
      <c r="A870" s="2"/>
      <c r="B870" s="2"/>
      <c r="C870" s="2"/>
      <c r="D870" s="2"/>
      <c r="E870" s="2"/>
      <c r="F870" s="2"/>
      <c r="G870" s="2"/>
      <c r="H870" s="2"/>
      <c r="I870" s="2"/>
      <c r="J870" s="2"/>
      <c r="K870" s="2"/>
      <c r="L870" s="2"/>
      <c r="M870" s="2"/>
      <c r="N870" s="2"/>
      <c r="O870" s="2"/>
      <c r="P870" s="2"/>
    </row>
    <row r="871" ht="15.75" customHeight="1">
      <c r="A871" s="2"/>
      <c r="B871" s="2"/>
      <c r="C871" s="2"/>
      <c r="D871" s="2"/>
      <c r="E871" s="2"/>
      <c r="F871" s="2"/>
      <c r="G871" s="2"/>
      <c r="H871" s="2"/>
      <c r="I871" s="2"/>
      <c r="J871" s="2"/>
      <c r="K871" s="2"/>
      <c r="L871" s="2"/>
      <c r="M871" s="2"/>
      <c r="N871" s="2"/>
      <c r="O871" s="2"/>
      <c r="P871" s="2"/>
    </row>
    <row r="872" ht="15.75" customHeight="1">
      <c r="A872" s="2"/>
      <c r="B872" s="2"/>
      <c r="C872" s="2"/>
      <c r="D872" s="2"/>
      <c r="E872" s="2"/>
      <c r="F872" s="2"/>
      <c r="G872" s="2"/>
      <c r="H872" s="2"/>
      <c r="I872" s="2"/>
      <c r="J872" s="2"/>
      <c r="K872" s="2"/>
      <c r="L872" s="2"/>
      <c r="M872" s="2"/>
      <c r="N872" s="2"/>
      <c r="O872" s="2"/>
      <c r="P872" s="2"/>
    </row>
    <row r="873" ht="15.75" customHeight="1">
      <c r="A873" s="2"/>
      <c r="B873" s="2"/>
      <c r="C873" s="2"/>
      <c r="D873" s="2"/>
      <c r="E873" s="2"/>
      <c r="F873" s="2"/>
      <c r="G873" s="2"/>
      <c r="H873" s="2"/>
      <c r="I873" s="2"/>
      <c r="J873" s="2"/>
      <c r="K873" s="2"/>
      <c r="L873" s="2"/>
      <c r="M873" s="2"/>
      <c r="N873" s="2"/>
      <c r="O873" s="2"/>
      <c r="P873" s="2"/>
    </row>
    <row r="874" ht="15.75" customHeight="1">
      <c r="A874" s="2"/>
      <c r="B874" s="2"/>
      <c r="C874" s="2"/>
      <c r="D874" s="2"/>
      <c r="E874" s="2"/>
      <c r="F874" s="2"/>
      <c r="G874" s="2"/>
      <c r="H874" s="2"/>
      <c r="I874" s="2"/>
      <c r="J874" s="2"/>
      <c r="K874" s="2"/>
      <c r="L874" s="2"/>
      <c r="M874" s="2"/>
      <c r="N874" s="2"/>
      <c r="O874" s="2"/>
      <c r="P874" s="2"/>
    </row>
    <row r="875" ht="15.75" customHeight="1">
      <c r="A875" s="2"/>
      <c r="B875" s="2"/>
      <c r="C875" s="2"/>
      <c r="D875" s="2"/>
      <c r="E875" s="2"/>
      <c r="F875" s="2"/>
      <c r="G875" s="2"/>
      <c r="H875" s="2"/>
      <c r="I875" s="2"/>
      <c r="J875" s="2"/>
      <c r="K875" s="2"/>
      <c r="L875" s="2"/>
      <c r="M875" s="2"/>
      <c r="N875" s="2"/>
      <c r="O875" s="2"/>
      <c r="P875" s="2"/>
    </row>
    <row r="876" ht="15.75" customHeight="1">
      <c r="A876" s="2"/>
      <c r="B876" s="2"/>
      <c r="C876" s="2"/>
      <c r="D876" s="2"/>
      <c r="E876" s="2"/>
      <c r="F876" s="2"/>
      <c r="G876" s="2"/>
      <c r="H876" s="2"/>
      <c r="I876" s="2"/>
      <c r="J876" s="2"/>
      <c r="K876" s="2"/>
      <c r="L876" s="2"/>
      <c r="M876" s="2"/>
      <c r="N876" s="2"/>
      <c r="O876" s="2"/>
      <c r="P876" s="2"/>
    </row>
    <row r="877" ht="15.75" customHeight="1">
      <c r="A877" s="2"/>
      <c r="B877" s="2"/>
      <c r="C877" s="2"/>
      <c r="D877" s="2"/>
      <c r="E877" s="2"/>
      <c r="F877" s="2"/>
      <c r="G877" s="2"/>
      <c r="H877" s="2"/>
      <c r="I877" s="2"/>
      <c r="J877" s="2"/>
      <c r="K877" s="2"/>
      <c r="L877" s="2"/>
      <c r="M877" s="2"/>
      <c r="N877" s="2"/>
      <c r="O877" s="2"/>
      <c r="P877" s="2"/>
    </row>
    <row r="878" ht="15.75" customHeight="1">
      <c r="A878" s="2"/>
      <c r="B878" s="2"/>
      <c r="C878" s="2"/>
      <c r="D878" s="2"/>
      <c r="E878" s="2"/>
      <c r="F878" s="2"/>
      <c r="G878" s="2"/>
      <c r="H878" s="2"/>
      <c r="I878" s="2"/>
      <c r="J878" s="2"/>
      <c r="K878" s="2"/>
      <c r="L878" s="2"/>
      <c r="M878" s="2"/>
      <c r="N878" s="2"/>
      <c r="O878" s="2"/>
      <c r="P878" s="2"/>
    </row>
    <row r="879" ht="15.75" customHeight="1">
      <c r="A879" s="2"/>
      <c r="B879" s="2"/>
      <c r="C879" s="2"/>
      <c r="D879" s="2"/>
      <c r="E879" s="2"/>
      <c r="F879" s="2"/>
      <c r="G879" s="2"/>
      <c r="H879" s="2"/>
      <c r="I879" s="2"/>
      <c r="J879" s="2"/>
      <c r="K879" s="2"/>
      <c r="L879" s="2"/>
      <c r="M879" s="2"/>
      <c r="N879" s="2"/>
      <c r="O879" s="2"/>
      <c r="P879" s="2"/>
    </row>
    <row r="880" ht="15.75" customHeight="1">
      <c r="A880" s="2"/>
      <c r="B880" s="2"/>
      <c r="C880" s="2"/>
      <c r="D880" s="2"/>
      <c r="E880" s="2"/>
      <c r="F880" s="2"/>
      <c r="G880" s="2"/>
      <c r="H880" s="2"/>
      <c r="I880" s="2"/>
      <c r="J880" s="2"/>
      <c r="K880" s="2"/>
      <c r="L880" s="2"/>
      <c r="M880" s="2"/>
      <c r="N880" s="2"/>
      <c r="O880" s="2"/>
      <c r="P880" s="2"/>
    </row>
    <row r="881" ht="15.75" customHeight="1">
      <c r="A881" s="2"/>
      <c r="B881" s="2"/>
      <c r="C881" s="2"/>
      <c r="D881" s="2"/>
      <c r="E881" s="2"/>
      <c r="F881" s="2"/>
      <c r="G881" s="2"/>
      <c r="H881" s="2"/>
      <c r="I881" s="2"/>
      <c r="J881" s="2"/>
      <c r="K881" s="2"/>
      <c r="L881" s="2"/>
      <c r="M881" s="2"/>
      <c r="N881" s="2"/>
      <c r="O881" s="2"/>
      <c r="P881" s="2"/>
    </row>
    <row r="882" ht="15.75" customHeight="1">
      <c r="A882" s="2"/>
      <c r="B882" s="2"/>
      <c r="C882" s="2"/>
      <c r="D882" s="2"/>
      <c r="E882" s="2"/>
      <c r="F882" s="2"/>
      <c r="G882" s="2"/>
      <c r="H882" s="2"/>
      <c r="I882" s="2"/>
      <c r="J882" s="2"/>
      <c r="K882" s="2"/>
      <c r="L882" s="2"/>
      <c r="M882" s="2"/>
      <c r="N882" s="2"/>
      <c r="O882" s="2"/>
      <c r="P882" s="2"/>
    </row>
    <row r="883" ht="15.75" customHeight="1">
      <c r="A883" s="2"/>
      <c r="B883" s="2"/>
      <c r="C883" s="2"/>
      <c r="D883" s="2"/>
      <c r="E883" s="2"/>
      <c r="F883" s="2"/>
      <c r="G883" s="2"/>
      <c r="H883" s="2"/>
      <c r="I883" s="2"/>
      <c r="J883" s="2"/>
      <c r="K883" s="2"/>
      <c r="L883" s="2"/>
      <c r="M883" s="2"/>
      <c r="N883" s="2"/>
      <c r="O883" s="2"/>
      <c r="P883" s="2"/>
    </row>
    <row r="884" ht="15.75" customHeight="1">
      <c r="A884" s="2"/>
      <c r="B884" s="2"/>
      <c r="C884" s="2"/>
      <c r="D884" s="2"/>
      <c r="E884" s="2"/>
      <c r="F884" s="2"/>
      <c r="G884" s="2"/>
      <c r="H884" s="2"/>
      <c r="I884" s="2"/>
      <c r="J884" s="2"/>
      <c r="K884" s="2"/>
      <c r="L884" s="2"/>
      <c r="M884" s="2"/>
      <c r="N884" s="2"/>
      <c r="O884" s="2"/>
      <c r="P884" s="2"/>
    </row>
    <row r="885" ht="15.75" customHeight="1">
      <c r="A885" s="2"/>
      <c r="B885" s="2"/>
      <c r="C885" s="2"/>
      <c r="D885" s="2"/>
      <c r="E885" s="2"/>
      <c r="F885" s="2"/>
      <c r="G885" s="2"/>
      <c r="H885" s="2"/>
      <c r="I885" s="2"/>
      <c r="J885" s="2"/>
      <c r="K885" s="2"/>
      <c r="L885" s="2"/>
      <c r="M885" s="2"/>
      <c r="N885" s="2"/>
      <c r="O885" s="2"/>
      <c r="P885" s="2"/>
    </row>
    <row r="886" ht="15.75" customHeight="1">
      <c r="A886" s="2"/>
      <c r="B886" s="2"/>
      <c r="C886" s="2"/>
      <c r="D886" s="2"/>
      <c r="E886" s="2"/>
      <c r="F886" s="2"/>
      <c r="G886" s="2"/>
      <c r="H886" s="2"/>
      <c r="I886" s="2"/>
      <c r="J886" s="2"/>
      <c r="K886" s="2"/>
      <c r="L886" s="2"/>
      <c r="M886" s="2"/>
      <c r="N886" s="2"/>
      <c r="O886" s="2"/>
      <c r="P886" s="2"/>
    </row>
    <row r="887" ht="15.75" customHeight="1">
      <c r="A887" s="2"/>
      <c r="B887" s="2"/>
      <c r="C887" s="2"/>
      <c r="D887" s="2"/>
      <c r="E887" s="2"/>
      <c r="F887" s="2"/>
      <c r="G887" s="2"/>
      <c r="H887" s="2"/>
      <c r="I887" s="2"/>
      <c r="J887" s="2"/>
      <c r="K887" s="2"/>
      <c r="L887" s="2"/>
      <c r="M887" s="2"/>
      <c r="N887" s="2"/>
      <c r="O887" s="2"/>
      <c r="P887" s="2"/>
    </row>
    <row r="888" ht="15.75" customHeight="1">
      <c r="A888" s="2"/>
      <c r="B888" s="2"/>
      <c r="C888" s="2"/>
      <c r="D888" s="2"/>
      <c r="E888" s="2"/>
      <c r="F888" s="2"/>
      <c r="G888" s="2"/>
      <c r="H888" s="2"/>
      <c r="I888" s="2"/>
      <c r="J888" s="2"/>
      <c r="K888" s="2"/>
      <c r="L888" s="2"/>
      <c r="M888" s="2"/>
      <c r="N888" s="2"/>
      <c r="O888" s="2"/>
      <c r="P888" s="2"/>
    </row>
    <row r="889" ht="15.75" customHeight="1">
      <c r="A889" s="2"/>
      <c r="B889" s="2"/>
      <c r="C889" s="2"/>
      <c r="D889" s="2"/>
      <c r="E889" s="2"/>
      <c r="F889" s="2"/>
      <c r="G889" s="2"/>
      <c r="H889" s="2"/>
      <c r="I889" s="2"/>
      <c r="J889" s="2"/>
      <c r="K889" s="2"/>
      <c r="L889" s="2"/>
      <c r="M889" s="2"/>
      <c r="N889" s="2"/>
      <c r="O889" s="2"/>
      <c r="P889" s="2"/>
    </row>
    <row r="890" ht="15.75" customHeight="1">
      <c r="A890" s="2"/>
      <c r="B890" s="2"/>
      <c r="C890" s="2"/>
      <c r="D890" s="2"/>
      <c r="E890" s="2"/>
      <c r="F890" s="2"/>
      <c r="G890" s="2"/>
      <c r="H890" s="2"/>
      <c r="I890" s="2"/>
      <c r="J890" s="2"/>
      <c r="K890" s="2"/>
      <c r="L890" s="2"/>
      <c r="M890" s="2"/>
      <c r="N890" s="2"/>
      <c r="O890" s="2"/>
      <c r="P890" s="2"/>
    </row>
    <row r="891" ht="15.75" customHeight="1">
      <c r="A891" s="2"/>
      <c r="B891" s="2"/>
      <c r="C891" s="2"/>
      <c r="D891" s="2"/>
      <c r="E891" s="2"/>
      <c r="F891" s="2"/>
      <c r="G891" s="2"/>
      <c r="H891" s="2"/>
      <c r="I891" s="2"/>
      <c r="J891" s="2"/>
      <c r="K891" s="2"/>
      <c r="L891" s="2"/>
      <c r="M891" s="2"/>
      <c r="N891" s="2"/>
      <c r="O891" s="2"/>
      <c r="P891" s="2"/>
    </row>
    <row r="892" ht="15.75" customHeight="1">
      <c r="A892" s="2"/>
      <c r="B892" s="2"/>
      <c r="C892" s="2"/>
      <c r="D892" s="2"/>
      <c r="E892" s="2"/>
      <c r="F892" s="2"/>
      <c r="G892" s="2"/>
      <c r="H892" s="2"/>
      <c r="I892" s="2"/>
      <c r="J892" s="2"/>
      <c r="K892" s="2"/>
      <c r="L892" s="2"/>
      <c r="M892" s="2"/>
      <c r="N892" s="2"/>
      <c r="O892" s="2"/>
      <c r="P892" s="2"/>
    </row>
    <row r="893" ht="15.75" customHeight="1">
      <c r="A893" s="2"/>
      <c r="B893" s="2"/>
      <c r="C893" s="2"/>
      <c r="D893" s="2"/>
      <c r="E893" s="2"/>
      <c r="F893" s="2"/>
      <c r="G893" s="2"/>
      <c r="H893" s="2"/>
      <c r="I893" s="2"/>
      <c r="J893" s="2"/>
      <c r="K893" s="2"/>
      <c r="L893" s="2"/>
      <c r="M893" s="2"/>
      <c r="N893" s="2"/>
      <c r="O893" s="2"/>
      <c r="P893" s="2"/>
    </row>
    <row r="894" ht="15.75" customHeight="1">
      <c r="A894" s="2"/>
      <c r="B894" s="2"/>
      <c r="C894" s="2"/>
      <c r="D894" s="2"/>
      <c r="E894" s="2"/>
      <c r="F894" s="2"/>
      <c r="G894" s="2"/>
      <c r="H894" s="2"/>
      <c r="I894" s="2"/>
      <c r="J894" s="2"/>
      <c r="K894" s="2"/>
      <c r="L894" s="2"/>
      <c r="M894" s="2"/>
      <c r="N894" s="2"/>
      <c r="O894" s="2"/>
      <c r="P894" s="2"/>
    </row>
    <row r="895" ht="15.75" customHeight="1">
      <c r="A895" s="2"/>
      <c r="B895" s="2"/>
      <c r="C895" s="2"/>
      <c r="D895" s="2"/>
      <c r="E895" s="2"/>
      <c r="F895" s="2"/>
      <c r="G895" s="2"/>
      <c r="H895" s="2"/>
      <c r="I895" s="2"/>
      <c r="J895" s="2"/>
      <c r="K895" s="2"/>
      <c r="L895" s="2"/>
      <c r="M895" s="2"/>
      <c r="N895" s="2"/>
      <c r="O895" s="2"/>
      <c r="P895" s="2"/>
    </row>
    <row r="896" ht="15.75" customHeight="1">
      <c r="A896" s="2"/>
      <c r="B896" s="2"/>
      <c r="C896" s="2"/>
      <c r="D896" s="2"/>
      <c r="E896" s="2"/>
      <c r="F896" s="2"/>
      <c r="G896" s="2"/>
      <c r="H896" s="2"/>
      <c r="I896" s="2"/>
      <c r="J896" s="2"/>
      <c r="K896" s="2"/>
      <c r="L896" s="2"/>
      <c r="M896" s="2"/>
      <c r="N896" s="2"/>
      <c r="O896" s="2"/>
      <c r="P896" s="2"/>
    </row>
    <row r="897" ht="15.75" customHeight="1">
      <c r="A897" s="2"/>
      <c r="B897" s="2"/>
      <c r="C897" s="2"/>
      <c r="D897" s="2"/>
      <c r="E897" s="2"/>
      <c r="F897" s="2"/>
      <c r="G897" s="2"/>
      <c r="H897" s="2"/>
      <c r="I897" s="2"/>
      <c r="J897" s="2"/>
      <c r="K897" s="2"/>
      <c r="L897" s="2"/>
      <c r="M897" s="2"/>
      <c r="N897" s="2"/>
      <c r="O897" s="2"/>
      <c r="P897" s="2"/>
    </row>
    <row r="898" ht="15.75" customHeight="1">
      <c r="A898" s="2"/>
      <c r="B898" s="2"/>
      <c r="C898" s="2"/>
      <c r="D898" s="2"/>
      <c r="E898" s="2"/>
      <c r="F898" s="2"/>
      <c r="G898" s="2"/>
      <c r="H898" s="2"/>
      <c r="I898" s="2"/>
      <c r="J898" s="2"/>
      <c r="K898" s="2"/>
      <c r="L898" s="2"/>
      <c r="M898" s="2"/>
      <c r="N898" s="2"/>
      <c r="O898" s="2"/>
      <c r="P898" s="2"/>
    </row>
    <row r="899" ht="15.75" customHeight="1">
      <c r="A899" s="2"/>
      <c r="B899" s="2"/>
      <c r="C899" s="2"/>
      <c r="D899" s="2"/>
      <c r="E899" s="2"/>
      <c r="F899" s="2"/>
      <c r="G899" s="2"/>
      <c r="H899" s="2"/>
      <c r="I899" s="2"/>
      <c r="J899" s="2"/>
      <c r="K899" s="2"/>
      <c r="L899" s="2"/>
      <c r="M899" s="2"/>
      <c r="N899" s="2"/>
      <c r="O899" s="2"/>
      <c r="P899" s="2"/>
    </row>
    <row r="900" ht="15.75" customHeight="1">
      <c r="A900" s="2"/>
      <c r="B900" s="2"/>
      <c r="C900" s="2"/>
      <c r="D900" s="2"/>
      <c r="E900" s="2"/>
      <c r="F900" s="2"/>
      <c r="G900" s="2"/>
      <c r="H900" s="2"/>
      <c r="I900" s="2"/>
      <c r="J900" s="2"/>
      <c r="K900" s="2"/>
      <c r="L900" s="2"/>
      <c r="M900" s="2"/>
      <c r="N900" s="2"/>
      <c r="O900" s="2"/>
      <c r="P900" s="2"/>
    </row>
    <row r="901" ht="15.75" customHeight="1">
      <c r="A901" s="2"/>
      <c r="B901" s="2"/>
      <c r="C901" s="2"/>
      <c r="D901" s="2"/>
      <c r="E901" s="2"/>
      <c r="F901" s="2"/>
      <c r="G901" s="2"/>
      <c r="H901" s="2"/>
      <c r="I901" s="2"/>
      <c r="J901" s="2"/>
      <c r="K901" s="2"/>
      <c r="L901" s="2"/>
      <c r="M901" s="2"/>
      <c r="N901" s="2"/>
      <c r="O901" s="2"/>
      <c r="P901" s="2"/>
    </row>
    <row r="902" ht="15.75" customHeight="1">
      <c r="A902" s="2"/>
      <c r="B902" s="2"/>
      <c r="C902" s="2"/>
      <c r="D902" s="2"/>
      <c r="E902" s="2"/>
      <c r="F902" s="2"/>
      <c r="G902" s="2"/>
      <c r="H902" s="2"/>
      <c r="I902" s="2"/>
      <c r="J902" s="2"/>
      <c r="K902" s="2"/>
      <c r="L902" s="2"/>
      <c r="M902" s="2"/>
      <c r="N902" s="2"/>
      <c r="O902" s="2"/>
      <c r="P902" s="2"/>
    </row>
    <row r="903" ht="15.75" customHeight="1">
      <c r="A903" s="2"/>
      <c r="B903" s="2"/>
      <c r="C903" s="2"/>
      <c r="D903" s="2"/>
      <c r="E903" s="2"/>
      <c r="F903" s="2"/>
      <c r="G903" s="2"/>
      <c r="H903" s="2"/>
      <c r="I903" s="2"/>
      <c r="J903" s="2"/>
      <c r="K903" s="2"/>
      <c r="L903" s="2"/>
      <c r="M903" s="2"/>
      <c r="N903" s="2"/>
      <c r="O903" s="2"/>
      <c r="P903" s="2"/>
    </row>
    <row r="904" ht="15.75" customHeight="1">
      <c r="A904" s="2"/>
      <c r="B904" s="2"/>
      <c r="C904" s="2"/>
      <c r="D904" s="2"/>
      <c r="E904" s="2"/>
      <c r="F904" s="2"/>
      <c r="G904" s="2"/>
      <c r="H904" s="2"/>
      <c r="I904" s="2"/>
      <c r="J904" s="2"/>
      <c r="K904" s="2"/>
      <c r="L904" s="2"/>
      <c r="M904" s="2"/>
      <c r="N904" s="2"/>
      <c r="O904" s="2"/>
      <c r="P904" s="2"/>
    </row>
    <row r="905" ht="15.75" customHeight="1">
      <c r="A905" s="2"/>
      <c r="B905" s="2"/>
      <c r="C905" s="2"/>
      <c r="D905" s="2"/>
      <c r="E905" s="2"/>
      <c r="F905" s="2"/>
      <c r="G905" s="2"/>
      <c r="H905" s="2"/>
      <c r="I905" s="2"/>
      <c r="J905" s="2"/>
      <c r="K905" s="2"/>
      <c r="L905" s="2"/>
      <c r="M905" s="2"/>
      <c r="N905" s="2"/>
      <c r="O905" s="2"/>
      <c r="P905" s="2"/>
    </row>
    <row r="906" ht="15.75" customHeight="1">
      <c r="A906" s="2"/>
      <c r="B906" s="2"/>
      <c r="C906" s="2"/>
      <c r="D906" s="2"/>
      <c r="E906" s="2"/>
      <c r="F906" s="2"/>
      <c r="G906" s="2"/>
      <c r="H906" s="2"/>
      <c r="I906" s="2"/>
      <c r="J906" s="2"/>
      <c r="K906" s="2"/>
      <c r="L906" s="2"/>
      <c r="M906" s="2"/>
      <c r="N906" s="2"/>
      <c r="O906" s="2"/>
      <c r="P906" s="2"/>
    </row>
    <row r="907" ht="15.75" customHeight="1">
      <c r="A907" s="2"/>
      <c r="B907" s="2"/>
      <c r="C907" s="2"/>
      <c r="D907" s="2"/>
      <c r="E907" s="2"/>
      <c r="F907" s="2"/>
      <c r="G907" s="2"/>
      <c r="H907" s="2"/>
      <c r="I907" s="2"/>
      <c r="J907" s="2"/>
      <c r="K907" s="2"/>
      <c r="L907" s="2"/>
      <c r="M907" s="2"/>
      <c r="N907" s="2"/>
      <c r="O907" s="2"/>
      <c r="P907" s="2"/>
    </row>
    <row r="908" ht="15.75" customHeight="1">
      <c r="A908" s="2"/>
      <c r="B908" s="2"/>
      <c r="C908" s="2"/>
      <c r="D908" s="2"/>
      <c r="E908" s="2"/>
      <c r="F908" s="2"/>
      <c r="G908" s="2"/>
      <c r="H908" s="2"/>
      <c r="I908" s="2"/>
      <c r="J908" s="2"/>
      <c r="K908" s="2"/>
      <c r="L908" s="2"/>
      <c r="M908" s="2"/>
      <c r="N908" s="2"/>
      <c r="O908" s="2"/>
      <c r="P908" s="2"/>
    </row>
    <row r="909" ht="15.75" customHeight="1">
      <c r="A909" s="2"/>
      <c r="B909" s="2"/>
      <c r="C909" s="2"/>
      <c r="D909" s="2"/>
      <c r="E909" s="2"/>
      <c r="F909" s="2"/>
      <c r="G909" s="2"/>
      <c r="H909" s="2"/>
      <c r="I909" s="2"/>
      <c r="J909" s="2"/>
      <c r="K909" s="2"/>
      <c r="L909" s="2"/>
      <c r="M909" s="2"/>
      <c r="N909" s="2"/>
      <c r="O909" s="2"/>
      <c r="P909" s="2"/>
    </row>
    <row r="910" ht="15.75" customHeight="1">
      <c r="A910" s="2"/>
      <c r="B910" s="2"/>
      <c r="C910" s="2"/>
      <c r="D910" s="2"/>
      <c r="E910" s="2"/>
      <c r="F910" s="2"/>
      <c r="G910" s="2"/>
      <c r="H910" s="2"/>
      <c r="I910" s="2"/>
      <c r="J910" s="2"/>
      <c r="K910" s="2"/>
      <c r="L910" s="2"/>
      <c r="M910" s="2"/>
      <c r="N910" s="2"/>
      <c r="O910" s="2"/>
      <c r="P910" s="2"/>
    </row>
    <row r="911" ht="15.75" customHeight="1">
      <c r="A911" s="2"/>
      <c r="B911" s="2"/>
      <c r="C911" s="2"/>
      <c r="D911" s="2"/>
      <c r="E911" s="2"/>
      <c r="F911" s="2"/>
      <c r="G911" s="2"/>
      <c r="H911" s="2"/>
      <c r="I911" s="2"/>
      <c r="J911" s="2"/>
      <c r="K911" s="2"/>
      <c r="L911" s="2"/>
      <c r="M911" s="2"/>
      <c r="N911" s="2"/>
      <c r="O911" s="2"/>
      <c r="P911" s="2"/>
    </row>
    <row r="912" ht="15.75" customHeight="1">
      <c r="A912" s="2"/>
      <c r="B912" s="2"/>
      <c r="C912" s="2"/>
      <c r="D912" s="2"/>
      <c r="E912" s="2"/>
      <c r="F912" s="2"/>
      <c r="G912" s="2"/>
      <c r="H912" s="2"/>
      <c r="I912" s="2"/>
      <c r="J912" s="2"/>
      <c r="K912" s="2"/>
      <c r="L912" s="2"/>
      <c r="M912" s="2"/>
      <c r="N912" s="2"/>
      <c r="O912" s="2"/>
      <c r="P912" s="2"/>
    </row>
    <row r="913" ht="15.75" customHeight="1">
      <c r="A913" s="2"/>
      <c r="B913" s="2"/>
      <c r="C913" s="2"/>
      <c r="D913" s="2"/>
      <c r="E913" s="2"/>
      <c r="F913" s="2"/>
      <c r="G913" s="2"/>
      <c r="H913" s="2"/>
      <c r="I913" s="2"/>
      <c r="J913" s="2"/>
      <c r="K913" s="2"/>
      <c r="L913" s="2"/>
      <c r="M913" s="2"/>
      <c r="N913" s="2"/>
      <c r="O913" s="2"/>
      <c r="P913" s="2"/>
    </row>
    <row r="914" ht="15.75" customHeight="1">
      <c r="A914" s="2"/>
      <c r="B914" s="2"/>
      <c r="C914" s="2"/>
      <c r="D914" s="2"/>
      <c r="E914" s="2"/>
      <c r="F914" s="2"/>
      <c r="G914" s="2"/>
      <c r="H914" s="2"/>
      <c r="I914" s="2"/>
      <c r="J914" s="2"/>
      <c r="K914" s="2"/>
      <c r="L914" s="2"/>
      <c r="M914" s="2"/>
      <c r="N914" s="2"/>
      <c r="O914" s="2"/>
      <c r="P914" s="2"/>
    </row>
    <row r="915" ht="15.75" customHeight="1">
      <c r="A915" s="2"/>
      <c r="B915" s="2"/>
      <c r="C915" s="2"/>
      <c r="D915" s="2"/>
      <c r="E915" s="2"/>
      <c r="F915" s="2"/>
      <c r="G915" s="2"/>
      <c r="H915" s="2"/>
      <c r="I915" s="2"/>
      <c r="J915" s="2"/>
      <c r="K915" s="2"/>
      <c r="L915" s="2"/>
      <c r="M915" s="2"/>
      <c r="N915" s="2"/>
      <c r="O915" s="2"/>
      <c r="P915" s="2"/>
    </row>
    <row r="916" ht="15.75" customHeight="1">
      <c r="A916" s="2"/>
      <c r="B916" s="2"/>
      <c r="C916" s="2"/>
      <c r="D916" s="2"/>
      <c r="E916" s="2"/>
      <c r="F916" s="2"/>
      <c r="G916" s="2"/>
      <c r="H916" s="2"/>
      <c r="I916" s="2"/>
      <c r="J916" s="2"/>
      <c r="K916" s="2"/>
      <c r="L916" s="2"/>
      <c r="M916" s="2"/>
      <c r="N916" s="2"/>
      <c r="O916" s="2"/>
      <c r="P916" s="2"/>
    </row>
    <row r="917" ht="15.75" customHeight="1">
      <c r="A917" s="2"/>
      <c r="B917" s="2"/>
      <c r="C917" s="2"/>
      <c r="D917" s="2"/>
      <c r="E917" s="2"/>
      <c r="F917" s="2"/>
      <c r="G917" s="2"/>
      <c r="H917" s="2"/>
      <c r="I917" s="2"/>
      <c r="J917" s="2"/>
      <c r="K917" s="2"/>
      <c r="L917" s="2"/>
      <c r="M917" s="2"/>
      <c r="N917" s="2"/>
      <c r="O917" s="2"/>
      <c r="P917" s="2"/>
    </row>
    <row r="918" ht="15.75" customHeight="1">
      <c r="A918" s="2"/>
      <c r="B918" s="2"/>
      <c r="C918" s="2"/>
      <c r="D918" s="2"/>
      <c r="E918" s="2"/>
      <c r="F918" s="2"/>
      <c r="G918" s="2"/>
      <c r="H918" s="2"/>
      <c r="I918" s="2"/>
      <c r="J918" s="2"/>
      <c r="K918" s="2"/>
      <c r="L918" s="2"/>
      <c r="M918" s="2"/>
      <c r="N918" s="2"/>
      <c r="O918" s="2"/>
      <c r="P918" s="2"/>
    </row>
    <row r="919" ht="15.75" customHeight="1">
      <c r="A919" s="2"/>
      <c r="B919" s="2"/>
      <c r="C919" s="2"/>
      <c r="D919" s="2"/>
      <c r="E919" s="2"/>
      <c r="F919" s="2"/>
      <c r="G919" s="2"/>
      <c r="H919" s="2"/>
      <c r="I919" s="2"/>
      <c r="J919" s="2"/>
      <c r="K919" s="2"/>
      <c r="L919" s="2"/>
      <c r="M919" s="2"/>
      <c r="N919" s="2"/>
      <c r="O919" s="2"/>
      <c r="P919" s="2"/>
    </row>
    <row r="920" ht="15.75" customHeight="1">
      <c r="A920" s="2"/>
      <c r="B920" s="2"/>
      <c r="C920" s="2"/>
      <c r="D920" s="2"/>
      <c r="E920" s="2"/>
      <c r="F920" s="2"/>
      <c r="G920" s="2"/>
      <c r="H920" s="2"/>
      <c r="I920" s="2"/>
      <c r="J920" s="2"/>
      <c r="K920" s="2"/>
      <c r="L920" s="2"/>
      <c r="M920" s="2"/>
      <c r="N920" s="2"/>
      <c r="O920" s="2"/>
      <c r="P920" s="2"/>
    </row>
    <row r="921" ht="15.75" customHeight="1">
      <c r="A921" s="2"/>
      <c r="B921" s="2"/>
      <c r="C921" s="2"/>
      <c r="D921" s="2"/>
      <c r="E921" s="2"/>
      <c r="F921" s="2"/>
      <c r="G921" s="2"/>
      <c r="H921" s="2"/>
      <c r="I921" s="2"/>
      <c r="J921" s="2"/>
      <c r="K921" s="2"/>
      <c r="L921" s="2"/>
      <c r="M921" s="2"/>
      <c r="N921" s="2"/>
      <c r="O921" s="2"/>
      <c r="P921" s="2"/>
    </row>
    <row r="922" ht="15.75" customHeight="1">
      <c r="A922" s="2"/>
      <c r="B922" s="2"/>
      <c r="C922" s="2"/>
      <c r="D922" s="2"/>
      <c r="E922" s="2"/>
      <c r="F922" s="2"/>
      <c r="G922" s="2"/>
      <c r="H922" s="2"/>
      <c r="I922" s="2"/>
      <c r="J922" s="2"/>
      <c r="K922" s="2"/>
      <c r="L922" s="2"/>
      <c r="M922" s="2"/>
      <c r="N922" s="2"/>
      <c r="O922" s="2"/>
      <c r="P922" s="2"/>
    </row>
    <row r="923" ht="15.75" customHeight="1">
      <c r="A923" s="2"/>
      <c r="B923" s="2"/>
      <c r="C923" s="2"/>
      <c r="D923" s="2"/>
      <c r="E923" s="2"/>
      <c r="F923" s="2"/>
      <c r="G923" s="2"/>
      <c r="H923" s="2"/>
      <c r="I923" s="2"/>
      <c r="J923" s="2"/>
      <c r="K923" s="2"/>
      <c r="L923" s="2"/>
      <c r="M923" s="2"/>
      <c r="N923" s="2"/>
      <c r="O923" s="2"/>
      <c r="P923" s="2"/>
    </row>
    <row r="924" ht="15.75" customHeight="1">
      <c r="A924" s="2"/>
      <c r="B924" s="2"/>
      <c r="C924" s="2"/>
      <c r="D924" s="2"/>
      <c r="E924" s="2"/>
      <c r="F924" s="2"/>
      <c r="G924" s="2"/>
      <c r="H924" s="2"/>
      <c r="I924" s="2"/>
      <c r="J924" s="2"/>
      <c r="K924" s="2"/>
      <c r="L924" s="2"/>
      <c r="M924" s="2"/>
      <c r="N924" s="2"/>
      <c r="O924" s="2"/>
      <c r="P924" s="2"/>
    </row>
    <row r="925" ht="15.75" customHeight="1">
      <c r="A925" s="2"/>
      <c r="B925" s="2"/>
      <c r="C925" s="2"/>
      <c r="D925" s="2"/>
      <c r="E925" s="2"/>
      <c r="F925" s="2"/>
      <c r="G925" s="2"/>
      <c r="H925" s="2"/>
      <c r="I925" s="2"/>
      <c r="J925" s="2"/>
      <c r="K925" s="2"/>
      <c r="L925" s="2"/>
      <c r="M925" s="2"/>
      <c r="N925" s="2"/>
      <c r="O925" s="2"/>
      <c r="P925" s="2"/>
    </row>
    <row r="926" ht="15.75" customHeight="1">
      <c r="A926" s="2"/>
      <c r="B926" s="2"/>
      <c r="C926" s="2"/>
      <c r="D926" s="2"/>
      <c r="E926" s="2"/>
      <c r="F926" s="2"/>
      <c r="G926" s="2"/>
      <c r="H926" s="2"/>
      <c r="I926" s="2"/>
      <c r="J926" s="2"/>
      <c r="K926" s="2"/>
      <c r="L926" s="2"/>
      <c r="M926" s="2"/>
      <c r="N926" s="2"/>
      <c r="O926" s="2"/>
      <c r="P926" s="2"/>
    </row>
    <row r="927" ht="15.75" customHeight="1">
      <c r="A927" s="2"/>
      <c r="B927" s="2"/>
      <c r="C927" s="2"/>
      <c r="D927" s="2"/>
      <c r="E927" s="2"/>
      <c r="F927" s="2"/>
      <c r="G927" s="2"/>
      <c r="H927" s="2"/>
      <c r="I927" s="2"/>
      <c r="J927" s="2"/>
      <c r="K927" s="2"/>
      <c r="L927" s="2"/>
      <c r="M927" s="2"/>
      <c r="N927" s="2"/>
      <c r="O927" s="2"/>
      <c r="P927" s="2"/>
    </row>
    <row r="928" ht="15.75" customHeight="1">
      <c r="A928" s="2"/>
      <c r="B928" s="2"/>
      <c r="C928" s="2"/>
      <c r="D928" s="2"/>
      <c r="E928" s="2"/>
      <c r="F928" s="2"/>
      <c r="G928" s="2"/>
      <c r="H928" s="2"/>
      <c r="I928" s="2"/>
      <c r="J928" s="2"/>
      <c r="K928" s="2"/>
      <c r="L928" s="2"/>
      <c r="M928" s="2"/>
      <c r="N928" s="2"/>
      <c r="O928" s="2"/>
      <c r="P928" s="2"/>
    </row>
    <row r="929" ht="15.75" customHeight="1">
      <c r="A929" s="2"/>
      <c r="B929" s="2"/>
      <c r="C929" s="2"/>
      <c r="D929" s="2"/>
      <c r="E929" s="2"/>
      <c r="F929" s="2"/>
      <c r="G929" s="2"/>
      <c r="H929" s="2"/>
      <c r="I929" s="2"/>
      <c r="J929" s="2"/>
      <c r="K929" s="2"/>
      <c r="L929" s="2"/>
      <c r="M929" s="2"/>
      <c r="N929" s="2"/>
      <c r="O929" s="2"/>
      <c r="P929" s="2"/>
    </row>
    <row r="930" ht="15.75" customHeight="1">
      <c r="A930" s="2"/>
      <c r="B930" s="2"/>
      <c r="C930" s="2"/>
      <c r="D930" s="2"/>
      <c r="E930" s="2"/>
      <c r="F930" s="2"/>
      <c r="G930" s="2"/>
      <c r="H930" s="2"/>
      <c r="I930" s="2"/>
      <c r="J930" s="2"/>
      <c r="K930" s="2"/>
      <c r="L930" s="2"/>
      <c r="M930" s="2"/>
      <c r="N930" s="2"/>
      <c r="O930" s="2"/>
      <c r="P930" s="2"/>
    </row>
    <row r="931" ht="15.75" customHeight="1">
      <c r="A931" s="2"/>
      <c r="B931" s="2"/>
      <c r="C931" s="2"/>
      <c r="D931" s="2"/>
      <c r="E931" s="2"/>
      <c r="F931" s="2"/>
      <c r="G931" s="2"/>
      <c r="H931" s="2"/>
      <c r="I931" s="2"/>
      <c r="J931" s="2"/>
      <c r="K931" s="2"/>
      <c r="L931" s="2"/>
      <c r="M931" s="2"/>
      <c r="N931" s="2"/>
      <c r="O931" s="2"/>
      <c r="P931" s="2"/>
    </row>
    <row r="932" ht="15.75" customHeight="1">
      <c r="A932" s="2"/>
      <c r="B932" s="2"/>
      <c r="C932" s="2"/>
      <c r="D932" s="2"/>
      <c r="E932" s="2"/>
      <c r="F932" s="2"/>
      <c r="G932" s="2"/>
      <c r="H932" s="2"/>
      <c r="I932" s="2"/>
      <c r="J932" s="2"/>
      <c r="K932" s="2"/>
      <c r="L932" s="2"/>
      <c r="M932" s="2"/>
      <c r="N932" s="2"/>
      <c r="O932" s="2"/>
      <c r="P932" s="2"/>
    </row>
    <row r="933" ht="15.75" customHeight="1">
      <c r="A933" s="2"/>
      <c r="B933" s="2"/>
      <c r="C933" s="2"/>
      <c r="D933" s="2"/>
      <c r="E933" s="2"/>
      <c r="F933" s="2"/>
      <c r="G933" s="2"/>
      <c r="H933" s="2"/>
      <c r="I933" s="2"/>
      <c r="J933" s="2"/>
      <c r="K933" s="2"/>
      <c r="L933" s="2"/>
      <c r="M933" s="2"/>
      <c r="N933" s="2"/>
      <c r="O933" s="2"/>
      <c r="P933" s="2"/>
    </row>
    <row r="934" ht="15.75" customHeight="1">
      <c r="A934" s="2"/>
      <c r="B934" s="2"/>
      <c r="C934" s="2"/>
      <c r="D934" s="2"/>
      <c r="E934" s="2"/>
      <c r="F934" s="2"/>
      <c r="G934" s="2"/>
      <c r="H934" s="2"/>
      <c r="I934" s="2"/>
      <c r="J934" s="2"/>
      <c r="K934" s="2"/>
      <c r="L934" s="2"/>
      <c r="M934" s="2"/>
      <c r="N934" s="2"/>
      <c r="O934" s="2"/>
      <c r="P934" s="2"/>
    </row>
    <row r="935" ht="15.75" customHeight="1">
      <c r="A935" s="2"/>
      <c r="B935" s="2"/>
      <c r="C935" s="2"/>
      <c r="D935" s="2"/>
      <c r="E935" s="2"/>
      <c r="F935" s="2"/>
      <c r="G935" s="2"/>
      <c r="H935" s="2"/>
      <c r="I935" s="2"/>
      <c r="J935" s="2"/>
      <c r="K935" s="2"/>
      <c r="L935" s="2"/>
      <c r="M935" s="2"/>
      <c r="N935" s="2"/>
      <c r="O935" s="2"/>
      <c r="P935" s="2"/>
    </row>
    <row r="936" ht="15.75" customHeight="1">
      <c r="A936" s="2"/>
      <c r="B936" s="2"/>
      <c r="C936" s="2"/>
      <c r="D936" s="2"/>
      <c r="E936" s="2"/>
      <c r="F936" s="2"/>
      <c r="G936" s="2"/>
      <c r="H936" s="2"/>
      <c r="I936" s="2"/>
      <c r="J936" s="2"/>
      <c r="K936" s="2"/>
      <c r="L936" s="2"/>
      <c r="M936" s="2"/>
      <c r="N936" s="2"/>
      <c r="O936" s="2"/>
      <c r="P936" s="2"/>
    </row>
    <row r="937" ht="15.75" customHeight="1">
      <c r="A937" s="2"/>
      <c r="B937" s="2"/>
      <c r="C937" s="2"/>
      <c r="D937" s="2"/>
      <c r="E937" s="2"/>
      <c r="F937" s="2"/>
      <c r="G937" s="2"/>
      <c r="H937" s="2"/>
      <c r="I937" s="2"/>
      <c r="J937" s="2"/>
      <c r="K937" s="2"/>
      <c r="L937" s="2"/>
      <c r="M937" s="2"/>
      <c r="N937" s="2"/>
      <c r="O937" s="2"/>
      <c r="P937" s="2"/>
    </row>
    <row r="938" ht="15.75" customHeight="1">
      <c r="A938" s="2"/>
      <c r="B938" s="2"/>
      <c r="C938" s="2"/>
      <c r="D938" s="2"/>
      <c r="E938" s="2"/>
      <c r="F938" s="2"/>
      <c r="G938" s="2"/>
      <c r="H938" s="2"/>
      <c r="I938" s="2"/>
      <c r="J938" s="2"/>
      <c r="K938" s="2"/>
      <c r="L938" s="2"/>
      <c r="M938" s="2"/>
      <c r="N938" s="2"/>
      <c r="O938" s="2"/>
      <c r="P938" s="2"/>
    </row>
    <row r="939" ht="15.75" customHeight="1">
      <c r="A939" s="2"/>
      <c r="B939" s="2"/>
      <c r="C939" s="2"/>
      <c r="D939" s="2"/>
      <c r="E939" s="2"/>
      <c r="F939" s="2"/>
      <c r="G939" s="2"/>
      <c r="H939" s="2"/>
      <c r="I939" s="2"/>
      <c r="J939" s="2"/>
      <c r="K939" s="2"/>
      <c r="L939" s="2"/>
      <c r="M939" s="2"/>
      <c r="N939" s="2"/>
      <c r="O939" s="2"/>
      <c r="P939" s="2"/>
    </row>
    <row r="940" ht="15.75" customHeight="1">
      <c r="A940" s="2"/>
      <c r="B940" s="2"/>
      <c r="C940" s="2"/>
      <c r="D940" s="2"/>
      <c r="E940" s="2"/>
      <c r="F940" s="2"/>
      <c r="G940" s="2"/>
      <c r="H940" s="2"/>
      <c r="I940" s="2"/>
      <c r="J940" s="2"/>
      <c r="K940" s="2"/>
      <c r="L940" s="2"/>
      <c r="M940" s="2"/>
      <c r="N940" s="2"/>
      <c r="O940" s="2"/>
      <c r="P940" s="2"/>
    </row>
    <row r="941" ht="15.75" customHeight="1">
      <c r="A941" s="2"/>
      <c r="B941" s="2"/>
      <c r="C941" s="2"/>
      <c r="D941" s="2"/>
      <c r="E941" s="2"/>
      <c r="F941" s="2"/>
      <c r="G941" s="2"/>
      <c r="H941" s="2"/>
      <c r="I941" s="2"/>
      <c r="J941" s="2"/>
      <c r="K941" s="2"/>
      <c r="L941" s="2"/>
      <c r="M941" s="2"/>
      <c r="N941" s="2"/>
      <c r="O941" s="2"/>
      <c r="P941" s="2"/>
    </row>
    <row r="942" ht="15.75" customHeight="1">
      <c r="A942" s="2"/>
      <c r="B942" s="2"/>
      <c r="C942" s="2"/>
      <c r="D942" s="2"/>
      <c r="E942" s="2"/>
      <c r="F942" s="2"/>
      <c r="G942" s="2"/>
      <c r="H942" s="2"/>
      <c r="I942" s="2"/>
      <c r="J942" s="2"/>
      <c r="K942" s="2"/>
      <c r="L942" s="2"/>
      <c r="M942" s="2"/>
      <c r="N942" s="2"/>
      <c r="O942" s="2"/>
      <c r="P942" s="2"/>
    </row>
    <row r="943" ht="15.75" customHeight="1">
      <c r="A943" s="2"/>
      <c r="B943" s="2"/>
      <c r="C943" s="2"/>
      <c r="D943" s="2"/>
      <c r="E943" s="2"/>
      <c r="F943" s="2"/>
      <c r="G943" s="2"/>
      <c r="H943" s="2"/>
      <c r="I943" s="2"/>
      <c r="J943" s="2"/>
      <c r="K943" s="2"/>
      <c r="L943" s="2"/>
      <c r="M943" s="2"/>
      <c r="N943" s="2"/>
      <c r="O943" s="2"/>
      <c r="P943" s="2"/>
    </row>
    <row r="944" ht="15.75" customHeight="1">
      <c r="A944" s="2"/>
      <c r="B944" s="2"/>
      <c r="C944" s="2"/>
      <c r="D944" s="2"/>
      <c r="E944" s="2"/>
      <c r="F944" s="2"/>
      <c r="G944" s="2"/>
      <c r="H944" s="2"/>
      <c r="I944" s="2"/>
      <c r="J944" s="2"/>
      <c r="K944" s="2"/>
      <c r="L944" s="2"/>
      <c r="M944" s="2"/>
      <c r="N944" s="2"/>
      <c r="O944" s="2"/>
      <c r="P944" s="2"/>
    </row>
    <row r="945" ht="15.75" customHeight="1">
      <c r="A945" s="2"/>
      <c r="B945" s="2"/>
      <c r="C945" s="2"/>
      <c r="D945" s="2"/>
      <c r="E945" s="2"/>
      <c r="F945" s="2"/>
      <c r="G945" s="2"/>
      <c r="H945" s="2"/>
      <c r="I945" s="2"/>
      <c r="J945" s="2"/>
      <c r="K945" s="2"/>
      <c r="L945" s="2"/>
      <c r="M945" s="2"/>
      <c r="N945" s="2"/>
      <c r="O945" s="2"/>
      <c r="P945" s="2"/>
    </row>
    <row r="946" ht="15.75" customHeight="1">
      <c r="A946" s="2"/>
      <c r="B946" s="2"/>
      <c r="C946" s="2"/>
      <c r="D946" s="2"/>
      <c r="E946" s="2"/>
      <c r="F946" s="2"/>
      <c r="G946" s="2"/>
      <c r="H946" s="2"/>
      <c r="I946" s="2"/>
      <c r="J946" s="2"/>
      <c r="K946" s="2"/>
      <c r="L946" s="2"/>
      <c r="M946" s="2"/>
      <c r="N946" s="2"/>
      <c r="O946" s="2"/>
      <c r="P946" s="2"/>
    </row>
    <row r="947" ht="15.75" customHeight="1">
      <c r="A947" s="2"/>
      <c r="B947" s="2"/>
      <c r="C947" s="2"/>
      <c r="D947" s="2"/>
      <c r="E947" s="2"/>
      <c r="F947" s="2"/>
      <c r="G947" s="2"/>
      <c r="H947" s="2"/>
      <c r="I947" s="2"/>
      <c r="J947" s="2"/>
      <c r="K947" s="2"/>
      <c r="L947" s="2"/>
      <c r="M947" s="2"/>
      <c r="N947" s="2"/>
      <c r="O947" s="2"/>
      <c r="P947" s="2"/>
    </row>
    <row r="948" ht="15.75" customHeight="1">
      <c r="A948" s="2"/>
      <c r="B948" s="2"/>
      <c r="C948" s="2"/>
      <c r="D948" s="2"/>
      <c r="E948" s="2"/>
      <c r="F948" s="2"/>
      <c r="G948" s="2"/>
      <c r="H948" s="2"/>
      <c r="I948" s="2"/>
      <c r="J948" s="2"/>
      <c r="K948" s="2"/>
      <c r="L948" s="2"/>
      <c r="M948" s="2"/>
      <c r="N948" s="2"/>
      <c r="O948" s="2"/>
      <c r="P948" s="2"/>
    </row>
    <row r="949" ht="15.75" customHeight="1">
      <c r="A949" s="2"/>
      <c r="B949" s="2"/>
      <c r="C949" s="2"/>
      <c r="D949" s="2"/>
      <c r="E949" s="2"/>
      <c r="F949" s="2"/>
      <c r="G949" s="2"/>
      <c r="H949" s="2"/>
      <c r="I949" s="2"/>
      <c r="J949" s="2"/>
      <c r="K949" s="2"/>
      <c r="L949" s="2"/>
      <c r="M949" s="2"/>
      <c r="N949" s="2"/>
      <c r="O949" s="2"/>
      <c r="P949" s="2"/>
    </row>
    <row r="950" ht="15.75" customHeight="1">
      <c r="A950" s="2"/>
      <c r="B950" s="2"/>
      <c r="C950" s="2"/>
      <c r="D950" s="2"/>
      <c r="E950" s="2"/>
      <c r="F950" s="2"/>
      <c r="G950" s="2"/>
      <c r="H950" s="2"/>
      <c r="I950" s="2"/>
      <c r="J950" s="2"/>
      <c r="K950" s="2"/>
      <c r="L950" s="2"/>
      <c r="M950" s="2"/>
      <c r="N950" s="2"/>
      <c r="O950" s="2"/>
      <c r="P950" s="2"/>
    </row>
    <row r="951" ht="15.75" customHeight="1">
      <c r="A951" s="2"/>
      <c r="B951" s="2"/>
      <c r="C951" s="2"/>
      <c r="D951" s="2"/>
      <c r="E951" s="2"/>
      <c r="F951" s="2"/>
      <c r="G951" s="2"/>
      <c r="H951" s="2"/>
      <c r="I951" s="2"/>
      <c r="J951" s="2"/>
      <c r="K951" s="2"/>
      <c r="L951" s="2"/>
      <c r="M951" s="2"/>
      <c r="N951" s="2"/>
      <c r="O951" s="2"/>
      <c r="P951" s="2"/>
    </row>
    <row r="952" ht="15.75" customHeight="1">
      <c r="A952" s="2"/>
      <c r="B952" s="2"/>
      <c r="C952" s="2"/>
      <c r="D952" s="2"/>
      <c r="E952" s="2"/>
      <c r="F952" s="2"/>
      <c r="G952" s="2"/>
      <c r="H952" s="2"/>
      <c r="I952" s="2"/>
      <c r="J952" s="2"/>
      <c r="K952" s="2"/>
      <c r="L952" s="2"/>
      <c r="M952" s="2"/>
      <c r="N952" s="2"/>
      <c r="O952" s="2"/>
      <c r="P952" s="2"/>
    </row>
    <row r="953" ht="15.75" customHeight="1">
      <c r="A953" s="2"/>
      <c r="B953" s="2"/>
      <c r="C953" s="2"/>
      <c r="D953" s="2"/>
      <c r="E953" s="2"/>
      <c r="F953" s="2"/>
      <c r="G953" s="2"/>
      <c r="H953" s="2"/>
      <c r="I953" s="2"/>
      <c r="J953" s="2"/>
      <c r="K953" s="2"/>
      <c r="L953" s="2"/>
      <c r="M953" s="2"/>
      <c r="N953" s="2"/>
      <c r="O953" s="2"/>
      <c r="P953" s="2"/>
    </row>
    <row r="954" ht="15.75" customHeight="1">
      <c r="A954" s="2"/>
      <c r="B954" s="2"/>
      <c r="C954" s="2"/>
      <c r="D954" s="2"/>
      <c r="E954" s="2"/>
      <c r="F954" s="2"/>
      <c r="G954" s="2"/>
      <c r="H954" s="2"/>
      <c r="I954" s="2"/>
      <c r="J954" s="2"/>
      <c r="K954" s="2"/>
      <c r="L954" s="2"/>
      <c r="M954" s="2"/>
      <c r="N954" s="2"/>
      <c r="O954" s="2"/>
      <c r="P954" s="2"/>
    </row>
    <row r="955" ht="15.75" customHeight="1">
      <c r="A955" s="2"/>
      <c r="B955" s="2"/>
      <c r="C955" s="2"/>
      <c r="D955" s="2"/>
      <c r="E955" s="2"/>
      <c r="F955" s="2"/>
      <c r="G955" s="2"/>
      <c r="H955" s="2"/>
      <c r="I955" s="2"/>
      <c r="J955" s="2"/>
      <c r="K955" s="2"/>
      <c r="L955" s="2"/>
      <c r="M955" s="2"/>
      <c r="N955" s="2"/>
      <c r="O955" s="2"/>
      <c r="P955" s="2"/>
    </row>
    <row r="956" ht="15.75" customHeight="1">
      <c r="A956" s="2"/>
      <c r="B956" s="2"/>
      <c r="C956" s="2"/>
      <c r="D956" s="2"/>
      <c r="E956" s="2"/>
      <c r="F956" s="2"/>
      <c r="G956" s="2"/>
      <c r="H956" s="2"/>
      <c r="I956" s="2"/>
      <c r="J956" s="2"/>
      <c r="K956" s="2"/>
      <c r="L956" s="2"/>
      <c r="M956" s="2"/>
      <c r="N956" s="2"/>
      <c r="O956" s="2"/>
      <c r="P956" s="2"/>
    </row>
    <row r="957" ht="15.75" customHeight="1">
      <c r="A957" s="2"/>
      <c r="B957" s="2"/>
      <c r="C957" s="2"/>
      <c r="D957" s="2"/>
      <c r="E957" s="2"/>
      <c r="F957" s="2"/>
      <c r="G957" s="2"/>
      <c r="H957" s="2"/>
      <c r="I957" s="2"/>
      <c r="J957" s="2"/>
      <c r="K957" s="2"/>
      <c r="L957" s="2"/>
      <c r="M957" s="2"/>
      <c r="N957" s="2"/>
      <c r="O957" s="2"/>
      <c r="P957" s="2"/>
    </row>
    <row r="958" ht="15.75" customHeight="1">
      <c r="A958" s="2"/>
      <c r="B958" s="2"/>
      <c r="C958" s="2"/>
      <c r="D958" s="2"/>
      <c r="E958" s="2"/>
      <c r="F958" s="2"/>
      <c r="G958" s="2"/>
      <c r="H958" s="2"/>
      <c r="I958" s="2"/>
      <c r="J958" s="2"/>
      <c r="K958" s="2"/>
      <c r="L958" s="2"/>
      <c r="M958" s="2"/>
      <c r="N958" s="2"/>
      <c r="O958" s="2"/>
      <c r="P958" s="2"/>
    </row>
    <row r="959" ht="15.75" customHeight="1">
      <c r="A959" s="2"/>
      <c r="B959" s="2"/>
      <c r="C959" s="2"/>
      <c r="D959" s="2"/>
      <c r="E959" s="2"/>
      <c r="F959" s="2"/>
      <c r="G959" s="2"/>
      <c r="H959" s="2"/>
      <c r="I959" s="2"/>
      <c r="J959" s="2"/>
      <c r="K959" s="2"/>
      <c r="L959" s="2"/>
      <c r="M959" s="2"/>
      <c r="N959" s="2"/>
      <c r="O959" s="2"/>
      <c r="P959" s="2"/>
    </row>
    <row r="960" ht="15.75" customHeight="1">
      <c r="A960" s="2"/>
      <c r="B960" s="2"/>
      <c r="C960" s="2"/>
      <c r="D960" s="2"/>
      <c r="E960" s="2"/>
      <c r="F960" s="2"/>
      <c r="G960" s="2"/>
      <c r="H960" s="2"/>
      <c r="I960" s="2"/>
      <c r="J960" s="2"/>
      <c r="K960" s="2"/>
      <c r="L960" s="2"/>
      <c r="M960" s="2"/>
      <c r="N960" s="2"/>
      <c r="O960" s="2"/>
      <c r="P960" s="2"/>
    </row>
    <row r="961" ht="15.75" customHeight="1">
      <c r="A961" s="2"/>
      <c r="B961" s="2"/>
      <c r="C961" s="2"/>
      <c r="D961" s="2"/>
      <c r="E961" s="2"/>
      <c r="F961" s="2"/>
      <c r="G961" s="2"/>
      <c r="H961" s="2"/>
      <c r="I961" s="2"/>
      <c r="J961" s="2"/>
      <c r="K961" s="2"/>
      <c r="L961" s="2"/>
      <c r="M961" s="2"/>
      <c r="N961" s="2"/>
      <c r="O961" s="2"/>
      <c r="P961" s="2"/>
    </row>
    <row r="962" ht="15.75" customHeight="1">
      <c r="A962" s="2"/>
      <c r="B962" s="2"/>
      <c r="C962" s="2"/>
      <c r="D962" s="2"/>
      <c r="E962" s="2"/>
      <c r="F962" s="2"/>
      <c r="G962" s="2"/>
      <c r="H962" s="2"/>
      <c r="I962" s="2"/>
      <c r="J962" s="2"/>
      <c r="K962" s="2"/>
      <c r="L962" s="2"/>
      <c r="M962" s="2"/>
      <c r="N962" s="2"/>
      <c r="O962" s="2"/>
      <c r="P962" s="2"/>
    </row>
    <row r="963" ht="15.75" customHeight="1">
      <c r="A963" s="2"/>
      <c r="B963" s="2"/>
      <c r="C963" s="2"/>
      <c r="D963" s="2"/>
      <c r="E963" s="2"/>
      <c r="F963" s="2"/>
      <c r="G963" s="2"/>
      <c r="H963" s="2"/>
      <c r="I963" s="2"/>
      <c r="J963" s="2"/>
      <c r="K963" s="2"/>
      <c r="L963" s="2"/>
      <c r="M963" s="2"/>
      <c r="N963" s="2"/>
      <c r="O963" s="2"/>
      <c r="P963" s="2"/>
    </row>
    <row r="964" ht="15.75" customHeight="1">
      <c r="A964" s="2"/>
      <c r="B964" s="2"/>
      <c r="C964" s="2"/>
      <c r="D964" s="2"/>
      <c r="E964" s="2"/>
      <c r="F964" s="2"/>
      <c r="G964" s="2"/>
      <c r="H964" s="2"/>
      <c r="I964" s="2"/>
      <c r="J964" s="2"/>
      <c r="K964" s="2"/>
      <c r="L964" s="2"/>
      <c r="M964" s="2"/>
      <c r="N964" s="2"/>
      <c r="O964" s="2"/>
      <c r="P964" s="2"/>
    </row>
    <row r="965" ht="15.75" customHeight="1">
      <c r="A965" s="2"/>
      <c r="B965" s="2"/>
      <c r="C965" s="2"/>
      <c r="D965" s="2"/>
      <c r="E965" s="2"/>
      <c r="F965" s="2"/>
      <c r="G965" s="2"/>
      <c r="H965" s="2"/>
      <c r="I965" s="2"/>
      <c r="J965" s="2"/>
      <c r="K965" s="2"/>
      <c r="L965" s="2"/>
      <c r="M965" s="2"/>
      <c r="N965" s="2"/>
      <c r="O965" s="2"/>
      <c r="P965" s="2"/>
    </row>
    <row r="966" ht="15.75" customHeight="1">
      <c r="A966" s="2"/>
      <c r="B966" s="2"/>
      <c r="C966" s="2"/>
      <c r="D966" s="2"/>
      <c r="E966" s="2"/>
      <c r="F966" s="2"/>
      <c r="G966" s="2"/>
      <c r="H966" s="2"/>
      <c r="I966" s="2"/>
      <c r="J966" s="2"/>
      <c r="K966" s="2"/>
      <c r="L966" s="2"/>
      <c r="M966" s="2"/>
      <c r="N966" s="2"/>
      <c r="O966" s="2"/>
      <c r="P966" s="2"/>
    </row>
    <row r="967" ht="15.75" customHeight="1">
      <c r="A967" s="2"/>
      <c r="B967" s="2"/>
      <c r="C967" s="2"/>
      <c r="D967" s="2"/>
      <c r="E967" s="2"/>
      <c r="F967" s="2"/>
      <c r="G967" s="2"/>
      <c r="H967" s="2"/>
      <c r="I967" s="2"/>
      <c r="J967" s="2"/>
      <c r="K967" s="2"/>
      <c r="L967" s="2"/>
      <c r="M967" s="2"/>
      <c r="N967" s="2"/>
      <c r="O967" s="2"/>
      <c r="P967" s="2"/>
    </row>
    <row r="968" ht="15.75" customHeight="1">
      <c r="A968" s="2"/>
      <c r="B968" s="2"/>
      <c r="C968" s="2"/>
      <c r="D968" s="2"/>
      <c r="E968" s="2"/>
      <c r="F968" s="2"/>
      <c r="G968" s="2"/>
      <c r="H968" s="2"/>
      <c r="I968" s="2"/>
      <c r="J968" s="2"/>
      <c r="K968" s="2"/>
      <c r="L968" s="2"/>
      <c r="M968" s="2"/>
      <c r="N968" s="2"/>
      <c r="O968" s="2"/>
      <c r="P968" s="2"/>
    </row>
    <row r="969" ht="15.75" customHeight="1">
      <c r="A969" s="2"/>
      <c r="B969" s="2"/>
      <c r="C969" s="2"/>
      <c r="D969" s="2"/>
      <c r="E969" s="2"/>
      <c r="F969" s="2"/>
      <c r="G969" s="2"/>
      <c r="H969" s="2"/>
      <c r="I969" s="2"/>
      <c r="J969" s="2"/>
      <c r="K969" s="2"/>
      <c r="L969" s="2"/>
      <c r="M969" s="2"/>
      <c r="N969" s="2"/>
      <c r="O969" s="2"/>
      <c r="P969" s="2"/>
    </row>
    <row r="970" ht="15.75" customHeight="1">
      <c r="A970" s="2"/>
      <c r="B970" s="2"/>
      <c r="C970" s="2"/>
      <c r="D970" s="2"/>
      <c r="E970" s="2"/>
      <c r="F970" s="2"/>
      <c r="G970" s="2"/>
      <c r="H970" s="2"/>
      <c r="I970" s="2"/>
      <c r="J970" s="2"/>
      <c r="K970" s="2"/>
      <c r="L970" s="2"/>
      <c r="M970" s="2"/>
      <c r="N970" s="2"/>
      <c r="O970" s="2"/>
      <c r="P970" s="2"/>
    </row>
    <row r="971" ht="15.75" customHeight="1">
      <c r="A971" s="2"/>
      <c r="B971" s="2"/>
      <c r="C971" s="2"/>
      <c r="D971" s="2"/>
      <c r="E971" s="2"/>
      <c r="F971" s="2"/>
      <c r="G971" s="2"/>
      <c r="H971" s="2"/>
      <c r="I971" s="2"/>
      <c r="J971" s="2"/>
      <c r="K971" s="2"/>
      <c r="L971" s="2"/>
      <c r="M971" s="2"/>
      <c r="N971" s="2"/>
      <c r="O971" s="2"/>
      <c r="P971" s="2"/>
    </row>
    <row r="972" ht="15.75" customHeight="1">
      <c r="A972" s="2"/>
      <c r="B972" s="2"/>
      <c r="C972" s="2"/>
      <c r="D972" s="2"/>
      <c r="E972" s="2"/>
      <c r="F972" s="2"/>
      <c r="G972" s="2"/>
      <c r="H972" s="2"/>
      <c r="I972" s="2"/>
      <c r="J972" s="2"/>
      <c r="K972" s="2"/>
      <c r="L972" s="2"/>
      <c r="M972" s="2"/>
      <c r="N972" s="2"/>
      <c r="O972" s="2"/>
      <c r="P972" s="2"/>
    </row>
    <row r="973" ht="15.75" customHeight="1">
      <c r="A973" s="2"/>
      <c r="B973" s="2"/>
      <c r="C973" s="2"/>
      <c r="D973" s="2"/>
      <c r="E973" s="2"/>
      <c r="F973" s="2"/>
      <c r="G973" s="2"/>
      <c r="H973" s="2"/>
      <c r="I973" s="2"/>
      <c r="J973" s="2"/>
      <c r="K973" s="2"/>
      <c r="L973" s="2"/>
      <c r="M973" s="2"/>
      <c r="N973" s="2"/>
      <c r="O973" s="2"/>
      <c r="P973" s="2"/>
    </row>
    <row r="974" ht="15.75" customHeight="1">
      <c r="A974" s="2"/>
      <c r="B974" s="2"/>
      <c r="C974" s="2"/>
      <c r="D974" s="2"/>
      <c r="E974" s="2"/>
      <c r="F974" s="2"/>
      <c r="G974" s="2"/>
      <c r="H974" s="2"/>
      <c r="I974" s="2"/>
      <c r="J974" s="2"/>
      <c r="K974" s="2"/>
      <c r="L974" s="2"/>
      <c r="M974" s="2"/>
      <c r="N974" s="2"/>
      <c r="O974" s="2"/>
      <c r="P974" s="2"/>
    </row>
    <row r="975" ht="15.75" customHeight="1">
      <c r="A975" s="2"/>
      <c r="B975" s="2"/>
      <c r="C975" s="2"/>
      <c r="D975" s="2"/>
      <c r="E975" s="2"/>
      <c r="F975" s="2"/>
      <c r="G975" s="2"/>
      <c r="H975" s="2"/>
      <c r="I975" s="2"/>
      <c r="J975" s="2"/>
      <c r="K975" s="2"/>
      <c r="L975" s="2"/>
      <c r="M975" s="2"/>
      <c r="N975" s="2"/>
      <c r="O975" s="2"/>
      <c r="P975" s="2"/>
    </row>
    <row r="976" ht="15.75" customHeight="1">
      <c r="A976" s="2"/>
      <c r="B976" s="2"/>
      <c r="C976" s="2"/>
      <c r="D976" s="2"/>
      <c r="E976" s="2"/>
      <c r="F976" s="2"/>
      <c r="G976" s="2"/>
      <c r="H976" s="2"/>
      <c r="I976" s="2"/>
      <c r="J976" s="2"/>
      <c r="K976" s="2"/>
      <c r="L976" s="2"/>
      <c r="M976" s="2"/>
      <c r="N976" s="2"/>
      <c r="O976" s="2"/>
      <c r="P976" s="2"/>
    </row>
    <row r="977" ht="15.75" customHeight="1">
      <c r="A977" s="2"/>
      <c r="B977" s="2"/>
      <c r="C977" s="2"/>
      <c r="D977" s="2"/>
      <c r="E977" s="2"/>
      <c r="F977" s="2"/>
      <c r="G977" s="2"/>
      <c r="H977" s="2"/>
      <c r="I977" s="2"/>
      <c r="J977" s="2"/>
      <c r="K977" s="2"/>
      <c r="L977" s="2"/>
      <c r="M977" s="2"/>
      <c r="N977" s="2"/>
      <c r="O977" s="2"/>
      <c r="P977" s="2"/>
    </row>
    <row r="978" ht="15.75" customHeight="1">
      <c r="A978" s="2"/>
      <c r="B978" s="2"/>
      <c r="C978" s="2"/>
      <c r="D978" s="2"/>
      <c r="E978" s="2"/>
      <c r="F978" s="2"/>
      <c r="G978" s="2"/>
      <c r="H978" s="2"/>
      <c r="I978" s="2"/>
      <c r="J978" s="2"/>
      <c r="K978" s="2"/>
      <c r="L978" s="2"/>
      <c r="M978" s="2"/>
      <c r="N978" s="2"/>
      <c r="O978" s="2"/>
      <c r="P978" s="2"/>
    </row>
    <row r="979" ht="15.75" customHeight="1">
      <c r="A979" s="2"/>
      <c r="B979" s="2"/>
      <c r="C979" s="2"/>
      <c r="D979" s="2"/>
      <c r="E979" s="2"/>
      <c r="F979" s="2"/>
      <c r="G979" s="2"/>
      <c r="H979" s="2"/>
      <c r="I979" s="2"/>
      <c r="J979" s="2"/>
      <c r="K979" s="2"/>
      <c r="L979" s="2"/>
      <c r="M979" s="2"/>
      <c r="N979" s="2"/>
      <c r="O979" s="2"/>
      <c r="P979" s="2"/>
    </row>
    <row r="980" ht="15.75" customHeight="1">
      <c r="A980" s="2"/>
      <c r="B980" s="2"/>
      <c r="C980" s="2"/>
      <c r="D980" s="2"/>
      <c r="E980" s="2"/>
      <c r="F980" s="2"/>
      <c r="G980" s="2"/>
      <c r="H980" s="2"/>
      <c r="I980" s="2"/>
      <c r="J980" s="2"/>
      <c r="K980" s="2"/>
      <c r="L980" s="2"/>
      <c r="M980" s="2"/>
      <c r="N980" s="2"/>
      <c r="O980" s="2"/>
      <c r="P980" s="2"/>
    </row>
    <row r="981" ht="15.75" customHeight="1">
      <c r="A981" s="2"/>
      <c r="B981" s="2"/>
      <c r="C981" s="2"/>
      <c r="D981" s="2"/>
      <c r="E981" s="2"/>
      <c r="F981" s="2"/>
      <c r="G981" s="2"/>
      <c r="H981" s="2"/>
      <c r="I981" s="2"/>
      <c r="J981" s="2"/>
      <c r="K981" s="2"/>
      <c r="L981" s="2"/>
      <c r="M981" s="2"/>
      <c r="N981" s="2"/>
      <c r="O981" s="2"/>
      <c r="P981" s="2"/>
    </row>
    <row r="982" ht="15.75" customHeight="1">
      <c r="A982" s="2"/>
      <c r="B982" s="2"/>
      <c r="C982" s="2"/>
      <c r="D982" s="2"/>
      <c r="E982" s="2"/>
      <c r="F982" s="2"/>
      <c r="G982" s="2"/>
      <c r="H982" s="2"/>
      <c r="I982" s="2"/>
      <c r="J982" s="2"/>
      <c r="K982" s="2"/>
      <c r="L982" s="2"/>
      <c r="M982" s="2"/>
      <c r="N982" s="2"/>
      <c r="O982" s="2"/>
      <c r="P982" s="2"/>
    </row>
    <row r="983" ht="15.75" customHeight="1">
      <c r="A983" s="2"/>
      <c r="B983" s="2"/>
      <c r="C983" s="2"/>
      <c r="D983" s="2"/>
      <c r="E983" s="2"/>
      <c r="F983" s="2"/>
      <c r="G983" s="2"/>
      <c r="H983" s="2"/>
      <c r="I983" s="2"/>
      <c r="J983" s="2"/>
      <c r="K983" s="2"/>
      <c r="L983" s="2"/>
      <c r="M983" s="2"/>
      <c r="N983" s="2"/>
      <c r="O983" s="2"/>
      <c r="P983" s="2"/>
    </row>
    <row r="984" ht="15.75" customHeight="1">
      <c r="A984" s="2"/>
      <c r="B984" s="2"/>
      <c r="C984" s="2"/>
      <c r="D984" s="2"/>
      <c r="E984" s="2"/>
      <c r="F984" s="2"/>
      <c r="G984" s="2"/>
      <c r="H984" s="2"/>
      <c r="I984" s="2"/>
      <c r="J984" s="2"/>
      <c r="K984" s="2"/>
      <c r="L984" s="2"/>
      <c r="M984" s="2"/>
      <c r="N984" s="2"/>
      <c r="O984" s="2"/>
      <c r="P984" s="2"/>
    </row>
    <row r="985" ht="15.75" customHeight="1">
      <c r="A985" s="2"/>
      <c r="B985" s="2"/>
      <c r="C985" s="2"/>
      <c r="D985" s="2"/>
      <c r="E985" s="2"/>
      <c r="F985" s="2"/>
      <c r="G985" s="2"/>
      <c r="H985" s="2"/>
      <c r="I985" s="2"/>
      <c r="J985" s="2"/>
      <c r="K985" s="2"/>
      <c r="L985" s="2"/>
      <c r="M985" s="2"/>
      <c r="N985" s="2"/>
      <c r="O985" s="2"/>
      <c r="P985" s="2"/>
    </row>
    <row r="986" ht="15.75" customHeight="1">
      <c r="A986" s="2"/>
      <c r="B986" s="2"/>
      <c r="C986" s="2"/>
      <c r="D986" s="2"/>
      <c r="E986" s="2"/>
      <c r="F986" s="2"/>
      <c r="G986" s="2"/>
      <c r="H986" s="2"/>
      <c r="I986" s="2"/>
      <c r="J986" s="2"/>
      <c r="K986" s="2"/>
      <c r="L986" s="2"/>
      <c r="M986" s="2"/>
      <c r="N986" s="2"/>
      <c r="O986" s="2"/>
      <c r="P986" s="2"/>
    </row>
    <row r="987" ht="15.75" customHeight="1">
      <c r="A987" s="2"/>
      <c r="B987" s="2"/>
      <c r="C987" s="2"/>
      <c r="D987" s="2"/>
      <c r="E987" s="2"/>
      <c r="F987" s="2"/>
      <c r="G987" s="2"/>
      <c r="H987" s="2"/>
      <c r="I987" s="2"/>
      <c r="J987" s="2"/>
      <c r="K987" s="2"/>
      <c r="L987" s="2"/>
      <c r="M987" s="2"/>
      <c r="N987" s="2"/>
      <c r="O987" s="2"/>
      <c r="P987" s="2"/>
    </row>
    <row r="988" ht="15.75" customHeight="1">
      <c r="A988" s="2"/>
      <c r="B988" s="2"/>
      <c r="C988" s="2"/>
      <c r="D988" s="2"/>
      <c r="E988" s="2"/>
      <c r="F988" s="2"/>
      <c r="G988" s="2"/>
      <c r="H988" s="2"/>
      <c r="I988" s="2"/>
      <c r="J988" s="2"/>
      <c r="K988" s="2"/>
      <c r="L988" s="2"/>
      <c r="M988" s="2"/>
      <c r="N988" s="2"/>
      <c r="O988" s="2"/>
      <c r="P988" s="2"/>
    </row>
    <row r="989" ht="15.75" customHeight="1">
      <c r="A989" s="2"/>
      <c r="B989" s="2"/>
      <c r="C989" s="2"/>
      <c r="D989" s="2"/>
      <c r="E989" s="2"/>
      <c r="F989" s="2"/>
      <c r="G989" s="2"/>
      <c r="H989" s="2"/>
      <c r="I989" s="2"/>
      <c r="J989" s="2"/>
      <c r="K989" s="2"/>
      <c r="L989" s="2"/>
      <c r="M989" s="2"/>
      <c r="N989" s="2"/>
      <c r="O989" s="2"/>
      <c r="P989" s="2"/>
    </row>
    <row r="990" ht="15.75" customHeight="1">
      <c r="A990" s="2"/>
      <c r="B990" s="2"/>
      <c r="C990" s="2"/>
      <c r="D990" s="2"/>
      <c r="E990" s="2"/>
      <c r="F990" s="2"/>
      <c r="G990" s="2"/>
      <c r="H990" s="2"/>
      <c r="I990" s="2"/>
      <c r="J990" s="2"/>
      <c r="K990" s="2"/>
      <c r="L990" s="2"/>
      <c r="M990" s="2"/>
      <c r="N990" s="2"/>
      <c r="O990" s="2"/>
      <c r="P990" s="2"/>
    </row>
    <row r="991" ht="15.75" customHeight="1">
      <c r="A991" s="2"/>
      <c r="B991" s="2"/>
      <c r="C991" s="2"/>
      <c r="D991" s="2"/>
      <c r="E991" s="2"/>
      <c r="F991" s="2"/>
      <c r="G991" s="2"/>
      <c r="H991" s="2"/>
      <c r="I991" s="2"/>
      <c r="J991" s="2"/>
      <c r="K991" s="2"/>
      <c r="L991" s="2"/>
      <c r="M991" s="2"/>
      <c r="N991" s="2"/>
      <c r="O991" s="2"/>
      <c r="P991" s="2"/>
    </row>
    <row r="992" ht="15.75" customHeight="1">
      <c r="A992" s="2"/>
      <c r="B992" s="2"/>
      <c r="C992" s="2"/>
      <c r="D992" s="2"/>
      <c r="E992" s="2"/>
      <c r="F992" s="2"/>
      <c r="G992" s="2"/>
      <c r="H992" s="2"/>
      <c r="I992" s="2"/>
      <c r="J992" s="2"/>
      <c r="K992" s="2"/>
      <c r="L992" s="2"/>
      <c r="M992" s="2"/>
      <c r="N992" s="2"/>
      <c r="O992" s="2"/>
      <c r="P992" s="2"/>
    </row>
    <row r="993" ht="15.75" customHeight="1">
      <c r="A993" s="2"/>
      <c r="B993" s="2"/>
      <c r="C993" s="2"/>
      <c r="D993" s="2"/>
      <c r="E993" s="2"/>
      <c r="F993" s="2"/>
      <c r="G993" s="2"/>
      <c r="H993" s="2"/>
      <c r="I993" s="2"/>
      <c r="J993" s="2"/>
      <c r="K993" s="2"/>
      <c r="L993" s="2"/>
      <c r="M993" s="2"/>
      <c r="N993" s="2"/>
      <c r="O993" s="2"/>
      <c r="P993" s="2"/>
    </row>
    <row r="994" ht="15.75" customHeight="1">
      <c r="A994" s="2"/>
      <c r="B994" s="2"/>
      <c r="C994" s="2"/>
      <c r="D994" s="2"/>
      <c r="E994" s="2"/>
      <c r="F994" s="2"/>
      <c r="G994" s="2"/>
      <c r="H994" s="2"/>
      <c r="I994" s="2"/>
      <c r="J994" s="2"/>
      <c r="K994" s="2"/>
      <c r="L994" s="2"/>
      <c r="M994" s="2"/>
      <c r="N994" s="2"/>
      <c r="O994" s="2"/>
      <c r="P994" s="2"/>
    </row>
    <row r="995" ht="15.75" customHeight="1">
      <c r="A995" s="2"/>
      <c r="B995" s="2"/>
      <c r="C995" s="2"/>
      <c r="D995" s="2"/>
      <c r="E995" s="2"/>
      <c r="F995" s="2"/>
      <c r="G995" s="2"/>
      <c r="H995" s="2"/>
      <c r="I995" s="2"/>
      <c r="J995" s="2"/>
      <c r="K995" s="2"/>
      <c r="L995" s="2"/>
      <c r="M995" s="2"/>
      <c r="N995" s="2"/>
      <c r="O995" s="2"/>
      <c r="P995" s="2"/>
    </row>
    <row r="996" ht="15.75" customHeight="1">
      <c r="A996" s="2"/>
      <c r="B996" s="2"/>
      <c r="C996" s="2"/>
      <c r="D996" s="2"/>
      <c r="E996" s="2"/>
      <c r="F996" s="2"/>
      <c r="G996" s="2"/>
      <c r="H996" s="2"/>
      <c r="I996" s="2"/>
      <c r="J996" s="2"/>
      <c r="K996" s="2"/>
      <c r="L996" s="2"/>
      <c r="M996" s="2"/>
      <c r="N996" s="2"/>
      <c r="O996" s="2"/>
      <c r="P996" s="2"/>
    </row>
    <row r="997" ht="15.75" customHeight="1">
      <c r="A997" s="2"/>
      <c r="B997" s="2"/>
      <c r="C997" s="2"/>
      <c r="D997" s="2"/>
      <c r="E997" s="2"/>
      <c r="F997" s="2"/>
      <c r="G997" s="2"/>
      <c r="H997" s="2"/>
      <c r="I997" s="2"/>
      <c r="J997" s="2"/>
      <c r="K997" s="2"/>
      <c r="L997" s="2"/>
      <c r="M997" s="2"/>
      <c r="N997" s="2"/>
      <c r="O997" s="2"/>
      <c r="P997" s="2"/>
    </row>
    <row r="998" ht="15.75" customHeight="1">
      <c r="A998" s="2"/>
      <c r="B998" s="2"/>
      <c r="C998" s="2"/>
      <c r="D998" s="2"/>
      <c r="E998" s="2"/>
      <c r="F998" s="2"/>
      <c r="G998" s="2"/>
      <c r="H998" s="2"/>
      <c r="I998" s="2"/>
      <c r="J998" s="2"/>
      <c r="K998" s="2"/>
      <c r="L998" s="2"/>
      <c r="M998" s="2"/>
      <c r="N998" s="2"/>
      <c r="O998" s="2"/>
      <c r="P998" s="2"/>
    </row>
    <row r="999" ht="15.75" customHeight="1">
      <c r="A999" s="2"/>
      <c r="B999" s="2"/>
      <c r="C999" s="2"/>
      <c r="D999" s="2"/>
      <c r="E999" s="2"/>
      <c r="F999" s="2"/>
      <c r="G999" s="2"/>
      <c r="H999" s="2"/>
      <c r="I999" s="2"/>
      <c r="J999" s="2"/>
      <c r="K999" s="2"/>
      <c r="L999" s="2"/>
      <c r="M999" s="2"/>
      <c r="N999" s="2"/>
      <c r="O999" s="2"/>
      <c r="P999" s="2"/>
    </row>
    <row r="1000" ht="15.75" customHeight="1">
      <c r="A1000" s="2"/>
      <c r="B1000" s="2"/>
      <c r="C1000" s="2"/>
      <c r="D1000" s="2"/>
      <c r="E1000" s="2"/>
      <c r="F1000" s="2"/>
      <c r="G1000" s="2"/>
      <c r="H1000" s="2"/>
      <c r="I1000" s="2"/>
      <c r="J1000" s="2"/>
      <c r="K1000" s="2"/>
      <c r="L1000" s="2"/>
      <c r="M1000" s="2"/>
      <c r="N1000" s="2"/>
      <c r="O1000" s="2"/>
      <c r="P1000" s="2"/>
    </row>
  </sheetData>
  <autoFilter ref="$A$1:$O$1000">
    <sortState ref="A1:O1000">
      <sortCondition ref="F1:F1000"/>
    </sortState>
  </autoFilter>
  <dataValidations>
    <dataValidation type="list" allowBlank="1" sqref="A2:A251">
      <formula1>"FALSE,TRUE,ORDERED,PROXY,OUT OF DECK"</formula1>
    </dataValidation>
  </dataValidations>
  <hyperlinks>
    <hyperlink r:id="rId1" ref="M2"/>
    <hyperlink r:id="rId2" ref="O2"/>
    <hyperlink r:id="rId3" ref="M3"/>
    <hyperlink r:id="rId4" ref="O3"/>
    <hyperlink r:id="rId5" ref="M4"/>
    <hyperlink r:id="rId6" ref="O4"/>
    <hyperlink r:id="rId7" ref="M5"/>
    <hyperlink r:id="rId8" ref="O5"/>
    <hyperlink r:id="rId9" ref="M6"/>
    <hyperlink r:id="rId10" ref="O6"/>
    <hyperlink r:id="rId11" ref="M7"/>
    <hyperlink r:id="rId12" ref="O7"/>
    <hyperlink r:id="rId13" ref="M8"/>
    <hyperlink r:id="rId14" ref="O8"/>
    <hyperlink r:id="rId15" ref="M9"/>
    <hyperlink r:id="rId16" ref="O9"/>
    <hyperlink r:id="rId17" ref="M10"/>
    <hyperlink r:id="rId18" ref="O10"/>
    <hyperlink r:id="rId19" ref="M11"/>
    <hyperlink r:id="rId20" ref="O11"/>
    <hyperlink r:id="rId21" ref="M12"/>
    <hyperlink r:id="rId22" ref="O12"/>
    <hyperlink r:id="rId23" ref="M13"/>
    <hyperlink r:id="rId24" ref="O13"/>
    <hyperlink r:id="rId25" ref="M14"/>
    <hyperlink r:id="rId26" ref="O14"/>
    <hyperlink r:id="rId27" ref="M15"/>
    <hyperlink r:id="rId28" ref="O15"/>
    <hyperlink r:id="rId29" ref="M16"/>
    <hyperlink r:id="rId30" ref="O16"/>
    <hyperlink r:id="rId31" ref="M17"/>
    <hyperlink r:id="rId32" ref="O17"/>
    <hyperlink r:id="rId33" ref="M18"/>
    <hyperlink r:id="rId34" ref="O18"/>
    <hyperlink r:id="rId35" ref="M19"/>
    <hyperlink r:id="rId36" ref="O19"/>
    <hyperlink r:id="rId37" ref="M20"/>
    <hyperlink r:id="rId38" ref="O20"/>
    <hyperlink r:id="rId39" ref="M21"/>
    <hyperlink r:id="rId40" ref="O21"/>
    <hyperlink r:id="rId41" ref="M22"/>
    <hyperlink r:id="rId42" ref="O22"/>
    <hyperlink r:id="rId43" ref="M23"/>
    <hyperlink r:id="rId44" ref="O23"/>
    <hyperlink r:id="rId45" ref="M24"/>
    <hyperlink r:id="rId46" ref="O24"/>
    <hyperlink r:id="rId47" ref="M25"/>
    <hyperlink r:id="rId48" ref="O25"/>
    <hyperlink r:id="rId49" ref="M26"/>
    <hyperlink r:id="rId50" ref="O26"/>
    <hyperlink r:id="rId51" ref="M27"/>
    <hyperlink r:id="rId52" ref="O27"/>
    <hyperlink r:id="rId53" ref="M28"/>
    <hyperlink r:id="rId54" ref="O28"/>
    <hyperlink r:id="rId55" ref="M29"/>
    <hyperlink r:id="rId56" ref="O29"/>
    <hyperlink r:id="rId57" ref="M30"/>
    <hyperlink r:id="rId58" ref="O30"/>
    <hyperlink r:id="rId59" ref="M31"/>
    <hyperlink r:id="rId60" ref="O31"/>
    <hyperlink r:id="rId61" ref="M32"/>
    <hyperlink r:id="rId62" ref="O32"/>
    <hyperlink r:id="rId63" ref="M33"/>
    <hyperlink r:id="rId64" ref="O33"/>
    <hyperlink r:id="rId65" ref="M34"/>
    <hyperlink r:id="rId66" ref="O34"/>
    <hyperlink r:id="rId67" ref="M35"/>
    <hyperlink r:id="rId68" ref="O35"/>
    <hyperlink r:id="rId69" ref="M36"/>
    <hyperlink r:id="rId70" ref="O36"/>
    <hyperlink r:id="rId71" ref="M37"/>
    <hyperlink r:id="rId72" ref="O37"/>
    <hyperlink r:id="rId73" ref="M38"/>
    <hyperlink r:id="rId74" ref="O38"/>
    <hyperlink r:id="rId75" ref="M39"/>
    <hyperlink r:id="rId76" ref="O39"/>
    <hyperlink r:id="rId77" ref="M40"/>
    <hyperlink r:id="rId78" ref="O40"/>
    <hyperlink r:id="rId79" ref="M41"/>
    <hyperlink r:id="rId80" ref="O41"/>
    <hyperlink r:id="rId81" ref="M42"/>
    <hyperlink r:id="rId82" ref="O42"/>
    <hyperlink r:id="rId83" ref="M43"/>
    <hyperlink r:id="rId84" ref="O43"/>
    <hyperlink r:id="rId85" ref="M44"/>
    <hyperlink r:id="rId86" ref="O44"/>
    <hyperlink r:id="rId87" ref="M45"/>
    <hyperlink r:id="rId88" ref="O45"/>
    <hyperlink r:id="rId89" ref="M46"/>
    <hyperlink r:id="rId90" ref="O46"/>
    <hyperlink r:id="rId91" ref="M47"/>
    <hyperlink r:id="rId92" ref="O47"/>
    <hyperlink r:id="rId93" ref="M48"/>
    <hyperlink r:id="rId94" ref="O48"/>
    <hyperlink r:id="rId95" ref="M49"/>
    <hyperlink r:id="rId96" ref="O49"/>
    <hyperlink r:id="rId97" ref="M50"/>
    <hyperlink r:id="rId98" ref="O50"/>
    <hyperlink r:id="rId99" ref="M51"/>
    <hyperlink r:id="rId100" ref="O51"/>
    <hyperlink r:id="rId101" ref="M52"/>
    <hyperlink r:id="rId102" ref="O52"/>
    <hyperlink r:id="rId103" ref="M53"/>
    <hyperlink r:id="rId104" ref="O53"/>
    <hyperlink r:id="rId105" ref="M54"/>
    <hyperlink r:id="rId106" ref="O54"/>
    <hyperlink r:id="rId107" ref="M55"/>
    <hyperlink r:id="rId108" ref="O55"/>
    <hyperlink r:id="rId109" ref="M56"/>
    <hyperlink r:id="rId110" ref="O56"/>
    <hyperlink r:id="rId111" ref="M57"/>
    <hyperlink r:id="rId112" ref="O57"/>
    <hyperlink r:id="rId113" ref="M58"/>
    <hyperlink r:id="rId114" ref="O58"/>
    <hyperlink r:id="rId115" ref="M59"/>
    <hyperlink r:id="rId116" ref="O59"/>
    <hyperlink r:id="rId117" ref="M60"/>
    <hyperlink r:id="rId118" ref="O60"/>
    <hyperlink r:id="rId119" ref="M61"/>
    <hyperlink r:id="rId120" ref="O61"/>
    <hyperlink r:id="rId121" ref="M62"/>
    <hyperlink r:id="rId122" ref="O62"/>
    <hyperlink r:id="rId123" ref="M63"/>
    <hyperlink r:id="rId124" ref="O63"/>
    <hyperlink r:id="rId125" ref="M64"/>
    <hyperlink r:id="rId126" ref="O64"/>
    <hyperlink r:id="rId127" ref="M65"/>
    <hyperlink r:id="rId128" ref="O65"/>
    <hyperlink r:id="rId129" ref="M66"/>
    <hyperlink r:id="rId130" ref="O66"/>
    <hyperlink r:id="rId131" ref="M67"/>
    <hyperlink r:id="rId132" ref="O67"/>
    <hyperlink r:id="rId133" ref="M68"/>
    <hyperlink r:id="rId134" ref="O68"/>
    <hyperlink r:id="rId135" ref="M69"/>
    <hyperlink r:id="rId136" ref="O69"/>
  </hyperlinks>
  <printOptions/>
  <pageMargins bottom="1.0" footer="0.0" header="0.0" left="0.75" right="0.75" top="1.0"/>
  <pageSetup paperSize="9" orientation="portrait"/>
  <drawing r:id="rId13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38"/>
    <col customWidth="1" min="2" max="2" width="9.75"/>
    <col customWidth="1" min="3" max="3" width="27.0"/>
    <col customWidth="1" min="4" max="4" width="33.63"/>
    <col customWidth="1" min="5" max="5" width="12.25"/>
    <col customWidth="1" min="6" max="6" width="26.0"/>
    <col customWidth="1" hidden="1" min="7" max="7" width="30.0"/>
    <col customWidth="1" min="8" max="8" width="9.5"/>
    <col customWidth="1" min="9" max="9" width="9.25"/>
    <col customWidth="1" min="10" max="10" width="11.13"/>
    <col customWidth="1" min="11" max="11" width="9.0"/>
    <col customWidth="1" min="12" max="12" width="34.25"/>
    <col customWidth="1" min="13" max="13" width="60.0"/>
    <col customWidth="1" min="14" max="15" width="13.0"/>
    <col customWidth="1" min="16" max="16" width="35.63"/>
    <col customWidth="1" min="17" max="27" width="10.88"/>
  </cols>
  <sheetData>
    <row r="1">
      <c r="A1" s="65" t="s">
        <v>106</v>
      </c>
      <c r="B1" s="65" t="s">
        <v>107</v>
      </c>
      <c r="C1" s="65" t="s">
        <v>108</v>
      </c>
      <c r="D1" s="65" t="s">
        <v>109</v>
      </c>
      <c r="E1" s="65" t="s">
        <v>110</v>
      </c>
      <c r="F1" s="65" t="s">
        <v>111</v>
      </c>
      <c r="G1" s="65" t="s">
        <v>112</v>
      </c>
      <c r="H1" s="65" t="s">
        <v>113</v>
      </c>
      <c r="I1" s="65" t="s">
        <v>114</v>
      </c>
      <c r="J1" s="65" t="s">
        <v>115</v>
      </c>
      <c r="K1" s="65" t="s">
        <v>116</v>
      </c>
      <c r="L1" s="65" t="s">
        <v>117</v>
      </c>
      <c r="M1" s="65" t="s">
        <v>118</v>
      </c>
      <c r="N1" s="65" t="s">
        <v>119</v>
      </c>
      <c r="O1" s="65" t="s">
        <v>120</v>
      </c>
      <c r="P1" s="66"/>
      <c r="Q1" s="66"/>
      <c r="R1" s="66"/>
      <c r="S1" s="66"/>
      <c r="T1" s="66"/>
      <c r="U1" s="66"/>
      <c r="V1" s="66"/>
      <c r="W1" s="66"/>
      <c r="X1" s="66"/>
      <c r="Y1" s="66"/>
      <c r="Z1" s="66"/>
      <c r="AA1" s="66"/>
    </row>
    <row r="2">
      <c r="A2" s="67" t="b">
        <v>0</v>
      </c>
      <c r="B2" s="66"/>
      <c r="C2" s="66"/>
      <c r="D2" s="66"/>
      <c r="E2" s="66"/>
      <c r="F2" s="68" t="str">
        <f t="array" ref="F2">IF(INDEX('Binder Data'!$A$502:$A$751,ROW()-1)="","",IF(INDEX('Binder Data'!$D$502:$D$751,ROW()-1)="Needed",INDEX('Binder Data'!$B$502:$B$751,ROW()-1),INDEX('Binder Data'!$D$502:$D$751,ROW()-1)))</f>
        <v/>
      </c>
      <c r="G2" s="66"/>
      <c r="H2" s="66"/>
      <c r="I2" s="66"/>
      <c r="J2" s="69"/>
      <c r="K2" s="69"/>
      <c r="L2" s="69"/>
      <c r="M2" s="69"/>
      <c r="N2" s="66"/>
      <c r="O2" s="66"/>
      <c r="P2" s="66"/>
      <c r="Q2" s="66"/>
      <c r="R2" s="66"/>
      <c r="S2" s="66"/>
      <c r="T2" s="66"/>
      <c r="U2" s="66"/>
      <c r="V2" s="66"/>
      <c r="W2" s="66"/>
      <c r="X2" s="66"/>
      <c r="Y2" s="66"/>
      <c r="Z2" s="66"/>
      <c r="AA2" s="66"/>
    </row>
    <row r="3">
      <c r="A3" s="67" t="b">
        <v>0</v>
      </c>
      <c r="B3" s="66"/>
      <c r="C3" s="66"/>
      <c r="D3" s="66"/>
      <c r="E3" s="66"/>
      <c r="F3" s="68" t="str">
        <f t="array" ref="F3">IF(INDEX('Binder Data'!$A$502:$A$751,ROW()-1)="","",IF(INDEX('Binder Data'!$D$502:$D$751,ROW()-1)="Needed",INDEX('Binder Data'!$B$502:$B$751,ROW()-1),INDEX('Binder Data'!$D$502:$D$751,ROW()-1)))</f>
        <v/>
      </c>
      <c r="G3" s="66"/>
      <c r="H3" s="66"/>
      <c r="I3" s="66"/>
      <c r="J3" s="69"/>
      <c r="K3" s="69"/>
      <c r="L3" s="69"/>
      <c r="M3" s="69"/>
      <c r="N3" s="66"/>
      <c r="O3" s="66"/>
      <c r="P3" s="66"/>
      <c r="Q3" s="66"/>
      <c r="R3" s="66"/>
      <c r="S3" s="66"/>
      <c r="T3" s="66"/>
      <c r="U3" s="66"/>
      <c r="V3" s="66"/>
      <c r="W3" s="66"/>
      <c r="X3" s="66"/>
      <c r="Y3" s="66"/>
      <c r="Z3" s="66"/>
      <c r="AA3" s="66"/>
    </row>
    <row r="4">
      <c r="A4" s="67" t="b">
        <v>0</v>
      </c>
      <c r="B4" s="66"/>
      <c r="C4" s="66"/>
      <c r="D4" s="66"/>
      <c r="E4" s="66"/>
      <c r="F4" s="68" t="str">
        <f t="array" ref="F4">IF(INDEX('Binder Data'!$A$502:$A$751,ROW()-1)="","",IF(INDEX('Binder Data'!$D$502:$D$751,ROW()-1)="Needed",INDEX('Binder Data'!$B$502:$B$751,ROW()-1),INDEX('Binder Data'!$D$502:$D$751,ROW()-1)))</f>
        <v/>
      </c>
      <c r="G4" s="66"/>
      <c r="H4" s="66"/>
      <c r="I4" s="66"/>
      <c r="J4" s="69"/>
      <c r="K4" s="69"/>
      <c r="L4" s="69"/>
      <c r="M4" s="69"/>
      <c r="N4" s="66"/>
      <c r="O4" s="66"/>
      <c r="P4" s="66"/>
      <c r="Q4" s="66"/>
      <c r="R4" s="66"/>
      <c r="S4" s="66"/>
      <c r="T4" s="66"/>
      <c r="U4" s="66"/>
      <c r="V4" s="66"/>
      <c r="W4" s="66"/>
      <c r="X4" s="66"/>
      <c r="Y4" s="66"/>
      <c r="Z4" s="66"/>
      <c r="AA4" s="66"/>
    </row>
    <row r="5">
      <c r="A5" s="67" t="b">
        <v>0</v>
      </c>
      <c r="B5" s="66"/>
      <c r="C5" s="66"/>
      <c r="D5" s="66"/>
      <c r="E5" s="66"/>
      <c r="F5" s="68" t="str">
        <f t="array" ref="F5">IF(INDEX('Binder Data'!$A$502:$A$751,ROW()-1)="","",IF(INDEX('Binder Data'!$D$502:$D$751,ROW()-1)="Needed",INDEX('Binder Data'!$B$502:$B$751,ROW()-1),INDEX('Binder Data'!$D$502:$D$751,ROW()-1)))</f>
        <v/>
      </c>
      <c r="G5" s="66"/>
      <c r="H5" s="66"/>
      <c r="I5" s="66"/>
      <c r="J5" s="69"/>
      <c r="K5" s="69"/>
      <c r="L5" s="69"/>
      <c r="M5" s="69"/>
      <c r="N5" s="66"/>
      <c r="O5" s="66"/>
      <c r="P5" s="66"/>
      <c r="Q5" s="66"/>
      <c r="R5" s="66"/>
      <c r="S5" s="66"/>
      <c r="T5" s="66"/>
      <c r="U5" s="66"/>
      <c r="V5" s="66"/>
      <c r="W5" s="66"/>
      <c r="X5" s="66"/>
      <c r="Y5" s="66"/>
      <c r="Z5" s="66"/>
      <c r="AA5" s="66"/>
    </row>
    <row r="6">
      <c r="A6" s="67" t="b">
        <v>0</v>
      </c>
      <c r="B6" s="66"/>
      <c r="C6" s="66"/>
      <c r="D6" s="66"/>
      <c r="E6" s="66"/>
      <c r="F6" s="68" t="str">
        <f t="array" ref="F6">IF(INDEX('Binder Data'!$A$502:$A$751,ROW()-1)="","",IF(INDEX('Binder Data'!$D$502:$D$751,ROW()-1)="Needed",INDEX('Binder Data'!$B$502:$B$751,ROW()-1),INDEX('Binder Data'!$D$502:$D$751,ROW()-1)))</f>
        <v/>
      </c>
      <c r="G6" s="66"/>
      <c r="H6" s="66"/>
      <c r="I6" s="66"/>
      <c r="J6" s="69"/>
      <c r="K6" s="69"/>
      <c r="L6" s="69"/>
      <c r="M6" s="69"/>
      <c r="N6" s="66"/>
      <c r="O6" s="66"/>
      <c r="P6" s="66"/>
      <c r="Q6" s="66"/>
      <c r="R6" s="66"/>
      <c r="S6" s="66"/>
      <c r="T6" s="66"/>
      <c r="U6" s="66"/>
      <c r="V6" s="66"/>
      <c r="W6" s="66"/>
      <c r="X6" s="66"/>
      <c r="Y6" s="66"/>
      <c r="Z6" s="66"/>
      <c r="AA6" s="66"/>
    </row>
    <row r="7">
      <c r="A7" s="67" t="b">
        <v>0</v>
      </c>
      <c r="B7" s="66"/>
      <c r="C7" s="66"/>
      <c r="D7" s="66"/>
      <c r="E7" s="66"/>
      <c r="F7" s="68" t="str">
        <f t="array" ref="F7">IF(INDEX('Binder Data'!$A$502:$A$751,ROW()-1)="","",IF(INDEX('Binder Data'!$D$502:$D$751,ROW()-1)="Needed",INDEX('Binder Data'!$B$502:$B$751,ROW()-1),INDEX('Binder Data'!$D$502:$D$751,ROW()-1)))</f>
        <v/>
      </c>
      <c r="G7" s="66"/>
      <c r="H7" s="66"/>
      <c r="I7" s="66"/>
      <c r="J7" s="69"/>
      <c r="K7" s="69"/>
      <c r="L7" s="69"/>
      <c r="M7" s="69"/>
      <c r="N7" s="66"/>
      <c r="O7" s="66"/>
      <c r="P7" s="66"/>
      <c r="Q7" s="66"/>
      <c r="R7" s="66"/>
      <c r="S7" s="66"/>
      <c r="T7" s="66"/>
      <c r="U7" s="66"/>
      <c r="V7" s="66"/>
      <c r="W7" s="66"/>
      <c r="X7" s="66"/>
      <c r="Y7" s="66"/>
      <c r="Z7" s="66"/>
      <c r="AA7" s="66"/>
    </row>
    <row r="8">
      <c r="A8" s="67" t="b">
        <v>0</v>
      </c>
      <c r="B8" s="66"/>
      <c r="C8" s="66"/>
      <c r="D8" s="66"/>
      <c r="E8" s="66"/>
      <c r="F8" s="68" t="str">
        <f t="array" ref="F8">IF(INDEX('Binder Data'!$A$502:$A$751,ROW()-1)="","",IF(INDEX('Binder Data'!$D$502:$D$751,ROW()-1)="Needed",INDEX('Binder Data'!$B$502:$B$751,ROW()-1),INDEX('Binder Data'!$D$502:$D$751,ROW()-1)))</f>
        <v/>
      </c>
      <c r="G8" s="66"/>
      <c r="H8" s="66"/>
      <c r="I8" s="66"/>
      <c r="J8" s="69"/>
      <c r="K8" s="69"/>
      <c r="L8" s="69"/>
      <c r="M8" s="69"/>
      <c r="N8" s="66"/>
      <c r="O8" s="66"/>
      <c r="P8" s="66"/>
      <c r="Q8" s="66"/>
      <c r="R8" s="66"/>
      <c r="S8" s="66"/>
      <c r="T8" s="66"/>
      <c r="U8" s="66"/>
      <c r="V8" s="66"/>
      <c r="W8" s="66"/>
      <c r="X8" s="66"/>
      <c r="Y8" s="66"/>
      <c r="Z8" s="66"/>
      <c r="AA8" s="66"/>
    </row>
    <row r="9">
      <c r="A9" s="67" t="b">
        <v>0</v>
      </c>
      <c r="B9" s="66"/>
      <c r="C9" s="66"/>
      <c r="D9" s="66"/>
      <c r="E9" s="66"/>
      <c r="F9" s="68" t="str">
        <f t="array" ref="F9">IF(INDEX('Binder Data'!$A$502:$A$751,ROW()-1)="","",IF(INDEX('Binder Data'!$D$502:$D$751,ROW()-1)="Needed",INDEX('Binder Data'!$B$502:$B$751,ROW()-1),INDEX('Binder Data'!$D$502:$D$751,ROW()-1)))</f>
        <v/>
      </c>
      <c r="G9" s="66"/>
      <c r="H9" s="66"/>
      <c r="I9" s="66"/>
      <c r="J9" s="69"/>
      <c r="K9" s="69"/>
      <c r="L9" s="69"/>
      <c r="M9" s="69"/>
      <c r="N9" s="66"/>
      <c r="O9" s="66"/>
      <c r="P9" s="66"/>
      <c r="Q9" s="66"/>
      <c r="R9" s="66"/>
      <c r="S9" s="66"/>
      <c r="T9" s="66"/>
      <c r="U9" s="66"/>
      <c r="V9" s="66"/>
      <c r="W9" s="66"/>
      <c r="X9" s="66"/>
      <c r="Y9" s="66"/>
      <c r="Z9" s="66"/>
      <c r="AA9" s="66"/>
    </row>
    <row r="10">
      <c r="A10" s="67" t="b">
        <v>0</v>
      </c>
      <c r="B10" s="66"/>
      <c r="C10" s="66"/>
      <c r="D10" s="66"/>
      <c r="E10" s="66"/>
      <c r="F10" s="68" t="str">
        <f t="array" ref="F10">IF(INDEX('Binder Data'!$A$502:$A$751,ROW()-1)="","",IF(INDEX('Binder Data'!$D$502:$D$751,ROW()-1)="Needed",INDEX('Binder Data'!$B$502:$B$751,ROW()-1),INDEX('Binder Data'!$D$502:$D$751,ROW()-1)))</f>
        <v/>
      </c>
      <c r="G10" s="66"/>
      <c r="H10" s="66"/>
      <c r="I10" s="66"/>
      <c r="J10" s="69"/>
      <c r="K10" s="69"/>
      <c r="L10" s="69"/>
      <c r="M10" s="69"/>
      <c r="N10" s="66"/>
      <c r="O10" s="66"/>
      <c r="P10" s="66"/>
      <c r="Q10" s="66"/>
      <c r="R10" s="66"/>
      <c r="S10" s="66"/>
      <c r="T10" s="66"/>
      <c r="U10" s="66"/>
      <c r="V10" s="66"/>
      <c r="W10" s="66"/>
      <c r="X10" s="66"/>
      <c r="Y10" s="66"/>
      <c r="Z10" s="66"/>
      <c r="AA10" s="66"/>
    </row>
    <row r="11">
      <c r="A11" s="67" t="b">
        <v>0</v>
      </c>
      <c r="B11" s="66"/>
      <c r="C11" s="66"/>
      <c r="D11" s="66"/>
      <c r="E11" s="66"/>
      <c r="F11" s="68" t="str">
        <f t="array" ref="F11">IF(INDEX('Binder Data'!$A$502:$A$751,ROW()-1)="","",IF(INDEX('Binder Data'!$D$502:$D$751,ROW()-1)="Needed",INDEX('Binder Data'!$B$502:$B$751,ROW()-1),INDEX('Binder Data'!$D$502:$D$751,ROW()-1)))</f>
        <v/>
      </c>
      <c r="G11" s="66"/>
      <c r="H11" s="66"/>
      <c r="I11" s="66"/>
      <c r="J11" s="69"/>
      <c r="K11" s="69"/>
      <c r="L11" s="69"/>
      <c r="M11" s="69"/>
      <c r="N11" s="66"/>
      <c r="O11" s="66"/>
      <c r="P11" s="66"/>
      <c r="Q11" s="66"/>
      <c r="R11" s="66"/>
      <c r="S11" s="66"/>
      <c r="T11" s="66"/>
      <c r="U11" s="66"/>
      <c r="V11" s="66"/>
      <c r="W11" s="66"/>
      <c r="X11" s="66"/>
      <c r="Y11" s="66"/>
      <c r="Z11" s="66"/>
      <c r="AA11" s="66"/>
    </row>
    <row r="12">
      <c r="A12" s="67" t="b">
        <v>0</v>
      </c>
      <c r="B12" s="66"/>
      <c r="C12" s="66"/>
      <c r="D12" s="66"/>
      <c r="E12" s="66"/>
      <c r="F12" s="68" t="str">
        <f t="array" ref="F12">IF(INDEX('Binder Data'!$A$502:$A$751,ROW()-1)="","",IF(INDEX('Binder Data'!$D$502:$D$751,ROW()-1)="Needed",INDEX('Binder Data'!$B$502:$B$751,ROW()-1),INDEX('Binder Data'!$D$502:$D$751,ROW()-1)))</f>
        <v/>
      </c>
      <c r="G12" s="66"/>
      <c r="H12" s="66"/>
      <c r="I12" s="66"/>
      <c r="J12" s="69"/>
      <c r="K12" s="69"/>
      <c r="L12" s="69"/>
      <c r="M12" s="69"/>
      <c r="N12" s="66"/>
      <c r="O12" s="66"/>
      <c r="P12" s="66"/>
      <c r="Q12" s="66"/>
      <c r="R12" s="66"/>
      <c r="S12" s="66"/>
      <c r="T12" s="66"/>
      <c r="U12" s="66"/>
      <c r="V12" s="66"/>
      <c r="W12" s="66"/>
      <c r="X12" s="66"/>
      <c r="Y12" s="66"/>
      <c r="Z12" s="66"/>
      <c r="AA12" s="66"/>
    </row>
    <row r="13">
      <c r="A13" s="67" t="b">
        <v>0</v>
      </c>
      <c r="B13" s="66"/>
      <c r="C13" s="66"/>
      <c r="D13" s="66"/>
      <c r="E13" s="66"/>
      <c r="F13" s="68" t="str">
        <f t="array" ref="F13">IF(INDEX('Binder Data'!$A$502:$A$751,ROW()-1)="","",IF(INDEX('Binder Data'!$D$502:$D$751,ROW()-1)="Needed",INDEX('Binder Data'!$B$502:$B$751,ROW()-1),INDEX('Binder Data'!$D$502:$D$751,ROW()-1)))</f>
        <v/>
      </c>
      <c r="G13" s="66"/>
      <c r="H13" s="66"/>
      <c r="I13" s="66"/>
      <c r="J13" s="69"/>
      <c r="K13" s="69"/>
      <c r="L13" s="69"/>
      <c r="M13" s="69"/>
      <c r="N13" s="66"/>
      <c r="O13" s="66"/>
      <c r="P13" s="66"/>
      <c r="Q13" s="66"/>
      <c r="R13" s="66"/>
      <c r="S13" s="66"/>
      <c r="T13" s="66"/>
      <c r="U13" s="66"/>
      <c r="V13" s="66"/>
      <c r="W13" s="66"/>
      <c r="X13" s="66"/>
      <c r="Y13" s="66"/>
      <c r="Z13" s="66"/>
      <c r="AA13" s="66"/>
    </row>
    <row r="14">
      <c r="A14" s="67" t="b">
        <v>0</v>
      </c>
      <c r="B14" s="66"/>
      <c r="C14" s="66"/>
      <c r="D14" s="66"/>
      <c r="E14" s="66"/>
      <c r="F14" s="68" t="str">
        <f t="array" ref="F14">IF(INDEX('Binder Data'!$A$502:$A$751,ROW()-1)="","",IF(INDEX('Binder Data'!$D$502:$D$751,ROW()-1)="Needed",INDEX('Binder Data'!$B$502:$B$751,ROW()-1),INDEX('Binder Data'!$D$502:$D$751,ROW()-1)))</f>
        <v/>
      </c>
      <c r="G14" s="66"/>
      <c r="H14" s="66"/>
      <c r="I14" s="66"/>
      <c r="J14" s="69"/>
      <c r="K14" s="69"/>
      <c r="L14" s="69"/>
      <c r="M14" s="69"/>
      <c r="N14" s="66"/>
      <c r="O14" s="66"/>
      <c r="P14" s="66"/>
      <c r="Q14" s="66"/>
      <c r="R14" s="66"/>
      <c r="S14" s="66"/>
      <c r="T14" s="66"/>
      <c r="U14" s="66"/>
      <c r="V14" s="66"/>
      <c r="W14" s="66"/>
      <c r="X14" s="66"/>
      <c r="Y14" s="66"/>
      <c r="Z14" s="66"/>
      <c r="AA14" s="66"/>
    </row>
    <row r="15">
      <c r="A15" s="67" t="b">
        <v>0</v>
      </c>
      <c r="B15" s="66"/>
      <c r="C15" s="66"/>
      <c r="D15" s="66"/>
      <c r="E15" s="66"/>
      <c r="F15" s="68" t="str">
        <f t="array" ref="F15">IF(INDEX('Binder Data'!$A$502:$A$751,ROW()-1)="","",IF(INDEX('Binder Data'!$D$502:$D$751,ROW()-1)="Needed",INDEX('Binder Data'!$B$502:$B$751,ROW()-1),INDEX('Binder Data'!$D$502:$D$751,ROW()-1)))</f>
        <v/>
      </c>
      <c r="G15" s="66"/>
      <c r="H15" s="66"/>
      <c r="I15" s="66"/>
      <c r="J15" s="69"/>
      <c r="K15" s="69"/>
      <c r="L15" s="69"/>
      <c r="M15" s="69"/>
      <c r="N15" s="66"/>
      <c r="O15" s="66"/>
      <c r="P15" s="66"/>
      <c r="Q15" s="66"/>
      <c r="R15" s="66"/>
      <c r="S15" s="66"/>
      <c r="T15" s="66"/>
      <c r="U15" s="66"/>
      <c r="V15" s="66"/>
      <c r="W15" s="66"/>
      <c r="X15" s="66"/>
      <c r="Y15" s="66"/>
      <c r="Z15" s="66"/>
      <c r="AA15" s="66"/>
    </row>
    <row r="16">
      <c r="A16" s="67" t="b">
        <v>0</v>
      </c>
      <c r="B16" s="66"/>
      <c r="C16" s="66"/>
      <c r="D16" s="66"/>
      <c r="E16" s="66"/>
      <c r="F16" s="68" t="str">
        <f t="array" ref="F16">IF(INDEX('Binder Data'!$A$502:$A$751,ROW()-1)="","",IF(INDEX('Binder Data'!$D$502:$D$751,ROW()-1)="Needed",INDEX('Binder Data'!$B$502:$B$751,ROW()-1),INDEX('Binder Data'!$D$502:$D$751,ROW()-1)))</f>
        <v/>
      </c>
      <c r="G16" s="66"/>
      <c r="H16" s="66"/>
      <c r="I16" s="66"/>
      <c r="J16" s="69"/>
      <c r="K16" s="69"/>
      <c r="L16" s="69"/>
      <c r="M16" s="69"/>
      <c r="N16" s="66"/>
      <c r="O16" s="66"/>
      <c r="P16" s="66"/>
      <c r="Q16" s="66"/>
      <c r="R16" s="66"/>
      <c r="S16" s="66"/>
      <c r="T16" s="66"/>
      <c r="U16" s="66"/>
      <c r="V16" s="66"/>
      <c r="W16" s="66"/>
      <c r="X16" s="66"/>
      <c r="Y16" s="66"/>
      <c r="Z16" s="66"/>
      <c r="AA16" s="66"/>
    </row>
    <row r="17">
      <c r="A17" s="67" t="b">
        <v>0</v>
      </c>
      <c r="B17" s="66"/>
      <c r="C17" s="66"/>
      <c r="D17" s="66"/>
      <c r="E17" s="66"/>
      <c r="F17" s="68" t="str">
        <f t="array" ref="F17">IF(INDEX('Binder Data'!$A$502:$A$751,ROW()-1)="","",IF(INDEX('Binder Data'!$D$502:$D$751,ROW()-1)="Needed",INDEX('Binder Data'!$B$502:$B$751,ROW()-1),INDEX('Binder Data'!$D$502:$D$751,ROW()-1)))</f>
        <v/>
      </c>
      <c r="G17" s="66"/>
      <c r="H17" s="66"/>
      <c r="I17" s="66"/>
      <c r="J17" s="69"/>
      <c r="K17" s="69"/>
      <c r="L17" s="69"/>
      <c r="M17" s="69"/>
      <c r="N17" s="66"/>
      <c r="O17" s="66"/>
      <c r="P17" s="66"/>
      <c r="Q17" s="66"/>
      <c r="R17" s="66"/>
      <c r="S17" s="66"/>
      <c r="T17" s="66"/>
      <c r="U17" s="66"/>
      <c r="V17" s="66"/>
      <c r="W17" s="66"/>
      <c r="X17" s="66"/>
      <c r="Y17" s="66"/>
      <c r="Z17" s="66"/>
      <c r="AA17" s="66"/>
    </row>
    <row r="18">
      <c r="A18" s="67" t="b">
        <v>0</v>
      </c>
      <c r="B18" s="66"/>
      <c r="C18" s="66"/>
      <c r="D18" s="66"/>
      <c r="E18" s="66"/>
      <c r="F18" s="68" t="str">
        <f t="array" ref="F18">IF(INDEX('Binder Data'!$A$502:$A$751,ROW()-1)="","",IF(INDEX('Binder Data'!$D$502:$D$751,ROW()-1)="Needed",INDEX('Binder Data'!$B$502:$B$751,ROW()-1),INDEX('Binder Data'!$D$502:$D$751,ROW()-1)))</f>
        <v/>
      </c>
      <c r="G18" s="66"/>
      <c r="H18" s="66"/>
      <c r="I18" s="66"/>
      <c r="J18" s="69"/>
      <c r="K18" s="69"/>
      <c r="L18" s="69"/>
      <c r="M18" s="69"/>
      <c r="N18" s="66"/>
      <c r="O18" s="66"/>
      <c r="P18" s="66"/>
      <c r="Q18" s="66"/>
      <c r="R18" s="66"/>
      <c r="S18" s="66"/>
      <c r="T18" s="66"/>
      <c r="U18" s="66"/>
      <c r="V18" s="66"/>
      <c r="W18" s="66"/>
      <c r="X18" s="66"/>
      <c r="Y18" s="66"/>
      <c r="Z18" s="66"/>
      <c r="AA18" s="66"/>
    </row>
    <row r="19">
      <c r="A19" s="67" t="b">
        <v>0</v>
      </c>
      <c r="B19" s="66"/>
      <c r="C19" s="66"/>
      <c r="D19" s="66"/>
      <c r="E19" s="66"/>
      <c r="F19" s="68" t="str">
        <f t="array" ref="F19">IF(INDEX('Binder Data'!$A$502:$A$751,ROW()-1)="","",IF(INDEX('Binder Data'!$D$502:$D$751,ROW()-1)="Needed",INDEX('Binder Data'!$B$502:$B$751,ROW()-1),INDEX('Binder Data'!$D$502:$D$751,ROW()-1)))</f>
        <v/>
      </c>
      <c r="G19" s="66"/>
      <c r="H19" s="66"/>
      <c r="I19" s="66"/>
      <c r="J19" s="69"/>
      <c r="K19" s="69"/>
      <c r="L19" s="69"/>
      <c r="M19" s="69"/>
      <c r="N19" s="66"/>
      <c r="O19" s="66"/>
      <c r="P19" s="66"/>
      <c r="Q19" s="66"/>
      <c r="R19" s="66"/>
      <c r="S19" s="66"/>
      <c r="T19" s="66"/>
      <c r="U19" s="66"/>
      <c r="V19" s="66"/>
      <c r="W19" s="66"/>
      <c r="X19" s="66"/>
      <c r="Y19" s="66"/>
      <c r="Z19" s="66"/>
      <c r="AA19" s="66"/>
    </row>
    <row r="20">
      <c r="A20" s="67" t="b">
        <v>0</v>
      </c>
      <c r="B20" s="66"/>
      <c r="C20" s="66"/>
      <c r="D20" s="66"/>
      <c r="E20" s="66"/>
      <c r="F20" s="68" t="str">
        <f t="array" ref="F20">IF(INDEX('Binder Data'!$A$502:$A$751,ROW()-1)="","",IF(INDEX('Binder Data'!$D$502:$D$751,ROW()-1)="Needed",INDEX('Binder Data'!$B$502:$B$751,ROW()-1),INDEX('Binder Data'!$D$502:$D$751,ROW()-1)))</f>
        <v/>
      </c>
      <c r="G20" s="66"/>
      <c r="H20" s="66"/>
      <c r="I20" s="66"/>
      <c r="J20" s="69"/>
      <c r="K20" s="69"/>
      <c r="L20" s="69"/>
      <c r="M20" s="69"/>
      <c r="N20" s="66"/>
      <c r="O20" s="66"/>
      <c r="P20" s="66"/>
      <c r="Q20" s="66"/>
      <c r="R20" s="66"/>
      <c r="S20" s="66"/>
      <c r="T20" s="66"/>
      <c r="U20" s="66"/>
      <c r="V20" s="66"/>
      <c r="W20" s="66"/>
      <c r="X20" s="66"/>
      <c r="Y20" s="66"/>
      <c r="Z20" s="66"/>
      <c r="AA20" s="66"/>
    </row>
    <row r="21" ht="15.75" customHeight="1">
      <c r="A21" s="67" t="b">
        <v>0</v>
      </c>
      <c r="B21" s="66"/>
      <c r="C21" s="66"/>
      <c r="D21" s="66"/>
      <c r="E21" s="66"/>
      <c r="F21" s="68" t="str">
        <f t="array" ref="F21">IF(INDEX('Binder Data'!$A$502:$A$751,ROW()-1)="","",IF(INDEX('Binder Data'!$D$502:$D$751,ROW()-1)="Needed",INDEX('Binder Data'!$B$502:$B$751,ROW()-1),INDEX('Binder Data'!$D$502:$D$751,ROW()-1)))</f>
        <v/>
      </c>
      <c r="G21" s="66"/>
      <c r="H21" s="66"/>
      <c r="I21" s="66"/>
      <c r="J21" s="69"/>
      <c r="K21" s="69"/>
      <c r="L21" s="69"/>
      <c r="M21" s="69"/>
      <c r="N21" s="66"/>
      <c r="O21" s="66"/>
      <c r="P21" s="66"/>
      <c r="Q21" s="66"/>
      <c r="R21" s="66"/>
      <c r="S21" s="66"/>
      <c r="T21" s="66"/>
      <c r="U21" s="66"/>
      <c r="V21" s="66"/>
      <c r="W21" s="66"/>
      <c r="X21" s="66"/>
      <c r="Y21" s="66"/>
      <c r="Z21" s="66"/>
      <c r="AA21" s="66"/>
    </row>
    <row r="22" ht="15.75" customHeight="1">
      <c r="A22" s="67" t="b">
        <v>0</v>
      </c>
      <c r="B22" s="66"/>
      <c r="C22" s="66"/>
      <c r="D22" s="66"/>
      <c r="E22" s="66"/>
      <c r="F22" s="68" t="str">
        <f t="array" ref="F22">IF(INDEX('Binder Data'!$A$502:$A$751,ROW()-1)="","",IF(INDEX('Binder Data'!$D$502:$D$751,ROW()-1)="Needed",INDEX('Binder Data'!$B$502:$B$751,ROW()-1),INDEX('Binder Data'!$D$502:$D$751,ROW()-1)))</f>
        <v/>
      </c>
      <c r="G22" s="66"/>
      <c r="H22" s="66"/>
      <c r="I22" s="66"/>
      <c r="J22" s="69"/>
      <c r="K22" s="69"/>
      <c r="L22" s="69"/>
      <c r="M22" s="69"/>
      <c r="N22" s="66"/>
      <c r="O22" s="66"/>
      <c r="P22" s="66"/>
      <c r="Q22" s="66"/>
      <c r="R22" s="66"/>
      <c r="S22" s="66"/>
      <c r="T22" s="66"/>
      <c r="U22" s="66"/>
      <c r="V22" s="66"/>
      <c r="W22" s="66"/>
      <c r="X22" s="66"/>
      <c r="Y22" s="66"/>
      <c r="Z22" s="66"/>
      <c r="AA22" s="66"/>
    </row>
    <row r="23" ht="15.75" customHeight="1">
      <c r="A23" s="67" t="b">
        <v>0</v>
      </c>
      <c r="B23" s="66"/>
      <c r="C23" s="66"/>
      <c r="D23" s="66"/>
      <c r="E23" s="66"/>
      <c r="F23" s="68" t="str">
        <f t="array" ref="F23">IF(INDEX('Binder Data'!$A$502:$A$751,ROW()-1)="","",IF(INDEX('Binder Data'!$D$502:$D$751,ROW()-1)="Needed",INDEX('Binder Data'!$B$502:$B$751,ROW()-1),INDEX('Binder Data'!$D$502:$D$751,ROW()-1)))</f>
        <v/>
      </c>
      <c r="G23" s="66"/>
      <c r="H23" s="66"/>
      <c r="I23" s="66"/>
      <c r="J23" s="69"/>
      <c r="K23" s="69"/>
      <c r="L23" s="69"/>
      <c r="M23" s="69"/>
      <c r="N23" s="66"/>
      <c r="O23" s="66"/>
      <c r="P23" s="66"/>
      <c r="Q23" s="66"/>
      <c r="R23" s="66"/>
      <c r="S23" s="66"/>
      <c r="T23" s="66"/>
      <c r="U23" s="66"/>
      <c r="V23" s="66"/>
      <c r="W23" s="66"/>
      <c r="X23" s="66"/>
      <c r="Y23" s="66"/>
      <c r="Z23" s="66"/>
      <c r="AA23" s="66"/>
    </row>
    <row r="24" ht="15.75" customHeight="1">
      <c r="A24" s="67" t="b">
        <v>0</v>
      </c>
      <c r="B24" s="66"/>
      <c r="C24" s="66"/>
      <c r="D24" s="66"/>
      <c r="E24" s="66"/>
      <c r="F24" s="68" t="str">
        <f t="array" ref="F24">IF(INDEX('Binder Data'!$A$502:$A$751,ROW()-1)="","",IF(INDEX('Binder Data'!$D$502:$D$751,ROW()-1)="Needed",INDEX('Binder Data'!$B$502:$B$751,ROW()-1),INDEX('Binder Data'!$D$502:$D$751,ROW()-1)))</f>
        <v/>
      </c>
      <c r="G24" s="66"/>
      <c r="H24" s="66"/>
      <c r="I24" s="66"/>
      <c r="J24" s="69"/>
      <c r="K24" s="69"/>
      <c r="L24" s="69"/>
      <c r="M24" s="69"/>
      <c r="N24" s="66"/>
      <c r="O24" s="66"/>
      <c r="P24" s="66"/>
      <c r="Q24" s="66"/>
      <c r="R24" s="66"/>
      <c r="S24" s="66"/>
      <c r="T24" s="66"/>
      <c r="U24" s="66"/>
      <c r="V24" s="66"/>
      <c r="W24" s="66"/>
      <c r="X24" s="66"/>
      <c r="Y24" s="66"/>
      <c r="Z24" s="66"/>
      <c r="AA24" s="66"/>
    </row>
    <row r="25" ht="15.75" customHeight="1">
      <c r="A25" s="67" t="b">
        <v>0</v>
      </c>
      <c r="B25" s="66"/>
      <c r="C25" s="66"/>
      <c r="D25" s="66"/>
      <c r="E25" s="66"/>
      <c r="F25" s="68" t="str">
        <f t="array" ref="F25">IF(INDEX('Binder Data'!$A$502:$A$751,ROW()-1)="","",IF(INDEX('Binder Data'!$D$502:$D$751,ROW()-1)="Needed",INDEX('Binder Data'!$B$502:$B$751,ROW()-1),INDEX('Binder Data'!$D$502:$D$751,ROW()-1)))</f>
        <v/>
      </c>
      <c r="G25" s="66"/>
      <c r="H25" s="66"/>
      <c r="I25" s="66"/>
      <c r="J25" s="69"/>
      <c r="K25" s="69"/>
      <c r="L25" s="69"/>
      <c r="M25" s="69"/>
      <c r="N25" s="66"/>
      <c r="O25" s="66"/>
      <c r="P25" s="66"/>
      <c r="Q25" s="66"/>
      <c r="R25" s="66"/>
      <c r="S25" s="66"/>
      <c r="T25" s="66"/>
      <c r="U25" s="66"/>
      <c r="V25" s="66"/>
      <c r="W25" s="66"/>
      <c r="X25" s="66"/>
      <c r="Y25" s="66"/>
      <c r="Z25" s="66"/>
      <c r="AA25" s="66"/>
    </row>
    <row r="26" ht="15.75" customHeight="1">
      <c r="A26" s="67" t="b">
        <v>0</v>
      </c>
      <c r="B26" s="66"/>
      <c r="C26" s="66"/>
      <c r="D26" s="66"/>
      <c r="E26" s="66"/>
      <c r="F26" s="68" t="str">
        <f t="array" ref="F26">IF(INDEX('Binder Data'!$A$502:$A$751,ROW()-1)="","",IF(INDEX('Binder Data'!$D$502:$D$751,ROW()-1)="Needed",INDEX('Binder Data'!$B$502:$B$751,ROW()-1),INDEX('Binder Data'!$D$502:$D$751,ROW()-1)))</f>
        <v/>
      </c>
      <c r="G26" s="66"/>
      <c r="H26" s="66"/>
      <c r="I26" s="66"/>
      <c r="J26" s="69"/>
      <c r="K26" s="69"/>
      <c r="L26" s="69"/>
      <c r="M26" s="69"/>
      <c r="N26" s="66"/>
      <c r="O26" s="66"/>
      <c r="P26" s="66"/>
      <c r="Q26" s="66"/>
      <c r="R26" s="66"/>
      <c r="S26" s="66"/>
      <c r="T26" s="66"/>
      <c r="U26" s="66"/>
      <c r="V26" s="66"/>
      <c r="W26" s="66"/>
      <c r="X26" s="66"/>
      <c r="Y26" s="66"/>
      <c r="Z26" s="66"/>
      <c r="AA26" s="66"/>
    </row>
    <row r="27" ht="15.75" customHeight="1">
      <c r="A27" s="67" t="b">
        <v>0</v>
      </c>
      <c r="B27" s="66"/>
      <c r="C27" s="66"/>
      <c r="D27" s="66"/>
      <c r="E27" s="66"/>
      <c r="F27" s="68" t="str">
        <f t="array" ref="F27">IF(INDEX('Binder Data'!$A$502:$A$751,ROW()-1)="","",IF(INDEX('Binder Data'!$D$502:$D$751,ROW()-1)="Needed",INDEX('Binder Data'!$B$502:$B$751,ROW()-1),INDEX('Binder Data'!$D$502:$D$751,ROW()-1)))</f>
        <v/>
      </c>
      <c r="G27" s="66"/>
      <c r="H27" s="66"/>
      <c r="I27" s="66"/>
      <c r="J27" s="69"/>
      <c r="K27" s="69"/>
      <c r="L27" s="69"/>
      <c r="M27" s="69"/>
      <c r="N27" s="66"/>
      <c r="O27" s="66"/>
      <c r="P27" s="66"/>
      <c r="Q27" s="66"/>
      <c r="R27" s="66"/>
      <c r="S27" s="66"/>
      <c r="T27" s="66"/>
      <c r="U27" s="66"/>
      <c r="V27" s="66"/>
      <c r="W27" s="66"/>
      <c r="X27" s="66"/>
      <c r="Y27" s="66"/>
      <c r="Z27" s="66"/>
      <c r="AA27" s="66"/>
    </row>
    <row r="28" ht="15.75" customHeight="1">
      <c r="A28" s="67" t="b">
        <v>0</v>
      </c>
      <c r="B28" s="66"/>
      <c r="C28" s="66"/>
      <c r="D28" s="66"/>
      <c r="E28" s="66"/>
      <c r="F28" s="68" t="str">
        <f t="array" ref="F28">IF(INDEX('Binder Data'!$A$502:$A$751,ROW()-1)="","",IF(INDEX('Binder Data'!$D$502:$D$751,ROW()-1)="Needed",INDEX('Binder Data'!$B$502:$B$751,ROW()-1),INDEX('Binder Data'!$D$502:$D$751,ROW()-1)))</f>
        <v/>
      </c>
      <c r="G28" s="66"/>
      <c r="H28" s="66"/>
      <c r="I28" s="66"/>
      <c r="J28" s="69"/>
      <c r="K28" s="69"/>
      <c r="L28" s="69"/>
      <c r="M28" s="69"/>
      <c r="N28" s="66"/>
      <c r="O28" s="66"/>
      <c r="P28" s="66"/>
      <c r="Q28" s="66"/>
      <c r="R28" s="66"/>
      <c r="S28" s="66"/>
      <c r="T28" s="66"/>
      <c r="U28" s="66"/>
      <c r="V28" s="66"/>
      <c r="W28" s="66"/>
      <c r="X28" s="66"/>
      <c r="Y28" s="66"/>
      <c r="Z28" s="66"/>
      <c r="AA28" s="66"/>
    </row>
    <row r="29" ht="15.75" customHeight="1">
      <c r="A29" s="67" t="b">
        <v>0</v>
      </c>
      <c r="B29" s="66"/>
      <c r="C29" s="66"/>
      <c r="D29" s="66"/>
      <c r="E29" s="66"/>
      <c r="F29" s="68" t="str">
        <f t="array" ref="F29">IF(INDEX('Binder Data'!$A$502:$A$751,ROW()-1)="","",IF(INDEX('Binder Data'!$D$502:$D$751,ROW()-1)="Needed",INDEX('Binder Data'!$B$502:$B$751,ROW()-1),INDEX('Binder Data'!$D$502:$D$751,ROW()-1)))</f>
        <v/>
      </c>
      <c r="G29" s="66"/>
      <c r="H29" s="66"/>
      <c r="I29" s="66"/>
      <c r="J29" s="69"/>
      <c r="K29" s="69"/>
      <c r="L29" s="69"/>
      <c r="M29" s="69"/>
      <c r="N29" s="66"/>
      <c r="O29" s="66"/>
      <c r="P29" s="66"/>
      <c r="Q29" s="66"/>
      <c r="R29" s="66"/>
      <c r="S29" s="66"/>
      <c r="T29" s="66"/>
      <c r="U29" s="66"/>
      <c r="V29" s="66"/>
      <c r="W29" s="66"/>
      <c r="X29" s="66"/>
      <c r="Y29" s="66"/>
      <c r="Z29" s="66"/>
      <c r="AA29" s="66"/>
    </row>
    <row r="30" ht="15.75" customHeight="1">
      <c r="A30" s="67" t="b">
        <v>0</v>
      </c>
      <c r="B30" s="66"/>
      <c r="C30" s="66"/>
      <c r="D30" s="66"/>
      <c r="E30" s="66"/>
      <c r="F30" s="68" t="str">
        <f t="array" ref="F30">IF(INDEX('Binder Data'!$A$502:$A$751,ROW()-1)="","",IF(INDEX('Binder Data'!$D$502:$D$751,ROW()-1)="Needed",INDEX('Binder Data'!$B$502:$B$751,ROW()-1),INDEX('Binder Data'!$D$502:$D$751,ROW()-1)))</f>
        <v/>
      </c>
      <c r="G30" s="66"/>
      <c r="H30" s="66"/>
      <c r="I30" s="66"/>
      <c r="J30" s="69"/>
      <c r="K30" s="69"/>
      <c r="L30" s="69"/>
      <c r="M30" s="69"/>
      <c r="N30" s="66"/>
      <c r="O30" s="66"/>
      <c r="P30" s="66"/>
      <c r="Q30" s="66"/>
      <c r="R30" s="66"/>
      <c r="S30" s="66"/>
      <c r="T30" s="66"/>
      <c r="U30" s="66"/>
      <c r="V30" s="66"/>
      <c r="W30" s="66"/>
      <c r="X30" s="66"/>
      <c r="Y30" s="66"/>
      <c r="Z30" s="66"/>
      <c r="AA30" s="66"/>
    </row>
    <row r="31" ht="15.75" customHeight="1">
      <c r="A31" s="67" t="b">
        <v>0</v>
      </c>
      <c r="B31" s="66"/>
      <c r="C31" s="66"/>
      <c r="D31" s="66"/>
      <c r="E31" s="66"/>
      <c r="F31" s="68" t="str">
        <f t="array" ref="F31">IF(INDEX('Binder Data'!$A$502:$A$751,ROW()-1)="","",IF(INDEX('Binder Data'!$D$502:$D$751,ROW()-1)="Needed",INDEX('Binder Data'!$B$502:$B$751,ROW()-1),INDEX('Binder Data'!$D$502:$D$751,ROW()-1)))</f>
        <v/>
      </c>
      <c r="G31" s="66"/>
      <c r="H31" s="66"/>
      <c r="I31" s="66"/>
      <c r="J31" s="69"/>
      <c r="K31" s="69"/>
      <c r="L31" s="69"/>
      <c r="M31" s="69"/>
      <c r="N31" s="66"/>
      <c r="O31" s="66"/>
      <c r="P31" s="66"/>
      <c r="Q31" s="66"/>
      <c r="R31" s="66"/>
      <c r="S31" s="66"/>
      <c r="T31" s="66"/>
      <c r="U31" s="66"/>
      <c r="V31" s="66"/>
      <c r="W31" s="66"/>
      <c r="X31" s="66"/>
      <c r="Y31" s="66"/>
      <c r="Z31" s="66"/>
      <c r="AA31" s="66"/>
    </row>
    <row r="32" ht="15.75" customHeight="1">
      <c r="A32" s="67" t="b">
        <v>0</v>
      </c>
      <c r="B32" s="66"/>
      <c r="C32" s="66"/>
      <c r="D32" s="66"/>
      <c r="E32" s="66"/>
      <c r="F32" s="68" t="str">
        <f t="array" ref="F32">IF(INDEX('Binder Data'!$A$502:$A$751,ROW()-1)="","",IF(INDEX('Binder Data'!$D$502:$D$751,ROW()-1)="Needed",INDEX('Binder Data'!$B$502:$B$751,ROW()-1),INDEX('Binder Data'!$D$502:$D$751,ROW()-1)))</f>
        <v/>
      </c>
      <c r="G32" s="66"/>
      <c r="H32" s="66"/>
      <c r="I32" s="66"/>
      <c r="J32" s="69"/>
      <c r="K32" s="69"/>
      <c r="L32" s="69"/>
      <c r="M32" s="69"/>
      <c r="N32" s="66"/>
      <c r="O32" s="66"/>
      <c r="P32" s="66"/>
      <c r="Q32" s="66"/>
      <c r="R32" s="66"/>
      <c r="S32" s="66"/>
      <c r="T32" s="66"/>
      <c r="U32" s="66"/>
      <c r="V32" s="66"/>
      <c r="W32" s="66"/>
      <c r="X32" s="66"/>
      <c r="Y32" s="66"/>
      <c r="Z32" s="66"/>
      <c r="AA32" s="66"/>
    </row>
    <row r="33" ht="15.75" customHeight="1">
      <c r="A33" s="67" t="b">
        <v>0</v>
      </c>
      <c r="B33" s="66"/>
      <c r="C33" s="66"/>
      <c r="D33" s="66"/>
      <c r="E33" s="66"/>
      <c r="F33" s="68" t="str">
        <f t="array" ref="F33">IF(INDEX('Binder Data'!$A$502:$A$751,ROW()-1)="","",IF(INDEX('Binder Data'!$D$502:$D$751,ROW()-1)="Needed",INDEX('Binder Data'!$B$502:$B$751,ROW()-1),INDEX('Binder Data'!$D$502:$D$751,ROW()-1)))</f>
        <v/>
      </c>
      <c r="G33" s="66"/>
      <c r="H33" s="66"/>
      <c r="I33" s="66"/>
      <c r="J33" s="69"/>
      <c r="K33" s="69"/>
      <c r="L33" s="69"/>
      <c r="M33" s="69"/>
      <c r="N33" s="66"/>
      <c r="O33" s="66"/>
      <c r="P33" s="66"/>
      <c r="Q33" s="66"/>
      <c r="R33" s="66"/>
      <c r="S33" s="66"/>
      <c r="T33" s="66"/>
      <c r="U33" s="66"/>
      <c r="V33" s="66"/>
      <c r="W33" s="66"/>
      <c r="X33" s="66"/>
      <c r="Y33" s="66"/>
      <c r="Z33" s="66"/>
      <c r="AA33" s="66"/>
    </row>
    <row r="34" ht="15.75" customHeight="1">
      <c r="A34" s="67" t="b">
        <v>0</v>
      </c>
      <c r="B34" s="66"/>
      <c r="C34" s="66"/>
      <c r="D34" s="66"/>
      <c r="E34" s="66"/>
      <c r="F34" s="68" t="str">
        <f t="array" ref="F34">IF(INDEX('Binder Data'!$A$502:$A$751,ROW()-1)="","",IF(INDEX('Binder Data'!$D$502:$D$751,ROW()-1)="Needed",INDEX('Binder Data'!$B$502:$B$751,ROW()-1),INDEX('Binder Data'!$D$502:$D$751,ROW()-1)))</f>
        <v/>
      </c>
      <c r="G34" s="66"/>
      <c r="H34" s="66"/>
      <c r="I34" s="66"/>
      <c r="J34" s="69"/>
      <c r="K34" s="69"/>
      <c r="L34" s="69"/>
      <c r="M34" s="69"/>
      <c r="N34" s="66"/>
      <c r="O34" s="66"/>
      <c r="P34" s="66"/>
      <c r="Q34" s="66"/>
      <c r="R34" s="66"/>
      <c r="S34" s="66"/>
      <c r="T34" s="66"/>
      <c r="U34" s="66"/>
      <c r="V34" s="66"/>
      <c r="W34" s="66"/>
      <c r="X34" s="66"/>
      <c r="Y34" s="66"/>
      <c r="Z34" s="66"/>
      <c r="AA34" s="66"/>
    </row>
    <row r="35" ht="15.75" customHeight="1">
      <c r="A35" s="67" t="b">
        <v>0</v>
      </c>
      <c r="B35" s="66"/>
      <c r="C35" s="66"/>
      <c r="D35" s="66"/>
      <c r="E35" s="66"/>
      <c r="F35" s="68" t="str">
        <f t="array" ref="F35">IF(INDEX('Binder Data'!$A$502:$A$751,ROW()-1)="","",IF(INDEX('Binder Data'!$D$502:$D$751,ROW()-1)="Needed",INDEX('Binder Data'!$B$502:$B$751,ROW()-1),INDEX('Binder Data'!$D$502:$D$751,ROW()-1)))</f>
        <v/>
      </c>
      <c r="G35" s="66"/>
      <c r="H35" s="66"/>
      <c r="I35" s="66"/>
      <c r="J35" s="69"/>
      <c r="K35" s="69"/>
      <c r="L35" s="69"/>
      <c r="M35" s="69"/>
      <c r="N35" s="66"/>
      <c r="O35" s="66"/>
      <c r="P35" s="66"/>
      <c r="Q35" s="66"/>
      <c r="R35" s="66"/>
      <c r="S35" s="66"/>
      <c r="T35" s="66"/>
      <c r="U35" s="66"/>
      <c r="V35" s="66"/>
      <c r="W35" s="66"/>
      <c r="X35" s="66"/>
      <c r="Y35" s="66"/>
      <c r="Z35" s="66"/>
      <c r="AA35" s="66"/>
    </row>
    <row r="36" ht="15.75" customHeight="1">
      <c r="A36" s="67" t="b">
        <v>0</v>
      </c>
      <c r="B36" s="66"/>
      <c r="C36" s="66"/>
      <c r="D36" s="66"/>
      <c r="E36" s="66"/>
      <c r="F36" s="68" t="str">
        <f t="array" ref="F36">IF(INDEX('Binder Data'!$A$502:$A$751,ROW()-1)="","",IF(INDEX('Binder Data'!$D$502:$D$751,ROW()-1)="Needed",INDEX('Binder Data'!$B$502:$B$751,ROW()-1),INDEX('Binder Data'!$D$502:$D$751,ROW()-1)))</f>
        <v/>
      </c>
      <c r="G36" s="66"/>
      <c r="H36" s="66"/>
      <c r="I36" s="66"/>
      <c r="J36" s="69"/>
      <c r="K36" s="69"/>
      <c r="L36" s="69"/>
      <c r="M36" s="69"/>
      <c r="N36" s="66"/>
      <c r="O36" s="66"/>
      <c r="P36" s="66"/>
      <c r="Q36" s="66"/>
      <c r="R36" s="66"/>
      <c r="S36" s="66"/>
      <c r="T36" s="66"/>
      <c r="U36" s="66"/>
      <c r="V36" s="66"/>
      <c r="W36" s="66"/>
      <c r="X36" s="66"/>
      <c r="Y36" s="66"/>
      <c r="Z36" s="66"/>
      <c r="AA36" s="66"/>
    </row>
    <row r="37" ht="15.75" customHeight="1">
      <c r="A37" s="67" t="b">
        <v>0</v>
      </c>
      <c r="B37" s="66"/>
      <c r="C37" s="66"/>
      <c r="D37" s="66"/>
      <c r="E37" s="66"/>
      <c r="F37" s="68" t="str">
        <f t="array" ref="F37">IF(INDEX('Binder Data'!$A$502:$A$751,ROW()-1)="","",IF(INDEX('Binder Data'!$D$502:$D$751,ROW()-1)="Needed",INDEX('Binder Data'!$B$502:$B$751,ROW()-1),INDEX('Binder Data'!$D$502:$D$751,ROW()-1)))</f>
        <v/>
      </c>
      <c r="G37" s="66"/>
      <c r="H37" s="66"/>
      <c r="I37" s="66"/>
      <c r="J37" s="69"/>
      <c r="K37" s="69"/>
      <c r="L37" s="69"/>
      <c r="M37" s="69"/>
      <c r="N37" s="66"/>
      <c r="O37" s="66"/>
      <c r="P37" s="66"/>
      <c r="Q37" s="66"/>
      <c r="R37" s="66"/>
      <c r="S37" s="66"/>
      <c r="T37" s="66"/>
      <c r="U37" s="66"/>
      <c r="V37" s="66"/>
      <c r="W37" s="66"/>
      <c r="X37" s="66"/>
      <c r="Y37" s="66"/>
      <c r="Z37" s="66"/>
      <c r="AA37" s="66"/>
    </row>
    <row r="38" ht="15.75" customHeight="1">
      <c r="A38" s="67" t="b">
        <v>0</v>
      </c>
      <c r="B38" s="66"/>
      <c r="C38" s="66"/>
      <c r="D38" s="66"/>
      <c r="E38" s="66"/>
      <c r="F38" s="68" t="str">
        <f t="array" ref="F38">IF(INDEX('Binder Data'!$A$502:$A$751,ROW()-1)="","",IF(INDEX('Binder Data'!$D$502:$D$751,ROW()-1)="Needed",INDEX('Binder Data'!$B$502:$B$751,ROW()-1),INDEX('Binder Data'!$D$502:$D$751,ROW()-1)))</f>
        <v/>
      </c>
      <c r="G38" s="66"/>
      <c r="H38" s="66"/>
      <c r="I38" s="66"/>
      <c r="J38" s="69"/>
      <c r="K38" s="69"/>
      <c r="L38" s="69"/>
      <c r="M38" s="69"/>
      <c r="N38" s="66"/>
      <c r="O38" s="66"/>
      <c r="P38" s="66"/>
      <c r="Q38" s="66"/>
      <c r="R38" s="66"/>
      <c r="S38" s="66"/>
      <c r="T38" s="66"/>
      <c r="U38" s="66"/>
      <c r="V38" s="66"/>
      <c r="W38" s="66"/>
      <c r="X38" s="66"/>
      <c r="Y38" s="66"/>
      <c r="Z38" s="66"/>
      <c r="AA38" s="66"/>
    </row>
    <row r="39" ht="15.75" customHeight="1">
      <c r="A39" s="67" t="b">
        <v>0</v>
      </c>
      <c r="B39" s="66"/>
      <c r="C39" s="66"/>
      <c r="D39" s="66"/>
      <c r="E39" s="66"/>
      <c r="F39" s="68" t="str">
        <f t="array" ref="F39">IF(INDEX('Binder Data'!$A$502:$A$751,ROW()-1)="","",IF(INDEX('Binder Data'!$D$502:$D$751,ROW()-1)="Needed",INDEX('Binder Data'!$B$502:$B$751,ROW()-1),INDEX('Binder Data'!$D$502:$D$751,ROW()-1)))</f>
        <v/>
      </c>
      <c r="G39" s="66"/>
      <c r="H39" s="66"/>
      <c r="I39" s="66"/>
      <c r="J39" s="69"/>
      <c r="K39" s="69"/>
      <c r="L39" s="69"/>
      <c r="M39" s="69"/>
      <c r="N39" s="66"/>
      <c r="O39" s="66"/>
      <c r="P39" s="66"/>
      <c r="Q39" s="66"/>
      <c r="R39" s="66"/>
      <c r="S39" s="66"/>
      <c r="T39" s="66"/>
      <c r="U39" s="66"/>
      <c r="V39" s="66"/>
      <c r="W39" s="66"/>
      <c r="X39" s="66"/>
      <c r="Y39" s="66"/>
      <c r="Z39" s="66"/>
      <c r="AA39" s="66"/>
    </row>
    <row r="40" ht="15.75" customHeight="1">
      <c r="A40" s="67" t="b">
        <v>0</v>
      </c>
      <c r="B40" s="66"/>
      <c r="C40" s="66"/>
      <c r="D40" s="66"/>
      <c r="E40" s="66"/>
      <c r="F40" s="68" t="str">
        <f t="array" ref="F40">IF(INDEX('Binder Data'!$A$502:$A$751,ROW()-1)="","",IF(INDEX('Binder Data'!$D$502:$D$751,ROW()-1)="Needed",INDEX('Binder Data'!$B$502:$B$751,ROW()-1),INDEX('Binder Data'!$D$502:$D$751,ROW()-1)))</f>
        <v/>
      </c>
      <c r="G40" s="66"/>
      <c r="H40" s="66"/>
      <c r="I40" s="66"/>
      <c r="J40" s="69"/>
      <c r="K40" s="69"/>
      <c r="L40" s="69"/>
      <c r="M40" s="69"/>
      <c r="N40" s="66"/>
      <c r="O40" s="66"/>
      <c r="P40" s="66"/>
      <c r="Q40" s="66"/>
      <c r="R40" s="66"/>
      <c r="S40" s="66"/>
      <c r="T40" s="66"/>
      <c r="U40" s="66"/>
      <c r="V40" s="66"/>
      <c r="W40" s="66"/>
      <c r="X40" s="66"/>
      <c r="Y40" s="66"/>
      <c r="Z40" s="66"/>
      <c r="AA40" s="66"/>
    </row>
    <row r="41" ht="15.75" customHeight="1">
      <c r="A41" s="67" t="b">
        <v>0</v>
      </c>
      <c r="B41" s="66"/>
      <c r="C41" s="66"/>
      <c r="D41" s="66"/>
      <c r="E41" s="66"/>
      <c r="F41" s="68" t="str">
        <f t="array" ref="F41">IF(INDEX('Binder Data'!$A$502:$A$751,ROW()-1)="","",IF(INDEX('Binder Data'!$D$502:$D$751,ROW()-1)="Needed",INDEX('Binder Data'!$B$502:$B$751,ROW()-1),INDEX('Binder Data'!$D$502:$D$751,ROW()-1)))</f>
        <v/>
      </c>
      <c r="G41" s="66"/>
      <c r="H41" s="66"/>
      <c r="I41" s="66"/>
      <c r="J41" s="69"/>
      <c r="K41" s="69"/>
      <c r="L41" s="69"/>
      <c r="M41" s="69"/>
      <c r="N41" s="66"/>
      <c r="O41" s="66"/>
      <c r="P41" s="66"/>
      <c r="Q41" s="66"/>
      <c r="R41" s="66"/>
      <c r="S41" s="66"/>
      <c r="T41" s="66"/>
      <c r="U41" s="66"/>
      <c r="V41" s="66"/>
      <c r="W41" s="66"/>
      <c r="X41" s="66"/>
      <c r="Y41" s="66"/>
      <c r="Z41" s="66"/>
      <c r="AA41" s="66"/>
    </row>
    <row r="42" ht="15.75" customHeight="1">
      <c r="A42" s="67" t="b">
        <v>0</v>
      </c>
      <c r="B42" s="66"/>
      <c r="C42" s="66"/>
      <c r="D42" s="66"/>
      <c r="E42" s="66"/>
      <c r="F42" s="68" t="str">
        <f t="array" ref="F42">IF(INDEX('Binder Data'!$A$502:$A$751,ROW()-1)="","",IF(INDEX('Binder Data'!$D$502:$D$751,ROW()-1)="Needed",INDEX('Binder Data'!$B$502:$B$751,ROW()-1),INDEX('Binder Data'!$D$502:$D$751,ROW()-1)))</f>
        <v/>
      </c>
      <c r="G42" s="66"/>
      <c r="H42" s="66"/>
      <c r="I42" s="66"/>
      <c r="J42" s="69"/>
      <c r="K42" s="69"/>
      <c r="L42" s="69"/>
      <c r="M42" s="69"/>
      <c r="N42" s="66"/>
      <c r="O42" s="66"/>
      <c r="P42" s="66"/>
      <c r="Q42" s="66"/>
      <c r="R42" s="66"/>
      <c r="S42" s="66"/>
      <c r="T42" s="66"/>
      <c r="U42" s="66"/>
      <c r="V42" s="66"/>
      <c r="W42" s="66"/>
      <c r="X42" s="66"/>
      <c r="Y42" s="66"/>
      <c r="Z42" s="66"/>
      <c r="AA42" s="66"/>
    </row>
    <row r="43" ht="15.75" customHeight="1">
      <c r="A43" s="67" t="b">
        <v>0</v>
      </c>
      <c r="B43" s="66"/>
      <c r="C43" s="66"/>
      <c r="D43" s="66"/>
      <c r="E43" s="66"/>
      <c r="F43" s="68" t="str">
        <f t="array" ref="F43">IF(INDEX('Binder Data'!$A$502:$A$751,ROW()-1)="","",IF(INDEX('Binder Data'!$D$502:$D$751,ROW()-1)="Needed",INDEX('Binder Data'!$B$502:$B$751,ROW()-1),INDEX('Binder Data'!$D$502:$D$751,ROW()-1)))</f>
        <v/>
      </c>
      <c r="G43" s="66"/>
      <c r="H43" s="66"/>
      <c r="I43" s="66"/>
      <c r="J43" s="69"/>
      <c r="K43" s="69"/>
      <c r="L43" s="69"/>
      <c r="M43" s="69"/>
      <c r="N43" s="66"/>
      <c r="O43" s="66"/>
      <c r="P43" s="66"/>
      <c r="Q43" s="66"/>
      <c r="R43" s="66"/>
      <c r="S43" s="66"/>
      <c r="T43" s="66"/>
      <c r="U43" s="66"/>
      <c r="V43" s="66"/>
      <c r="W43" s="66"/>
      <c r="X43" s="66"/>
      <c r="Y43" s="66"/>
      <c r="Z43" s="66"/>
      <c r="AA43" s="66"/>
    </row>
    <row r="44" ht="15.75" customHeight="1">
      <c r="A44" s="67" t="b">
        <v>0</v>
      </c>
      <c r="B44" s="66"/>
      <c r="C44" s="66"/>
      <c r="D44" s="66"/>
      <c r="E44" s="66"/>
      <c r="F44" s="68" t="str">
        <f t="array" ref="F44">IF(INDEX('Binder Data'!$A$502:$A$751,ROW()-1)="","",IF(INDEX('Binder Data'!$D$502:$D$751,ROW()-1)="Needed",INDEX('Binder Data'!$B$502:$B$751,ROW()-1),INDEX('Binder Data'!$D$502:$D$751,ROW()-1)))</f>
        <v/>
      </c>
      <c r="G44" s="66"/>
      <c r="H44" s="66"/>
      <c r="I44" s="66"/>
      <c r="J44" s="69"/>
      <c r="K44" s="69"/>
      <c r="L44" s="69"/>
      <c r="M44" s="69"/>
      <c r="N44" s="66"/>
      <c r="O44" s="66"/>
      <c r="P44" s="66"/>
      <c r="Q44" s="66"/>
      <c r="R44" s="66"/>
      <c r="S44" s="66"/>
      <c r="T44" s="66"/>
      <c r="U44" s="66"/>
      <c r="V44" s="66"/>
      <c r="W44" s="66"/>
      <c r="X44" s="66"/>
      <c r="Y44" s="66"/>
      <c r="Z44" s="66"/>
      <c r="AA44" s="66"/>
    </row>
    <row r="45" ht="15.75" customHeight="1">
      <c r="A45" s="67" t="b">
        <v>0</v>
      </c>
      <c r="B45" s="66"/>
      <c r="C45" s="66"/>
      <c r="D45" s="66"/>
      <c r="E45" s="66"/>
      <c r="F45" s="68" t="str">
        <f t="array" ref="F45">IF(INDEX('Binder Data'!$A$502:$A$751,ROW()-1)="","",IF(INDEX('Binder Data'!$D$502:$D$751,ROW()-1)="Needed",INDEX('Binder Data'!$B$502:$B$751,ROW()-1),INDEX('Binder Data'!$D$502:$D$751,ROW()-1)))</f>
        <v/>
      </c>
      <c r="G45" s="66"/>
      <c r="H45" s="66"/>
      <c r="I45" s="66"/>
      <c r="J45" s="69"/>
      <c r="K45" s="69"/>
      <c r="L45" s="69"/>
      <c r="M45" s="69"/>
      <c r="N45" s="66"/>
      <c r="O45" s="66"/>
      <c r="P45" s="66"/>
      <c r="Q45" s="66"/>
      <c r="R45" s="66"/>
      <c r="S45" s="66"/>
      <c r="T45" s="66"/>
      <c r="U45" s="66"/>
      <c r="V45" s="66"/>
      <c r="W45" s="66"/>
      <c r="X45" s="66"/>
      <c r="Y45" s="66"/>
      <c r="Z45" s="66"/>
      <c r="AA45" s="66"/>
    </row>
    <row r="46" ht="15.75" customHeight="1">
      <c r="A46" s="67" t="b">
        <v>0</v>
      </c>
      <c r="B46" s="66"/>
      <c r="C46" s="66"/>
      <c r="D46" s="66"/>
      <c r="E46" s="66"/>
      <c r="F46" s="68" t="str">
        <f t="array" ref="F46">IF(INDEX('Binder Data'!$A$502:$A$751,ROW()-1)="","",IF(INDEX('Binder Data'!$D$502:$D$751,ROW()-1)="Needed",INDEX('Binder Data'!$B$502:$B$751,ROW()-1),INDEX('Binder Data'!$D$502:$D$751,ROW()-1)))</f>
        <v/>
      </c>
      <c r="G46" s="66"/>
      <c r="H46" s="66"/>
      <c r="I46" s="66"/>
      <c r="J46" s="69"/>
      <c r="K46" s="69"/>
      <c r="L46" s="69"/>
      <c r="M46" s="69"/>
      <c r="N46" s="66"/>
      <c r="O46" s="66"/>
      <c r="P46" s="66"/>
      <c r="Q46" s="66"/>
      <c r="R46" s="66"/>
      <c r="S46" s="66"/>
      <c r="T46" s="66"/>
      <c r="U46" s="66"/>
      <c r="V46" s="66"/>
      <c r="W46" s="66"/>
      <c r="X46" s="66"/>
      <c r="Y46" s="66"/>
      <c r="Z46" s="66"/>
      <c r="AA46" s="66"/>
    </row>
    <row r="47" ht="15.75" customHeight="1">
      <c r="A47" s="67" t="b">
        <v>0</v>
      </c>
      <c r="B47" s="66"/>
      <c r="C47" s="66"/>
      <c r="D47" s="66"/>
      <c r="E47" s="66"/>
      <c r="F47" s="68" t="str">
        <f t="array" ref="F47">IF(INDEX('Binder Data'!$A$502:$A$751,ROW()-1)="","",IF(INDEX('Binder Data'!$D$502:$D$751,ROW()-1)="Needed",INDEX('Binder Data'!$B$502:$B$751,ROW()-1),INDEX('Binder Data'!$D$502:$D$751,ROW()-1)))</f>
        <v/>
      </c>
      <c r="G47" s="66"/>
      <c r="H47" s="66"/>
      <c r="I47" s="66"/>
      <c r="J47" s="69"/>
      <c r="K47" s="69"/>
      <c r="L47" s="69"/>
      <c r="M47" s="69"/>
      <c r="N47" s="66"/>
      <c r="O47" s="66"/>
      <c r="P47" s="66"/>
      <c r="Q47" s="66"/>
      <c r="R47" s="66"/>
      <c r="S47" s="66"/>
      <c r="T47" s="66"/>
      <c r="U47" s="66"/>
      <c r="V47" s="66"/>
      <c r="W47" s="66"/>
      <c r="X47" s="66"/>
      <c r="Y47" s="66"/>
      <c r="Z47" s="66"/>
      <c r="AA47" s="66"/>
    </row>
    <row r="48" ht="15.75" customHeight="1">
      <c r="A48" s="67" t="b">
        <v>0</v>
      </c>
      <c r="B48" s="66"/>
      <c r="C48" s="66"/>
      <c r="D48" s="66"/>
      <c r="E48" s="66"/>
      <c r="F48" s="68" t="str">
        <f t="array" ref="F48">IF(INDEX('Binder Data'!$A$502:$A$751,ROW()-1)="","",IF(INDEX('Binder Data'!$D$502:$D$751,ROW()-1)="Needed",INDEX('Binder Data'!$B$502:$B$751,ROW()-1),INDEX('Binder Data'!$D$502:$D$751,ROW()-1)))</f>
        <v/>
      </c>
      <c r="G48" s="66"/>
      <c r="H48" s="66"/>
      <c r="I48" s="66"/>
      <c r="J48" s="69"/>
      <c r="K48" s="69"/>
      <c r="L48" s="69"/>
      <c r="M48" s="69"/>
      <c r="N48" s="66"/>
      <c r="O48" s="66"/>
      <c r="P48" s="66"/>
      <c r="Q48" s="66"/>
      <c r="R48" s="66"/>
      <c r="S48" s="66"/>
      <c r="T48" s="66"/>
      <c r="U48" s="66"/>
      <c r="V48" s="66"/>
      <c r="W48" s="66"/>
      <c r="X48" s="66"/>
      <c r="Y48" s="66"/>
      <c r="Z48" s="66"/>
      <c r="AA48" s="66"/>
    </row>
    <row r="49" ht="15.75" customHeight="1">
      <c r="A49" s="67" t="b">
        <v>0</v>
      </c>
      <c r="B49" s="66"/>
      <c r="C49" s="66"/>
      <c r="D49" s="66"/>
      <c r="E49" s="66"/>
      <c r="F49" s="68" t="str">
        <f t="array" ref="F49">IF(INDEX('Binder Data'!$A$502:$A$751,ROW()-1)="","",IF(INDEX('Binder Data'!$D$502:$D$751,ROW()-1)="Needed",INDEX('Binder Data'!$B$502:$B$751,ROW()-1),INDEX('Binder Data'!$D$502:$D$751,ROW()-1)))</f>
        <v/>
      </c>
      <c r="G49" s="66"/>
      <c r="H49" s="66"/>
      <c r="I49" s="66"/>
      <c r="J49" s="69"/>
      <c r="K49" s="69"/>
      <c r="L49" s="69"/>
      <c r="M49" s="69"/>
      <c r="N49" s="66"/>
      <c r="O49" s="66"/>
      <c r="P49" s="66"/>
      <c r="Q49" s="66"/>
      <c r="R49" s="66"/>
      <c r="S49" s="66"/>
      <c r="T49" s="66"/>
      <c r="U49" s="66"/>
      <c r="V49" s="66"/>
      <c r="W49" s="66"/>
      <c r="X49" s="66"/>
      <c r="Y49" s="66"/>
      <c r="Z49" s="66"/>
      <c r="AA49" s="66"/>
    </row>
    <row r="50" ht="15.75" customHeight="1">
      <c r="A50" s="67" t="b">
        <v>0</v>
      </c>
      <c r="B50" s="66"/>
      <c r="C50" s="66"/>
      <c r="D50" s="66"/>
      <c r="E50" s="66"/>
      <c r="F50" s="68" t="str">
        <f t="array" ref="F50">IF(INDEX('Binder Data'!$A$502:$A$751,ROW()-1)="","",IF(INDEX('Binder Data'!$D$502:$D$751,ROW()-1)="Needed",INDEX('Binder Data'!$B$502:$B$751,ROW()-1),INDEX('Binder Data'!$D$502:$D$751,ROW()-1)))</f>
        <v/>
      </c>
      <c r="G50" s="66"/>
      <c r="H50" s="66"/>
      <c r="I50" s="66"/>
      <c r="J50" s="69"/>
      <c r="K50" s="69"/>
      <c r="L50" s="69"/>
      <c r="M50" s="69"/>
      <c r="N50" s="66"/>
      <c r="O50" s="66"/>
      <c r="P50" s="66"/>
      <c r="Q50" s="66"/>
      <c r="R50" s="66"/>
      <c r="S50" s="66"/>
      <c r="T50" s="66"/>
      <c r="U50" s="66"/>
      <c r="V50" s="66"/>
      <c r="W50" s="66"/>
      <c r="X50" s="66"/>
      <c r="Y50" s="66"/>
      <c r="Z50" s="66"/>
      <c r="AA50" s="66"/>
    </row>
    <row r="51" ht="15.75" customHeight="1">
      <c r="A51" s="67" t="b">
        <v>0</v>
      </c>
      <c r="B51" s="66"/>
      <c r="C51" s="66"/>
      <c r="D51" s="66"/>
      <c r="E51" s="66"/>
      <c r="F51" s="68" t="str">
        <f t="array" ref="F51">IF(INDEX('Binder Data'!$A$502:$A$751,ROW()-1)="","",IF(INDEX('Binder Data'!$D$502:$D$751,ROW()-1)="Needed",INDEX('Binder Data'!$B$502:$B$751,ROW()-1),INDEX('Binder Data'!$D$502:$D$751,ROW()-1)))</f>
        <v/>
      </c>
      <c r="G51" s="66"/>
      <c r="H51" s="66"/>
      <c r="I51" s="66"/>
      <c r="J51" s="69"/>
      <c r="K51" s="69"/>
      <c r="L51" s="69"/>
      <c r="M51" s="69"/>
      <c r="N51" s="66"/>
      <c r="O51" s="66"/>
      <c r="P51" s="66"/>
      <c r="Q51" s="66"/>
      <c r="R51" s="66"/>
      <c r="S51" s="66"/>
      <c r="T51" s="66"/>
      <c r="U51" s="66"/>
      <c r="V51" s="66"/>
      <c r="W51" s="66"/>
      <c r="X51" s="66"/>
      <c r="Y51" s="66"/>
      <c r="Z51" s="66"/>
      <c r="AA51" s="66"/>
    </row>
    <row r="52" ht="15.75" customHeight="1">
      <c r="A52" s="67" t="b">
        <v>0</v>
      </c>
      <c r="B52" s="66"/>
      <c r="C52" s="66"/>
      <c r="D52" s="66"/>
      <c r="E52" s="66"/>
      <c r="F52" s="68" t="str">
        <f t="array" ref="F52">IF(INDEX('Binder Data'!$A$502:$A$751,ROW()-1)="","",IF(INDEX('Binder Data'!$D$502:$D$751,ROW()-1)="Needed",INDEX('Binder Data'!$B$502:$B$751,ROW()-1),INDEX('Binder Data'!$D$502:$D$751,ROW()-1)))</f>
        <v/>
      </c>
      <c r="G52" s="66"/>
      <c r="H52" s="66"/>
      <c r="I52" s="66"/>
      <c r="J52" s="69"/>
      <c r="K52" s="69"/>
      <c r="L52" s="69"/>
      <c r="M52" s="69"/>
      <c r="N52" s="66"/>
      <c r="O52" s="66"/>
      <c r="P52" s="66"/>
      <c r="Q52" s="66"/>
      <c r="R52" s="66"/>
      <c r="S52" s="66"/>
      <c r="T52" s="66"/>
      <c r="U52" s="66"/>
      <c r="V52" s="66"/>
      <c r="W52" s="66"/>
      <c r="X52" s="66"/>
      <c r="Y52" s="66"/>
      <c r="Z52" s="66"/>
      <c r="AA52" s="66"/>
    </row>
    <row r="53" ht="15.75" customHeight="1">
      <c r="A53" s="67" t="b">
        <v>0</v>
      </c>
      <c r="B53" s="66"/>
      <c r="C53" s="66"/>
      <c r="D53" s="66"/>
      <c r="E53" s="66"/>
      <c r="F53" s="68" t="str">
        <f t="array" ref="F53">IF(INDEX('Binder Data'!$A$502:$A$751,ROW()-1)="","",IF(INDEX('Binder Data'!$D$502:$D$751,ROW()-1)="Needed",INDEX('Binder Data'!$B$502:$B$751,ROW()-1),INDEX('Binder Data'!$D$502:$D$751,ROW()-1)))</f>
        <v/>
      </c>
      <c r="G53" s="66"/>
      <c r="H53" s="66"/>
      <c r="I53" s="66"/>
      <c r="J53" s="69"/>
      <c r="K53" s="69"/>
      <c r="L53" s="69"/>
      <c r="M53" s="69"/>
      <c r="N53" s="66"/>
      <c r="O53" s="66"/>
      <c r="P53" s="66"/>
      <c r="Q53" s="66"/>
      <c r="R53" s="66"/>
      <c r="S53" s="66"/>
      <c r="T53" s="66"/>
      <c r="U53" s="66"/>
      <c r="V53" s="66"/>
      <c r="W53" s="66"/>
      <c r="X53" s="66"/>
      <c r="Y53" s="66"/>
      <c r="Z53" s="66"/>
      <c r="AA53" s="66"/>
    </row>
    <row r="54" ht="15.75" customHeight="1">
      <c r="A54" s="67" t="b">
        <v>0</v>
      </c>
      <c r="B54" s="66"/>
      <c r="C54" s="66"/>
      <c r="D54" s="66"/>
      <c r="E54" s="66"/>
      <c r="F54" s="68" t="str">
        <f t="array" ref="F54">IF(INDEX('Binder Data'!$A$502:$A$751,ROW()-1)="","",IF(INDEX('Binder Data'!$D$502:$D$751,ROW()-1)="Needed",INDEX('Binder Data'!$B$502:$B$751,ROW()-1),INDEX('Binder Data'!$D$502:$D$751,ROW()-1)))</f>
        <v/>
      </c>
      <c r="G54" s="66"/>
      <c r="H54" s="66"/>
      <c r="I54" s="66"/>
      <c r="J54" s="69"/>
      <c r="K54" s="69"/>
      <c r="L54" s="69"/>
      <c r="M54" s="69"/>
      <c r="N54" s="66"/>
      <c r="O54" s="66"/>
      <c r="P54" s="66"/>
      <c r="Q54" s="66"/>
      <c r="R54" s="66"/>
      <c r="S54" s="66"/>
      <c r="T54" s="66"/>
      <c r="U54" s="66"/>
      <c r="V54" s="66"/>
      <c r="W54" s="66"/>
      <c r="X54" s="66"/>
      <c r="Y54" s="66"/>
      <c r="Z54" s="66"/>
      <c r="AA54" s="66"/>
    </row>
    <row r="55" ht="15.75" customHeight="1">
      <c r="A55" s="67" t="b">
        <v>0</v>
      </c>
      <c r="B55" s="66"/>
      <c r="C55" s="66"/>
      <c r="D55" s="66"/>
      <c r="E55" s="66"/>
      <c r="F55" s="68" t="str">
        <f t="array" ref="F55">IF(INDEX('Binder Data'!$A$502:$A$751,ROW()-1)="","",IF(INDEX('Binder Data'!$D$502:$D$751,ROW()-1)="Needed",INDEX('Binder Data'!$B$502:$B$751,ROW()-1),INDEX('Binder Data'!$D$502:$D$751,ROW()-1)))</f>
        <v/>
      </c>
      <c r="G55" s="66"/>
      <c r="H55" s="66"/>
      <c r="I55" s="66"/>
      <c r="J55" s="69"/>
      <c r="K55" s="69"/>
      <c r="L55" s="69"/>
      <c r="M55" s="69"/>
      <c r="N55" s="66"/>
      <c r="O55" s="66"/>
      <c r="P55" s="66"/>
      <c r="Q55" s="66"/>
      <c r="R55" s="66"/>
      <c r="S55" s="66"/>
      <c r="T55" s="66"/>
      <c r="U55" s="66"/>
      <c r="V55" s="66"/>
      <c r="W55" s="66"/>
      <c r="X55" s="66"/>
      <c r="Y55" s="66"/>
      <c r="Z55" s="66"/>
      <c r="AA55" s="66"/>
    </row>
    <row r="56" ht="15.75" customHeight="1">
      <c r="A56" s="67" t="b">
        <v>0</v>
      </c>
      <c r="B56" s="66"/>
      <c r="C56" s="66"/>
      <c r="D56" s="66"/>
      <c r="E56" s="66"/>
      <c r="F56" s="68" t="str">
        <f t="array" ref="F56">IF(INDEX('Binder Data'!$A$502:$A$751,ROW()-1)="","",IF(INDEX('Binder Data'!$D$502:$D$751,ROW()-1)="Needed",INDEX('Binder Data'!$B$502:$B$751,ROW()-1),INDEX('Binder Data'!$D$502:$D$751,ROW()-1)))</f>
        <v/>
      </c>
      <c r="G56" s="66"/>
      <c r="H56" s="66"/>
      <c r="I56" s="66"/>
      <c r="J56" s="69"/>
      <c r="K56" s="69"/>
      <c r="L56" s="69"/>
      <c r="M56" s="69"/>
      <c r="N56" s="66"/>
      <c r="O56" s="66"/>
      <c r="P56" s="66"/>
      <c r="Q56" s="66"/>
      <c r="R56" s="66"/>
      <c r="S56" s="66"/>
      <c r="T56" s="66"/>
      <c r="U56" s="66"/>
      <c r="V56" s="66"/>
      <c r="W56" s="66"/>
      <c r="X56" s="66"/>
      <c r="Y56" s="66"/>
      <c r="Z56" s="66"/>
      <c r="AA56" s="66"/>
    </row>
    <row r="57" ht="15.75" customHeight="1">
      <c r="A57" s="67" t="b">
        <v>0</v>
      </c>
      <c r="B57" s="66"/>
      <c r="C57" s="66"/>
      <c r="D57" s="66"/>
      <c r="E57" s="66"/>
      <c r="F57" s="68" t="str">
        <f t="array" ref="F57">IF(INDEX('Binder Data'!$A$502:$A$751,ROW()-1)="","",IF(INDEX('Binder Data'!$D$502:$D$751,ROW()-1)="Needed",INDEX('Binder Data'!$B$502:$B$751,ROW()-1),INDEX('Binder Data'!$D$502:$D$751,ROW()-1)))</f>
        <v/>
      </c>
      <c r="G57" s="66"/>
      <c r="H57" s="66"/>
      <c r="I57" s="66"/>
      <c r="J57" s="69"/>
      <c r="K57" s="69"/>
      <c r="L57" s="69"/>
      <c r="M57" s="69"/>
      <c r="N57" s="66"/>
      <c r="O57" s="66"/>
      <c r="P57" s="66"/>
      <c r="Q57" s="66"/>
      <c r="R57" s="66"/>
      <c r="S57" s="66"/>
      <c r="T57" s="66"/>
      <c r="U57" s="66"/>
      <c r="V57" s="66"/>
      <c r="W57" s="66"/>
      <c r="X57" s="66"/>
      <c r="Y57" s="66"/>
      <c r="Z57" s="66"/>
      <c r="AA57" s="66"/>
    </row>
    <row r="58" ht="15.75" customHeight="1">
      <c r="A58" s="67" t="b">
        <v>0</v>
      </c>
      <c r="B58" s="66"/>
      <c r="C58" s="66"/>
      <c r="D58" s="66"/>
      <c r="E58" s="66"/>
      <c r="F58" s="68" t="str">
        <f t="array" ref="F58">IF(INDEX('Binder Data'!$A$502:$A$751,ROW()-1)="","",IF(INDEX('Binder Data'!$D$502:$D$751,ROW()-1)="Needed",INDEX('Binder Data'!$B$502:$B$751,ROW()-1),INDEX('Binder Data'!$D$502:$D$751,ROW()-1)))</f>
        <v/>
      </c>
      <c r="G58" s="66"/>
      <c r="H58" s="66"/>
      <c r="I58" s="66"/>
      <c r="J58" s="69"/>
      <c r="K58" s="69"/>
      <c r="L58" s="69"/>
      <c r="M58" s="69"/>
      <c r="N58" s="66"/>
      <c r="O58" s="66"/>
      <c r="P58" s="66"/>
      <c r="Q58" s="66"/>
      <c r="R58" s="66"/>
      <c r="S58" s="66"/>
      <c r="T58" s="66"/>
      <c r="U58" s="66"/>
      <c r="V58" s="66"/>
      <c r="W58" s="66"/>
      <c r="X58" s="66"/>
      <c r="Y58" s="66"/>
      <c r="Z58" s="66"/>
      <c r="AA58" s="66"/>
    </row>
    <row r="59" ht="15.75" customHeight="1">
      <c r="A59" s="67" t="b">
        <v>0</v>
      </c>
      <c r="B59" s="66"/>
      <c r="C59" s="66"/>
      <c r="D59" s="66"/>
      <c r="E59" s="66"/>
      <c r="F59" s="68" t="str">
        <f t="array" ref="F59">IF(INDEX('Binder Data'!$A$502:$A$751,ROW()-1)="","",IF(INDEX('Binder Data'!$D$502:$D$751,ROW()-1)="Needed",INDEX('Binder Data'!$B$502:$B$751,ROW()-1),INDEX('Binder Data'!$D$502:$D$751,ROW()-1)))</f>
        <v/>
      </c>
      <c r="G59" s="66"/>
      <c r="H59" s="66"/>
      <c r="I59" s="66"/>
      <c r="J59" s="69"/>
      <c r="K59" s="69"/>
      <c r="L59" s="69"/>
      <c r="M59" s="69"/>
      <c r="N59" s="66"/>
      <c r="O59" s="66"/>
      <c r="P59" s="66"/>
      <c r="Q59" s="66"/>
      <c r="R59" s="66"/>
      <c r="S59" s="66"/>
      <c r="T59" s="66"/>
      <c r="U59" s="66"/>
      <c r="V59" s="66"/>
      <c r="W59" s="66"/>
      <c r="X59" s="66"/>
      <c r="Y59" s="66"/>
      <c r="Z59" s="66"/>
      <c r="AA59" s="66"/>
    </row>
    <row r="60" ht="15.75" customHeight="1">
      <c r="A60" s="67" t="b">
        <v>0</v>
      </c>
      <c r="B60" s="66"/>
      <c r="C60" s="66"/>
      <c r="D60" s="66"/>
      <c r="E60" s="66"/>
      <c r="F60" s="68" t="str">
        <f t="array" ref="F60">IF(INDEX('Binder Data'!$A$502:$A$751,ROW()-1)="","",IF(INDEX('Binder Data'!$D$502:$D$751,ROW()-1)="Needed",INDEX('Binder Data'!$B$502:$B$751,ROW()-1),INDEX('Binder Data'!$D$502:$D$751,ROW()-1)))</f>
        <v/>
      </c>
      <c r="G60" s="66"/>
      <c r="H60" s="66"/>
      <c r="I60" s="66"/>
      <c r="J60" s="69"/>
      <c r="K60" s="69"/>
      <c r="L60" s="69"/>
      <c r="M60" s="69"/>
      <c r="N60" s="66"/>
      <c r="O60" s="66"/>
      <c r="P60" s="66"/>
      <c r="Q60" s="66"/>
      <c r="R60" s="66"/>
      <c r="S60" s="66"/>
      <c r="T60" s="66"/>
      <c r="U60" s="66"/>
      <c r="V60" s="66"/>
      <c r="W60" s="66"/>
      <c r="X60" s="66"/>
      <c r="Y60" s="66"/>
      <c r="Z60" s="66"/>
      <c r="AA60" s="66"/>
    </row>
    <row r="61" ht="15.75" customHeight="1">
      <c r="A61" s="67" t="b">
        <v>0</v>
      </c>
      <c r="B61" s="66"/>
      <c r="C61" s="66"/>
      <c r="D61" s="66"/>
      <c r="E61" s="66"/>
      <c r="F61" s="68" t="str">
        <f t="array" ref="F61">IF(INDEX('Binder Data'!$A$502:$A$751,ROW()-1)="","",IF(INDEX('Binder Data'!$D$502:$D$751,ROW()-1)="Needed",INDEX('Binder Data'!$B$502:$B$751,ROW()-1),INDEX('Binder Data'!$D$502:$D$751,ROW()-1)))</f>
        <v/>
      </c>
      <c r="G61" s="66"/>
      <c r="H61" s="66"/>
      <c r="I61" s="66"/>
      <c r="J61" s="69"/>
      <c r="K61" s="69"/>
      <c r="L61" s="69"/>
      <c r="M61" s="69"/>
      <c r="N61" s="66"/>
      <c r="O61" s="66"/>
      <c r="P61" s="66"/>
      <c r="Q61" s="66"/>
      <c r="R61" s="66"/>
      <c r="S61" s="66"/>
      <c r="T61" s="66"/>
      <c r="U61" s="66"/>
      <c r="V61" s="66"/>
      <c r="W61" s="66"/>
      <c r="X61" s="66"/>
      <c r="Y61" s="66"/>
      <c r="Z61" s="66"/>
      <c r="AA61" s="66"/>
    </row>
    <row r="62" ht="15.75" customHeight="1">
      <c r="A62" s="67" t="b">
        <v>0</v>
      </c>
      <c r="B62" s="66"/>
      <c r="C62" s="66"/>
      <c r="D62" s="66"/>
      <c r="E62" s="66"/>
      <c r="F62" s="68" t="str">
        <f t="array" ref="F62">IF(INDEX('Binder Data'!$A$502:$A$751,ROW()-1)="","",IF(INDEX('Binder Data'!$D$502:$D$751,ROW()-1)="Needed",INDEX('Binder Data'!$B$502:$B$751,ROW()-1),INDEX('Binder Data'!$D$502:$D$751,ROW()-1)))</f>
        <v/>
      </c>
      <c r="G62" s="66"/>
      <c r="H62" s="66"/>
      <c r="I62" s="66"/>
      <c r="J62" s="69"/>
      <c r="K62" s="69"/>
      <c r="L62" s="69"/>
      <c r="M62" s="69"/>
      <c r="N62" s="66"/>
      <c r="O62" s="66"/>
      <c r="P62" s="66"/>
      <c r="Q62" s="66"/>
      <c r="R62" s="66"/>
      <c r="S62" s="66"/>
      <c r="T62" s="66"/>
      <c r="U62" s="66"/>
      <c r="V62" s="66"/>
      <c r="W62" s="66"/>
      <c r="X62" s="66"/>
      <c r="Y62" s="66"/>
      <c r="Z62" s="66"/>
      <c r="AA62" s="66"/>
    </row>
    <row r="63" ht="15.75" customHeight="1">
      <c r="A63" s="67" t="b">
        <v>0</v>
      </c>
      <c r="B63" s="66"/>
      <c r="C63" s="66"/>
      <c r="D63" s="66"/>
      <c r="E63" s="66"/>
      <c r="F63" s="68" t="str">
        <f t="array" ref="F63">IF(INDEX('Binder Data'!$A$502:$A$751,ROW()-1)="","",IF(INDEX('Binder Data'!$D$502:$D$751,ROW()-1)="Needed",INDEX('Binder Data'!$B$502:$B$751,ROW()-1),INDEX('Binder Data'!$D$502:$D$751,ROW()-1)))</f>
        <v/>
      </c>
      <c r="G63" s="66"/>
      <c r="H63" s="66"/>
      <c r="I63" s="66"/>
      <c r="J63" s="69"/>
      <c r="K63" s="69"/>
      <c r="L63" s="69"/>
      <c r="M63" s="69"/>
      <c r="N63" s="66"/>
      <c r="O63" s="66"/>
      <c r="P63" s="66"/>
      <c r="Q63" s="66"/>
      <c r="R63" s="66"/>
      <c r="S63" s="66"/>
      <c r="T63" s="66"/>
      <c r="U63" s="66"/>
      <c r="V63" s="66"/>
      <c r="W63" s="66"/>
      <c r="X63" s="66"/>
      <c r="Y63" s="66"/>
      <c r="Z63" s="66"/>
      <c r="AA63" s="66"/>
    </row>
    <row r="64" ht="15.75" customHeight="1">
      <c r="A64" s="67" t="b">
        <v>0</v>
      </c>
      <c r="B64" s="66"/>
      <c r="C64" s="66"/>
      <c r="D64" s="66"/>
      <c r="E64" s="66"/>
      <c r="F64" s="68" t="str">
        <f t="array" ref="F64">IF(INDEX('Binder Data'!$A$502:$A$751,ROW()-1)="","",IF(INDEX('Binder Data'!$D$502:$D$751,ROW()-1)="Needed",INDEX('Binder Data'!$B$502:$B$751,ROW()-1),INDEX('Binder Data'!$D$502:$D$751,ROW()-1)))</f>
        <v/>
      </c>
      <c r="G64" s="66"/>
      <c r="H64" s="66"/>
      <c r="I64" s="66"/>
      <c r="J64" s="69"/>
      <c r="K64" s="69"/>
      <c r="L64" s="69"/>
      <c r="M64" s="69"/>
      <c r="N64" s="66"/>
      <c r="O64" s="66"/>
      <c r="P64" s="66"/>
      <c r="Q64" s="66"/>
      <c r="R64" s="66"/>
      <c r="S64" s="66"/>
      <c r="T64" s="66"/>
      <c r="U64" s="66"/>
      <c r="V64" s="66"/>
      <c r="W64" s="66"/>
      <c r="X64" s="66"/>
      <c r="Y64" s="66"/>
      <c r="Z64" s="66"/>
      <c r="AA64" s="66"/>
    </row>
    <row r="65" ht="15.75" customHeight="1">
      <c r="A65" s="67" t="b">
        <v>0</v>
      </c>
      <c r="B65" s="66"/>
      <c r="C65" s="66"/>
      <c r="D65" s="66"/>
      <c r="E65" s="66"/>
      <c r="F65" s="68" t="str">
        <f t="array" ref="F65">IF(INDEX('Binder Data'!$A$502:$A$751,ROW()-1)="","",IF(INDEX('Binder Data'!$D$502:$D$751,ROW()-1)="Needed",INDEX('Binder Data'!$B$502:$B$751,ROW()-1),INDEX('Binder Data'!$D$502:$D$751,ROW()-1)))</f>
        <v/>
      </c>
      <c r="G65" s="66"/>
      <c r="H65" s="66"/>
      <c r="I65" s="66"/>
      <c r="J65" s="69"/>
      <c r="K65" s="69"/>
      <c r="L65" s="69"/>
      <c r="M65" s="69"/>
      <c r="N65" s="66"/>
      <c r="O65" s="66"/>
      <c r="P65" s="66"/>
      <c r="Q65" s="66"/>
      <c r="R65" s="66"/>
      <c r="S65" s="66"/>
      <c r="T65" s="66"/>
      <c r="U65" s="66"/>
      <c r="V65" s="66"/>
      <c r="W65" s="66"/>
      <c r="X65" s="66"/>
      <c r="Y65" s="66"/>
      <c r="Z65" s="66"/>
      <c r="AA65" s="66"/>
    </row>
    <row r="66" ht="15.75" customHeight="1">
      <c r="A66" s="67" t="b">
        <v>0</v>
      </c>
      <c r="B66" s="66"/>
      <c r="C66" s="66"/>
      <c r="D66" s="66"/>
      <c r="E66" s="66"/>
      <c r="F66" s="68" t="str">
        <f t="array" ref="F66">IF(INDEX('Binder Data'!$A$502:$A$751,ROW()-1)="","",IF(INDEX('Binder Data'!$D$502:$D$751,ROW()-1)="Needed",INDEX('Binder Data'!$B$502:$B$751,ROW()-1),INDEX('Binder Data'!$D$502:$D$751,ROW()-1)))</f>
        <v/>
      </c>
      <c r="G66" s="66"/>
      <c r="H66" s="66"/>
      <c r="I66" s="66"/>
      <c r="J66" s="69"/>
      <c r="K66" s="69"/>
      <c r="L66" s="69"/>
      <c r="M66" s="69"/>
      <c r="N66" s="66"/>
      <c r="O66" s="66"/>
      <c r="P66" s="66"/>
      <c r="Q66" s="66"/>
      <c r="R66" s="66"/>
      <c r="S66" s="66"/>
      <c r="T66" s="66"/>
      <c r="U66" s="66"/>
      <c r="V66" s="66"/>
      <c r="W66" s="66"/>
      <c r="X66" s="66"/>
      <c r="Y66" s="66"/>
      <c r="Z66" s="66"/>
      <c r="AA66" s="66"/>
    </row>
    <row r="67" ht="15.75" customHeight="1">
      <c r="A67" s="67" t="b">
        <v>0</v>
      </c>
      <c r="B67" s="66"/>
      <c r="C67" s="66"/>
      <c r="D67" s="66"/>
      <c r="E67" s="66"/>
      <c r="F67" s="68" t="str">
        <f t="array" ref="F67">IF(INDEX('Binder Data'!$A$502:$A$751,ROW()-1)="","",IF(INDEX('Binder Data'!$D$502:$D$751,ROW()-1)="Needed",INDEX('Binder Data'!$B$502:$B$751,ROW()-1),INDEX('Binder Data'!$D$502:$D$751,ROW()-1)))</f>
        <v/>
      </c>
      <c r="G67" s="66"/>
      <c r="H67" s="66"/>
      <c r="I67" s="66"/>
      <c r="J67" s="69"/>
      <c r="K67" s="69"/>
      <c r="L67" s="69"/>
      <c r="M67" s="69"/>
      <c r="N67" s="66"/>
      <c r="O67" s="66"/>
      <c r="P67" s="66"/>
      <c r="Q67" s="66"/>
      <c r="R67" s="66"/>
      <c r="S67" s="66"/>
      <c r="T67" s="66"/>
      <c r="U67" s="66"/>
      <c r="V67" s="66"/>
      <c r="W67" s="66"/>
      <c r="X67" s="66"/>
      <c r="Y67" s="66"/>
      <c r="Z67" s="66"/>
      <c r="AA67" s="66"/>
    </row>
    <row r="68" ht="15.75" customHeight="1">
      <c r="A68" s="67" t="b">
        <v>0</v>
      </c>
      <c r="B68" s="66"/>
      <c r="C68" s="66"/>
      <c r="D68" s="66"/>
      <c r="E68" s="66"/>
      <c r="F68" s="68" t="str">
        <f t="array" ref="F68">IF(INDEX('Binder Data'!$A$502:$A$751,ROW()-1)="","",IF(INDEX('Binder Data'!$D$502:$D$751,ROW()-1)="Needed",INDEX('Binder Data'!$B$502:$B$751,ROW()-1),INDEX('Binder Data'!$D$502:$D$751,ROW()-1)))</f>
        <v/>
      </c>
      <c r="G68" s="66"/>
      <c r="H68" s="66"/>
      <c r="I68" s="66"/>
      <c r="J68" s="69"/>
      <c r="K68" s="69"/>
      <c r="L68" s="69"/>
      <c r="M68" s="69"/>
      <c r="N68" s="66"/>
      <c r="O68" s="66"/>
      <c r="P68" s="66"/>
      <c r="Q68" s="66"/>
      <c r="R68" s="66"/>
      <c r="S68" s="66"/>
      <c r="T68" s="66"/>
      <c r="U68" s="66"/>
      <c r="V68" s="66"/>
      <c r="W68" s="66"/>
      <c r="X68" s="66"/>
      <c r="Y68" s="66"/>
      <c r="Z68" s="66"/>
      <c r="AA68" s="66"/>
    </row>
    <row r="69" ht="15.75" customHeight="1">
      <c r="A69" s="67" t="b">
        <v>0</v>
      </c>
      <c r="B69" s="66"/>
      <c r="C69" s="66"/>
      <c r="D69" s="66"/>
      <c r="E69" s="66"/>
      <c r="F69" s="68" t="str">
        <f t="array" ref="F69">IF(INDEX('Binder Data'!$A$502:$A$751,ROW()-1)="","",IF(INDEX('Binder Data'!$D$502:$D$751,ROW()-1)="Needed",INDEX('Binder Data'!$B$502:$B$751,ROW()-1),INDEX('Binder Data'!$D$502:$D$751,ROW()-1)))</f>
        <v/>
      </c>
      <c r="G69" s="66"/>
      <c r="H69" s="66"/>
      <c r="I69" s="66"/>
      <c r="J69" s="69"/>
      <c r="K69" s="69"/>
      <c r="L69" s="69"/>
      <c r="M69" s="69"/>
      <c r="N69" s="66"/>
      <c r="O69" s="66"/>
      <c r="P69" s="66"/>
      <c r="Q69" s="66"/>
      <c r="R69" s="66"/>
      <c r="S69" s="66"/>
      <c r="T69" s="66"/>
      <c r="U69" s="66"/>
      <c r="V69" s="66"/>
      <c r="W69" s="66"/>
      <c r="X69" s="66"/>
      <c r="Y69" s="66"/>
      <c r="Z69" s="66"/>
      <c r="AA69" s="66"/>
    </row>
    <row r="70" ht="15.75" customHeight="1">
      <c r="A70" s="67" t="b">
        <v>0</v>
      </c>
      <c r="B70" s="66"/>
      <c r="C70" s="66"/>
      <c r="D70" s="66"/>
      <c r="E70" s="66"/>
      <c r="F70" s="68" t="str">
        <f t="array" ref="F70">IF(INDEX('Binder Data'!$A$502:$A$751,ROW()-1)="","",IF(INDEX('Binder Data'!$D$502:$D$751,ROW()-1)="Needed",INDEX('Binder Data'!$B$502:$B$751,ROW()-1),INDEX('Binder Data'!$D$502:$D$751,ROW()-1)))</f>
        <v/>
      </c>
      <c r="G70" s="66"/>
      <c r="H70" s="66"/>
      <c r="I70" s="66"/>
      <c r="J70" s="69"/>
      <c r="K70" s="69"/>
      <c r="L70" s="69"/>
      <c r="M70" s="69"/>
      <c r="N70" s="66"/>
      <c r="O70" s="66"/>
      <c r="P70" s="66"/>
      <c r="Q70" s="66"/>
      <c r="R70" s="66"/>
      <c r="S70" s="66"/>
      <c r="T70" s="66"/>
      <c r="U70" s="66"/>
      <c r="V70" s="66"/>
      <c r="W70" s="66"/>
      <c r="X70" s="66"/>
      <c r="Y70" s="66"/>
      <c r="Z70" s="66"/>
      <c r="AA70" s="66"/>
    </row>
    <row r="71" ht="15.75" customHeight="1">
      <c r="A71" s="67" t="b">
        <v>0</v>
      </c>
      <c r="B71" s="66"/>
      <c r="C71" s="66"/>
      <c r="D71" s="66"/>
      <c r="E71" s="66"/>
      <c r="F71" s="68" t="str">
        <f t="array" ref="F71">IF(INDEX('Binder Data'!$A$502:$A$751,ROW()-1)="","",IF(INDEX('Binder Data'!$D$502:$D$751,ROW()-1)="Needed",INDEX('Binder Data'!$B$502:$B$751,ROW()-1),INDEX('Binder Data'!$D$502:$D$751,ROW()-1)))</f>
        <v/>
      </c>
      <c r="G71" s="66"/>
      <c r="H71" s="66"/>
      <c r="I71" s="66"/>
      <c r="J71" s="69"/>
      <c r="K71" s="69"/>
      <c r="L71" s="69"/>
      <c r="M71" s="69"/>
      <c r="N71" s="66"/>
      <c r="O71" s="66"/>
      <c r="P71" s="66"/>
      <c r="Q71" s="66"/>
      <c r="R71" s="66"/>
      <c r="S71" s="66"/>
      <c r="T71" s="66"/>
      <c r="U71" s="66"/>
      <c r="V71" s="66"/>
      <c r="W71" s="66"/>
      <c r="X71" s="66"/>
      <c r="Y71" s="66"/>
      <c r="Z71" s="66"/>
      <c r="AA71" s="66"/>
    </row>
    <row r="72" ht="15.75" customHeight="1">
      <c r="A72" s="67" t="b">
        <v>0</v>
      </c>
      <c r="B72" s="66"/>
      <c r="C72" s="66"/>
      <c r="D72" s="66"/>
      <c r="E72" s="66"/>
      <c r="F72" s="68" t="str">
        <f t="array" ref="F72">IF(INDEX('Binder Data'!$A$502:$A$751,ROW()-1)="","",IF(INDEX('Binder Data'!$D$502:$D$751,ROW()-1)="Needed",INDEX('Binder Data'!$B$502:$B$751,ROW()-1),INDEX('Binder Data'!$D$502:$D$751,ROW()-1)))</f>
        <v/>
      </c>
      <c r="G72" s="66"/>
      <c r="H72" s="66"/>
      <c r="I72" s="66"/>
      <c r="J72" s="69"/>
      <c r="K72" s="69"/>
      <c r="L72" s="69"/>
      <c r="M72" s="69"/>
      <c r="N72" s="66"/>
      <c r="O72" s="66"/>
      <c r="P72" s="66"/>
      <c r="Q72" s="66"/>
      <c r="R72" s="66"/>
      <c r="S72" s="66"/>
      <c r="T72" s="66"/>
      <c r="U72" s="66"/>
      <c r="V72" s="66"/>
      <c r="W72" s="66"/>
      <c r="X72" s="66"/>
      <c r="Y72" s="66"/>
      <c r="Z72" s="66"/>
      <c r="AA72" s="66"/>
    </row>
    <row r="73" ht="15.75" customHeight="1">
      <c r="A73" s="67" t="b">
        <v>0</v>
      </c>
      <c r="B73" s="66"/>
      <c r="C73" s="66"/>
      <c r="D73" s="66"/>
      <c r="E73" s="66"/>
      <c r="F73" s="68" t="str">
        <f t="array" ref="F73">IF(INDEX('Binder Data'!$A$502:$A$751,ROW()-1)="","",IF(INDEX('Binder Data'!$D$502:$D$751,ROW()-1)="Needed",INDEX('Binder Data'!$B$502:$B$751,ROW()-1),INDEX('Binder Data'!$D$502:$D$751,ROW()-1)))</f>
        <v/>
      </c>
      <c r="G73" s="66"/>
      <c r="H73" s="66"/>
      <c r="I73" s="66"/>
      <c r="J73" s="69"/>
      <c r="K73" s="69"/>
      <c r="L73" s="69"/>
      <c r="M73" s="69"/>
      <c r="N73" s="66"/>
      <c r="O73" s="66"/>
      <c r="P73" s="66"/>
      <c r="Q73" s="66"/>
      <c r="R73" s="66"/>
      <c r="S73" s="66"/>
      <c r="T73" s="66"/>
      <c r="U73" s="66"/>
      <c r="V73" s="66"/>
      <c r="W73" s="66"/>
      <c r="X73" s="66"/>
      <c r="Y73" s="66"/>
      <c r="Z73" s="66"/>
      <c r="AA73" s="66"/>
    </row>
    <row r="74" ht="15.75" customHeight="1">
      <c r="A74" s="67" t="b">
        <v>0</v>
      </c>
      <c r="B74" s="66"/>
      <c r="C74" s="66"/>
      <c r="D74" s="66"/>
      <c r="E74" s="66"/>
      <c r="F74" s="68" t="str">
        <f t="array" ref="F74">IF(INDEX('Binder Data'!$A$502:$A$751,ROW()-1)="","",IF(INDEX('Binder Data'!$D$502:$D$751,ROW()-1)="Needed",INDEX('Binder Data'!$B$502:$B$751,ROW()-1),INDEX('Binder Data'!$D$502:$D$751,ROW()-1)))</f>
        <v/>
      </c>
      <c r="G74" s="66"/>
      <c r="H74" s="66"/>
      <c r="I74" s="66"/>
      <c r="J74" s="69"/>
      <c r="K74" s="69"/>
      <c r="L74" s="69"/>
      <c r="M74" s="69"/>
      <c r="N74" s="66"/>
      <c r="O74" s="66"/>
      <c r="P74" s="66"/>
      <c r="Q74" s="66"/>
      <c r="R74" s="66"/>
      <c r="S74" s="66"/>
      <c r="T74" s="66"/>
      <c r="U74" s="66"/>
      <c r="V74" s="66"/>
      <c r="W74" s="66"/>
      <c r="X74" s="66"/>
      <c r="Y74" s="66"/>
      <c r="Z74" s="66"/>
      <c r="AA74" s="66"/>
    </row>
    <row r="75" ht="15.75" customHeight="1">
      <c r="A75" s="67" t="b">
        <v>0</v>
      </c>
      <c r="B75" s="66"/>
      <c r="C75" s="66"/>
      <c r="D75" s="66"/>
      <c r="E75" s="66"/>
      <c r="F75" s="68" t="str">
        <f t="array" ref="F75">IF(INDEX('Binder Data'!$A$502:$A$751,ROW()-1)="","",IF(INDEX('Binder Data'!$D$502:$D$751,ROW()-1)="Needed",INDEX('Binder Data'!$B$502:$B$751,ROW()-1),INDEX('Binder Data'!$D$502:$D$751,ROW()-1)))</f>
        <v/>
      </c>
      <c r="G75" s="66"/>
      <c r="H75" s="66"/>
      <c r="I75" s="66"/>
      <c r="J75" s="69"/>
      <c r="K75" s="69"/>
      <c r="L75" s="69"/>
      <c r="M75" s="69"/>
      <c r="N75" s="66"/>
      <c r="O75" s="66"/>
      <c r="P75" s="66"/>
      <c r="Q75" s="66"/>
      <c r="R75" s="66"/>
      <c r="S75" s="66"/>
      <c r="T75" s="66"/>
      <c r="U75" s="66"/>
      <c r="V75" s="66"/>
      <c r="W75" s="66"/>
      <c r="X75" s="66"/>
      <c r="Y75" s="66"/>
      <c r="Z75" s="66"/>
      <c r="AA75" s="66"/>
    </row>
    <row r="76" ht="15.75" customHeight="1">
      <c r="A76" s="67" t="b">
        <v>0</v>
      </c>
      <c r="B76" s="66"/>
      <c r="C76" s="66"/>
      <c r="D76" s="66"/>
      <c r="E76" s="66"/>
      <c r="F76" s="68" t="str">
        <f t="array" ref="F76">IF(INDEX('Binder Data'!$A$502:$A$751,ROW()-1)="","",IF(INDEX('Binder Data'!$D$502:$D$751,ROW()-1)="Needed",INDEX('Binder Data'!$B$502:$B$751,ROW()-1),INDEX('Binder Data'!$D$502:$D$751,ROW()-1)))</f>
        <v/>
      </c>
      <c r="G76" s="66"/>
      <c r="H76" s="66"/>
      <c r="I76" s="66"/>
      <c r="J76" s="69"/>
      <c r="K76" s="69"/>
      <c r="L76" s="69"/>
      <c r="M76" s="69"/>
      <c r="N76" s="66"/>
      <c r="O76" s="66"/>
      <c r="P76" s="66"/>
      <c r="Q76" s="66"/>
      <c r="R76" s="66"/>
      <c r="S76" s="66"/>
      <c r="T76" s="66"/>
      <c r="U76" s="66"/>
      <c r="V76" s="66"/>
      <c r="W76" s="66"/>
      <c r="X76" s="66"/>
      <c r="Y76" s="66"/>
      <c r="Z76" s="66"/>
      <c r="AA76" s="66"/>
    </row>
    <row r="77" ht="15.75" customHeight="1">
      <c r="A77" s="67" t="b">
        <v>0</v>
      </c>
      <c r="B77" s="66"/>
      <c r="C77" s="66"/>
      <c r="D77" s="66"/>
      <c r="E77" s="66"/>
      <c r="F77" s="68" t="str">
        <f t="array" ref="F77">IF(INDEX('Binder Data'!$A$502:$A$751,ROW()-1)="","",IF(INDEX('Binder Data'!$D$502:$D$751,ROW()-1)="Needed",INDEX('Binder Data'!$B$502:$B$751,ROW()-1),INDEX('Binder Data'!$D$502:$D$751,ROW()-1)))</f>
        <v/>
      </c>
      <c r="G77" s="66"/>
      <c r="H77" s="66"/>
      <c r="I77" s="66"/>
      <c r="J77" s="69"/>
      <c r="K77" s="69"/>
      <c r="L77" s="69"/>
      <c r="M77" s="69"/>
      <c r="N77" s="66"/>
      <c r="O77" s="66"/>
      <c r="P77" s="66"/>
      <c r="Q77" s="66"/>
      <c r="R77" s="66"/>
      <c r="S77" s="66"/>
      <c r="T77" s="66"/>
      <c r="U77" s="66"/>
      <c r="V77" s="66"/>
      <c r="W77" s="66"/>
      <c r="X77" s="66"/>
      <c r="Y77" s="66"/>
      <c r="Z77" s="66"/>
      <c r="AA77" s="66"/>
    </row>
    <row r="78" ht="15.75" customHeight="1">
      <c r="A78" s="67" t="b">
        <v>0</v>
      </c>
      <c r="B78" s="66"/>
      <c r="C78" s="66"/>
      <c r="D78" s="66"/>
      <c r="E78" s="66"/>
      <c r="F78" s="68" t="str">
        <f t="array" ref="F78">IF(INDEX('Binder Data'!$A$502:$A$751,ROW()-1)="","",IF(INDEX('Binder Data'!$D$502:$D$751,ROW()-1)="Needed",INDEX('Binder Data'!$B$502:$B$751,ROW()-1),INDEX('Binder Data'!$D$502:$D$751,ROW()-1)))</f>
        <v/>
      </c>
      <c r="G78" s="66"/>
      <c r="H78" s="66"/>
      <c r="I78" s="66"/>
      <c r="J78" s="69"/>
      <c r="K78" s="69"/>
      <c r="L78" s="69"/>
      <c r="M78" s="69"/>
      <c r="N78" s="66"/>
      <c r="O78" s="66"/>
      <c r="P78" s="66"/>
      <c r="Q78" s="66"/>
      <c r="R78" s="66"/>
      <c r="S78" s="66"/>
      <c r="T78" s="66"/>
      <c r="U78" s="66"/>
      <c r="V78" s="66"/>
      <c r="W78" s="66"/>
      <c r="X78" s="66"/>
      <c r="Y78" s="66"/>
      <c r="Z78" s="66"/>
      <c r="AA78" s="66"/>
    </row>
    <row r="79" ht="15.75" customHeight="1">
      <c r="A79" s="67" t="b">
        <v>0</v>
      </c>
      <c r="B79" s="66"/>
      <c r="C79" s="66"/>
      <c r="D79" s="66"/>
      <c r="E79" s="66"/>
      <c r="F79" s="68" t="str">
        <f t="array" ref="F79">IF(INDEX('Binder Data'!$A$502:$A$751,ROW()-1)="","",IF(INDEX('Binder Data'!$D$502:$D$751,ROW()-1)="Needed",INDEX('Binder Data'!$B$502:$B$751,ROW()-1),INDEX('Binder Data'!$D$502:$D$751,ROW()-1)))</f>
        <v/>
      </c>
      <c r="G79" s="66"/>
      <c r="H79" s="66"/>
      <c r="I79" s="66"/>
      <c r="J79" s="69"/>
      <c r="K79" s="69"/>
      <c r="L79" s="69"/>
      <c r="M79" s="69"/>
      <c r="N79" s="66"/>
      <c r="O79" s="66"/>
      <c r="P79" s="66"/>
      <c r="Q79" s="66"/>
      <c r="R79" s="66"/>
      <c r="S79" s="66"/>
      <c r="T79" s="66"/>
      <c r="U79" s="66"/>
      <c r="V79" s="66"/>
      <c r="W79" s="66"/>
      <c r="X79" s="66"/>
      <c r="Y79" s="66"/>
      <c r="Z79" s="66"/>
      <c r="AA79" s="66"/>
    </row>
    <row r="80" ht="15.75" customHeight="1">
      <c r="A80" s="67" t="b">
        <v>0</v>
      </c>
      <c r="B80" s="66"/>
      <c r="C80" s="66"/>
      <c r="D80" s="66"/>
      <c r="E80" s="66"/>
      <c r="F80" s="68" t="str">
        <f t="array" ref="F80">IF(INDEX('Binder Data'!$A$502:$A$751,ROW()-1)="","",IF(INDEX('Binder Data'!$D$502:$D$751,ROW()-1)="Needed",INDEX('Binder Data'!$B$502:$B$751,ROW()-1),INDEX('Binder Data'!$D$502:$D$751,ROW()-1)))</f>
        <v/>
      </c>
      <c r="G80" s="66"/>
      <c r="H80" s="66"/>
      <c r="I80" s="66"/>
      <c r="J80" s="69"/>
      <c r="K80" s="69"/>
      <c r="L80" s="69"/>
      <c r="M80" s="69"/>
      <c r="N80" s="66"/>
      <c r="O80" s="66"/>
      <c r="P80" s="66"/>
      <c r="Q80" s="66"/>
      <c r="R80" s="66"/>
      <c r="S80" s="66"/>
      <c r="T80" s="66"/>
      <c r="U80" s="66"/>
      <c r="V80" s="66"/>
      <c r="W80" s="66"/>
      <c r="X80" s="66"/>
      <c r="Y80" s="66"/>
      <c r="Z80" s="66"/>
      <c r="AA80" s="66"/>
    </row>
    <row r="81" ht="15.75" customHeight="1">
      <c r="A81" s="67" t="b">
        <v>0</v>
      </c>
      <c r="B81" s="66"/>
      <c r="C81" s="66"/>
      <c r="D81" s="66"/>
      <c r="E81" s="66"/>
      <c r="F81" s="68" t="str">
        <f t="array" ref="F81">IF(INDEX('Binder Data'!$A$502:$A$751,ROW()-1)="","",IF(INDEX('Binder Data'!$D$502:$D$751,ROW()-1)="Needed",INDEX('Binder Data'!$B$502:$B$751,ROW()-1),INDEX('Binder Data'!$D$502:$D$751,ROW()-1)))</f>
        <v/>
      </c>
      <c r="G81" s="66"/>
      <c r="H81" s="66"/>
      <c r="I81" s="66"/>
      <c r="J81" s="69"/>
      <c r="K81" s="69"/>
      <c r="L81" s="69"/>
      <c r="M81" s="69"/>
      <c r="N81" s="66"/>
      <c r="O81" s="66"/>
      <c r="P81" s="66"/>
      <c r="Q81" s="66"/>
      <c r="R81" s="66"/>
      <c r="S81" s="66"/>
      <c r="T81" s="66"/>
      <c r="U81" s="66"/>
      <c r="V81" s="66"/>
      <c r="W81" s="66"/>
      <c r="X81" s="66"/>
      <c r="Y81" s="66"/>
      <c r="Z81" s="66"/>
      <c r="AA81" s="66"/>
    </row>
    <row r="82" ht="15.75" customHeight="1">
      <c r="A82" s="67" t="b">
        <v>0</v>
      </c>
      <c r="B82" s="66"/>
      <c r="C82" s="66"/>
      <c r="D82" s="66"/>
      <c r="E82" s="66"/>
      <c r="F82" s="68" t="str">
        <f t="array" ref="F82">IF(INDEX('Binder Data'!$A$502:$A$751,ROW()-1)="","",IF(INDEX('Binder Data'!$D$502:$D$751,ROW()-1)="Needed",INDEX('Binder Data'!$B$502:$B$751,ROW()-1),INDEX('Binder Data'!$D$502:$D$751,ROW()-1)))</f>
        <v/>
      </c>
      <c r="G82" s="66"/>
      <c r="H82" s="66"/>
      <c r="I82" s="66"/>
      <c r="J82" s="69"/>
      <c r="K82" s="69"/>
      <c r="L82" s="69"/>
      <c r="M82" s="69"/>
      <c r="N82" s="66"/>
      <c r="O82" s="66"/>
      <c r="P82" s="66"/>
      <c r="Q82" s="66"/>
      <c r="R82" s="66"/>
      <c r="S82" s="66"/>
      <c r="T82" s="66"/>
      <c r="U82" s="66"/>
      <c r="V82" s="66"/>
      <c r="W82" s="66"/>
      <c r="X82" s="66"/>
      <c r="Y82" s="66"/>
      <c r="Z82" s="66"/>
      <c r="AA82" s="66"/>
    </row>
    <row r="83" ht="15.75" customHeight="1">
      <c r="A83" s="67" t="b">
        <v>0</v>
      </c>
      <c r="B83" s="66"/>
      <c r="C83" s="66"/>
      <c r="D83" s="66"/>
      <c r="E83" s="66"/>
      <c r="F83" s="68" t="str">
        <f t="array" ref="F83">IF(INDEX('Binder Data'!$A$502:$A$751,ROW()-1)="","",IF(INDEX('Binder Data'!$D$502:$D$751,ROW()-1)="Needed",INDEX('Binder Data'!$B$502:$B$751,ROW()-1),INDEX('Binder Data'!$D$502:$D$751,ROW()-1)))</f>
        <v/>
      </c>
      <c r="G83" s="66"/>
      <c r="H83" s="66"/>
      <c r="I83" s="66"/>
      <c r="J83" s="69"/>
      <c r="K83" s="69"/>
      <c r="L83" s="69"/>
      <c r="M83" s="69"/>
      <c r="N83" s="66"/>
      <c r="O83" s="66"/>
      <c r="P83" s="66"/>
      <c r="Q83" s="66"/>
      <c r="R83" s="66"/>
      <c r="S83" s="66"/>
      <c r="T83" s="66"/>
      <c r="U83" s="66"/>
      <c r="V83" s="66"/>
      <c r="W83" s="66"/>
      <c r="X83" s="66"/>
      <c r="Y83" s="66"/>
      <c r="Z83" s="66"/>
      <c r="AA83" s="66"/>
    </row>
    <row r="84" ht="15.75" customHeight="1">
      <c r="A84" s="67" t="b">
        <v>0</v>
      </c>
      <c r="B84" s="66"/>
      <c r="C84" s="66"/>
      <c r="D84" s="66"/>
      <c r="E84" s="66"/>
      <c r="F84" s="68" t="str">
        <f t="array" ref="F84">IF(INDEX('Binder Data'!$A$502:$A$751,ROW()-1)="","",IF(INDEX('Binder Data'!$D$502:$D$751,ROW()-1)="Needed",INDEX('Binder Data'!$B$502:$B$751,ROW()-1),INDEX('Binder Data'!$D$502:$D$751,ROW()-1)))</f>
        <v/>
      </c>
      <c r="G84" s="66"/>
      <c r="H84" s="66"/>
      <c r="I84" s="66"/>
      <c r="J84" s="69"/>
      <c r="K84" s="69"/>
      <c r="L84" s="69"/>
      <c r="M84" s="69"/>
      <c r="N84" s="66"/>
      <c r="O84" s="66"/>
      <c r="P84" s="66"/>
      <c r="Q84" s="66"/>
      <c r="R84" s="66"/>
      <c r="S84" s="66"/>
      <c r="T84" s="66"/>
      <c r="U84" s="66"/>
      <c r="V84" s="66"/>
      <c r="W84" s="66"/>
      <c r="X84" s="66"/>
      <c r="Y84" s="66"/>
      <c r="Z84" s="66"/>
      <c r="AA84" s="66"/>
    </row>
    <row r="85" ht="15.75" customHeight="1">
      <c r="A85" s="67" t="b">
        <v>0</v>
      </c>
      <c r="B85" s="66"/>
      <c r="C85" s="66"/>
      <c r="D85" s="66"/>
      <c r="E85" s="66"/>
      <c r="F85" s="68" t="str">
        <f t="array" ref="F85">IF(INDEX('Binder Data'!$A$502:$A$751,ROW()-1)="","",IF(INDEX('Binder Data'!$D$502:$D$751,ROW()-1)="Needed",INDEX('Binder Data'!$B$502:$B$751,ROW()-1),INDEX('Binder Data'!$D$502:$D$751,ROW()-1)))</f>
        <v/>
      </c>
      <c r="G85" s="66"/>
      <c r="H85" s="66"/>
      <c r="I85" s="66"/>
      <c r="J85" s="69"/>
      <c r="K85" s="69"/>
      <c r="L85" s="69"/>
      <c r="M85" s="69"/>
      <c r="N85" s="66"/>
      <c r="O85" s="66"/>
      <c r="P85" s="66"/>
      <c r="Q85" s="66"/>
      <c r="R85" s="66"/>
      <c r="S85" s="66"/>
      <c r="T85" s="66"/>
      <c r="U85" s="66"/>
      <c r="V85" s="66"/>
      <c r="W85" s="66"/>
      <c r="X85" s="66"/>
      <c r="Y85" s="66"/>
      <c r="Z85" s="66"/>
      <c r="AA85" s="66"/>
    </row>
    <row r="86" ht="15.75" customHeight="1">
      <c r="A86" s="67" t="b">
        <v>0</v>
      </c>
      <c r="B86" s="66"/>
      <c r="C86" s="66"/>
      <c r="D86" s="66"/>
      <c r="E86" s="66"/>
      <c r="F86" s="68" t="str">
        <f t="array" ref="F86">IF(INDEX('Binder Data'!$A$502:$A$751,ROW()-1)="","",IF(INDEX('Binder Data'!$D$502:$D$751,ROW()-1)="Needed",INDEX('Binder Data'!$B$502:$B$751,ROW()-1),INDEX('Binder Data'!$D$502:$D$751,ROW()-1)))</f>
        <v/>
      </c>
      <c r="G86" s="66"/>
      <c r="H86" s="66"/>
      <c r="I86" s="66"/>
      <c r="J86" s="69"/>
      <c r="K86" s="69"/>
      <c r="L86" s="69"/>
      <c r="M86" s="69"/>
      <c r="N86" s="66"/>
      <c r="O86" s="66"/>
      <c r="P86" s="66"/>
      <c r="Q86" s="66"/>
      <c r="R86" s="66"/>
      <c r="S86" s="66"/>
      <c r="T86" s="66"/>
      <c r="U86" s="66"/>
      <c r="V86" s="66"/>
      <c r="W86" s="66"/>
      <c r="X86" s="66"/>
      <c r="Y86" s="66"/>
      <c r="Z86" s="66"/>
      <c r="AA86" s="66"/>
    </row>
    <row r="87" ht="15.75" customHeight="1">
      <c r="A87" s="67" t="b">
        <v>0</v>
      </c>
      <c r="B87" s="66"/>
      <c r="C87" s="66"/>
      <c r="D87" s="66"/>
      <c r="E87" s="66"/>
      <c r="F87" s="68" t="str">
        <f t="array" ref="F87">IF(INDEX('Binder Data'!$A$502:$A$751,ROW()-1)="","",IF(INDEX('Binder Data'!$D$502:$D$751,ROW()-1)="Needed",INDEX('Binder Data'!$B$502:$B$751,ROW()-1),INDEX('Binder Data'!$D$502:$D$751,ROW()-1)))</f>
        <v/>
      </c>
      <c r="G87" s="66"/>
      <c r="H87" s="66"/>
      <c r="I87" s="66"/>
      <c r="J87" s="69"/>
      <c r="K87" s="69"/>
      <c r="L87" s="69"/>
      <c r="M87" s="69"/>
      <c r="N87" s="66"/>
      <c r="O87" s="66"/>
      <c r="P87" s="66"/>
      <c r="Q87" s="66"/>
      <c r="R87" s="66"/>
      <c r="S87" s="66"/>
      <c r="T87" s="66"/>
      <c r="U87" s="66"/>
      <c r="V87" s="66"/>
      <c r="W87" s="66"/>
      <c r="X87" s="66"/>
      <c r="Y87" s="66"/>
      <c r="Z87" s="66"/>
      <c r="AA87" s="66"/>
    </row>
    <row r="88" ht="15.75" customHeight="1">
      <c r="A88" s="67" t="b">
        <v>0</v>
      </c>
      <c r="B88" s="66"/>
      <c r="C88" s="66"/>
      <c r="D88" s="66"/>
      <c r="E88" s="66"/>
      <c r="F88" s="68" t="str">
        <f t="array" ref="F88">IF(INDEX('Binder Data'!$A$502:$A$751,ROW()-1)="","",IF(INDEX('Binder Data'!$D$502:$D$751,ROW()-1)="Needed",INDEX('Binder Data'!$B$502:$B$751,ROW()-1),INDEX('Binder Data'!$D$502:$D$751,ROW()-1)))</f>
        <v/>
      </c>
      <c r="G88" s="66"/>
      <c r="H88" s="66"/>
      <c r="I88" s="66"/>
      <c r="J88" s="69"/>
      <c r="K88" s="69"/>
      <c r="L88" s="69"/>
      <c r="M88" s="69"/>
      <c r="N88" s="66"/>
      <c r="O88" s="66"/>
      <c r="P88" s="66"/>
      <c r="Q88" s="66"/>
      <c r="R88" s="66"/>
      <c r="S88" s="66"/>
      <c r="T88" s="66"/>
      <c r="U88" s="66"/>
      <c r="V88" s="66"/>
      <c r="W88" s="66"/>
      <c r="X88" s="66"/>
      <c r="Y88" s="66"/>
      <c r="Z88" s="66"/>
      <c r="AA88" s="66"/>
    </row>
    <row r="89" ht="15.75" customHeight="1">
      <c r="A89" s="67" t="b">
        <v>0</v>
      </c>
      <c r="B89" s="66"/>
      <c r="C89" s="66"/>
      <c r="D89" s="66"/>
      <c r="E89" s="66"/>
      <c r="F89" s="68" t="str">
        <f t="array" ref="F89">IF(INDEX('Binder Data'!$A$502:$A$751,ROW()-1)="","",IF(INDEX('Binder Data'!$D$502:$D$751,ROW()-1)="Needed",INDEX('Binder Data'!$B$502:$B$751,ROW()-1),INDEX('Binder Data'!$D$502:$D$751,ROW()-1)))</f>
        <v/>
      </c>
      <c r="G89" s="66"/>
      <c r="H89" s="66"/>
      <c r="I89" s="66"/>
      <c r="J89" s="69"/>
      <c r="K89" s="69"/>
      <c r="L89" s="69"/>
      <c r="M89" s="69"/>
      <c r="N89" s="66"/>
      <c r="O89" s="66"/>
      <c r="P89" s="66"/>
      <c r="Q89" s="66"/>
      <c r="R89" s="66"/>
      <c r="S89" s="66"/>
      <c r="T89" s="66"/>
      <c r="U89" s="66"/>
      <c r="V89" s="66"/>
      <c r="W89" s="66"/>
      <c r="X89" s="66"/>
      <c r="Y89" s="66"/>
      <c r="Z89" s="66"/>
      <c r="AA89" s="66"/>
    </row>
    <row r="90" ht="15.75" customHeight="1">
      <c r="A90" s="66"/>
      <c r="B90" s="66"/>
      <c r="C90" s="70"/>
      <c r="D90" s="66"/>
      <c r="E90" s="66"/>
      <c r="F90" s="68" t="str">
        <f t="array" ref="F90">IF(INDEX('Binder Data'!$A$502:$A$751,ROW()-1)="","",IF(INDEX('Binder Data'!$D$502:$D$751,ROW()-1)="Needed",INDEX('Binder Data'!$B$502:$B$751,ROW()-1),INDEX('Binder Data'!$D$502:$D$751,ROW()-1)))</f>
        <v/>
      </c>
      <c r="G90" s="66"/>
      <c r="H90" s="66"/>
      <c r="I90" s="66"/>
      <c r="J90" s="69"/>
      <c r="K90" s="69"/>
      <c r="L90" s="69"/>
      <c r="M90" s="69"/>
      <c r="N90" s="66"/>
      <c r="O90" s="66"/>
      <c r="P90" s="66"/>
      <c r="Q90" s="66"/>
      <c r="R90" s="66"/>
      <c r="S90" s="66"/>
      <c r="T90" s="66"/>
      <c r="U90" s="66"/>
      <c r="V90" s="66"/>
      <c r="W90" s="66"/>
      <c r="X90" s="66"/>
      <c r="Y90" s="66"/>
      <c r="Z90" s="66"/>
      <c r="AA90" s="66"/>
    </row>
    <row r="91" ht="15.75" customHeight="1">
      <c r="A91" s="66"/>
      <c r="B91" s="66"/>
      <c r="C91" s="70"/>
      <c r="D91" s="66"/>
      <c r="E91" s="66"/>
      <c r="F91" s="68" t="str">
        <f t="array" ref="F91">IF(INDEX('Binder Data'!$A$502:$A$751,ROW()-1)="","",IF(INDEX('Binder Data'!$D$502:$D$751,ROW()-1)="Needed",INDEX('Binder Data'!$B$502:$B$751,ROW()-1),INDEX('Binder Data'!$D$502:$D$751,ROW()-1)))</f>
        <v/>
      </c>
      <c r="G91" s="66"/>
      <c r="H91" s="66"/>
      <c r="I91" s="66"/>
      <c r="J91" s="69"/>
      <c r="K91" s="69"/>
      <c r="L91" s="69"/>
      <c r="M91" s="69"/>
      <c r="N91" s="66"/>
      <c r="O91" s="66"/>
      <c r="P91" s="66"/>
      <c r="Q91" s="66"/>
      <c r="R91" s="66"/>
      <c r="S91" s="66"/>
      <c r="T91" s="66"/>
      <c r="U91" s="66"/>
      <c r="V91" s="66"/>
      <c r="W91" s="66"/>
      <c r="X91" s="66"/>
      <c r="Y91" s="66"/>
      <c r="Z91" s="66"/>
      <c r="AA91" s="66"/>
    </row>
    <row r="92" ht="15.75" customHeight="1">
      <c r="A92" s="66"/>
      <c r="B92" s="66"/>
      <c r="C92" s="70"/>
      <c r="D92" s="66"/>
      <c r="E92" s="66"/>
      <c r="F92" s="68" t="str">
        <f t="array" ref="F92">IF(INDEX('Binder Data'!$A$502:$A$751,ROW()-1)="","",IF(INDEX('Binder Data'!$D$502:$D$751,ROW()-1)="Needed",INDEX('Binder Data'!$B$502:$B$751,ROW()-1),INDEX('Binder Data'!$D$502:$D$751,ROW()-1)))</f>
        <v/>
      </c>
      <c r="G92" s="66"/>
      <c r="H92" s="66"/>
      <c r="I92" s="66"/>
      <c r="J92" s="69"/>
      <c r="K92" s="69"/>
      <c r="L92" s="69"/>
      <c r="M92" s="69"/>
      <c r="N92" s="66"/>
      <c r="O92" s="66"/>
      <c r="P92" s="66"/>
      <c r="Q92" s="66"/>
      <c r="R92" s="66"/>
      <c r="S92" s="66"/>
      <c r="T92" s="66"/>
      <c r="U92" s="66"/>
      <c r="V92" s="66"/>
      <c r="W92" s="66"/>
      <c r="X92" s="66"/>
      <c r="Y92" s="66"/>
      <c r="Z92" s="66"/>
      <c r="AA92" s="66"/>
    </row>
    <row r="93" ht="15.75" customHeight="1">
      <c r="A93" s="66"/>
      <c r="B93" s="66"/>
      <c r="C93" s="70"/>
      <c r="D93" s="66"/>
      <c r="E93" s="66"/>
      <c r="F93" s="68" t="str">
        <f t="array" ref="F93">IF(INDEX('Binder Data'!$A$502:$A$751,ROW()-1)="","",IF(INDEX('Binder Data'!$D$502:$D$751,ROW()-1)="Needed",INDEX('Binder Data'!$B$502:$B$751,ROW()-1),INDEX('Binder Data'!$D$502:$D$751,ROW()-1)))</f>
        <v/>
      </c>
      <c r="G93" s="66"/>
      <c r="H93" s="66"/>
      <c r="I93" s="66"/>
      <c r="J93" s="69"/>
      <c r="K93" s="69"/>
      <c r="L93" s="69"/>
      <c r="M93" s="69"/>
      <c r="N93" s="66"/>
      <c r="O93" s="66"/>
      <c r="P93" s="66"/>
      <c r="Q93" s="66"/>
      <c r="R93" s="66"/>
      <c r="S93" s="66"/>
      <c r="T93" s="66"/>
      <c r="U93" s="66"/>
      <c r="V93" s="66"/>
      <c r="W93" s="66"/>
      <c r="X93" s="66"/>
      <c r="Y93" s="66"/>
      <c r="Z93" s="66"/>
      <c r="AA93" s="66"/>
    </row>
    <row r="94" ht="15.75" customHeight="1">
      <c r="A94" s="66"/>
      <c r="B94" s="66"/>
      <c r="C94" s="70"/>
      <c r="D94" s="66"/>
      <c r="E94" s="66"/>
      <c r="F94" s="68" t="str">
        <f t="array" ref="F94">IF(INDEX('Binder Data'!$A$502:$A$751,ROW()-1)="","",IF(INDEX('Binder Data'!$D$502:$D$751,ROW()-1)="Needed",INDEX('Binder Data'!$B$502:$B$751,ROW()-1),INDEX('Binder Data'!$D$502:$D$751,ROW()-1)))</f>
        <v/>
      </c>
      <c r="G94" s="66"/>
      <c r="H94" s="66"/>
      <c r="I94" s="66"/>
      <c r="J94" s="69"/>
      <c r="K94" s="69"/>
      <c r="L94" s="69"/>
      <c r="M94" s="69"/>
      <c r="N94" s="66"/>
      <c r="O94" s="66"/>
      <c r="P94" s="66"/>
      <c r="Q94" s="66"/>
      <c r="R94" s="66"/>
      <c r="S94" s="66"/>
      <c r="T94" s="66"/>
      <c r="U94" s="66"/>
      <c r="V94" s="66"/>
      <c r="W94" s="66"/>
      <c r="X94" s="66"/>
      <c r="Y94" s="66"/>
      <c r="Z94" s="66"/>
      <c r="AA94" s="66"/>
    </row>
    <row r="95" ht="15.75" customHeight="1">
      <c r="A95" s="66"/>
      <c r="B95" s="66"/>
      <c r="C95" s="70"/>
      <c r="D95" s="66"/>
      <c r="E95" s="66"/>
      <c r="F95" s="68" t="str">
        <f t="array" ref="F95">IF(INDEX('Binder Data'!$A$502:$A$751,ROW()-1)="","",IF(INDEX('Binder Data'!$D$502:$D$751,ROW()-1)="Needed",INDEX('Binder Data'!$B$502:$B$751,ROW()-1),INDEX('Binder Data'!$D$502:$D$751,ROW()-1)))</f>
        <v/>
      </c>
      <c r="G95" s="66"/>
      <c r="H95" s="66"/>
      <c r="I95" s="66"/>
      <c r="J95" s="69"/>
      <c r="K95" s="69"/>
      <c r="L95" s="69"/>
      <c r="M95" s="69"/>
      <c r="N95" s="66"/>
      <c r="O95" s="71"/>
      <c r="P95" s="66"/>
      <c r="Q95" s="66"/>
      <c r="R95" s="66"/>
      <c r="S95" s="66"/>
      <c r="T95" s="66"/>
      <c r="U95" s="66"/>
      <c r="V95" s="66"/>
      <c r="W95" s="66"/>
      <c r="X95" s="66"/>
      <c r="Y95" s="66"/>
      <c r="Z95" s="66"/>
      <c r="AA95" s="66"/>
    </row>
    <row r="96" ht="15.75" customHeight="1">
      <c r="A96" s="66"/>
      <c r="B96" s="66"/>
      <c r="C96" s="70"/>
      <c r="D96" s="66"/>
      <c r="E96" s="66"/>
      <c r="F96" s="68" t="str">
        <f t="array" ref="F96">IF(INDEX('Binder Data'!$A$502:$A$751,ROW()-1)="","",IF(INDEX('Binder Data'!$D$502:$D$751,ROW()-1)="Needed",INDEX('Binder Data'!$B$502:$B$751,ROW()-1),INDEX('Binder Data'!$D$502:$D$751,ROW()-1)))</f>
        <v/>
      </c>
      <c r="G96" s="66"/>
      <c r="H96" s="66"/>
      <c r="I96" s="66"/>
      <c r="J96" s="69"/>
      <c r="K96" s="69"/>
      <c r="L96" s="69"/>
      <c r="M96" s="69"/>
      <c r="N96" s="66"/>
      <c r="O96" s="71"/>
      <c r="P96" s="66"/>
      <c r="Q96" s="66"/>
      <c r="R96" s="66"/>
      <c r="S96" s="66"/>
      <c r="T96" s="66"/>
      <c r="U96" s="66"/>
      <c r="V96" s="66"/>
      <c r="W96" s="66"/>
      <c r="X96" s="66"/>
      <c r="Y96" s="66"/>
      <c r="Z96" s="66"/>
      <c r="AA96" s="66"/>
    </row>
    <row r="97" ht="15.75" customHeight="1">
      <c r="A97" s="66"/>
      <c r="B97" s="66"/>
      <c r="C97" s="70"/>
      <c r="D97" s="66"/>
      <c r="E97" s="66"/>
      <c r="F97" s="68" t="str">
        <f t="array" ref="F97">IF(INDEX('Binder Data'!$A$502:$A$751,ROW()-1)="","",IF(INDEX('Binder Data'!$D$502:$D$751,ROW()-1)="Needed",INDEX('Binder Data'!$B$502:$B$751,ROW()-1),INDEX('Binder Data'!$D$502:$D$751,ROW()-1)))</f>
        <v/>
      </c>
      <c r="G97" s="66"/>
      <c r="H97" s="66"/>
      <c r="I97" s="66"/>
      <c r="J97" s="66"/>
      <c r="K97" s="66"/>
      <c r="L97" s="66"/>
      <c r="M97" s="66"/>
      <c r="N97" s="66"/>
      <c r="O97" s="66"/>
      <c r="P97" s="66"/>
      <c r="Q97" s="66"/>
      <c r="R97" s="66"/>
      <c r="S97" s="66"/>
      <c r="T97" s="66"/>
      <c r="U97" s="66"/>
      <c r="V97" s="66"/>
      <c r="W97" s="66"/>
      <c r="X97" s="66"/>
      <c r="Y97" s="66"/>
      <c r="Z97" s="66"/>
      <c r="AA97" s="66"/>
    </row>
    <row r="98" ht="15.75" customHeight="1">
      <c r="A98" s="66"/>
      <c r="B98" s="66"/>
      <c r="C98" s="70"/>
      <c r="D98" s="66"/>
      <c r="E98" s="66"/>
      <c r="F98" s="68" t="str">
        <f t="array" ref="F98">IF(INDEX('Binder Data'!$A$502:$A$751,ROW()-1)="","",IF(INDEX('Binder Data'!$D$502:$D$751,ROW()-1)="Needed",INDEX('Binder Data'!$B$502:$B$751,ROW()-1),INDEX('Binder Data'!$D$502:$D$751,ROW()-1)))</f>
        <v/>
      </c>
      <c r="G98" s="66"/>
      <c r="H98" s="66"/>
      <c r="I98" s="66"/>
      <c r="J98" s="66"/>
      <c r="K98" s="66"/>
      <c r="L98" s="66"/>
      <c r="M98" s="66"/>
      <c r="N98" s="66"/>
      <c r="O98" s="71"/>
      <c r="P98" s="66"/>
      <c r="Q98" s="66"/>
      <c r="R98" s="66"/>
      <c r="S98" s="66"/>
      <c r="T98" s="66"/>
      <c r="U98" s="66"/>
      <c r="V98" s="66"/>
      <c r="W98" s="66"/>
      <c r="X98" s="66"/>
      <c r="Y98" s="66"/>
      <c r="Z98" s="66"/>
      <c r="AA98" s="66"/>
    </row>
    <row r="99" ht="15.75" customHeight="1">
      <c r="A99" s="66"/>
      <c r="B99" s="66"/>
      <c r="C99" s="70"/>
      <c r="D99" s="66"/>
      <c r="E99" s="66"/>
      <c r="F99" s="68" t="str">
        <f t="array" ref="F99">IF(INDEX('Binder Data'!$A$502:$A$751,ROW()-1)="","",IF(INDEX('Binder Data'!$D$502:$D$751,ROW()-1)="Needed",INDEX('Binder Data'!$B$502:$B$751,ROW()-1),INDEX('Binder Data'!$D$502:$D$751,ROW()-1)))</f>
        <v/>
      </c>
      <c r="G99" s="66"/>
      <c r="H99" s="66"/>
      <c r="I99" s="66"/>
      <c r="J99" s="66"/>
      <c r="K99" s="66"/>
      <c r="L99" s="66"/>
      <c r="M99" s="66"/>
      <c r="N99" s="66"/>
      <c r="O99" s="71"/>
      <c r="P99" s="66"/>
      <c r="Q99" s="66"/>
      <c r="R99" s="66"/>
      <c r="S99" s="66"/>
      <c r="T99" s="66"/>
      <c r="U99" s="66"/>
      <c r="V99" s="66"/>
      <c r="W99" s="66"/>
      <c r="X99" s="66"/>
      <c r="Y99" s="66"/>
      <c r="Z99" s="66"/>
      <c r="AA99" s="66"/>
    </row>
    <row r="100" ht="15.75" customHeight="1">
      <c r="A100" s="66"/>
      <c r="B100" s="66"/>
      <c r="C100" s="70"/>
      <c r="D100" s="66"/>
      <c r="E100" s="66"/>
      <c r="F100" s="68" t="str">
        <f t="array" ref="F100">IF(INDEX('Binder Data'!$A$502:$A$751,ROW()-1)="","",IF(INDEX('Binder Data'!$D$502:$D$751,ROW()-1)="Needed",INDEX('Binder Data'!$B$502:$B$751,ROW()-1),INDEX('Binder Data'!$D$502:$D$751,ROW()-1)))</f>
        <v/>
      </c>
      <c r="G100" s="66"/>
      <c r="H100" s="66"/>
      <c r="I100" s="66"/>
      <c r="J100" s="66"/>
      <c r="K100" s="66"/>
      <c r="L100" s="66"/>
      <c r="M100" s="66"/>
      <c r="N100" s="66"/>
      <c r="O100" s="71"/>
      <c r="P100" s="66"/>
      <c r="Q100" s="66"/>
      <c r="R100" s="66"/>
      <c r="S100" s="66"/>
      <c r="T100" s="66"/>
      <c r="U100" s="66"/>
      <c r="V100" s="66"/>
      <c r="W100" s="66"/>
      <c r="X100" s="66"/>
      <c r="Y100" s="66"/>
      <c r="Z100" s="66"/>
      <c r="AA100" s="66"/>
    </row>
    <row r="101" ht="15.75" customHeight="1">
      <c r="A101" s="66"/>
      <c r="B101" s="66"/>
      <c r="C101" s="70"/>
      <c r="D101" s="66"/>
      <c r="E101" s="66"/>
      <c r="F101" s="68" t="str">
        <f t="array" ref="F101">IF(INDEX('Binder Data'!$A$502:$A$751,ROW()-1)="","",IF(INDEX('Binder Data'!$D$502:$D$751,ROW()-1)="Needed",INDEX('Binder Data'!$B$502:$B$751,ROW()-1),INDEX('Binder Data'!$D$502:$D$751,ROW()-1)))</f>
        <v/>
      </c>
      <c r="G101" s="66"/>
      <c r="H101" s="66"/>
      <c r="I101" s="66"/>
      <c r="J101" s="66"/>
      <c r="K101" s="66"/>
      <c r="L101" s="66"/>
      <c r="M101" s="66"/>
      <c r="N101" s="66"/>
      <c r="O101" s="71"/>
      <c r="P101" s="66"/>
      <c r="Q101" s="66"/>
      <c r="R101" s="66"/>
      <c r="S101" s="66"/>
      <c r="T101" s="66"/>
      <c r="U101" s="66"/>
      <c r="V101" s="66"/>
      <c r="W101" s="66"/>
      <c r="X101" s="66"/>
      <c r="Y101" s="66"/>
      <c r="Z101" s="66"/>
      <c r="AA101" s="66"/>
    </row>
    <row r="102" ht="15.75" customHeight="1">
      <c r="A102" s="66"/>
      <c r="B102" s="66"/>
      <c r="C102" s="70"/>
      <c r="D102" s="66"/>
      <c r="E102" s="66"/>
      <c r="F102" s="68" t="str">
        <f t="array" ref="F102">IF(INDEX('Binder Data'!$A$502:$A$751,ROW()-1)="","",IF(INDEX('Binder Data'!$D$502:$D$751,ROW()-1)="Needed",INDEX('Binder Data'!$B$502:$B$751,ROW()-1),INDEX('Binder Data'!$D$502:$D$751,ROW()-1)))</f>
        <v/>
      </c>
      <c r="G102" s="66"/>
      <c r="H102" s="66"/>
      <c r="I102" s="66"/>
      <c r="J102" s="66"/>
      <c r="K102" s="66"/>
      <c r="L102" s="66"/>
      <c r="M102" s="66"/>
      <c r="N102" s="66"/>
      <c r="O102" s="71"/>
      <c r="P102" s="66"/>
      <c r="Q102" s="66"/>
      <c r="R102" s="66"/>
      <c r="S102" s="66"/>
      <c r="T102" s="66"/>
      <c r="U102" s="66"/>
      <c r="V102" s="66"/>
      <c r="W102" s="66"/>
      <c r="X102" s="66"/>
      <c r="Y102" s="66"/>
      <c r="Z102" s="66"/>
      <c r="AA102" s="66"/>
    </row>
    <row r="103" ht="15.75" customHeight="1">
      <c r="A103" s="66"/>
      <c r="B103" s="66"/>
      <c r="C103" s="70"/>
      <c r="D103" s="66"/>
      <c r="E103" s="66"/>
      <c r="F103" s="68" t="str">
        <f t="array" ref="F103">IF(INDEX('Binder Data'!$A$502:$A$751,ROW()-1)="","",IF(INDEX('Binder Data'!$D$502:$D$751,ROW()-1)="Needed",INDEX('Binder Data'!$B$502:$B$751,ROW()-1),INDEX('Binder Data'!$D$502:$D$751,ROW()-1)))</f>
        <v/>
      </c>
      <c r="G103" s="66"/>
      <c r="H103" s="66"/>
      <c r="I103" s="66"/>
      <c r="J103" s="66"/>
      <c r="K103" s="66"/>
      <c r="L103" s="66"/>
      <c r="M103" s="66"/>
      <c r="N103" s="66"/>
      <c r="O103" s="71"/>
      <c r="P103" s="66"/>
      <c r="Q103" s="66"/>
      <c r="R103" s="66"/>
      <c r="S103" s="66"/>
      <c r="T103" s="66"/>
      <c r="U103" s="66"/>
      <c r="V103" s="66"/>
      <c r="W103" s="66"/>
      <c r="X103" s="66"/>
      <c r="Y103" s="66"/>
      <c r="Z103" s="66"/>
      <c r="AA103" s="66"/>
    </row>
    <row r="104" ht="15.75" customHeight="1">
      <c r="A104" s="66"/>
      <c r="B104" s="66"/>
      <c r="C104" s="70"/>
      <c r="D104" s="66"/>
      <c r="E104" s="66"/>
      <c r="F104" s="68" t="str">
        <f t="array" ref="F104">IF(INDEX('Binder Data'!$A$502:$A$751,ROW()-1)="","",IF(INDEX('Binder Data'!$D$502:$D$751,ROW()-1)="Needed",INDEX('Binder Data'!$B$502:$B$751,ROW()-1),INDEX('Binder Data'!$D$502:$D$751,ROW()-1)))</f>
        <v/>
      </c>
      <c r="G104" s="66"/>
      <c r="H104" s="66"/>
      <c r="I104" s="66"/>
      <c r="J104" s="66"/>
      <c r="K104" s="66"/>
      <c r="L104" s="66"/>
      <c r="M104" s="66"/>
      <c r="N104" s="66"/>
      <c r="O104" s="71"/>
      <c r="P104" s="66"/>
      <c r="Q104" s="66"/>
      <c r="R104" s="66"/>
      <c r="S104" s="66"/>
      <c r="T104" s="66"/>
      <c r="U104" s="66"/>
      <c r="V104" s="66"/>
      <c r="W104" s="66"/>
      <c r="X104" s="66"/>
      <c r="Y104" s="66"/>
      <c r="Z104" s="66"/>
      <c r="AA104" s="66"/>
    </row>
    <row r="105" ht="15.75" customHeight="1">
      <c r="A105" s="66"/>
      <c r="B105" s="66"/>
      <c r="C105" s="70"/>
      <c r="D105" s="66"/>
      <c r="E105" s="66"/>
      <c r="F105" s="68" t="str">
        <f t="array" ref="F105">IF(INDEX('Binder Data'!$A$502:$A$751,ROW()-1)="","",IF(INDEX('Binder Data'!$D$502:$D$751,ROW()-1)="Needed",INDEX('Binder Data'!$B$502:$B$751,ROW()-1),INDEX('Binder Data'!$D$502:$D$751,ROW()-1)))</f>
        <v/>
      </c>
      <c r="G105" s="66"/>
      <c r="H105" s="66"/>
      <c r="I105" s="66"/>
      <c r="J105" s="66"/>
      <c r="K105" s="66"/>
      <c r="L105" s="66"/>
      <c r="M105" s="66"/>
      <c r="N105" s="66"/>
      <c r="O105" s="71"/>
      <c r="P105" s="66"/>
      <c r="Q105" s="66"/>
      <c r="R105" s="66"/>
      <c r="S105" s="66"/>
      <c r="T105" s="66"/>
      <c r="U105" s="66"/>
      <c r="V105" s="66"/>
      <c r="W105" s="66"/>
      <c r="X105" s="66"/>
      <c r="Y105" s="66"/>
      <c r="Z105" s="66"/>
      <c r="AA105" s="66"/>
    </row>
    <row r="106" ht="15.75" customHeight="1">
      <c r="A106" s="66"/>
      <c r="B106" s="66"/>
      <c r="C106" s="70"/>
      <c r="D106" s="66"/>
      <c r="E106" s="66"/>
      <c r="F106" s="68" t="str">
        <f t="array" ref="F106">IF(INDEX('Binder Data'!$A$502:$A$751,ROW()-1)="","",IF(INDEX('Binder Data'!$D$502:$D$751,ROW()-1)="Needed",INDEX('Binder Data'!$B$502:$B$751,ROW()-1),INDEX('Binder Data'!$D$502:$D$751,ROW()-1)))</f>
        <v/>
      </c>
      <c r="G106" s="66"/>
      <c r="H106" s="66"/>
      <c r="I106" s="66"/>
      <c r="J106" s="66"/>
      <c r="K106" s="66"/>
      <c r="L106" s="66"/>
      <c r="M106" s="66"/>
      <c r="N106" s="66"/>
      <c r="O106" s="66"/>
      <c r="P106" s="66"/>
      <c r="Q106" s="66"/>
      <c r="R106" s="66"/>
      <c r="S106" s="66"/>
      <c r="T106" s="66"/>
      <c r="U106" s="66"/>
      <c r="V106" s="66"/>
      <c r="W106" s="66"/>
      <c r="X106" s="66"/>
      <c r="Y106" s="66"/>
      <c r="Z106" s="66"/>
      <c r="AA106" s="66"/>
    </row>
    <row r="107" ht="15.75" customHeight="1">
      <c r="A107" s="66"/>
      <c r="B107" s="66"/>
      <c r="C107" s="70"/>
      <c r="D107" s="66"/>
      <c r="E107" s="66"/>
      <c r="F107" s="68" t="str">
        <f t="array" ref="F107">IF(INDEX('Binder Data'!$A$502:$A$751,ROW()-1)="","",IF(INDEX('Binder Data'!$D$502:$D$751,ROW()-1)="Needed",INDEX('Binder Data'!$B$502:$B$751,ROW()-1),INDEX('Binder Data'!$D$502:$D$751,ROW()-1)))</f>
        <v/>
      </c>
      <c r="G107" s="66"/>
      <c r="H107" s="66"/>
      <c r="I107" s="66"/>
      <c r="J107" s="66"/>
      <c r="K107" s="66"/>
      <c r="L107" s="66"/>
      <c r="M107" s="66"/>
      <c r="N107" s="66"/>
      <c r="O107" s="66"/>
      <c r="P107" s="66"/>
      <c r="Q107" s="66"/>
      <c r="R107" s="66"/>
      <c r="S107" s="66"/>
      <c r="T107" s="66"/>
      <c r="U107" s="66"/>
      <c r="V107" s="66"/>
      <c r="W107" s="66"/>
      <c r="X107" s="66"/>
      <c r="Y107" s="66"/>
      <c r="Z107" s="66"/>
      <c r="AA107" s="66"/>
    </row>
    <row r="108" ht="15.75" customHeight="1">
      <c r="A108" s="66"/>
      <c r="B108" s="66"/>
      <c r="C108" s="70"/>
      <c r="D108" s="66"/>
      <c r="E108" s="66"/>
      <c r="F108" s="68" t="str">
        <f t="array" ref="F108">IF(INDEX('Binder Data'!$A$502:$A$751,ROW()-1)="","",IF(INDEX('Binder Data'!$D$502:$D$751,ROW()-1)="Needed",INDEX('Binder Data'!$B$502:$B$751,ROW()-1),INDEX('Binder Data'!$D$502:$D$751,ROW()-1)))</f>
        <v/>
      </c>
      <c r="G108" s="66"/>
      <c r="H108" s="66"/>
      <c r="I108" s="66"/>
      <c r="J108" s="66"/>
      <c r="K108" s="66"/>
      <c r="L108" s="66"/>
      <c r="M108" s="66"/>
      <c r="N108" s="66"/>
      <c r="O108" s="66"/>
      <c r="P108" s="66"/>
      <c r="Q108" s="66"/>
      <c r="R108" s="66"/>
      <c r="S108" s="66"/>
      <c r="T108" s="66"/>
      <c r="U108" s="66"/>
      <c r="V108" s="66"/>
      <c r="W108" s="66"/>
      <c r="X108" s="66"/>
      <c r="Y108" s="66"/>
      <c r="Z108" s="66"/>
      <c r="AA108" s="66"/>
    </row>
    <row r="109" ht="15.75" customHeight="1">
      <c r="A109" s="66"/>
      <c r="B109" s="66"/>
      <c r="C109" s="70"/>
      <c r="D109" s="66"/>
      <c r="E109" s="66"/>
      <c r="F109" s="68" t="str">
        <f t="array" ref="F109">IF(INDEX('Binder Data'!$A$502:$A$751,ROW()-1)="","",IF(INDEX('Binder Data'!$D$502:$D$751,ROW()-1)="Needed",INDEX('Binder Data'!$B$502:$B$751,ROW()-1),INDEX('Binder Data'!$D$502:$D$751,ROW()-1)))</f>
        <v/>
      </c>
      <c r="G109" s="66"/>
      <c r="H109" s="66"/>
      <c r="I109" s="66"/>
      <c r="J109" s="66"/>
      <c r="K109" s="66"/>
      <c r="L109" s="66"/>
      <c r="M109" s="66"/>
      <c r="N109" s="66"/>
      <c r="O109" s="66"/>
      <c r="P109" s="66"/>
      <c r="Q109" s="66"/>
      <c r="R109" s="66"/>
      <c r="S109" s="66"/>
      <c r="T109" s="66"/>
      <c r="U109" s="66"/>
      <c r="V109" s="66"/>
      <c r="W109" s="66"/>
      <c r="X109" s="66"/>
      <c r="Y109" s="66"/>
      <c r="Z109" s="66"/>
      <c r="AA109" s="66"/>
    </row>
    <row r="110" ht="15.75" customHeight="1">
      <c r="A110" s="66"/>
      <c r="B110" s="66"/>
      <c r="C110" s="70"/>
      <c r="D110" s="66"/>
      <c r="E110" s="66"/>
      <c r="F110" s="68" t="str">
        <f t="array" ref="F110">IF(INDEX('Binder Data'!$A$502:$A$751,ROW()-1)="","",IF(INDEX('Binder Data'!$D$502:$D$751,ROW()-1)="Needed",INDEX('Binder Data'!$B$502:$B$751,ROW()-1),INDEX('Binder Data'!$D$502:$D$751,ROW()-1)))</f>
        <v/>
      </c>
      <c r="G110" s="66"/>
      <c r="H110" s="66"/>
      <c r="I110" s="66"/>
      <c r="J110" s="66"/>
      <c r="K110" s="66"/>
      <c r="L110" s="66"/>
      <c r="M110" s="66"/>
      <c r="N110" s="66"/>
      <c r="O110" s="66"/>
      <c r="P110" s="66"/>
      <c r="Q110" s="66"/>
      <c r="R110" s="66"/>
      <c r="S110" s="66"/>
      <c r="T110" s="66"/>
      <c r="U110" s="66"/>
      <c r="V110" s="66"/>
      <c r="W110" s="66"/>
      <c r="X110" s="66"/>
      <c r="Y110" s="66"/>
      <c r="Z110" s="66"/>
      <c r="AA110" s="66"/>
    </row>
    <row r="111" ht="15.75" customHeight="1">
      <c r="A111" s="66"/>
      <c r="B111" s="66"/>
      <c r="C111" s="70"/>
      <c r="D111" s="66"/>
      <c r="E111" s="66"/>
      <c r="F111" s="68" t="str">
        <f t="array" ref="F111">IF(INDEX('Binder Data'!$A$502:$A$751,ROW()-1)="","",IF(INDEX('Binder Data'!$D$502:$D$751,ROW()-1)="Needed",INDEX('Binder Data'!$B$502:$B$751,ROW()-1),INDEX('Binder Data'!$D$502:$D$751,ROW()-1)))</f>
        <v/>
      </c>
      <c r="G111" s="66"/>
      <c r="H111" s="66"/>
      <c r="I111" s="66"/>
      <c r="J111" s="66"/>
      <c r="K111" s="66"/>
      <c r="L111" s="66"/>
      <c r="M111" s="66"/>
      <c r="N111" s="66"/>
      <c r="O111" s="66"/>
      <c r="P111" s="66"/>
      <c r="Q111" s="66"/>
      <c r="R111" s="66"/>
      <c r="S111" s="66"/>
      <c r="T111" s="66"/>
      <c r="U111" s="66"/>
      <c r="V111" s="66"/>
      <c r="W111" s="66"/>
      <c r="X111" s="66"/>
      <c r="Y111" s="66"/>
      <c r="Z111" s="66"/>
      <c r="AA111" s="66"/>
    </row>
    <row r="112" ht="15.75" customHeight="1">
      <c r="A112" s="66"/>
      <c r="B112" s="66"/>
      <c r="C112" s="70"/>
      <c r="D112" s="66"/>
      <c r="E112" s="66"/>
      <c r="F112" s="68" t="str">
        <f t="array" ref="F112">IF(INDEX('Binder Data'!$A$502:$A$751,ROW()-1)="","",IF(INDEX('Binder Data'!$D$502:$D$751,ROW()-1)="Needed",INDEX('Binder Data'!$B$502:$B$751,ROW()-1),INDEX('Binder Data'!$D$502:$D$751,ROW()-1)))</f>
        <v/>
      </c>
      <c r="G112" s="66"/>
      <c r="H112" s="66"/>
      <c r="I112" s="66"/>
      <c r="J112" s="66"/>
      <c r="K112" s="66"/>
      <c r="L112" s="66"/>
      <c r="M112" s="66"/>
      <c r="N112" s="66"/>
      <c r="O112" s="66"/>
      <c r="P112" s="66"/>
      <c r="Q112" s="66"/>
      <c r="R112" s="66"/>
      <c r="S112" s="66"/>
      <c r="T112" s="66"/>
      <c r="U112" s="66"/>
      <c r="V112" s="66"/>
      <c r="W112" s="66"/>
      <c r="X112" s="66"/>
      <c r="Y112" s="66"/>
      <c r="Z112" s="66"/>
      <c r="AA112" s="66"/>
    </row>
    <row r="113" ht="15.75" customHeight="1">
      <c r="A113" s="66"/>
      <c r="B113" s="66"/>
      <c r="C113" s="70"/>
      <c r="D113" s="66"/>
      <c r="E113" s="66"/>
      <c r="F113" s="68" t="str">
        <f t="array" ref="F113">IF(INDEX('Binder Data'!$A$502:$A$751,ROW()-1)="","",IF(INDEX('Binder Data'!$D$502:$D$751,ROW()-1)="Needed",INDEX('Binder Data'!$B$502:$B$751,ROW()-1),INDEX('Binder Data'!$D$502:$D$751,ROW()-1)))</f>
        <v/>
      </c>
      <c r="G113" s="66"/>
      <c r="H113" s="66"/>
      <c r="I113" s="66"/>
      <c r="J113" s="66"/>
      <c r="K113" s="66"/>
      <c r="L113" s="66"/>
      <c r="M113" s="66"/>
      <c r="N113" s="66"/>
      <c r="O113" s="66"/>
      <c r="P113" s="66"/>
      <c r="Q113" s="66"/>
      <c r="R113" s="66"/>
      <c r="S113" s="66"/>
      <c r="T113" s="66"/>
      <c r="U113" s="66"/>
      <c r="V113" s="66"/>
      <c r="W113" s="66"/>
      <c r="X113" s="66"/>
      <c r="Y113" s="66"/>
      <c r="Z113" s="66"/>
      <c r="AA113" s="66"/>
    </row>
    <row r="114" ht="15.75" customHeight="1">
      <c r="A114" s="66"/>
      <c r="B114" s="66"/>
      <c r="C114" s="70"/>
      <c r="D114" s="66"/>
      <c r="E114" s="66"/>
      <c r="F114" s="68" t="str">
        <f t="array" ref="F114">IF(INDEX('Binder Data'!$A$502:$A$751,ROW()-1)="","",IF(INDEX('Binder Data'!$D$502:$D$751,ROW()-1)="Needed",INDEX('Binder Data'!$B$502:$B$751,ROW()-1),INDEX('Binder Data'!$D$502:$D$751,ROW()-1)))</f>
        <v/>
      </c>
      <c r="G114" s="66"/>
      <c r="H114" s="66"/>
      <c r="I114" s="66"/>
      <c r="J114" s="66"/>
      <c r="K114" s="66"/>
      <c r="L114" s="66"/>
      <c r="M114" s="66"/>
      <c r="N114" s="66"/>
      <c r="O114" s="66"/>
      <c r="P114" s="66"/>
      <c r="Q114" s="66"/>
      <c r="R114" s="66"/>
      <c r="S114" s="66"/>
      <c r="T114" s="66"/>
      <c r="U114" s="66"/>
      <c r="V114" s="66"/>
      <c r="W114" s="66"/>
      <c r="X114" s="66"/>
      <c r="Y114" s="66"/>
      <c r="Z114" s="66"/>
      <c r="AA114" s="66"/>
    </row>
    <row r="115" ht="15.75" customHeight="1">
      <c r="A115" s="66"/>
      <c r="B115" s="66"/>
      <c r="C115" s="70"/>
      <c r="D115" s="66"/>
      <c r="E115" s="66"/>
      <c r="F115" s="68" t="str">
        <f t="array" ref="F115">IF(INDEX('Binder Data'!$A$502:$A$751,ROW()-1)="","",IF(INDEX('Binder Data'!$D$502:$D$751,ROW()-1)="Needed",INDEX('Binder Data'!$B$502:$B$751,ROW()-1),INDEX('Binder Data'!$D$502:$D$751,ROW()-1)))</f>
        <v/>
      </c>
      <c r="G115" s="66"/>
      <c r="H115" s="66"/>
      <c r="I115" s="66"/>
      <c r="J115" s="66"/>
      <c r="K115" s="66"/>
      <c r="L115" s="66"/>
      <c r="M115" s="66"/>
      <c r="N115" s="66"/>
      <c r="O115" s="66"/>
      <c r="P115" s="66"/>
      <c r="Q115" s="66"/>
      <c r="R115" s="66"/>
      <c r="S115" s="66"/>
      <c r="T115" s="66"/>
      <c r="U115" s="66"/>
      <c r="V115" s="66"/>
      <c r="W115" s="66"/>
      <c r="X115" s="66"/>
      <c r="Y115" s="66"/>
      <c r="Z115" s="66"/>
      <c r="AA115" s="66"/>
    </row>
    <row r="116" ht="15.75" customHeight="1">
      <c r="A116" s="66"/>
      <c r="B116" s="66"/>
      <c r="C116" s="70"/>
      <c r="D116" s="66"/>
      <c r="E116" s="66"/>
      <c r="F116" s="68" t="str">
        <f t="array" ref="F116">IF(INDEX('Binder Data'!$A$502:$A$751,ROW()-1)="","",IF(INDEX('Binder Data'!$D$502:$D$751,ROW()-1)="Needed",INDEX('Binder Data'!$B$502:$B$751,ROW()-1),INDEX('Binder Data'!$D$502:$D$751,ROW()-1)))</f>
        <v/>
      </c>
      <c r="G116" s="66"/>
      <c r="H116" s="66"/>
      <c r="I116" s="66"/>
      <c r="J116" s="66"/>
      <c r="K116" s="66"/>
      <c r="L116" s="66"/>
      <c r="M116" s="66"/>
      <c r="N116" s="66"/>
      <c r="O116" s="66"/>
      <c r="P116" s="66"/>
      <c r="Q116" s="66"/>
      <c r="R116" s="66"/>
      <c r="S116" s="66"/>
      <c r="T116" s="66"/>
      <c r="U116" s="66"/>
      <c r="V116" s="66"/>
      <c r="W116" s="66"/>
      <c r="X116" s="66"/>
      <c r="Y116" s="66"/>
      <c r="Z116" s="66"/>
      <c r="AA116" s="66"/>
    </row>
    <row r="117" ht="15.75" customHeight="1">
      <c r="A117" s="66"/>
      <c r="B117" s="66"/>
      <c r="C117" s="70"/>
      <c r="D117" s="66"/>
      <c r="E117" s="66"/>
      <c r="F117" s="68" t="str">
        <f t="array" ref="F117">IF(INDEX('Binder Data'!$A$502:$A$751,ROW()-1)="","",IF(INDEX('Binder Data'!$D$502:$D$751,ROW()-1)="Needed",INDEX('Binder Data'!$B$502:$B$751,ROW()-1),INDEX('Binder Data'!$D$502:$D$751,ROW()-1)))</f>
        <v/>
      </c>
      <c r="G117" s="66"/>
      <c r="H117" s="66"/>
      <c r="I117" s="66"/>
      <c r="J117" s="66"/>
      <c r="K117" s="66"/>
      <c r="L117" s="66"/>
      <c r="M117" s="66"/>
      <c r="N117" s="66"/>
      <c r="O117" s="66"/>
      <c r="P117" s="66"/>
      <c r="Q117" s="66"/>
      <c r="R117" s="66"/>
      <c r="S117" s="66"/>
      <c r="T117" s="66"/>
      <c r="U117" s="66"/>
      <c r="V117" s="66"/>
      <c r="W117" s="66"/>
      <c r="X117" s="66"/>
      <c r="Y117" s="66"/>
      <c r="Z117" s="66"/>
      <c r="AA117" s="66"/>
    </row>
    <row r="118" ht="15.75" customHeight="1">
      <c r="A118" s="66"/>
      <c r="B118" s="66"/>
      <c r="C118" s="70"/>
      <c r="D118" s="66"/>
      <c r="E118" s="66"/>
      <c r="F118" s="68" t="str">
        <f t="array" ref="F118">IF(INDEX('Binder Data'!$A$502:$A$751,ROW()-1)="","",IF(INDEX('Binder Data'!$D$502:$D$751,ROW()-1)="Needed",INDEX('Binder Data'!$B$502:$B$751,ROW()-1),INDEX('Binder Data'!$D$502:$D$751,ROW()-1)))</f>
        <v/>
      </c>
      <c r="G118" s="66"/>
      <c r="H118" s="66"/>
      <c r="I118" s="66"/>
      <c r="J118" s="66"/>
      <c r="K118" s="66"/>
      <c r="L118" s="66"/>
      <c r="M118" s="66"/>
      <c r="N118" s="66"/>
      <c r="O118" s="66"/>
      <c r="P118" s="66"/>
      <c r="Q118" s="66"/>
      <c r="R118" s="66"/>
      <c r="S118" s="66"/>
      <c r="T118" s="66"/>
      <c r="U118" s="66"/>
      <c r="V118" s="66"/>
      <c r="W118" s="66"/>
      <c r="X118" s="66"/>
      <c r="Y118" s="66"/>
      <c r="Z118" s="66"/>
      <c r="AA118" s="66"/>
    </row>
    <row r="119" ht="15.75" customHeight="1">
      <c r="A119" s="66"/>
      <c r="B119" s="66"/>
      <c r="C119" s="70"/>
      <c r="D119" s="66"/>
      <c r="E119" s="66"/>
      <c r="F119" s="68" t="str">
        <f t="array" ref="F119">IF(INDEX('Binder Data'!$A$502:$A$751,ROW()-1)="","",IF(INDEX('Binder Data'!$D$502:$D$751,ROW()-1)="Needed",INDEX('Binder Data'!$B$502:$B$751,ROW()-1),INDEX('Binder Data'!$D$502:$D$751,ROW()-1)))</f>
        <v/>
      </c>
      <c r="G119" s="66"/>
      <c r="H119" s="66"/>
      <c r="I119" s="66"/>
      <c r="J119" s="66"/>
      <c r="K119" s="66"/>
      <c r="L119" s="66"/>
      <c r="M119" s="66"/>
      <c r="N119" s="66"/>
      <c r="O119" s="66"/>
      <c r="P119" s="66"/>
      <c r="Q119" s="66"/>
      <c r="R119" s="66"/>
      <c r="S119" s="66"/>
      <c r="T119" s="66"/>
      <c r="U119" s="66"/>
      <c r="V119" s="66"/>
      <c r="W119" s="66"/>
      <c r="X119" s="66"/>
      <c r="Y119" s="66"/>
      <c r="Z119" s="66"/>
      <c r="AA119" s="66"/>
    </row>
    <row r="120" ht="15.75" customHeight="1">
      <c r="A120" s="66"/>
      <c r="B120" s="66"/>
      <c r="C120" s="70"/>
      <c r="D120" s="66"/>
      <c r="E120" s="66"/>
      <c r="F120" s="68" t="str">
        <f t="array" ref="F120">IF(INDEX('Binder Data'!$A$502:$A$751,ROW()-1)="","",IF(INDEX('Binder Data'!$D$502:$D$751,ROW()-1)="Needed",INDEX('Binder Data'!$B$502:$B$751,ROW()-1),INDEX('Binder Data'!$D$502:$D$751,ROW()-1)))</f>
        <v/>
      </c>
      <c r="G120" s="66"/>
      <c r="H120" s="66"/>
      <c r="I120" s="66"/>
      <c r="J120" s="66"/>
      <c r="K120" s="66"/>
      <c r="L120" s="66"/>
      <c r="M120" s="66"/>
      <c r="N120" s="66"/>
      <c r="O120" s="66"/>
      <c r="P120" s="66"/>
      <c r="Q120" s="66"/>
      <c r="R120" s="66"/>
      <c r="S120" s="66"/>
      <c r="T120" s="66"/>
      <c r="U120" s="66"/>
      <c r="V120" s="66"/>
      <c r="W120" s="66"/>
      <c r="X120" s="66"/>
      <c r="Y120" s="66"/>
      <c r="Z120" s="66"/>
      <c r="AA120" s="66"/>
    </row>
    <row r="121" ht="15.75" customHeight="1">
      <c r="A121" s="66"/>
      <c r="B121" s="66"/>
      <c r="C121" s="70"/>
      <c r="D121" s="66"/>
      <c r="E121" s="66"/>
      <c r="F121" s="68" t="str">
        <f t="array" ref="F121">IF(INDEX('Binder Data'!$A$502:$A$751,ROW()-1)="","",IF(INDEX('Binder Data'!$D$502:$D$751,ROW()-1)="Needed",INDEX('Binder Data'!$B$502:$B$751,ROW()-1),INDEX('Binder Data'!$D$502:$D$751,ROW()-1)))</f>
        <v/>
      </c>
      <c r="G121" s="66"/>
      <c r="H121" s="66"/>
      <c r="I121" s="66"/>
      <c r="J121" s="66"/>
      <c r="K121" s="66"/>
      <c r="L121" s="66"/>
      <c r="M121" s="66"/>
      <c r="N121" s="66"/>
      <c r="O121" s="66"/>
      <c r="P121" s="66"/>
      <c r="Q121" s="66"/>
      <c r="R121" s="66"/>
      <c r="S121" s="66"/>
      <c r="T121" s="66"/>
      <c r="U121" s="66"/>
      <c r="V121" s="66"/>
      <c r="W121" s="66"/>
      <c r="X121" s="66"/>
      <c r="Y121" s="66"/>
      <c r="Z121" s="66"/>
      <c r="AA121" s="66"/>
    </row>
    <row r="122" ht="15.75" customHeight="1">
      <c r="A122" s="66"/>
      <c r="B122" s="66"/>
      <c r="C122" s="70"/>
      <c r="D122" s="66"/>
      <c r="E122" s="66"/>
      <c r="F122" s="68" t="str">
        <f t="array" ref="F122">IF(INDEX('Binder Data'!$A$502:$A$751,ROW()-1)="","",IF(INDEX('Binder Data'!$D$502:$D$751,ROW()-1)="Needed",INDEX('Binder Data'!$B$502:$B$751,ROW()-1),INDEX('Binder Data'!$D$502:$D$751,ROW()-1)))</f>
        <v/>
      </c>
      <c r="G122" s="66"/>
      <c r="H122" s="66"/>
      <c r="I122" s="66"/>
      <c r="J122" s="66"/>
      <c r="K122" s="66"/>
      <c r="L122" s="66"/>
      <c r="M122" s="66"/>
      <c r="N122" s="66"/>
      <c r="O122" s="66"/>
      <c r="P122" s="66"/>
      <c r="Q122" s="66"/>
      <c r="R122" s="66"/>
      <c r="S122" s="66"/>
      <c r="T122" s="66"/>
      <c r="U122" s="66"/>
      <c r="V122" s="66"/>
      <c r="W122" s="66"/>
      <c r="X122" s="66"/>
      <c r="Y122" s="66"/>
      <c r="Z122" s="66"/>
      <c r="AA122" s="66"/>
    </row>
    <row r="123" ht="15.75" customHeight="1">
      <c r="A123" s="66"/>
      <c r="B123" s="66"/>
      <c r="C123" s="70"/>
      <c r="D123" s="66"/>
      <c r="E123" s="66"/>
      <c r="F123" s="68" t="str">
        <f t="array" ref="F123">IF(INDEX('Binder Data'!$A$502:$A$751,ROW()-1)="","",IF(INDEX('Binder Data'!$D$502:$D$751,ROW()-1)="Needed",INDEX('Binder Data'!$B$502:$B$751,ROW()-1),INDEX('Binder Data'!$D$502:$D$751,ROW()-1)))</f>
        <v/>
      </c>
      <c r="G123" s="66"/>
      <c r="H123" s="66"/>
      <c r="I123" s="66"/>
      <c r="J123" s="66"/>
      <c r="K123" s="66"/>
      <c r="L123" s="66"/>
      <c r="M123" s="66"/>
      <c r="N123" s="66"/>
      <c r="O123" s="66"/>
      <c r="P123" s="66"/>
      <c r="Q123" s="66"/>
      <c r="R123" s="66"/>
      <c r="S123" s="66"/>
      <c r="T123" s="66"/>
      <c r="U123" s="66"/>
      <c r="V123" s="66"/>
      <c r="W123" s="66"/>
      <c r="X123" s="66"/>
      <c r="Y123" s="66"/>
      <c r="Z123" s="66"/>
      <c r="AA123" s="66"/>
    </row>
    <row r="124" ht="15.75" customHeight="1">
      <c r="A124" s="66"/>
      <c r="B124" s="66"/>
      <c r="C124" s="70"/>
      <c r="D124" s="66"/>
      <c r="E124" s="66"/>
      <c r="F124" s="68" t="str">
        <f t="array" ref="F124">IF(INDEX('Binder Data'!$A$502:$A$751,ROW()-1)="","",IF(INDEX('Binder Data'!$D$502:$D$751,ROW()-1)="Needed",INDEX('Binder Data'!$B$502:$B$751,ROW()-1),INDEX('Binder Data'!$D$502:$D$751,ROW()-1)))</f>
        <v/>
      </c>
      <c r="G124" s="66"/>
      <c r="H124" s="66"/>
      <c r="I124" s="66"/>
      <c r="J124" s="66"/>
      <c r="K124" s="66"/>
      <c r="L124" s="66"/>
      <c r="M124" s="66"/>
      <c r="N124" s="66"/>
      <c r="O124" s="66"/>
      <c r="P124" s="66"/>
      <c r="Q124" s="66"/>
      <c r="R124" s="66"/>
      <c r="S124" s="66"/>
      <c r="T124" s="66"/>
      <c r="U124" s="66"/>
      <c r="V124" s="66"/>
      <c r="W124" s="66"/>
      <c r="X124" s="66"/>
      <c r="Y124" s="66"/>
      <c r="Z124" s="66"/>
      <c r="AA124" s="66"/>
    </row>
    <row r="125" ht="15.75" customHeight="1">
      <c r="A125" s="66"/>
      <c r="B125" s="66"/>
      <c r="C125" s="70"/>
      <c r="D125" s="66"/>
      <c r="E125" s="66"/>
      <c r="F125" s="68" t="str">
        <f t="array" ref="F125">IF(INDEX('Binder Data'!$A$502:$A$751,ROW()-1)="","",IF(INDEX('Binder Data'!$D$502:$D$751,ROW()-1)="Needed",INDEX('Binder Data'!$B$502:$B$751,ROW()-1),INDEX('Binder Data'!$D$502:$D$751,ROW()-1)))</f>
        <v/>
      </c>
      <c r="G125" s="66"/>
      <c r="H125" s="66"/>
      <c r="I125" s="66"/>
      <c r="J125" s="66"/>
      <c r="K125" s="66"/>
      <c r="L125" s="66"/>
      <c r="M125" s="66"/>
      <c r="N125" s="66"/>
      <c r="O125" s="66"/>
      <c r="P125" s="66"/>
      <c r="Q125" s="66"/>
      <c r="R125" s="66"/>
      <c r="S125" s="66"/>
      <c r="T125" s="66"/>
      <c r="U125" s="66"/>
      <c r="V125" s="66"/>
      <c r="W125" s="66"/>
      <c r="X125" s="66"/>
      <c r="Y125" s="66"/>
      <c r="Z125" s="66"/>
      <c r="AA125" s="66"/>
    </row>
    <row r="126" ht="15.75" customHeight="1">
      <c r="A126" s="66"/>
      <c r="B126" s="66"/>
      <c r="C126" s="70"/>
      <c r="D126" s="66"/>
      <c r="E126" s="66"/>
      <c r="F126" s="68" t="str">
        <f t="array" ref="F126">IF(INDEX('Binder Data'!$A$502:$A$751,ROW()-1)="","",IF(INDEX('Binder Data'!$D$502:$D$751,ROW()-1)="Needed",INDEX('Binder Data'!$B$502:$B$751,ROW()-1),INDEX('Binder Data'!$D$502:$D$751,ROW()-1)))</f>
        <v/>
      </c>
      <c r="G126" s="66"/>
      <c r="H126" s="66"/>
      <c r="I126" s="66"/>
      <c r="J126" s="66"/>
      <c r="K126" s="66"/>
      <c r="L126" s="66"/>
      <c r="M126" s="66"/>
      <c r="N126" s="66"/>
      <c r="O126" s="66"/>
      <c r="P126" s="66"/>
      <c r="Q126" s="66"/>
      <c r="R126" s="66"/>
      <c r="S126" s="66"/>
      <c r="T126" s="66"/>
      <c r="U126" s="66"/>
      <c r="V126" s="66"/>
      <c r="W126" s="66"/>
      <c r="X126" s="66"/>
      <c r="Y126" s="66"/>
      <c r="Z126" s="66"/>
      <c r="AA126" s="66"/>
    </row>
    <row r="127" ht="15.75" customHeight="1">
      <c r="A127" s="66"/>
      <c r="B127" s="66"/>
      <c r="C127" s="70"/>
      <c r="D127" s="66"/>
      <c r="E127" s="66"/>
      <c r="F127" s="68" t="str">
        <f t="array" ref="F127">IF(INDEX('Binder Data'!$A$502:$A$751,ROW()-1)="","",IF(INDEX('Binder Data'!$D$502:$D$751,ROW()-1)="Needed",INDEX('Binder Data'!$B$502:$B$751,ROW()-1),INDEX('Binder Data'!$D$502:$D$751,ROW()-1)))</f>
        <v/>
      </c>
      <c r="G127" s="66"/>
      <c r="H127" s="66"/>
      <c r="I127" s="66"/>
      <c r="J127" s="66"/>
      <c r="K127" s="66"/>
      <c r="L127" s="66"/>
      <c r="M127" s="66"/>
      <c r="N127" s="66"/>
      <c r="O127" s="66"/>
      <c r="P127" s="66"/>
      <c r="Q127" s="66"/>
      <c r="R127" s="66"/>
      <c r="S127" s="66"/>
      <c r="T127" s="66"/>
      <c r="U127" s="66"/>
      <c r="V127" s="66"/>
      <c r="W127" s="66"/>
      <c r="X127" s="66"/>
      <c r="Y127" s="66"/>
      <c r="Z127" s="66"/>
      <c r="AA127" s="66"/>
    </row>
    <row r="128" ht="15.75" customHeight="1">
      <c r="A128" s="66"/>
      <c r="B128" s="66"/>
      <c r="C128" s="70"/>
      <c r="D128" s="66"/>
      <c r="E128" s="66"/>
      <c r="F128" s="68" t="str">
        <f t="array" ref="F128">IF(INDEX('Binder Data'!$A$502:$A$751,ROW()-1)="","",IF(INDEX('Binder Data'!$D$502:$D$751,ROW()-1)="Needed",INDEX('Binder Data'!$B$502:$B$751,ROW()-1),INDEX('Binder Data'!$D$502:$D$751,ROW()-1)))</f>
        <v/>
      </c>
      <c r="G128" s="66"/>
      <c r="H128" s="66"/>
      <c r="I128" s="66"/>
      <c r="J128" s="66"/>
      <c r="K128" s="66"/>
      <c r="L128" s="66"/>
      <c r="M128" s="66"/>
      <c r="N128" s="66"/>
      <c r="O128" s="66"/>
      <c r="P128" s="66"/>
      <c r="Q128" s="66"/>
      <c r="R128" s="66"/>
      <c r="S128" s="66"/>
      <c r="T128" s="66"/>
      <c r="U128" s="66"/>
      <c r="V128" s="66"/>
      <c r="W128" s="66"/>
      <c r="X128" s="66"/>
      <c r="Y128" s="66"/>
      <c r="Z128" s="66"/>
      <c r="AA128" s="66"/>
    </row>
    <row r="129" ht="15.75" customHeight="1">
      <c r="A129" s="66"/>
      <c r="B129" s="66"/>
      <c r="C129" s="70"/>
      <c r="D129" s="66"/>
      <c r="E129" s="66"/>
      <c r="F129" s="68" t="str">
        <f t="array" ref="F129">IF(INDEX('Binder Data'!$A$502:$A$751,ROW()-1)="","",IF(INDEX('Binder Data'!$D$502:$D$751,ROW()-1)="Needed",INDEX('Binder Data'!$B$502:$B$751,ROW()-1),INDEX('Binder Data'!$D$502:$D$751,ROW()-1)))</f>
        <v/>
      </c>
      <c r="G129" s="66"/>
      <c r="H129" s="66"/>
      <c r="I129" s="66"/>
      <c r="J129" s="66"/>
      <c r="K129" s="66"/>
      <c r="L129" s="66"/>
      <c r="M129" s="66"/>
      <c r="N129" s="66"/>
      <c r="O129" s="66"/>
      <c r="P129" s="66"/>
      <c r="Q129" s="66"/>
      <c r="R129" s="66"/>
      <c r="S129" s="66"/>
      <c r="T129" s="66"/>
      <c r="U129" s="66"/>
      <c r="V129" s="66"/>
      <c r="W129" s="66"/>
      <c r="X129" s="66"/>
      <c r="Y129" s="66"/>
      <c r="Z129" s="66"/>
      <c r="AA129" s="66"/>
    </row>
    <row r="130" ht="15.75" customHeight="1">
      <c r="A130" s="66"/>
      <c r="B130" s="66"/>
      <c r="C130" s="70"/>
      <c r="D130" s="66"/>
      <c r="E130" s="66"/>
      <c r="F130" s="68" t="str">
        <f t="array" ref="F130">IF(INDEX('Binder Data'!$A$502:$A$751,ROW()-1)="","",IF(INDEX('Binder Data'!$D$502:$D$751,ROW()-1)="Needed",INDEX('Binder Data'!$B$502:$B$751,ROW()-1),INDEX('Binder Data'!$D$502:$D$751,ROW()-1)))</f>
        <v/>
      </c>
      <c r="G130" s="66"/>
      <c r="H130" s="66"/>
      <c r="I130" s="66"/>
      <c r="J130" s="66"/>
      <c r="K130" s="66"/>
      <c r="L130" s="66"/>
      <c r="M130" s="66"/>
      <c r="N130" s="66"/>
      <c r="O130" s="66"/>
      <c r="P130" s="66"/>
      <c r="Q130" s="66"/>
      <c r="R130" s="66"/>
      <c r="S130" s="66"/>
      <c r="T130" s="66"/>
      <c r="U130" s="66"/>
      <c r="V130" s="66"/>
      <c r="W130" s="66"/>
      <c r="X130" s="66"/>
      <c r="Y130" s="66"/>
      <c r="Z130" s="66"/>
      <c r="AA130" s="66"/>
    </row>
    <row r="131" ht="15.75" customHeight="1">
      <c r="A131" s="66"/>
      <c r="B131" s="66"/>
      <c r="C131" s="70"/>
      <c r="D131" s="66"/>
      <c r="E131" s="66"/>
      <c r="F131" s="68" t="str">
        <f t="array" ref="F131">IF(INDEX('Binder Data'!$A$502:$A$751,ROW()-1)="","",IF(INDEX('Binder Data'!$D$502:$D$751,ROW()-1)="Needed",INDEX('Binder Data'!$B$502:$B$751,ROW()-1),INDEX('Binder Data'!$D$502:$D$751,ROW()-1)))</f>
        <v/>
      </c>
      <c r="G131" s="66"/>
      <c r="H131" s="66"/>
      <c r="I131" s="66"/>
      <c r="J131" s="66"/>
      <c r="K131" s="66"/>
      <c r="L131" s="66"/>
      <c r="M131" s="66"/>
      <c r="N131" s="66"/>
      <c r="O131" s="66"/>
      <c r="P131" s="66"/>
      <c r="Q131" s="66"/>
      <c r="R131" s="66"/>
      <c r="S131" s="66"/>
      <c r="T131" s="66"/>
      <c r="U131" s="66"/>
      <c r="V131" s="66"/>
      <c r="W131" s="66"/>
      <c r="X131" s="66"/>
      <c r="Y131" s="66"/>
      <c r="Z131" s="66"/>
      <c r="AA131" s="66"/>
    </row>
    <row r="132" ht="15.75" customHeight="1">
      <c r="A132" s="66"/>
      <c r="B132" s="66"/>
      <c r="C132" s="70"/>
      <c r="D132" s="66"/>
      <c r="E132" s="66"/>
      <c r="F132" s="68" t="str">
        <f t="array" ref="F132">IF(INDEX('Binder Data'!$A$502:$A$751,ROW()-1)="","",IF(INDEX('Binder Data'!$D$502:$D$751,ROW()-1)="Needed",INDEX('Binder Data'!$B$502:$B$751,ROW()-1),INDEX('Binder Data'!$D$502:$D$751,ROW()-1)))</f>
        <v/>
      </c>
      <c r="G132" s="66"/>
      <c r="H132" s="66"/>
      <c r="I132" s="66"/>
      <c r="J132" s="66"/>
      <c r="K132" s="66"/>
      <c r="L132" s="66"/>
      <c r="M132" s="66"/>
      <c r="N132" s="66"/>
      <c r="O132" s="66"/>
      <c r="P132" s="66"/>
      <c r="Q132" s="66"/>
      <c r="R132" s="66"/>
      <c r="S132" s="66"/>
      <c r="T132" s="66"/>
      <c r="U132" s="66"/>
      <c r="V132" s="66"/>
      <c r="W132" s="66"/>
      <c r="X132" s="66"/>
      <c r="Y132" s="66"/>
      <c r="Z132" s="66"/>
      <c r="AA132" s="66"/>
    </row>
    <row r="133" ht="15.75" customHeight="1">
      <c r="A133" s="66"/>
      <c r="B133" s="66"/>
      <c r="C133" s="70"/>
      <c r="D133" s="66"/>
      <c r="E133" s="66"/>
      <c r="F133" s="68" t="str">
        <f t="array" ref="F133">IF(INDEX('Binder Data'!$A$502:$A$751,ROW()-1)="","",IF(INDEX('Binder Data'!$D$502:$D$751,ROW()-1)="Needed",INDEX('Binder Data'!$B$502:$B$751,ROW()-1),INDEX('Binder Data'!$D$502:$D$751,ROW()-1)))</f>
        <v/>
      </c>
      <c r="G133" s="66"/>
      <c r="H133" s="66"/>
      <c r="I133" s="66"/>
      <c r="J133" s="66"/>
      <c r="K133" s="66"/>
      <c r="L133" s="66"/>
      <c r="M133" s="66"/>
      <c r="N133" s="66"/>
      <c r="O133" s="66"/>
      <c r="P133" s="66"/>
      <c r="Q133" s="66"/>
      <c r="R133" s="66"/>
      <c r="S133" s="66"/>
      <c r="T133" s="66"/>
      <c r="U133" s="66"/>
      <c r="V133" s="66"/>
      <c r="W133" s="66"/>
      <c r="X133" s="66"/>
      <c r="Y133" s="66"/>
      <c r="Z133" s="66"/>
      <c r="AA133" s="66"/>
    </row>
    <row r="134" ht="15.75" customHeight="1">
      <c r="A134" s="66"/>
      <c r="B134" s="66"/>
      <c r="C134" s="70"/>
      <c r="D134" s="66"/>
      <c r="E134" s="66"/>
      <c r="F134" s="68" t="str">
        <f t="array" ref="F134">IF(INDEX('Binder Data'!$A$502:$A$751,ROW()-1)="","",IF(INDEX('Binder Data'!$D$502:$D$751,ROW()-1)="Needed",INDEX('Binder Data'!$B$502:$B$751,ROW()-1),INDEX('Binder Data'!$D$502:$D$751,ROW()-1)))</f>
        <v/>
      </c>
      <c r="G134" s="66"/>
      <c r="H134" s="66"/>
      <c r="I134" s="66"/>
      <c r="J134" s="66"/>
      <c r="K134" s="66"/>
      <c r="L134" s="66"/>
      <c r="M134" s="66"/>
      <c r="N134" s="66"/>
      <c r="O134" s="66"/>
      <c r="P134" s="66"/>
      <c r="Q134" s="66"/>
      <c r="R134" s="66"/>
      <c r="S134" s="66"/>
      <c r="T134" s="66"/>
      <c r="U134" s="66"/>
      <c r="V134" s="66"/>
      <c r="W134" s="66"/>
      <c r="X134" s="66"/>
      <c r="Y134" s="66"/>
      <c r="Z134" s="66"/>
      <c r="AA134" s="66"/>
    </row>
    <row r="135" ht="15.75" customHeight="1">
      <c r="A135" s="66"/>
      <c r="B135" s="66"/>
      <c r="C135" s="70"/>
      <c r="D135" s="66"/>
      <c r="E135" s="66"/>
      <c r="F135" s="68" t="str">
        <f t="array" ref="F135">IF(INDEX('Binder Data'!$A$502:$A$751,ROW()-1)="","",IF(INDEX('Binder Data'!$D$502:$D$751,ROW()-1)="Needed",INDEX('Binder Data'!$B$502:$B$751,ROW()-1),INDEX('Binder Data'!$D$502:$D$751,ROW()-1)))</f>
        <v/>
      </c>
      <c r="G135" s="66"/>
      <c r="H135" s="66"/>
      <c r="I135" s="66"/>
      <c r="J135" s="66"/>
      <c r="K135" s="66"/>
      <c r="L135" s="66"/>
      <c r="M135" s="66"/>
      <c r="N135" s="66"/>
      <c r="O135" s="66"/>
      <c r="P135" s="66"/>
      <c r="Q135" s="66"/>
      <c r="R135" s="66"/>
      <c r="S135" s="66"/>
      <c r="T135" s="66"/>
      <c r="U135" s="66"/>
      <c r="V135" s="66"/>
      <c r="W135" s="66"/>
      <c r="X135" s="66"/>
      <c r="Y135" s="66"/>
      <c r="Z135" s="66"/>
      <c r="AA135" s="66"/>
    </row>
    <row r="136" ht="15.75" customHeight="1">
      <c r="A136" s="66"/>
      <c r="B136" s="66"/>
      <c r="C136" s="70"/>
      <c r="D136" s="66"/>
      <c r="E136" s="66"/>
      <c r="F136" s="68" t="str">
        <f t="array" ref="F136">IF(INDEX('Binder Data'!$A$502:$A$751,ROW()-1)="","",IF(INDEX('Binder Data'!$D$502:$D$751,ROW()-1)="Needed",INDEX('Binder Data'!$B$502:$B$751,ROW()-1),INDEX('Binder Data'!$D$502:$D$751,ROW()-1)))</f>
        <v/>
      </c>
      <c r="G136" s="66"/>
      <c r="H136" s="66"/>
      <c r="I136" s="66"/>
      <c r="J136" s="66"/>
      <c r="K136" s="66"/>
      <c r="L136" s="66"/>
      <c r="M136" s="66"/>
      <c r="N136" s="66"/>
      <c r="O136" s="66"/>
      <c r="P136" s="66"/>
      <c r="Q136" s="66"/>
      <c r="R136" s="66"/>
      <c r="S136" s="66"/>
      <c r="T136" s="66"/>
      <c r="U136" s="66"/>
      <c r="V136" s="66"/>
      <c r="W136" s="66"/>
      <c r="X136" s="66"/>
      <c r="Y136" s="66"/>
      <c r="Z136" s="66"/>
      <c r="AA136" s="66"/>
    </row>
    <row r="137" ht="15.75" customHeight="1">
      <c r="A137" s="66"/>
      <c r="B137" s="66"/>
      <c r="C137" s="70"/>
      <c r="D137" s="66"/>
      <c r="E137" s="66"/>
      <c r="F137" s="68" t="str">
        <f t="array" ref="F137">IF(INDEX('Binder Data'!$A$502:$A$751,ROW()-1)="","",IF(INDEX('Binder Data'!$D$502:$D$751,ROW()-1)="Needed",INDEX('Binder Data'!$B$502:$B$751,ROW()-1),INDEX('Binder Data'!$D$502:$D$751,ROW()-1)))</f>
        <v/>
      </c>
      <c r="G137" s="66"/>
      <c r="H137" s="66"/>
      <c r="I137" s="66"/>
      <c r="J137" s="66"/>
      <c r="K137" s="66"/>
      <c r="L137" s="66"/>
      <c r="M137" s="66"/>
      <c r="N137" s="66"/>
      <c r="O137" s="66"/>
      <c r="P137" s="66"/>
      <c r="Q137" s="66"/>
      <c r="R137" s="66"/>
      <c r="S137" s="66"/>
      <c r="T137" s="66"/>
      <c r="U137" s="66"/>
      <c r="V137" s="66"/>
      <c r="W137" s="66"/>
      <c r="X137" s="66"/>
      <c r="Y137" s="66"/>
      <c r="Z137" s="66"/>
      <c r="AA137" s="66"/>
    </row>
    <row r="138" ht="15.75" customHeight="1">
      <c r="A138" s="66"/>
      <c r="B138" s="66"/>
      <c r="C138" s="70"/>
      <c r="D138" s="66"/>
      <c r="E138" s="66"/>
      <c r="F138" s="68" t="str">
        <f t="array" ref="F138">IF(INDEX('Binder Data'!$A$502:$A$751,ROW()-1)="","",IF(INDEX('Binder Data'!$D$502:$D$751,ROW()-1)="Needed",INDEX('Binder Data'!$B$502:$B$751,ROW()-1),INDEX('Binder Data'!$D$502:$D$751,ROW()-1)))</f>
        <v/>
      </c>
      <c r="G138" s="66"/>
      <c r="H138" s="66"/>
      <c r="I138" s="66"/>
      <c r="J138" s="66"/>
      <c r="K138" s="66"/>
      <c r="L138" s="66"/>
      <c r="M138" s="66"/>
      <c r="N138" s="66"/>
      <c r="O138" s="66"/>
      <c r="P138" s="66"/>
      <c r="Q138" s="66"/>
      <c r="R138" s="66"/>
      <c r="S138" s="66"/>
      <c r="T138" s="66"/>
      <c r="U138" s="66"/>
      <c r="V138" s="66"/>
      <c r="W138" s="66"/>
      <c r="X138" s="66"/>
      <c r="Y138" s="66"/>
      <c r="Z138" s="66"/>
      <c r="AA138" s="66"/>
    </row>
    <row r="139" ht="15.75" customHeight="1">
      <c r="A139" s="66"/>
      <c r="B139" s="66"/>
      <c r="C139" s="70"/>
      <c r="D139" s="66"/>
      <c r="E139" s="66"/>
      <c r="F139" s="68" t="str">
        <f t="array" ref="F139">IF(INDEX('Binder Data'!$A$502:$A$751,ROW()-1)="","",IF(INDEX('Binder Data'!$D$502:$D$751,ROW()-1)="Needed",INDEX('Binder Data'!$B$502:$B$751,ROW()-1),INDEX('Binder Data'!$D$502:$D$751,ROW()-1)))</f>
        <v/>
      </c>
      <c r="G139" s="66"/>
      <c r="H139" s="66"/>
      <c r="I139" s="66"/>
      <c r="J139" s="66"/>
      <c r="K139" s="66"/>
      <c r="L139" s="66"/>
      <c r="M139" s="66"/>
      <c r="N139" s="66"/>
      <c r="O139" s="66"/>
      <c r="P139" s="66"/>
      <c r="Q139" s="66"/>
      <c r="R139" s="66"/>
      <c r="S139" s="66"/>
      <c r="T139" s="66"/>
      <c r="U139" s="66"/>
      <c r="V139" s="66"/>
      <c r="W139" s="66"/>
      <c r="X139" s="66"/>
      <c r="Y139" s="66"/>
      <c r="Z139" s="66"/>
      <c r="AA139" s="66"/>
    </row>
    <row r="140" ht="15.75" customHeight="1">
      <c r="A140" s="66"/>
      <c r="B140" s="66"/>
      <c r="C140" s="70"/>
      <c r="D140" s="66"/>
      <c r="E140" s="66"/>
      <c r="F140" s="68" t="str">
        <f t="array" ref="F140">IF(INDEX('Binder Data'!$A$502:$A$751,ROW()-1)="","",IF(INDEX('Binder Data'!$D$502:$D$751,ROW()-1)="Needed",INDEX('Binder Data'!$B$502:$B$751,ROW()-1),INDEX('Binder Data'!$D$502:$D$751,ROW()-1)))</f>
        <v/>
      </c>
      <c r="G140" s="66"/>
      <c r="H140" s="66"/>
      <c r="I140" s="66"/>
      <c r="J140" s="66"/>
      <c r="K140" s="66"/>
      <c r="L140" s="66"/>
      <c r="M140" s="66"/>
      <c r="N140" s="66"/>
      <c r="O140" s="66"/>
      <c r="P140" s="66"/>
      <c r="Q140" s="66"/>
      <c r="R140" s="66"/>
      <c r="S140" s="66"/>
      <c r="T140" s="66"/>
      <c r="U140" s="66"/>
      <c r="V140" s="66"/>
      <c r="W140" s="66"/>
      <c r="X140" s="66"/>
      <c r="Y140" s="66"/>
      <c r="Z140" s="66"/>
      <c r="AA140" s="66"/>
    </row>
    <row r="141" ht="15.75" customHeight="1">
      <c r="A141" s="66"/>
      <c r="B141" s="66"/>
      <c r="C141" s="70"/>
      <c r="D141" s="66"/>
      <c r="E141" s="66"/>
      <c r="F141" s="68" t="str">
        <f t="array" ref="F141">IF(INDEX('Binder Data'!$A$502:$A$751,ROW()-1)="","",IF(INDEX('Binder Data'!$D$502:$D$751,ROW()-1)="Needed",INDEX('Binder Data'!$B$502:$B$751,ROW()-1),INDEX('Binder Data'!$D$502:$D$751,ROW()-1)))</f>
        <v/>
      </c>
      <c r="G141" s="66"/>
      <c r="H141" s="66"/>
      <c r="I141" s="66"/>
      <c r="J141" s="66"/>
      <c r="K141" s="66"/>
      <c r="L141" s="66"/>
      <c r="M141" s="66"/>
      <c r="N141" s="66"/>
      <c r="O141" s="66"/>
      <c r="P141" s="66"/>
      <c r="Q141" s="66"/>
      <c r="R141" s="66"/>
      <c r="S141" s="66"/>
      <c r="T141" s="66"/>
      <c r="U141" s="66"/>
      <c r="V141" s="66"/>
      <c r="W141" s="66"/>
      <c r="X141" s="66"/>
      <c r="Y141" s="66"/>
      <c r="Z141" s="66"/>
      <c r="AA141" s="66"/>
    </row>
    <row r="142" ht="15.75" customHeight="1">
      <c r="A142" s="66"/>
      <c r="B142" s="66"/>
      <c r="C142" s="70"/>
      <c r="D142" s="66"/>
      <c r="E142" s="66"/>
      <c r="F142" s="68" t="str">
        <f t="array" ref="F142">IF(INDEX('Binder Data'!$A$502:$A$751,ROW()-1)="","",IF(INDEX('Binder Data'!$D$502:$D$751,ROW()-1)="Needed",INDEX('Binder Data'!$B$502:$B$751,ROW()-1),INDEX('Binder Data'!$D$502:$D$751,ROW()-1)))</f>
        <v/>
      </c>
      <c r="G142" s="66"/>
      <c r="H142" s="66"/>
      <c r="I142" s="66"/>
      <c r="J142" s="66"/>
      <c r="K142" s="66"/>
      <c r="L142" s="66"/>
      <c r="M142" s="66"/>
      <c r="N142" s="66"/>
      <c r="O142" s="66"/>
      <c r="P142" s="66"/>
      <c r="Q142" s="66"/>
      <c r="R142" s="66"/>
      <c r="S142" s="66"/>
      <c r="T142" s="66"/>
      <c r="U142" s="66"/>
      <c r="V142" s="66"/>
      <c r="W142" s="66"/>
      <c r="X142" s="66"/>
      <c r="Y142" s="66"/>
      <c r="Z142" s="66"/>
      <c r="AA142" s="66"/>
    </row>
    <row r="143" ht="15.75" customHeight="1">
      <c r="A143" s="66"/>
      <c r="B143" s="66"/>
      <c r="C143" s="70"/>
      <c r="D143" s="66"/>
      <c r="E143" s="66"/>
      <c r="F143" s="68" t="str">
        <f t="array" ref="F143">IF(INDEX('Binder Data'!$A$502:$A$751,ROW()-1)="","",IF(INDEX('Binder Data'!$D$502:$D$751,ROW()-1)="Needed",INDEX('Binder Data'!$B$502:$B$751,ROW()-1),INDEX('Binder Data'!$D$502:$D$751,ROW()-1)))</f>
        <v/>
      </c>
      <c r="G143" s="66"/>
      <c r="H143" s="66"/>
      <c r="I143" s="66"/>
      <c r="J143" s="66"/>
      <c r="K143" s="66"/>
      <c r="L143" s="66"/>
      <c r="M143" s="66"/>
      <c r="N143" s="66"/>
      <c r="O143" s="66"/>
      <c r="P143" s="66"/>
      <c r="Q143" s="66"/>
      <c r="R143" s="66"/>
      <c r="S143" s="66"/>
      <c r="T143" s="66"/>
      <c r="U143" s="66"/>
      <c r="V143" s="66"/>
      <c r="W143" s="66"/>
      <c r="X143" s="66"/>
      <c r="Y143" s="66"/>
      <c r="Z143" s="66"/>
      <c r="AA143" s="66"/>
    </row>
    <row r="144" ht="15.75" customHeight="1">
      <c r="A144" s="66"/>
      <c r="B144" s="66"/>
      <c r="C144" s="70"/>
      <c r="D144" s="66"/>
      <c r="E144" s="66"/>
      <c r="F144" s="68" t="str">
        <f t="array" ref="F144">IF(INDEX('Binder Data'!$A$502:$A$751,ROW()-1)="","",IF(INDEX('Binder Data'!$D$502:$D$751,ROW()-1)="Needed",INDEX('Binder Data'!$B$502:$B$751,ROW()-1),INDEX('Binder Data'!$D$502:$D$751,ROW()-1)))</f>
        <v/>
      </c>
      <c r="G144" s="66"/>
      <c r="H144" s="66"/>
      <c r="I144" s="66"/>
      <c r="J144" s="66"/>
      <c r="K144" s="66"/>
      <c r="L144" s="66"/>
      <c r="M144" s="66"/>
      <c r="N144" s="66"/>
      <c r="O144" s="66"/>
      <c r="P144" s="66"/>
      <c r="Q144" s="66"/>
      <c r="R144" s="66"/>
      <c r="S144" s="66"/>
      <c r="T144" s="66"/>
      <c r="U144" s="66"/>
      <c r="V144" s="66"/>
      <c r="W144" s="66"/>
      <c r="X144" s="66"/>
      <c r="Y144" s="66"/>
      <c r="Z144" s="66"/>
      <c r="AA144" s="66"/>
    </row>
    <row r="145" ht="15.75" customHeight="1">
      <c r="A145" s="66"/>
      <c r="B145" s="66"/>
      <c r="C145" s="70"/>
      <c r="D145" s="66"/>
      <c r="E145" s="66"/>
      <c r="F145" s="68" t="str">
        <f t="array" ref="F145">IF(INDEX('Binder Data'!$A$502:$A$751,ROW()-1)="","",IF(INDEX('Binder Data'!$D$502:$D$751,ROW()-1)="Needed",INDEX('Binder Data'!$B$502:$B$751,ROW()-1),INDEX('Binder Data'!$D$502:$D$751,ROW()-1)))</f>
        <v/>
      </c>
      <c r="G145" s="66"/>
      <c r="H145" s="66"/>
      <c r="I145" s="66"/>
      <c r="J145" s="66"/>
      <c r="K145" s="66"/>
      <c r="L145" s="66"/>
      <c r="M145" s="66"/>
      <c r="N145" s="66"/>
      <c r="O145" s="66"/>
      <c r="P145" s="66"/>
      <c r="Q145" s="66"/>
      <c r="R145" s="66"/>
      <c r="S145" s="66"/>
      <c r="T145" s="66"/>
      <c r="U145" s="66"/>
      <c r="V145" s="66"/>
      <c r="W145" s="66"/>
      <c r="X145" s="66"/>
      <c r="Y145" s="66"/>
      <c r="Z145" s="66"/>
      <c r="AA145" s="66"/>
    </row>
    <row r="146" ht="15.75" customHeight="1">
      <c r="A146" s="66"/>
      <c r="B146" s="66"/>
      <c r="C146" s="70"/>
      <c r="D146" s="66"/>
      <c r="E146" s="66"/>
      <c r="F146" s="68" t="str">
        <f t="array" ref="F146">IF(INDEX('Binder Data'!$A$502:$A$751,ROW()-1)="","",IF(INDEX('Binder Data'!$D$502:$D$751,ROW()-1)="Needed",INDEX('Binder Data'!$B$502:$B$751,ROW()-1),INDEX('Binder Data'!$D$502:$D$751,ROW()-1)))</f>
        <v/>
      </c>
      <c r="G146" s="66"/>
      <c r="H146" s="66"/>
      <c r="I146" s="66"/>
      <c r="J146" s="66"/>
      <c r="K146" s="66"/>
      <c r="L146" s="66"/>
      <c r="M146" s="66"/>
      <c r="N146" s="66"/>
      <c r="O146" s="66"/>
      <c r="P146" s="66"/>
      <c r="Q146" s="66"/>
      <c r="R146" s="66"/>
      <c r="S146" s="66"/>
      <c r="T146" s="66"/>
      <c r="U146" s="66"/>
      <c r="V146" s="66"/>
      <c r="W146" s="66"/>
      <c r="X146" s="66"/>
      <c r="Y146" s="66"/>
      <c r="Z146" s="66"/>
      <c r="AA146" s="66"/>
    </row>
    <row r="147" ht="15.75" customHeight="1">
      <c r="A147" s="66"/>
      <c r="B147" s="66"/>
      <c r="C147" s="70"/>
      <c r="D147" s="66"/>
      <c r="E147" s="66"/>
      <c r="F147" s="68" t="str">
        <f t="array" ref="F147">IF(INDEX('Binder Data'!$A$502:$A$751,ROW()-1)="","",IF(INDEX('Binder Data'!$D$502:$D$751,ROW()-1)="Needed",INDEX('Binder Data'!$B$502:$B$751,ROW()-1),INDEX('Binder Data'!$D$502:$D$751,ROW()-1)))</f>
        <v/>
      </c>
      <c r="G147" s="66"/>
      <c r="H147" s="66"/>
      <c r="I147" s="66"/>
      <c r="J147" s="66"/>
      <c r="K147" s="66"/>
      <c r="L147" s="66"/>
      <c r="M147" s="66"/>
      <c r="N147" s="66"/>
      <c r="O147" s="66"/>
      <c r="P147" s="66"/>
      <c r="Q147" s="66"/>
      <c r="R147" s="66"/>
      <c r="S147" s="66"/>
      <c r="T147" s="66"/>
      <c r="U147" s="66"/>
      <c r="V147" s="66"/>
      <c r="W147" s="66"/>
      <c r="X147" s="66"/>
      <c r="Y147" s="66"/>
      <c r="Z147" s="66"/>
      <c r="AA147" s="66"/>
    </row>
    <row r="148" ht="15.75" customHeight="1">
      <c r="A148" s="66"/>
      <c r="B148" s="66"/>
      <c r="C148" s="70"/>
      <c r="D148" s="66"/>
      <c r="E148" s="66"/>
      <c r="F148" s="68" t="str">
        <f t="array" ref="F148">IF(INDEX('Binder Data'!$A$502:$A$751,ROW()-1)="","",IF(INDEX('Binder Data'!$D$502:$D$751,ROW()-1)="Needed",INDEX('Binder Data'!$B$502:$B$751,ROW()-1),INDEX('Binder Data'!$D$502:$D$751,ROW()-1)))</f>
        <v/>
      </c>
      <c r="G148" s="66"/>
      <c r="H148" s="66"/>
      <c r="I148" s="66"/>
      <c r="J148" s="66"/>
      <c r="K148" s="66"/>
      <c r="L148" s="66"/>
      <c r="M148" s="66"/>
      <c r="N148" s="66"/>
      <c r="O148" s="66"/>
      <c r="P148" s="66"/>
      <c r="Q148" s="66"/>
      <c r="R148" s="66"/>
      <c r="S148" s="66"/>
      <c r="T148" s="66"/>
      <c r="U148" s="66"/>
      <c r="V148" s="66"/>
      <c r="W148" s="66"/>
      <c r="X148" s="66"/>
      <c r="Y148" s="66"/>
      <c r="Z148" s="66"/>
      <c r="AA148" s="66"/>
    </row>
    <row r="149" ht="15.75" customHeight="1">
      <c r="A149" s="66"/>
      <c r="B149" s="66"/>
      <c r="C149" s="70"/>
      <c r="D149" s="66"/>
      <c r="E149" s="66"/>
      <c r="F149" s="68" t="str">
        <f t="array" ref="F149">IF(INDEX('Binder Data'!$A$502:$A$751,ROW()-1)="","",IF(INDEX('Binder Data'!$D$502:$D$751,ROW()-1)="Needed",INDEX('Binder Data'!$B$502:$B$751,ROW()-1),INDEX('Binder Data'!$D$502:$D$751,ROW()-1)))</f>
        <v/>
      </c>
      <c r="G149" s="66"/>
      <c r="H149" s="66"/>
      <c r="I149" s="66"/>
      <c r="J149" s="66"/>
      <c r="K149" s="66"/>
      <c r="L149" s="66"/>
      <c r="M149" s="66"/>
      <c r="N149" s="66"/>
      <c r="O149" s="66"/>
      <c r="P149" s="66"/>
      <c r="Q149" s="66"/>
      <c r="R149" s="66"/>
      <c r="S149" s="66"/>
      <c r="T149" s="66"/>
      <c r="U149" s="66"/>
      <c r="V149" s="66"/>
      <c r="W149" s="66"/>
      <c r="X149" s="66"/>
      <c r="Y149" s="66"/>
      <c r="Z149" s="66"/>
      <c r="AA149" s="66"/>
    </row>
    <row r="150" ht="15.75" customHeight="1">
      <c r="A150" s="66"/>
      <c r="B150" s="66"/>
      <c r="C150" s="70"/>
      <c r="D150" s="66"/>
      <c r="E150" s="66"/>
      <c r="F150" s="68" t="str">
        <f t="array" ref="F150">IF(INDEX('Binder Data'!$A$502:$A$751,ROW()-1)="","",IF(INDEX('Binder Data'!$D$502:$D$751,ROW()-1)="Needed",INDEX('Binder Data'!$B$502:$B$751,ROW()-1),INDEX('Binder Data'!$D$502:$D$751,ROW()-1)))</f>
        <v/>
      </c>
      <c r="G150" s="66"/>
      <c r="H150" s="66"/>
      <c r="I150" s="66"/>
      <c r="J150" s="66"/>
      <c r="K150" s="66"/>
      <c r="L150" s="66"/>
      <c r="M150" s="66"/>
      <c r="N150" s="66"/>
      <c r="O150" s="66"/>
      <c r="P150" s="66"/>
      <c r="Q150" s="66"/>
      <c r="R150" s="66"/>
      <c r="S150" s="66"/>
      <c r="T150" s="66"/>
      <c r="U150" s="66"/>
      <c r="V150" s="66"/>
      <c r="W150" s="66"/>
      <c r="X150" s="66"/>
      <c r="Y150" s="66"/>
      <c r="Z150" s="66"/>
      <c r="AA150" s="66"/>
    </row>
    <row r="151" ht="15.75" customHeight="1">
      <c r="A151" s="66"/>
      <c r="B151" s="66"/>
      <c r="C151" s="70"/>
      <c r="D151" s="66"/>
      <c r="E151" s="66"/>
      <c r="F151" s="68" t="str">
        <f t="array" ref="F151">IF(INDEX('Binder Data'!$A$502:$A$751,ROW()-1)="","",IF(INDEX('Binder Data'!$D$502:$D$751,ROW()-1)="Needed",INDEX('Binder Data'!$B$502:$B$751,ROW()-1),INDEX('Binder Data'!$D$502:$D$751,ROW()-1)))</f>
        <v/>
      </c>
      <c r="G151" s="66"/>
      <c r="H151" s="66"/>
      <c r="I151" s="66"/>
      <c r="J151" s="66"/>
      <c r="K151" s="66"/>
      <c r="L151" s="66"/>
      <c r="M151" s="66"/>
      <c r="N151" s="66"/>
      <c r="O151" s="66"/>
      <c r="P151" s="66"/>
      <c r="Q151" s="66"/>
      <c r="R151" s="66"/>
      <c r="S151" s="66"/>
      <c r="T151" s="66"/>
      <c r="U151" s="66"/>
      <c r="V151" s="66"/>
      <c r="W151" s="66"/>
      <c r="X151" s="66"/>
      <c r="Y151" s="66"/>
      <c r="Z151" s="66"/>
      <c r="AA151" s="66"/>
    </row>
    <row r="152" ht="15.75" customHeight="1">
      <c r="A152" s="66"/>
      <c r="B152" s="66"/>
      <c r="C152" s="66"/>
      <c r="D152" s="66"/>
      <c r="E152" s="66"/>
      <c r="F152" s="68" t="str">
        <f t="array" ref="F152">IF(INDEX('Binder Data'!$A$502:$A$751,ROW()-1)="","",IF(INDEX('Binder Data'!$D$502:$D$751,ROW()-1)="Needed",INDEX('Binder Data'!$B$502:$B$751,ROW()-1),INDEX('Binder Data'!$D$502:$D$751,ROW()-1)))</f>
        <v/>
      </c>
      <c r="G152" s="66"/>
      <c r="H152" s="66"/>
      <c r="I152" s="66"/>
      <c r="J152" s="66"/>
      <c r="K152" s="66"/>
      <c r="L152" s="66"/>
      <c r="M152" s="66"/>
      <c r="N152" s="66"/>
      <c r="O152" s="66"/>
      <c r="P152" s="66"/>
      <c r="Q152" s="66"/>
      <c r="R152" s="66"/>
      <c r="S152" s="66"/>
      <c r="T152" s="66"/>
      <c r="U152" s="66"/>
      <c r="V152" s="66"/>
      <c r="W152" s="66"/>
      <c r="X152" s="66"/>
      <c r="Y152" s="66"/>
      <c r="Z152" s="66"/>
      <c r="AA152" s="66"/>
    </row>
    <row r="153" ht="15.75" customHeight="1">
      <c r="A153" s="66"/>
      <c r="B153" s="66"/>
      <c r="C153" s="66"/>
      <c r="D153" s="66"/>
      <c r="E153" s="66"/>
      <c r="F153" s="68" t="str">
        <f t="array" ref="F153">IF(INDEX('Binder Data'!$A$502:$A$751,ROW()-1)="","",IF(INDEX('Binder Data'!$D$502:$D$751,ROW()-1)="Needed",INDEX('Binder Data'!$B$502:$B$751,ROW()-1),INDEX('Binder Data'!$D$502:$D$751,ROW()-1)))</f>
        <v/>
      </c>
      <c r="G153" s="66"/>
      <c r="H153" s="66"/>
      <c r="I153" s="66"/>
      <c r="J153" s="66"/>
      <c r="K153" s="66"/>
      <c r="L153" s="66"/>
      <c r="M153" s="66"/>
      <c r="N153" s="66"/>
      <c r="O153" s="66"/>
      <c r="P153" s="66"/>
      <c r="Q153" s="66"/>
      <c r="R153" s="66"/>
      <c r="S153" s="66"/>
      <c r="T153" s="66"/>
      <c r="U153" s="66"/>
      <c r="V153" s="66"/>
      <c r="W153" s="66"/>
      <c r="X153" s="66"/>
      <c r="Y153" s="66"/>
      <c r="Z153" s="66"/>
      <c r="AA153" s="66"/>
    </row>
    <row r="154" ht="15.75" customHeight="1">
      <c r="A154" s="66"/>
      <c r="B154" s="66"/>
      <c r="C154" s="66"/>
      <c r="D154" s="66"/>
      <c r="E154" s="66"/>
      <c r="F154" s="68" t="str">
        <f t="array" ref="F154">IF(INDEX('Binder Data'!$A$502:$A$751,ROW()-1)="","",IF(INDEX('Binder Data'!$D$502:$D$751,ROW()-1)="Needed",INDEX('Binder Data'!$B$502:$B$751,ROW()-1),INDEX('Binder Data'!$D$502:$D$751,ROW()-1)))</f>
        <v/>
      </c>
      <c r="G154" s="66"/>
      <c r="H154" s="66"/>
      <c r="I154" s="66"/>
      <c r="J154" s="66"/>
      <c r="K154" s="66"/>
      <c r="L154" s="66"/>
      <c r="M154" s="66"/>
      <c r="N154" s="66"/>
      <c r="O154" s="66"/>
      <c r="P154" s="66"/>
      <c r="Q154" s="66"/>
      <c r="R154" s="66"/>
      <c r="S154" s="66"/>
      <c r="T154" s="66"/>
      <c r="U154" s="66"/>
      <c r="V154" s="66"/>
      <c r="W154" s="66"/>
      <c r="X154" s="66"/>
      <c r="Y154" s="66"/>
      <c r="Z154" s="66"/>
      <c r="AA154" s="66"/>
    </row>
    <row r="155" ht="15.75" customHeight="1">
      <c r="A155" s="66"/>
      <c r="B155" s="66"/>
      <c r="C155" s="66"/>
      <c r="D155" s="66"/>
      <c r="E155" s="66"/>
      <c r="F155" s="68" t="str">
        <f t="array" ref="F155">IF(INDEX('Binder Data'!$A$502:$A$751,ROW()-1)="","",IF(INDEX('Binder Data'!$D$502:$D$751,ROW()-1)="Needed",INDEX('Binder Data'!$B$502:$B$751,ROW()-1),INDEX('Binder Data'!$D$502:$D$751,ROW()-1)))</f>
        <v/>
      </c>
      <c r="G155" s="66"/>
      <c r="H155" s="66"/>
      <c r="I155" s="66"/>
      <c r="J155" s="66"/>
      <c r="K155" s="66"/>
      <c r="L155" s="66"/>
      <c r="M155" s="66"/>
      <c r="N155" s="66"/>
      <c r="O155" s="66"/>
      <c r="P155" s="66"/>
      <c r="Q155" s="66"/>
      <c r="R155" s="66"/>
      <c r="S155" s="66"/>
      <c r="T155" s="66"/>
      <c r="U155" s="66"/>
      <c r="V155" s="66"/>
      <c r="W155" s="66"/>
      <c r="X155" s="66"/>
      <c r="Y155" s="66"/>
      <c r="Z155" s="66"/>
      <c r="AA155" s="66"/>
    </row>
    <row r="156" ht="15.75" customHeight="1">
      <c r="A156" s="66"/>
      <c r="B156" s="66"/>
      <c r="C156" s="66"/>
      <c r="D156" s="66"/>
      <c r="E156" s="66"/>
      <c r="F156" s="68" t="str">
        <f t="array" ref="F156">IF(INDEX('Binder Data'!$A$502:$A$751,ROW()-1)="","",IF(INDEX('Binder Data'!$D$502:$D$751,ROW()-1)="Needed",INDEX('Binder Data'!$B$502:$B$751,ROW()-1),INDEX('Binder Data'!$D$502:$D$751,ROW()-1)))</f>
        <v/>
      </c>
      <c r="G156" s="66"/>
      <c r="H156" s="66"/>
      <c r="I156" s="66"/>
      <c r="J156" s="66"/>
      <c r="K156" s="66"/>
      <c r="L156" s="66"/>
      <c r="M156" s="66"/>
      <c r="N156" s="66"/>
      <c r="O156" s="66"/>
      <c r="P156" s="66"/>
      <c r="Q156" s="66"/>
      <c r="R156" s="66"/>
      <c r="S156" s="66"/>
      <c r="T156" s="66"/>
      <c r="U156" s="66"/>
      <c r="V156" s="66"/>
      <c r="W156" s="66"/>
      <c r="X156" s="66"/>
      <c r="Y156" s="66"/>
      <c r="Z156" s="66"/>
      <c r="AA156" s="66"/>
    </row>
    <row r="157" ht="15.75" customHeight="1">
      <c r="A157" s="66"/>
      <c r="B157" s="66"/>
      <c r="C157" s="66"/>
      <c r="D157" s="66"/>
      <c r="E157" s="66"/>
      <c r="F157" s="68" t="str">
        <f t="array" ref="F157">IF(INDEX('Binder Data'!$A$502:$A$751,ROW()-1)="","",IF(INDEX('Binder Data'!$D$502:$D$751,ROW()-1)="Needed",INDEX('Binder Data'!$B$502:$B$751,ROW()-1),INDEX('Binder Data'!$D$502:$D$751,ROW()-1)))</f>
        <v/>
      </c>
      <c r="G157" s="66"/>
      <c r="H157" s="66"/>
      <c r="I157" s="66"/>
      <c r="J157" s="66"/>
      <c r="K157" s="66"/>
      <c r="L157" s="66"/>
      <c r="M157" s="66"/>
      <c r="N157" s="66"/>
      <c r="O157" s="66"/>
      <c r="P157" s="66"/>
      <c r="Q157" s="66"/>
      <c r="R157" s="66"/>
      <c r="S157" s="66"/>
      <c r="T157" s="66"/>
      <c r="U157" s="66"/>
      <c r="V157" s="66"/>
      <c r="W157" s="66"/>
      <c r="X157" s="66"/>
      <c r="Y157" s="66"/>
      <c r="Z157" s="66"/>
      <c r="AA157" s="66"/>
    </row>
    <row r="158" ht="15.75" customHeight="1">
      <c r="A158" s="66"/>
      <c r="B158" s="66"/>
      <c r="C158" s="66"/>
      <c r="D158" s="66"/>
      <c r="E158" s="66"/>
      <c r="F158" s="68" t="str">
        <f t="array" ref="F158">IF(INDEX('Binder Data'!$A$502:$A$751,ROW()-1)="","",IF(INDEX('Binder Data'!$D$502:$D$751,ROW()-1)="Needed",INDEX('Binder Data'!$B$502:$B$751,ROW()-1),INDEX('Binder Data'!$D$502:$D$751,ROW()-1)))</f>
        <v/>
      </c>
      <c r="G158" s="66"/>
      <c r="H158" s="66"/>
      <c r="I158" s="66"/>
      <c r="J158" s="66"/>
      <c r="K158" s="66"/>
      <c r="L158" s="66"/>
      <c r="M158" s="66"/>
      <c r="N158" s="66"/>
      <c r="O158" s="66"/>
      <c r="P158" s="66"/>
      <c r="Q158" s="66"/>
      <c r="R158" s="66"/>
      <c r="S158" s="66"/>
      <c r="T158" s="66"/>
      <c r="U158" s="66"/>
      <c r="V158" s="66"/>
      <c r="W158" s="66"/>
      <c r="X158" s="66"/>
      <c r="Y158" s="66"/>
      <c r="Z158" s="66"/>
      <c r="AA158" s="66"/>
    </row>
    <row r="159" ht="15.75" customHeight="1">
      <c r="A159" s="66"/>
      <c r="B159" s="66"/>
      <c r="C159" s="66"/>
      <c r="D159" s="66"/>
      <c r="E159" s="66"/>
      <c r="F159" s="68" t="str">
        <f t="array" ref="F159">IF(INDEX('Binder Data'!$A$502:$A$751,ROW()-1)="","",IF(INDEX('Binder Data'!$D$502:$D$751,ROW()-1)="Needed",INDEX('Binder Data'!$B$502:$B$751,ROW()-1),INDEX('Binder Data'!$D$502:$D$751,ROW()-1)))</f>
        <v/>
      </c>
      <c r="G159" s="66"/>
      <c r="H159" s="66"/>
      <c r="I159" s="66"/>
      <c r="J159" s="66"/>
      <c r="K159" s="66"/>
      <c r="L159" s="66"/>
      <c r="M159" s="66"/>
      <c r="N159" s="66"/>
      <c r="O159" s="66"/>
      <c r="P159" s="66"/>
      <c r="Q159" s="66"/>
      <c r="R159" s="66"/>
      <c r="S159" s="66"/>
      <c r="T159" s="66"/>
      <c r="U159" s="66"/>
      <c r="V159" s="66"/>
      <c r="W159" s="66"/>
      <c r="X159" s="66"/>
      <c r="Y159" s="66"/>
      <c r="Z159" s="66"/>
      <c r="AA159" s="66"/>
    </row>
    <row r="160" ht="15.75" customHeight="1">
      <c r="A160" s="66"/>
      <c r="B160" s="66"/>
      <c r="C160" s="66"/>
      <c r="D160" s="66"/>
      <c r="E160" s="66"/>
      <c r="F160" s="68" t="str">
        <f t="array" ref="F160">IF(INDEX('Binder Data'!$A$502:$A$751,ROW()-1)="","",IF(INDEX('Binder Data'!$D$502:$D$751,ROW()-1)="Needed",INDEX('Binder Data'!$B$502:$B$751,ROW()-1),INDEX('Binder Data'!$D$502:$D$751,ROW()-1)))</f>
        <v/>
      </c>
      <c r="G160" s="66"/>
      <c r="H160" s="66"/>
      <c r="I160" s="66"/>
      <c r="J160" s="66"/>
      <c r="K160" s="66"/>
      <c r="L160" s="66"/>
      <c r="M160" s="66"/>
      <c r="N160" s="66"/>
      <c r="O160" s="66"/>
      <c r="P160" s="66"/>
      <c r="Q160" s="66"/>
      <c r="R160" s="66"/>
      <c r="S160" s="66"/>
      <c r="T160" s="66"/>
      <c r="U160" s="66"/>
      <c r="V160" s="66"/>
      <c r="W160" s="66"/>
      <c r="X160" s="66"/>
      <c r="Y160" s="66"/>
      <c r="Z160" s="66"/>
      <c r="AA160" s="66"/>
    </row>
    <row r="161" ht="15.75" customHeight="1">
      <c r="A161" s="66"/>
      <c r="B161" s="66"/>
      <c r="C161" s="66"/>
      <c r="D161" s="66"/>
      <c r="E161" s="66"/>
      <c r="F161" s="68" t="str">
        <f t="array" ref="F161">IF(INDEX('Binder Data'!$A$502:$A$751,ROW()-1)="","",IF(INDEX('Binder Data'!$D$502:$D$751,ROW()-1)="Needed",INDEX('Binder Data'!$B$502:$B$751,ROW()-1),INDEX('Binder Data'!$D$502:$D$751,ROW()-1)))</f>
        <v/>
      </c>
      <c r="G161" s="66"/>
      <c r="H161" s="66"/>
      <c r="I161" s="66"/>
      <c r="J161" s="66"/>
      <c r="K161" s="66"/>
      <c r="L161" s="66"/>
      <c r="M161" s="66"/>
      <c r="N161" s="66"/>
      <c r="O161" s="66"/>
      <c r="P161" s="66"/>
      <c r="Q161" s="66"/>
      <c r="R161" s="66"/>
      <c r="S161" s="66"/>
      <c r="T161" s="66"/>
      <c r="U161" s="66"/>
      <c r="V161" s="66"/>
      <c r="W161" s="66"/>
      <c r="X161" s="66"/>
      <c r="Y161" s="66"/>
      <c r="Z161" s="66"/>
      <c r="AA161" s="66"/>
    </row>
    <row r="162" ht="15.75" customHeight="1">
      <c r="A162" s="66"/>
      <c r="B162" s="66"/>
      <c r="C162" s="66"/>
      <c r="D162" s="66"/>
      <c r="E162" s="66"/>
      <c r="F162" s="68" t="str">
        <f t="array" ref="F162">IF(INDEX('Binder Data'!$A$502:$A$751,ROW()-1)="","",IF(INDEX('Binder Data'!$D$502:$D$751,ROW()-1)="Needed",INDEX('Binder Data'!$B$502:$B$751,ROW()-1),INDEX('Binder Data'!$D$502:$D$751,ROW()-1)))</f>
        <v/>
      </c>
      <c r="G162" s="66"/>
      <c r="H162" s="66"/>
      <c r="I162" s="66"/>
      <c r="J162" s="66"/>
      <c r="K162" s="66"/>
      <c r="L162" s="66"/>
      <c r="M162" s="66"/>
      <c r="N162" s="66"/>
      <c r="O162" s="66"/>
      <c r="P162" s="66"/>
      <c r="Q162" s="66"/>
      <c r="R162" s="66"/>
      <c r="S162" s="66"/>
      <c r="T162" s="66"/>
      <c r="U162" s="66"/>
      <c r="V162" s="66"/>
      <c r="W162" s="66"/>
      <c r="X162" s="66"/>
      <c r="Y162" s="66"/>
      <c r="Z162" s="66"/>
      <c r="AA162" s="66"/>
    </row>
    <row r="163" ht="15.75" customHeight="1">
      <c r="A163" s="66"/>
      <c r="B163" s="66"/>
      <c r="C163" s="66"/>
      <c r="D163" s="66"/>
      <c r="E163" s="66"/>
      <c r="F163" s="68" t="str">
        <f t="array" ref="F163">IF(INDEX('Binder Data'!$A$502:$A$751,ROW()-1)="","",IF(INDEX('Binder Data'!$D$502:$D$751,ROW()-1)="Needed",INDEX('Binder Data'!$B$502:$B$751,ROW()-1),INDEX('Binder Data'!$D$502:$D$751,ROW()-1)))</f>
        <v/>
      </c>
      <c r="G163" s="66"/>
      <c r="H163" s="66"/>
      <c r="I163" s="66"/>
      <c r="J163" s="66"/>
      <c r="K163" s="66"/>
      <c r="L163" s="66"/>
      <c r="M163" s="66"/>
      <c r="N163" s="66"/>
      <c r="O163" s="66"/>
      <c r="P163" s="66"/>
      <c r="Q163" s="66"/>
      <c r="R163" s="66"/>
      <c r="S163" s="66"/>
      <c r="T163" s="66"/>
      <c r="U163" s="66"/>
      <c r="V163" s="66"/>
      <c r="W163" s="66"/>
      <c r="X163" s="66"/>
      <c r="Y163" s="66"/>
      <c r="Z163" s="66"/>
      <c r="AA163" s="66"/>
    </row>
    <row r="164" ht="15.75" customHeight="1">
      <c r="A164" s="66"/>
      <c r="B164" s="66"/>
      <c r="C164" s="66"/>
      <c r="D164" s="66"/>
      <c r="E164" s="66"/>
      <c r="F164" s="68" t="str">
        <f t="array" ref="F164">IF(INDEX('Binder Data'!$A$502:$A$751,ROW()-1)="","",IF(INDEX('Binder Data'!$D$502:$D$751,ROW()-1)="Needed",INDEX('Binder Data'!$B$502:$B$751,ROW()-1),INDEX('Binder Data'!$D$502:$D$751,ROW()-1)))</f>
        <v/>
      </c>
      <c r="G164" s="66"/>
      <c r="H164" s="66"/>
      <c r="I164" s="66"/>
      <c r="J164" s="66"/>
      <c r="K164" s="66"/>
      <c r="L164" s="66"/>
      <c r="M164" s="66"/>
      <c r="N164" s="66"/>
      <c r="O164" s="66"/>
      <c r="P164" s="66"/>
      <c r="Q164" s="66"/>
      <c r="R164" s="66"/>
      <c r="S164" s="66"/>
      <c r="T164" s="66"/>
      <c r="U164" s="66"/>
      <c r="V164" s="66"/>
      <c r="W164" s="66"/>
      <c r="X164" s="66"/>
      <c r="Y164" s="66"/>
      <c r="Z164" s="66"/>
      <c r="AA164" s="66"/>
    </row>
    <row r="165" ht="15.75" customHeight="1">
      <c r="A165" s="66"/>
      <c r="B165" s="66"/>
      <c r="C165" s="66"/>
      <c r="D165" s="66"/>
      <c r="E165" s="66"/>
      <c r="F165" s="68" t="str">
        <f t="array" ref="F165">IF(INDEX('Binder Data'!$A$502:$A$751,ROW()-1)="","",IF(INDEX('Binder Data'!$D$502:$D$751,ROW()-1)="Needed",INDEX('Binder Data'!$B$502:$B$751,ROW()-1),INDEX('Binder Data'!$D$502:$D$751,ROW()-1)))</f>
        <v/>
      </c>
      <c r="G165" s="66"/>
      <c r="H165" s="66"/>
      <c r="I165" s="66"/>
      <c r="J165" s="66"/>
      <c r="K165" s="66"/>
      <c r="L165" s="66"/>
      <c r="M165" s="66"/>
      <c r="N165" s="66"/>
      <c r="O165" s="66"/>
      <c r="P165" s="66"/>
      <c r="Q165" s="66"/>
      <c r="R165" s="66"/>
      <c r="S165" s="66"/>
      <c r="T165" s="66"/>
      <c r="U165" s="66"/>
      <c r="V165" s="66"/>
      <c r="W165" s="66"/>
      <c r="X165" s="66"/>
      <c r="Y165" s="66"/>
      <c r="Z165" s="66"/>
      <c r="AA165" s="66"/>
    </row>
    <row r="166" ht="15.75" customHeight="1">
      <c r="A166" s="66"/>
      <c r="B166" s="66"/>
      <c r="C166" s="66"/>
      <c r="D166" s="66"/>
      <c r="E166" s="66"/>
      <c r="F166" s="68" t="str">
        <f t="array" ref="F166">IF(INDEX('Binder Data'!$A$502:$A$751,ROW()-1)="","",IF(INDEX('Binder Data'!$D$502:$D$751,ROW()-1)="Needed",INDEX('Binder Data'!$B$502:$B$751,ROW()-1),INDEX('Binder Data'!$D$502:$D$751,ROW()-1)))</f>
        <v/>
      </c>
      <c r="G166" s="66"/>
      <c r="H166" s="66"/>
      <c r="I166" s="66"/>
      <c r="J166" s="66"/>
      <c r="K166" s="66"/>
      <c r="L166" s="66"/>
      <c r="M166" s="66"/>
      <c r="N166" s="66"/>
      <c r="O166" s="66"/>
      <c r="P166" s="66"/>
      <c r="Q166" s="66"/>
      <c r="R166" s="66"/>
      <c r="S166" s="66"/>
      <c r="T166" s="66"/>
      <c r="U166" s="66"/>
      <c r="V166" s="66"/>
      <c r="W166" s="66"/>
      <c r="X166" s="66"/>
      <c r="Y166" s="66"/>
      <c r="Z166" s="66"/>
      <c r="AA166" s="66"/>
    </row>
    <row r="167" ht="15.75" customHeight="1">
      <c r="A167" s="66"/>
      <c r="B167" s="66"/>
      <c r="C167" s="66"/>
      <c r="D167" s="66"/>
      <c r="E167" s="66"/>
      <c r="F167" s="68" t="str">
        <f t="array" ref="F167">IF(INDEX('Binder Data'!$A$502:$A$751,ROW()-1)="","",IF(INDEX('Binder Data'!$D$502:$D$751,ROW()-1)="Needed",INDEX('Binder Data'!$B$502:$B$751,ROW()-1),INDEX('Binder Data'!$D$502:$D$751,ROW()-1)))</f>
        <v/>
      </c>
      <c r="G167" s="66"/>
      <c r="H167" s="66"/>
      <c r="I167" s="66"/>
      <c r="J167" s="66"/>
      <c r="K167" s="66"/>
      <c r="L167" s="66"/>
      <c r="M167" s="66"/>
      <c r="N167" s="66"/>
      <c r="O167" s="66"/>
      <c r="P167" s="66"/>
      <c r="Q167" s="66"/>
      <c r="R167" s="66"/>
      <c r="S167" s="66"/>
      <c r="T167" s="66"/>
      <c r="U167" s="66"/>
      <c r="V167" s="66"/>
      <c r="W167" s="66"/>
      <c r="X167" s="66"/>
      <c r="Y167" s="66"/>
      <c r="Z167" s="66"/>
      <c r="AA167" s="66"/>
    </row>
    <row r="168" ht="15.75" customHeight="1">
      <c r="A168" s="66"/>
      <c r="B168" s="66"/>
      <c r="C168" s="66"/>
      <c r="D168" s="66"/>
      <c r="E168" s="66"/>
      <c r="F168" s="68" t="str">
        <f t="array" ref="F168">IF(INDEX('Binder Data'!$A$502:$A$751,ROW()-1)="","",IF(INDEX('Binder Data'!$D$502:$D$751,ROW()-1)="Needed",INDEX('Binder Data'!$B$502:$B$751,ROW()-1),INDEX('Binder Data'!$D$502:$D$751,ROW()-1)))</f>
        <v/>
      </c>
      <c r="G168" s="66"/>
      <c r="H168" s="66"/>
      <c r="I168" s="66"/>
      <c r="J168" s="66"/>
      <c r="K168" s="66"/>
      <c r="L168" s="66"/>
      <c r="M168" s="66"/>
      <c r="N168" s="66"/>
      <c r="O168" s="66"/>
      <c r="P168" s="66"/>
      <c r="Q168" s="66"/>
      <c r="R168" s="66"/>
      <c r="S168" s="66"/>
      <c r="T168" s="66"/>
      <c r="U168" s="66"/>
      <c r="V168" s="66"/>
      <c r="W168" s="66"/>
      <c r="X168" s="66"/>
      <c r="Y168" s="66"/>
      <c r="Z168" s="66"/>
      <c r="AA168" s="66"/>
    </row>
    <row r="169" ht="15.75" customHeight="1">
      <c r="A169" s="66"/>
      <c r="B169" s="66"/>
      <c r="C169" s="66"/>
      <c r="D169" s="66"/>
      <c r="E169" s="66"/>
      <c r="F169" s="68" t="str">
        <f t="array" ref="F169">IF(INDEX('Binder Data'!$A$502:$A$751,ROW()-1)="","",IF(INDEX('Binder Data'!$D$502:$D$751,ROW()-1)="Needed",INDEX('Binder Data'!$B$502:$B$751,ROW()-1),INDEX('Binder Data'!$D$502:$D$751,ROW()-1)))</f>
        <v/>
      </c>
      <c r="G169" s="66"/>
      <c r="H169" s="66"/>
      <c r="I169" s="66"/>
      <c r="J169" s="66"/>
      <c r="K169" s="66"/>
      <c r="L169" s="66"/>
      <c r="M169" s="66"/>
      <c r="N169" s="66"/>
      <c r="O169" s="66"/>
      <c r="P169" s="66"/>
      <c r="Q169" s="66"/>
      <c r="R169" s="66"/>
      <c r="S169" s="66"/>
      <c r="T169" s="66"/>
      <c r="U169" s="66"/>
      <c r="V169" s="66"/>
      <c r="W169" s="66"/>
      <c r="X169" s="66"/>
      <c r="Y169" s="66"/>
      <c r="Z169" s="66"/>
      <c r="AA169" s="66"/>
    </row>
    <row r="170" ht="15.75" customHeight="1">
      <c r="A170" s="66"/>
      <c r="B170" s="66"/>
      <c r="C170" s="66"/>
      <c r="D170" s="66"/>
      <c r="E170" s="66"/>
      <c r="F170" s="68" t="str">
        <f t="array" ref="F170">IF(INDEX('Binder Data'!$A$502:$A$751,ROW()-1)="","",IF(INDEX('Binder Data'!$D$502:$D$751,ROW()-1)="Needed",INDEX('Binder Data'!$B$502:$B$751,ROW()-1),INDEX('Binder Data'!$D$502:$D$751,ROW()-1)))</f>
        <v/>
      </c>
      <c r="G170" s="66"/>
      <c r="H170" s="66"/>
      <c r="I170" s="66"/>
      <c r="J170" s="66"/>
      <c r="K170" s="66"/>
      <c r="L170" s="66"/>
      <c r="M170" s="66"/>
      <c r="N170" s="66"/>
      <c r="O170" s="66"/>
      <c r="P170" s="66"/>
      <c r="Q170" s="66"/>
      <c r="R170" s="66"/>
      <c r="S170" s="66"/>
      <c r="T170" s="66"/>
      <c r="U170" s="66"/>
      <c r="V170" s="66"/>
      <c r="W170" s="66"/>
      <c r="X170" s="66"/>
      <c r="Y170" s="66"/>
      <c r="Z170" s="66"/>
      <c r="AA170" s="66"/>
    </row>
    <row r="171" ht="15.75" customHeight="1">
      <c r="A171" s="66"/>
      <c r="B171" s="66"/>
      <c r="C171" s="66"/>
      <c r="D171" s="66"/>
      <c r="E171" s="66"/>
      <c r="F171" s="68" t="str">
        <f t="array" ref="F171">IF(INDEX('Binder Data'!$A$502:$A$751,ROW()-1)="","",IF(INDEX('Binder Data'!$D$502:$D$751,ROW()-1)="Needed",INDEX('Binder Data'!$B$502:$B$751,ROW()-1),INDEX('Binder Data'!$D$502:$D$751,ROW()-1)))</f>
        <v/>
      </c>
      <c r="G171" s="66"/>
      <c r="H171" s="66"/>
      <c r="I171" s="66"/>
      <c r="J171" s="66"/>
      <c r="K171" s="66"/>
      <c r="L171" s="66"/>
      <c r="M171" s="66"/>
      <c r="N171" s="66"/>
      <c r="O171" s="66"/>
      <c r="P171" s="66"/>
      <c r="Q171" s="66"/>
      <c r="R171" s="66"/>
      <c r="S171" s="66"/>
      <c r="T171" s="66"/>
      <c r="U171" s="66"/>
      <c r="V171" s="66"/>
      <c r="W171" s="66"/>
      <c r="X171" s="66"/>
      <c r="Y171" s="66"/>
      <c r="Z171" s="66"/>
      <c r="AA171" s="66"/>
    </row>
    <row r="172" ht="15.75" customHeight="1">
      <c r="A172" s="66"/>
      <c r="B172" s="66"/>
      <c r="C172" s="66"/>
      <c r="D172" s="66"/>
      <c r="E172" s="66"/>
      <c r="F172" s="68" t="str">
        <f t="array" ref="F172">IF(INDEX('Binder Data'!$A$502:$A$751,ROW()-1)="","",IF(INDEX('Binder Data'!$D$502:$D$751,ROW()-1)="Needed",INDEX('Binder Data'!$B$502:$B$751,ROW()-1),INDEX('Binder Data'!$D$502:$D$751,ROW()-1)))</f>
        <v/>
      </c>
      <c r="G172" s="66"/>
      <c r="H172" s="66"/>
      <c r="I172" s="66"/>
      <c r="J172" s="66"/>
      <c r="K172" s="66"/>
      <c r="L172" s="66"/>
      <c r="M172" s="66"/>
      <c r="N172" s="66"/>
      <c r="O172" s="66"/>
      <c r="P172" s="66"/>
      <c r="Q172" s="66"/>
      <c r="R172" s="66"/>
      <c r="S172" s="66"/>
      <c r="T172" s="66"/>
      <c r="U172" s="66"/>
      <c r="V172" s="66"/>
      <c r="W172" s="66"/>
      <c r="X172" s="66"/>
      <c r="Y172" s="66"/>
      <c r="Z172" s="66"/>
      <c r="AA172" s="66"/>
    </row>
    <row r="173" ht="15.75" customHeight="1">
      <c r="A173" s="66"/>
      <c r="B173" s="66"/>
      <c r="C173" s="66"/>
      <c r="D173" s="66"/>
      <c r="E173" s="66"/>
      <c r="F173" s="68" t="str">
        <f t="array" ref="F173">IF(INDEX('Binder Data'!$A$502:$A$751,ROW()-1)="","",IF(INDEX('Binder Data'!$D$502:$D$751,ROW()-1)="Needed",INDEX('Binder Data'!$B$502:$B$751,ROW()-1),INDEX('Binder Data'!$D$502:$D$751,ROW()-1)))</f>
        <v/>
      </c>
      <c r="G173" s="66"/>
      <c r="H173" s="66"/>
      <c r="I173" s="66"/>
      <c r="J173" s="66"/>
      <c r="K173" s="66"/>
      <c r="L173" s="66"/>
      <c r="M173" s="66"/>
      <c r="N173" s="66"/>
      <c r="O173" s="66"/>
      <c r="P173" s="66"/>
      <c r="Q173" s="66"/>
      <c r="R173" s="66"/>
      <c r="S173" s="66"/>
      <c r="T173" s="66"/>
      <c r="U173" s="66"/>
      <c r="V173" s="66"/>
      <c r="W173" s="66"/>
      <c r="X173" s="66"/>
      <c r="Y173" s="66"/>
      <c r="Z173" s="66"/>
      <c r="AA173" s="66"/>
    </row>
    <row r="174" ht="15.75" customHeight="1">
      <c r="A174" s="66"/>
      <c r="B174" s="66"/>
      <c r="C174" s="66"/>
      <c r="D174" s="66"/>
      <c r="E174" s="66"/>
      <c r="F174" s="68" t="str">
        <f t="array" ref="F174">IF(INDEX('Binder Data'!$A$502:$A$751,ROW()-1)="","",IF(INDEX('Binder Data'!$D$502:$D$751,ROW()-1)="Needed",INDEX('Binder Data'!$B$502:$B$751,ROW()-1),INDEX('Binder Data'!$D$502:$D$751,ROW()-1)))</f>
        <v/>
      </c>
      <c r="G174" s="66"/>
      <c r="H174" s="66"/>
      <c r="I174" s="66"/>
      <c r="J174" s="66"/>
      <c r="K174" s="66"/>
      <c r="L174" s="66"/>
      <c r="M174" s="66"/>
      <c r="N174" s="66"/>
      <c r="O174" s="66"/>
      <c r="P174" s="66"/>
      <c r="Q174" s="66"/>
      <c r="R174" s="66"/>
      <c r="S174" s="66"/>
      <c r="T174" s="66"/>
      <c r="U174" s="66"/>
      <c r="V174" s="66"/>
      <c r="W174" s="66"/>
      <c r="X174" s="66"/>
      <c r="Y174" s="66"/>
      <c r="Z174" s="66"/>
      <c r="AA174" s="66"/>
    </row>
    <row r="175" ht="15.75" customHeight="1">
      <c r="A175" s="66"/>
      <c r="B175" s="66"/>
      <c r="C175" s="66"/>
      <c r="D175" s="66"/>
      <c r="E175" s="66"/>
      <c r="F175" s="68" t="str">
        <f t="array" ref="F175">IF(INDEX('Binder Data'!$A$502:$A$751,ROW()-1)="","",IF(INDEX('Binder Data'!$D$502:$D$751,ROW()-1)="Needed",INDEX('Binder Data'!$B$502:$B$751,ROW()-1),INDEX('Binder Data'!$D$502:$D$751,ROW()-1)))</f>
        <v/>
      </c>
      <c r="G175" s="66"/>
      <c r="H175" s="66"/>
      <c r="I175" s="66"/>
      <c r="J175" s="66"/>
      <c r="K175" s="66"/>
      <c r="L175" s="66"/>
      <c r="M175" s="66"/>
      <c r="N175" s="66"/>
      <c r="O175" s="66"/>
      <c r="P175" s="66"/>
      <c r="Q175" s="66"/>
      <c r="R175" s="66"/>
      <c r="S175" s="66"/>
      <c r="T175" s="66"/>
      <c r="U175" s="66"/>
      <c r="V175" s="66"/>
      <c r="W175" s="66"/>
      <c r="X175" s="66"/>
      <c r="Y175" s="66"/>
      <c r="Z175" s="66"/>
      <c r="AA175" s="66"/>
    </row>
    <row r="176" ht="15.75" customHeight="1">
      <c r="A176" s="66"/>
      <c r="B176" s="66"/>
      <c r="C176" s="66"/>
      <c r="D176" s="66"/>
      <c r="E176" s="66"/>
      <c r="F176" s="68" t="str">
        <f t="array" ref="F176">IF(INDEX('Binder Data'!$A$502:$A$751,ROW()-1)="","",IF(INDEX('Binder Data'!$D$502:$D$751,ROW()-1)="Needed",INDEX('Binder Data'!$B$502:$B$751,ROW()-1),INDEX('Binder Data'!$D$502:$D$751,ROW()-1)))</f>
        <v/>
      </c>
      <c r="G176" s="66"/>
      <c r="H176" s="66"/>
      <c r="I176" s="66"/>
      <c r="J176" s="66"/>
      <c r="K176" s="66"/>
      <c r="L176" s="66"/>
      <c r="M176" s="66"/>
      <c r="N176" s="66"/>
      <c r="O176" s="66"/>
      <c r="P176" s="66"/>
      <c r="Q176" s="66"/>
      <c r="R176" s="66"/>
      <c r="S176" s="66"/>
      <c r="T176" s="66"/>
      <c r="U176" s="66"/>
      <c r="V176" s="66"/>
      <c r="W176" s="66"/>
      <c r="X176" s="66"/>
      <c r="Y176" s="66"/>
      <c r="Z176" s="66"/>
      <c r="AA176" s="66"/>
    </row>
    <row r="177" ht="15.75" customHeight="1">
      <c r="A177" s="66"/>
      <c r="B177" s="66"/>
      <c r="C177" s="66"/>
      <c r="D177" s="66"/>
      <c r="E177" s="66"/>
      <c r="F177" s="68" t="str">
        <f t="array" ref="F177">IF(INDEX('Binder Data'!$A$502:$A$751,ROW()-1)="","",IF(INDEX('Binder Data'!$D$502:$D$751,ROW()-1)="Needed",INDEX('Binder Data'!$B$502:$B$751,ROW()-1),INDEX('Binder Data'!$D$502:$D$751,ROW()-1)))</f>
        <v/>
      </c>
      <c r="G177" s="66"/>
      <c r="H177" s="66"/>
      <c r="I177" s="66"/>
      <c r="J177" s="66"/>
      <c r="K177" s="66"/>
      <c r="L177" s="66"/>
      <c r="M177" s="66"/>
      <c r="N177" s="66"/>
      <c r="O177" s="66"/>
      <c r="P177" s="66"/>
      <c r="Q177" s="66"/>
      <c r="R177" s="66"/>
      <c r="S177" s="66"/>
      <c r="T177" s="66"/>
      <c r="U177" s="66"/>
      <c r="V177" s="66"/>
      <c r="W177" s="66"/>
      <c r="X177" s="66"/>
      <c r="Y177" s="66"/>
      <c r="Z177" s="66"/>
      <c r="AA177" s="66"/>
    </row>
    <row r="178" ht="15.75" customHeight="1">
      <c r="A178" s="66"/>
      <c r="B178" s="66"/>
      <c r="C178" s="66"/>
      <c r="D178" s="66"/>
      <c r="E178" s="66"/>
      <c r="F178" s="68" t="str">
        <f t="array" ref="F178">IF(INDEX('Binder Data'!$A$502:$A$751,ROW()-1)="","",IF(INDEX('Binder Data'!$D$502:$D$751,ROW()-1)="Needed",INDEX('Binder Data'!$B$502:$B$751,ROW()-1),INDEX('Binder Data'!$D$502:$D$751,ROW()-1)))</f>
        <v/>
      </c>
      <c r="G178" s="66"/>
      <c r="H178" s="66"/>
      <c r="I178" s="66"/>
      <c r="J178" s="66"/>
      <c r="K178" s="66"/>
      <c r="L178" s="66"/>
      <c r="M178" s="66"/>
      <c r="N178" s="66"/>
      <c r="O178" s="66"/>
      <c r="P178" s="66"/>
      <c r="Q178" s="66"/>
      <c r="R178" s="66"/>
      <c r="S178" s="66"/>
      <c r="T178" s="66"/>
      <c r="U178" s="66"/>
      <c r="V178" s="66"/>
      <c r="W178" s="66"/>
      <c r="X178" s="66"/>
      <c r="Y178" s="66"/>
      <c r="Z178" s="66"/>
      <c r="AA178" s="66"/>
    </row>
    <row r="179" ht="15.75" customHeight="1">
      <c r="A179" s="66"/>
      <c r="B179" s="66"/>
      <c r="C179" s="66"/>
      <c r="D179" s="66"/>
      <c r="E179" s="66"/>
      <c r="F179" s="68" t="str">
        <f t="array" ref="F179">IF(INDEX('Binder Data'!$A$502:$A$751,ROW()-1)="","",IF(INDEX('Binder Data'!$D$502:$D$751,ROW()-1)="Needed",INDEX('Binder Data'!$B$502:$B$751,ROW()-1),INDEX('Binder Data'!$D$502:$D$751,ROW()-1)))</f>
        <v/>
      </c>
      <c r="G179" s="66"/>
      <c r="H179" s="66"/>
      <c r="I179" s="66"/>
      <c r="J179" s="66"/>
      <c r="K179" s="66"/>
      <c r="L179" s="66"/>
      <c r="M179" s="66"/>
      <c r="N179" s="66"/>
      <c r="O179" s="66"/>
      <c r="P179" s="66"/>
      <c r="Q179" s="66"/>
      <c r="R179" s="66"/>
      <c r="S179" s="66"/>
      <c r="T179" s="66"/>
      <c r="U179" s="66"/>
      <c r="V179" s="66"/>
      <c r="W179" s="66"/>
      <c r="X179" s="66"/>
      <c r="Y179" s="66"/>
      <c r="Z179" s="66"/>
      <c r="AA179" s="66"/>
    </row>
    <row r="180" ht="15.75" customHeight="1">
      <c r="A180" s="66"/>
      <c r="B180" s="66"/>
      <c r="C180" s="66"/>
      <c r="D180" s="66"/>
      <c r="E180" s="66"/>
      <c r="F180" s="68" t="str">
        <f t="array" ref="F180">IF(INDEX('Binder Data'!$A$502:$A$751,ROW()-1)="","",IF(INDEX('Binder Data'!$D$502:$D$751,ROW()-1)="Needed",INDEX('Binder Data'!$B$502:$B$751,ROW()-1),INDEX('Binder Data'!$D$502:$D$751,ROW()-1)))</f>
        <v/>
      </c>
      <c r="G180" s="66"/>
      <c r="H180" s="66"/>
      <c r="I180" s="66"/>
      <c r="J180" s="66"/>
      <c r="K180" s="66"/>
      <c r="L180" s="66"/>
      <c r="M180" s="66"/>
      <c r="N180" s="66"/>
      <c r="O180" s="66"/>
      <c r="P180" s="66"/>
      <c r="Q180" s="66"/>
      <c r="R180" s="66"/>
      <c r="S180" s="66"/>
      <c r="T180" s="66"/>
      <c r="U180" s="66"/>
      <c r="V180" s="66"/>
      <c r="W180" s="66"/>
      <c r="X180" s="66"/>
      <c r="Y180" s="66"/>
      <c r="Z180" s="66"/>
      <c r="AA180" s="66"/>
    </row>
    <row r="181" ht="15.75" customHeight="1">
      <c r="A181" s="66"/>
      <c r="B181" s="66"/>
      <c r="C181" s="66"/>
      <c r="D181" s="66"/>
      <c r="E181" s="66"/>
      <c r="F181" s="68" t="str">
        <f t="array" ref="F181">IF(INDEX('Binder Data'!$A$502:$A$751,ROW()-1)="","",IF(INDEX('Binder Data'!$D$502:$D$751,ROW()-1)="Needed",INDEX('Binder Data'!$B$502:$B$751,ROW()-1),INDEX('Binder Data'!$D$502:$D$751,ROW()-1)))</f>
        <v/>
      </c>
      <c r="G181" s="66"/>
      <c r="H181" s="66"/>
      <c r="I181" s="66"/>
      <c r="J181" s="66"/>
      <c r="K181" s="66"/>
      <c r="L181" s="66"/>
      <c r="M181" s="66"/>
      <c r="N181" s="66"/>
      <c r="O181" s="66"/>
      <c r="P181" s="66"/>
      <c r="Q181" s="66"/>
      <c r="R181" s="66"/>
      <c r="S181" s="66"/>
      <c r="T181" s="66"/>
      <c r="U181" s="66"/>
      <c r="V181" s="66"/>
      <c r="W181" s="66"/>
      <c r="X181" s="66"/>
      <c r="Y181" s="66"/>
      <c r="Z181" s="66"/>
      <c r="AA181" s="66"/>
    </row>
    <row r="182" ht="15.75" customHeight="1">
      <c r="A182" s="66"/>
      <c r="B182" s="66"/>
      <c r="C182" s="66"/>
      <c r="D182" s="66"/>
      <c r="E182" s="66"/>
      <c r="F182" s="68" t="str">
        <f t="array" ref="F182">IF(INDEX('Binder Data'!$A$502:$A$751,ROW()-1)="","",IF(INDEX('Binder Data'!$D$502:$D$751,ROW()-1)="Needed",INDEX('Binder Data'!$B$502:$B$751,ROW()-1),INDEX('Binder Data'!$D$502:$D$751,ROW()-1)))</f>
        <v/>
      </c>
      <c r="G182" s="66"/>
      <c r="H182" s="66"/>
      <c r="I182" s="66"/>
      <c r="J182" s="66"/>
      <c r="K182" s="66"/>
      <c r="L182" s="66"/>
      <c r="M182" s="66"/>
      <c r="N182" s="66"/>
      <c r="O182" s="66"/>
      <c r="P182" s="66"/>
      <c r="Q182" s="66"/>
      <c r="R182" s="66"/>
      <c r="S182" s="66"/>
      <c r="T182" s="66"/>
      <c r="U182" s="66"/>
      <c r="V182" s="66"/>
      <c r="W182" s="66"/>
      <c r="X182" s="66"/>
      <c r="Y182" s="66"/>
      <c r="Z182" s="66"/>
      <c r="AA182" s="66"/>
    </row>
    <row r="183" ht="15.75" customHeight="1">
      <c r="A183" s="66"/>
      <c r="B183" s="66"/>
      <c r="C183" s="66"/>
      <c r="D183" s="66"/>
      <c r="E183" s="66"/>
      <c r="F183" s="68" t="str">
        <f t="array" ref="F183">IF(INDEX('Binder Data'!$A$502:$A$751,ROW()-1)="","",IF(INDEX('Binder Data'!$D$502:$D$751,ROW()-1)="Needed",INDEX('Binder Data'!$B$502:$B$751,ROW()-1),INDEX('Binder Data'!$D$502:$D$751,ROW()-1)))</f>
        <v/>
      </c>
      <c r="G183" s="66"/>
      <c r="H183" s="66"/>
      <c r="I183" s="66"/>
      <c r="J183" s="66"/>
      <c r="K183" s="66"/>
      <c r="L183" s="66"/>
      <c r="M183" s="66"/>
      <c r="N183" s="66"/>
      <c r="O183" s="66"/>
      <c r="P183" s="66"/>
      <c r="Q183" s="66"/>
      <c r="R183" s="66"/>
      <c r="S183" s="66"/>
      <c r="T183" s="66"/>
      <c r="U183" s="66"/>
      <c r="V183" s="66"/>
      <c r="W183" s="66"/>
      <c r="X183" s="66"/>
      <c r="Y183" s="66"/>
      <c r="Z183" s="66"/>
      <c r="AA183" s="66"/>
    </row>
    <row r="184" ht="15.75" customHeight="1">
      <c r="A184" s="66"/>
      <c r="B184" s="66"/>
      <c r="C184" s="66"/>
      <c r="D184" s="66"/>
      <c r="E184" s="66"/>
      <c r="F184" s="68" t="str">
        <f t="array" ref="F184">IF(INDEX('Binder Data'!$A$502:$A$751,ROW()-1)="","",IF(INDEX('Binder Data'!$D$502:$D$751,ROW()-1)="Needed",INDEX('Binder Data'!$B$502:$B$751,ROW()-1),INDEX('Binder Data'!$D$502:$D$751,ROW()-1)))</f>
        <v/>
      </c>
      <c r="G184" s="66"/>
      <c r="H184" s="66"/>
      <c r="I184" s="66"/>
      <c r="J184" s="66"/>
      <c r="K184" s="66"/>
      <c r="L184" s="66"/>
      <c r="M184" s="66"/>
      <c r="N184" s="66"/>
      <c r="O184" s="66"/>
      <c r="P184" s="66"/>
      <c r="Q184" s="66"/>
      <c r="R184" s="66"/>
      <c r="S184" s="66"/>
      <c r="T184" s="66"/>
      <c r="U184" s="66"/>
      <c r="V184" s="66"/>
      <c r="W184" s="66"/>
      <c r="X184" s="66"/>
      <c r="Y184" s="66"/>
      <c r="Z184" s="66"/>
      <c r="AA184" s="66"/>
    </row>
    <row r="185" ht="15.75" customHeight="1">
      <c r="A185" s="66"/>
      <c r="B185" s="66"/>
      <c r="C185" s="66"/>
      <c r="D185" s="66"/>
      <c r="E185" s="66"/>
      <c r="F185" s="68" t="str">
        <f t="array" ref="F185">IF(INDEX('Binder Data'!$A$502:$A$751,ROW()-1)="","",IF(INDEX('Binder Data'!$D$502:$D$751,ROW()-1)="Needed",INDEX('Binder Data'!$B$502:$B$751,ROW()-1),INDEX('Binder Data'!$D$502:$D$751,ROW()-1)))</f>
        <v/>
      </c>
      <c r="G185" s="66"/>
      <c r="H185" s="66"/>
      <c r="I185" s="66"/>
      <c r="J185" s="66"/>
      <c r="K185" s="66"/>
      <c r="L185" s="66"/>
      <c r="M185" s="66"/>
      <c r="N185" s="66"/>
      <c r="O185" s="66"/>
      <c r="P185" s="66"/>
      <c r="Q185" s="66"/>
      <c r="R185" s="66"/>
      <c r="S185" s="66"/>
      <c r="T185" s="66"/>
      <c r="U185" s="66"/>
      <c r="V185" s="66"/>
      <c r="W185" s="66"/>
      <c r="X185" s="66"/>
      <c r="Y185" s="66"/>
      <c r="Z185" s="66"/>
      <c r="AA185" s="66"/>
    </row>
    <row r="186" ht="15.75" customHeight="1">
      <c r="A186" s="66"/>
      <c r="B186" s="66"/>
      <c r="C186" s="66"/>
      <c r="D186" s="66"/>
      <c r="E186" s="66"/>
      <c r="F186" s="68" t="str">
        <f t="array" ref="F186">IF(INDEX('Binder Data'!$A$502:$A$751,ROW()-1)="","",IF(INDEX('Binder Data'!$D$502:$D$751,ROW()-1)="Needed",INDEX('Binder Data'!$B$502:$B$751,ROW()-1),INDEX('Binder Data'!$D$502:$D$751,ROW()-1)))</f>
        <v/>
      </c>
      <c r="G186" s="66"/>
      <c r="H186" s="66"/>
      <c r="I186" s="66"/>
      <c r="J186" s="66"/>
      <c r="K186" s="66"/>
      <c r="L186" s="66"/>
      <c r="M186" s="66"/>
      <c r="N186" s="66"/>
      <c r="O186" s="66"/>
      <c r="P186" s="66"/>
      <c r="Q186" s="66"/>
      <c r="R186" s="66"/>
      <c r="S186" s="66"/>
      <c r="T186" s="66"/>
      <c r="U186" s="66"/>
      <c r="V186" s="66"/>
      <c r="W186" s="66"/>
      <c r="X186" s="66"/>
      <c r="Y186" s="66"/>
      <c r="Z186" s="66"/>
      <c r="AA186" s="66"/>
    </row>
    <row r="187" ht="15.75" customHeight="1">
      <c r="A187" s="66"/>
      <c r="B187" s="66"/>
      <c r="C187" s="66"/>
      <c r="D187" s="66"/>
      <c r="E187" s="66"/>
      <c r="F187" s="68" t="str">
        <f t="array" ref="F187">IF(INDEX('Binder Data'!$A$502:$A$751,ROW()-1)="","",IF(INDEX('Binder Data'!$D$502:$D$751,ROW()-1)="Needed",INDEX('Binder Data'!$B$502:$B$751,ROW()-1),INDEX('Binder Data'!$D$502:$D$751,ROW()-1)))</f>
        <v/>
      </c>
      <c r="G187" s="66"/>
      <c r="H187" s="66"/>
      <c r="I187" s="66"/>
      <c r="J187" s="66"/>
      <c r="K187" s="66"/>
      <c r="L187" s="66"/>
      <c r="M187" s="66"/>
      <c r="N187" s="66"/>
      <c r="O187" s="66"/>
      <c r="P187" s="66"/>
      <c r="Q187" s="66"/>
      <c r="R187" s="66"/>
      <c r="S187" s="66"/>
      <c r="T187" s="66"/>
      <c r="U187" s="66"/>
      <c r="V187" s="66"/>
      <c r="W187" s="66"/>
      <c r="X187" s="66"/>
      <c r="Y187" s="66"/>
      <c r="Z187" s="66"/>
      <c r="AA187" s="66"/>
    </row>
    <row r="188" ht="15.75" customHeight="1">
      <c r="A188" s="66"/>
      <c r="B188" s="66"/>
      <c r="C188" s="66"/>
      <c r="D188" s="66"/>
      <c r="E188" s="66"/>
      <c r="F188" s="68" t="str">
        <f t="array" ref="F188">IF(INDEX('Binder Data'!$A$502:$A$751,ROW()-1)="","",IF(INDEX('Binder Data'!$D$502:$D$751,ROW()-1)="Needed",INDEX('Binder Data'!$B$502:$B$751,ROW()-1),INDEX('Binder Data'!$D$502:$D$751,ROW()-1)))</f>
        <v/>
      </c>
      <c r="G188" s="66"/>
      <c r="H188" s="66"/>
      <c r="I188" s="66"/>
      <c r="J188" s="66"/>
      <c r="K188" s="66"/>
      <c r="L188" s="66"/>
      <c r="M188" s="66"/>
      <c r="N188" s="66"/>
      <c r="O188" s="66"/>
      <c r="P188" s="66"/>
      <c r="Q188" s="66"/>
      <c r="R188" s="66"/>
      <c r="S188" s="66"/>
      <c r="T188" s="66"/>
      <c r="U188" s="66"/>
      <c r="V188" s="66"/>
      <c r="W188" s="66"/>
      <c r="X188" s="66"/>
      <c r="Y188" s="66"/>
      <c r="Z188" s="66"/>
      <c r="AA188" s="66"/>
    </row>
    <row r="189" ht="15.75" customHeight="1">
      <c r="A189" s="66"/>
      <c r="B189" s="66"/>
      <c r="C189" s="66"/>
      <c r="D189" s="66"/>
      <c r="E189" s="66"/>
      <c r="F189" s="68" t="str">
        <f t="array" ref="F189">IF(INDEX('Binder Data'!$A$502:$A$751,ROW()-1)="","",IF(INDEX('Binder Data'!$D$502:$D$751,ROW()-1)="Needed",INDEX('Binder Data'!$B$502:$B$751,ROW()-1),INDEX('Binder Data'!$D$502:$D$751,ROW()-1)))</f>
        <v/>
      </c>
      <c r="G189" s="66"/>
      <c r="H189" s="66"/>
      <c r="I189" s="66"/>
      <c r="J189" s="66"/>
      <c r="K189" s="66"/>
      <c r="L189" s="66"/>
      <c r="M189" s="66"/>
      <c r="N189" s="66"/>
      <c r="O189" s="66"/>
      <c r="P189" s="66"/>
      <c r="Q189" s="66"/>
      <c r="R189" s="66"/>
      <c r="S189" s="66"/>
      <c r="T189" s="66"/>
      <c r="U189" s="66"/>
      <c r="V189" s="66"/>
      <c r="W189" s="66"/>
      <c r="X189" s="66"/>
      <c r="Y189" s="66"/>
      <c r="Z189" s="66"/>
      <c r="AA189" s="66"/>
    </row>
    <row r="190" ht="15.75" customHeight="1">
      <c r="A190" s="66"/>
      <c r="B190" s="66"/>
      <c r="C190" s="66"/>
      <c r="D190" s="66"/>
      <c r="E190" s="66"/>
      <c r="F190" s="68" t="str">
        <f t="array" ref="F190">IF(INDEX('Binder Data'!$A$502:$A$751,ROW()-1)="","",IF(INDEX('Binder Data'!$D$502:$D$751,ROW()-1)="Needed",INDEX('Binder Data'!$B$502:$B$751,ROW()-1),INDEX('Binder Data'!$D$502:$D$751,ROW()-1)))</f>
        <v/>
      </c>
      <c r="G190" s="66"/>
      <c r="H190" s="66"/>
      <c r="I190" s="66"/>
      <c r="J190" s="66"/>
      <c r="K190" s="66"/>
      <c r="L190" s="66"/>
      <c r="M190" s="66"/>
      <c r="N190" s="66"/>
      <c r="O190" s="66"/>
      <c r="P190" s="66"/>
      <c r="Q190" s="66"/>
      <c r="R190" s="66"/>
      <c r="S190" s="66"/>
      <c r="T190" s="66"/>
      <c r="U190" s="66"/>
      <c r="V190" s="66"/>
      <c r="W190" s="66"/>
      <c r="X190" s="66"/>
      <c r="Y190" s="66"/>
      <c r="Z190" s="66"/>
      <c r="AA190" s="66"/>
    </row>
    <row r="191" ht="15.75" customHeight="1">
      <c r="A191" s="66"/>
      <c r="B191" s="66"/>
      <c r="C191" s="66"/>
      <c r="D191" s="66"/>
      <c r="E191" s="66"/>
      <c r="F191" s="68" t="str">
        <f t="array" ref="F191">IF(INDEX('Binder Data'!$A$502:$A$751,ROW()-1)="","",IF(INDEX('Binder Data'!$D$502:$D$751,ROW()-1)="Needed",INDEX('Binder Data'!$B$502:$B$751,ROW()-1),INDEX('Binder Data'!$D$502:$D$751,ROW()-1)))</f>
        <v/>
      </c>
      <c r="G191" s="66"/>
      <c r="H191" s="66"/>
      <c r="I191" s="66"/>
      <c r="J191" s="66"/>
      <c r="K191" s="66"/>
      <c r="L191" s="66"/>
      <c r="M191" s="66"/>
      <c r="N191" s="66"/>
      <c r="O191" s="66"/>
      <c r="P191" s="66"/>
      <c r="Q191" s="66"/>
      <c r="R191" s="66"/>
      <c r="S191" s="66"/>
      <c r="T191" s="66"/>
      <c r="U191" s="66"/>
      <c r="V191" s="66"/>
      <c r="W191" s="66"/>
      <c r="X191" s="66"/>
      <c r="Y191" s="66"/>
      <c r="Z191" s="66"/>
      <c r="AA191" s="66"/>
    </row>
    <row r="192" ht="15.75" customHeight="1">
      <c r="A192" s="66"/>
      <c r="B192" s="66"/>
      <c r="C192" s="66"/>
      <c r="D192" s="66"/>
      <c r="E192" s="66"/>
      <c r="F192" s="68" t="str">
        <f t="array" ref="F192">IF(INDEX('Binder Data'!$A$502:$A$751,ROW()-1)="","",IF(INDEX('Binder Data'!$D$502:$D$751,ROW()-1)="Needed",INDEX('Binder Data'!$B$502:$B$751,ROW()-1),INDEX('Binder Data'!$D$502:$D$751,ROW()-1)))</f>
        <v/>
      </c>
      <c r="G192" s="66"/>
      <c r="H192" s="66"/>
      <c r="I192" s="66"/>
      <c r="J192" s="66"/>
      <c r="K192" s="66"/>
      <c r="L192" s="66"/>
      <c r="M192" s="66"/>
      <c r="N192" s="66"/>
      <c r="O192" s="66"/>
      <c r="P192" s="66"/>
      <c r="Q192" s="66"/>
      <c r="R192" s="66"/>
      <c r="S192" s="66"/>
      <c r="T192" s="66"/>
      <c r="U192" s="66"/>
      <c r="V192" s="66"/>
      <c r="W192" s="66"/>
      <c r="X192" s="66"/>
      <c r="Y192" s="66"/>
      <c r="Z192" s="66"/>
      <c r="AA192" s="66"/>
    </row>
    <row r="193" ht="15.75" customHeight="1">
      <c r="A193" s="66"/>
      <c r="B193" s="66"/>
      <c r="C193" s="66"/>
      <c r="D193" s="66"/>
      <c r="E193" s="66"/>
      <c r="F193" s="68" t="str">
        <f t="array" ref="F193">IF(INDEX('Binder Data'!$A$502:$A$751,ROW()-1)="","",IF(INDEX('Binder Data'!$D$502:$D$751,ROW()-1)="Needed",INDEX('Binder Data'!$B$502:$B$751,ROW()-1),INDEX('Binder Data'!$D$502:$D$751,ROW()-1)))</f>
        <v/>
      </c>
      <c r="G193" s="66"/>
      <c r="H193" s="66"/>
      <c r="I193" s="66"/>
      <c r="J193" s="66"/>
      <c r="K193" s="66"/>
      <c r="L193" s="66"/>
      <c r="M193" s="66"/>
      <c r="N193" s="66"/>
      <c r="O193" s="66"/>
      <c r="P193" s="66"/>
      <c r="Q193" s="66"/>
      <c r="R193" s="66"/>
      <c r="S193" s="66"/>
      <c r="T193" s="66"/>
      <c r="U193" s="66"/>
      <c r="V193" s="66"/>
      <c r="W193" s="66"/>
      <c r="X193" s="66"/>
      <c r="Y193" s="66"/>
      <c r="Z193" s="66"/>
      <c r="AA193" s="66"/>
    </row>
    <row r="194" ht="15.75" customHeight="1">
      <c r="A194" s="66"/>
      <c r="B194" s="66"/>
      <c r="C194" s="66"/>
      <c r="D194" s="66"/>
      <c r="E194" s="66"/>
      <c r="F194" s="68" t="str">
        <f t="array" ref="F194">IF(INDEX('Binder Data'!$A$502:$A$751,ROW()-1)="","",IF(INDEX('Binder Data'!$D$502:$D$751,ROW()-1)="Needed",INDEX('Binder Data'!$B$502:$B$751,ROW()-1),INDEX('Binder Data'!$D$502:$D$751,ROW()-1)))</f>
        <v/>
      </c>
      <c r="G194" s="66"/>
      <c r="H194" s="66"/>
      <c r="I194" s="66"/>
      <c r="J194" s="66"/>
      <c r="K194" s="66"/>
      <c r="L194" s="66"/>
      <c r="M194" s="66"/>
      <c r="N194" s="66"/>
      <c r="O194" s="66"/>
      <c r="P194" s="66"/>
      <c r="Q194" s="66"/>
      <c r="R194" s="66"/>
      <c r="S194" s="66"/>
      <c r="T194" s="66"/>
      <c r="U194" s="66"/>
      <c r="V194" s="66"/>
      <c r="W194" s="66"/>
      <c r="X194" s="66"/>
      <c r="Y194" s="66"/>
      <c r="Z194" s="66"/>
      <c r="AA194" s="66"/>
    </row>
    <row r="195" ht="15.75" customHeight="1">
      <c r="A195" s="66"/>
      <c r="B195" s="66"/>
      <c r="C195" s="66"/>
      <c r="D195" s="66"/>
      <c r="E195" s="66"/>
      <c r="F195" s="68" t="str">
        <f t="array" ref="F195">IF(INDEX('Binder Data'!$A$502:$A$751,ROW()-1)="","",IF(INDEX('Binder Data'!$D$502:$D$751,ROW()-1)="Needed",INDEX('Binder Data'!$B$502:$B$751,ROW()-1),INDEX('Binder Data'!$D$502:$D$751,ROW()-1)))</f>
        <v/>
      </c>
      <c r="G195" s="66"/>
      <c r="H195" s="66"/>
      <c r="I195" s="66"/>
      <c r="J195" s="66"/>
      <c r="K195" s="66"/>
      <c r="L195" s="66"/>
      <c r="M195" s="66"/>
      <c r="N195" s="66"/>
      <c r="O195" s="66"/>
      <c r="P195" s="66"/>
      <c r="Q195" s="66"/>
      <c r="R195" s="66"/>
      <c r="S195" s="66"/>
      <c r="T195" s="66"/>
      <c r="U195" s="66"/>
      <c r="V195" s="66"/>
      <c r="W195" s="66"/>
      <c r="X195" s="66"/>
      <c r="Y195" s="66"/>
      <c r="Z195" s="66"/>
      <c r="AA195" s="66"/>
    </row>
    <row r="196" ht="15.75" customHeight="1">
      <c r="A196" s="66"/>
      <c r="B196" s="66"/>
      <c r="C196" s="66"/>
      <c r="D196" s="66"/>
      <c r="E196" s="66"/>
      <c r="F196" s="68" t="str">
        <f t="array" ref="F196">IF(INDEX('Binder Data'!$A$502:$A$751,ROW()-1)="","",IF(INDEX('Binder Data'!$D$502:$D$751,ROW()-1)="Needed",INDEX('Binder Data'!$B$502:$B$751,ROW()-1),INDEX('Binder Data'!$D$502:$D$751,ROW()-1)))</f>
        <v/>
      </c>
      <c r="G196" s="66"/>
      <c r="H196" s="66"/>
      <c r="I196" s="66"/>
      <c r="J196" s="66"/>
      <c r="K196" s="66"/>
      <c r="L196" s="66"/>
      <c r="M196" s="66"/>
      <c r="N196" s="66"/>
      <c r="O196" s="66"/>
      <c r="P196" s="66"/>
      <c r="Q196" s="66"/>
      <c r="R196" s="66"/>
      <c r="S196" s="66"/>
      <c r="T196" s="66"/>
      <c r="U196" s="66"/>
      <c r="V196" s="66"/>
      <c r="W196" s="66"/>
      <c r="X196" s="66"/>
      <c r="Y196" s="66"/>
      <c r="Z196" s="66"/>
      <c r="AA196" s="66"/>
    </row>
    <row r="197" ht="15.75" customHeight="1">
      <c r="A197" s="66"/>
      <c r="B197" s="66"/>
      <c r="C197" s="66"/>
      <c r="D197" s="66"/>
      <c r="E197" s="66"/>
      <c r="F197" s="68" t="str">
        <f t="array" ref="F197">IF(INDEX('Binder Data'!$A$502:$A$751,ROW()-1)="","",IF(INDEX('Binder Data'!$D$502:$D$751,ROW()-1)="Needed",INDEX('Binder Data'!$B$502:$B$751,ROW()-1),INDEX('Binder Data'!$D$502:$D$751,ROW()-1)))</f>
        <v/>
      </c>
      <c r="G197" s="66"/>
      <c r="H197" s="66"/>
      <c r="I197" s="66"/>
      <c r="J197" s="66"/>
      <c r="K197" s="66"/>
      <c r="L197" s="66"/>
      <c r="M197" s="66"/>
      <c r="N197" s="66"/>
      <c r="O197" s="66"/>
      <c r="P197" s="66"/>
      <c r="Q197" s="66"/>
      <c r="R197" s="66"/>
      <c r="S197" s="66"/>
      <c r="T197" s="66"/>
      <c r="U197" s="66"/>
      <c r="V197" s="66"/>
      <c r="W197" s="66"/>
      <c r="X197" s="66"/>
      <c r="Y197" s="66"/>
      <c r="Z197" s="66"/>
      <c r="AA197" s="66"/>
    </row>
    <row r="198" ht="15.75" customHeight="1">
      <c r="A198" s="66"/>
      <c r="B198" s="66"/>
      <c r="C198" s="66"/>
      <c r="D198" s="66"/>
      <c r="E198" s="66"/>
      <c r="F198" s="68" t="str">
        <f t="array" ref="F198">IF(INDEX('Binder Data'!$A$502:$A$751,ROW()-1)="","",IF(INDEX('Binder Data'!$D$502:$D$751,ROW()-1)="Needed",INDEX('Binder Data'!$B$502:$B$751,ROW()-1),INDEX('Binder Data'!$D$502:$D$751,ROW()-1)))</f>
        <v/>
      </c>
      <c r="G198" s="66"/>
      <c r="H198" s="66"/>
      <c r="I198" s="66"/>
      <c r="J198" s="66"/>
      <c r="K198" s="66"/>
      <c r="L198" s="66"/>
      <c r="M198" s="66"/>
      <c r="N198" s="66"/>
      <c r="O198" s="66"/>
      <c r="P198" s="66"/>
      <c r="Q198" s="66"/>
      <c r="R198" s="66"/>
      <c r="S198" s="66"/>
      <c r="T198" s="66"/>
      <c r="U198" s="66"/>
      <c r="V198" s="66"/>
      <c r="W198" s="66"/>
      <c r="X198" s="66"/>
      <c r="Y198" s="66"/>
      <c r="Z198" s="66"/>
      <c r="AA198" s="66"/>
    </row>
    <row r="199" ht="15.75" customHeight="1">
      <c r="A199" s="66"/>
      <c r="B199" s="66"/>
      <c r="C199" s="66"/>
      <c r="D199" s="66"/>
      <c r="E199" s="66"/>
      <c r="F199" s="68" t="str">
        <f t="array" ref="F199">IF(INDEX('Binder Data'!$A$502:$A$751,ROW()-1)="","",IF(INDEX('Binder Data'!$D$502:$D$751,ROW()-1)="Needed",INDEX('Binder Data'!$B$502:$B$751,ROW()-1),INDEX('Binder Data'!$D$502:$D$751,ROW()-1)))</f>
        <v/>
      </c>
      <c r="G199" s="66"/>
      <c r="H199" s="66"/>
      <c r="I199" s="66"/>
      <c r="J199" s="66"/>
      <c r="K199" s="66"/>
      <c r="L199" s="66"/>
      <c r="M199" s="66"/>
      <c r="N199" s="66"/>
      <c r="O199" s="66"/>
      <c r="P199" s="66"/>
      <c r="Q199" s="66"/>
      <c r="R199" s="66"/>
      <c r="S199" s="66"/>
      <c r="T199" s="66"/>
      <c r="U199" s="66"/>
      <c r="V199" s="66"/>
      <c r="W199" s="66"/>
      <c r="X199" s="66"/>
      <c r="Y199" s="66"/>
      <c r="Z199" s="66"/>
      <c r="AA199" s="66"/>
    </row>
    <row r="200" ht="15.75" customHeight="1">
      <c r="A200" s="66"/>
      <c r="B200" s="66"/>
      <c r="C200" s="66"/>
      <c r="D200" s="66"/>
      <c r="E200" s="66"/>
      <c r="F200" s="68" t="str">
        <f t="array" ref="F200">IF(INDEX('Binder Data'!$A$502:$A$751,ROW()-1)="","",IF(INDEX('Binder Data'!$D$502:$D$751,ROW()-1)="Needed",INDEX('Binder Data'!$B$502:$B$751,ROW()-1),INDEX('Binder Data'!$D$502:$D$751,ROW()-1)))</f>
        <v/>
      </c>
      <c r="G200" s="66"/>
      <c r="H200" s="66"/>
      <c r="I200" s="66"/>
      <c r="J200" s="66"/>
      <c r="K200" s="66"/>
      <c r="L200" s="66"/>
      <c r="M200" s="66"/>
      <c r="N200" s="66"/>
      <c r="O200" s="66"/>
      <c r="P200" s="66"/>
      <c r="Q200" s="66"/>
      <c r="R200" s="66"/>
      <c r="S200" s="66"/>
      <c r="T200" s="66"/>
      <c r="U200" s="66"/>
      <c r="V200" s="66"/>
      <c r="W200" s="66"/>
      <c r="X200" s="66"/>
      <c r="Y200" s="66"/>
      <c r="Z200" s="66"/>
      <c r="AA200" s="66"/>
    </row>
    <row r="201" ht="15.75" customHeight="1">
      <c r="A201" s="66"/>
      <c r="B201" s="66"/>
      <c r="C201" s="66"/>
      <c r="D201" s="66"/>
      <c r="E201" s="66"/>
      <c r="F201" s="68" t="str">
        <f t="array" ref="F201">IF(INDEX('Binder Data'!$A$502:$A$751,ROW()-1)="","",IF(INDEX('Binder Data'!$D$502:$D$751,ROW()-1)="Needed",INDEX('Binder Data'!$B$502:$B$751,ROW()-1),INDEX('Binder Data'!$D$502:$D$751,ROW()-1)))</f>
        <v/>
      </c>
      <c r="G201" s="66"/>
      <c r="H201" s="66"/>
      <c r="I201" s="66"/>
      <c r="J201" s="66"/>
      <c r="K201" s="66"/>
      <c r="L201" s="66"/>
      <c r="M201" s="66"/>
      <c r="N201" s="66"/>
      <c r="O201" s="66"/>
      <c r="P201" s="66"/>
      <c r="Q201" s="66"/>
      <c r="R201" s="66"/>
      <c r="S201" s="66"/>
      <c r="T201" s="66"/>
      <c r="U201" s="66"/>
      <c r="V201" s="66"/>
      <c r="W201" s="66"/>
      <c r="X201" s="66"/>
      <c r="Y201" s="66"/>
      <c r="Z201" s="66"/>
      <c r="AA201" s="66"/>
    </row>
    <row r="202" ht="15.75" customHeight="1">
      <c r="A202" s="66"/>
      <c r="B202" s="66"/>
      <c r="C202" s="66"/>
      <c r="D202" s="66"/>
      <c r="E202" s="66"/>
      <c r="F202" s="68" t="str">
        <f t="array" ref="F202">IF(INDEX('Binder Data'!$A$502:$A$751,ROW()-1)="","",IF(INDEX('Binder Data'!$D$502:$D$751,ROW()-1)="Needed",INDEX('Binder Data'!$B$502:$B$751,ROW()-1),INDEX('Binder Data'!$D$502:$D$751,ROW()-1)))</f>
        <v/>
      </c>
      <c r="G202" s="66"/>
      <c r="H202" s="66"/>
      <c r="I202" s="66"/>
      <c r="J202" s="66"/>
      <c r="K202" s="66"/>
      <c r="L202" s="66"/>
      <c r="M202" s="66"/>
      <c r="N202" s="66"/>
      <c r="O202" s="66"/>
      <c r="P202" s="66"/>
      <c r="Q202" s="66"/>
      <c r="R202" s="66"/>
      <c r="S202" s="66"/>
      <c r="T202" s="66"/>
      <c r="U202" s="66"/>
      <c r="V202" s="66"/>
      <c r="W202" s="66"/>
      <c r="X202" s="66"/>
      <c r="Y202" s="66"/>
      <c r="Z202" s="66"/>
      <c r="AA202" s="66"/>
    </row>
    <row r="203" ht="15.75" customHeight="1">
      <c r="A203" s="66"/>
      <c r="B203" s="66"/>
      <c r="C203" s="66"/>
      <c r="D203" s="66"/>
      <c r="E203" s="66"/>
      <c r="F203" s="68" t="str">
        <f t="array" ref="F203">IF(INDEX('Binder Data'!$A$502:$A$751,ROW()-1)="","",IF(INDEX('Binder Data'!$D$502:$D$751,ROW()-1)="Needed",INDEX('Binder Data'!$B$502:$B$751,ROW()-1),INDEX('Binder Data'!$D$502:$D$751,ROW()-1)))</f>
        <v/>
      </c>
      <c r="G203" s="66"/>
      <c r="H203" s="66"/>
      <c r="I203" s="66"/>
      <c r="J203" s="66"/>
      <c r="K203" s="66"/>
      <c r="L203" s="66"/>
      <c r="M203" s="66"/>
      <c r="N203" s="66"/>
      <c r="O203" s="66"/>
      <c r="P203" s="66"/>
      <c r="Q203" s="66"/>
      <c r="R203" s="66"/>
      <c r="S203" s="66"/>
      <c r="T203" s="66"/>
      <c r="U203" s="66"/>
      <c r="V203" s="66"/>
      <c r="W203" s="66"/>
      <c r="X203" s="66"/>
      <c r="Y203" s="66"/>
      <c r="Z203" s="66"/>
      <c r="AA203" s="66"/>
    </row>
    <row r="204" ht="15.75" customHeight="1">
      <c r="A204" s="66"/>
      <c r="B204" s="66"/>
      <c r="C204" s="66"/>
      <c r="D204" s="66"/>
      <c r="E204" s="66"/>
      <c r="F204" s="68" t="str">
        <f t="array" ref="F204">IF(INDEX('Binder Data'!$A$502:$A$751,ROW()-1)="","",IF(INDEX('Binder Data'!$D$502:$D$751,ROW()-1)="Needed",INDEX('Binder Data'!$B$502:$B$751,ROW()-1),INDEX('Binder Data'!$D$502:$D$751,ROW()-1)))</f>
        <v/>
      </c>
      <c r="G204" s="66"/>
      <c r="H204" s="66"/>
      <c r="I204" s="66"/>
      <c r="J204" s="66"/>
      <c r="K204" s="66"/>
      <c r="L204" s="66"/>
      <c r="M204" s="66"/>
      <c r="N204" s="66"/>
      <c r="O204" s="66"/>
      <c r="P204" s="66"/>
      <c r="Q204" s="66"/>
      <c r="R204" s="66"/>
      <c r="S204" s="66"/>
      <c r="T204" s="66"/>
      <c r="U204" s="66"/>
      <c r="V204" s="66"/>
      <c r="W204" s="66"/>
      <c r="X204" s="66"/>
      <c r="Y204" s="66"/>
      <c r="Z204" s="66"/>
      <c r="AA204" s="66"/>
    </row>
    <row r="205" ht="15.75" customHeight="1">
      <c r="A205" s="66"/>
      <c r="B205" s="66"/>
      <c r="C205" s="66"/>
      <c r="D205" s="66"/>
      <c r="E205" s="66"/>
      <c r="F205" s="68" t="str">
        <f t="array" ref="F205">IF(INDEX('Binder Data'!$A$502:$A$751,ROW()-1)="","",IF(INDEX('Binder Data'!$D$502:$D$751,ROW()-1)="Needed",INDEX('Binder Data'!$B$502:$B$751,ROW()-1),INDEX('Binder Data'!$D$502:$D$751,ROW()-1)))</f>
        <v/>
      </c>
      <c r="G205" s="66"/>
      <c r="H205" s="66"/>
      <c r="I205" s="66"/>
      <c r="J205" s="66"/>
      <c r="K205" s="66"/>
      <c r="L205" s="66"/>
      <c r="M205" s="66"/>
      <c r="N205" s="66"/>
      <c r="O205" s="66"/>
      <c r="P205" s="66"/>
      <c r="Q205" s="66"/>
      <c r="R205" s="66"/>
      <c r="S205" s="66"/>
      <c r="T205" s="66"/>
      <c r="U205" s="66"/>
      <c r="V205" s="66"/>
      <c r="W205" s="66"/>
      <c r="X205" s="66"/>
      <c r="Y205" s="66"/>
      <c r="Z205" s="66"/>
      <c r="AA205" s="66"/>
    </row>
    <row r="206" ht="15.75" customHeight="1">
      <c r="A206" s="66"/>
      <c r="B206" s="66"/>
      <c r="C206" s="66"/>
      <c r="D206" s="66"/>
      <c r="E206" s="66"/>
      <c r="F206" s="68" t="str">
        <f t="array" ref="F206">IF(INDEX('Binder Data'!$A$502:$A$751,ROW()-1)="","",IF(INDEX('Binder Data'!$D$502:$D$751,ROW()-1)="Needed",INDEX('Binder Data'!$B$502:$B$751,ROW()-1),INDEX('Binder Data'!$D$502:$D$751,ROW()-1)))</f>
        <v/>
      </c>
      <c r="G206" s="66"/>
      <c r="H206" s="66"/>
      <c r="I206" s="66"/>
      <c r="J206" s="66"/>
      <c r="K206" s="66"/>
      <c r="L206" s="66"/>
      <c r="M206" s="66"/>
      <c r="N206" s="66"/>
      <c r="O206" s="66"/>
      <c r="P206" s="66"/>
      <c r="Q206" s="66"/>
      <c r="R206" s="66"/>
      <c r="S206" s="66"/>
      <c r="T206" s="66"/>
      <c r="U206" s="66"/>
      <c r="V206" s="66"/>
      <c r="W206" s="66"/>
      <c r="X206" s="66"/>
      <c r="Y206" s="66"/>
      <c r="Z206" s="66"/>
      <c r="AA206" s="66"/>
    </row>
    <row r="207" ht="15.75" customHeight="1">
      <c r="A207" s="66"/>
      <c r="B207" s="66"/>
      <c r="C207" s="66"/>
      <c r="D207" s="66"/>
      <c r="E207" s="66"/>
      <c r="F207" s="68" t="str">
        <f t="array" ref="F207">IF(INDEX('Binder Data'!$A$502:$A$751,ROW()-1)="","",IF(INDEX('Binder Data'!$D$502:$D$751,ROW()-1)="Needed",INDEX('Binder Data'!$B$502:$B$751,ROW()-1),INDEX('Binder Data'!$D$502:$D$751,ROW()-1)))</f>
        <v/>
      </c>
      <c r="G207" s="66"/>
      <c r="H207" s="66"/>
      <c r="I207" s="66"/>
      <c r="J207" s="66"/>
      <c r="K207" s="66"/>
      <c r="L207" s="66"/>
      <c r="M207" s="66"/>
      <c r="N207" s="66"/>
      <c r="O207" s="66"/>
      <c r="P207" s="66"/>
      <c r="Q207" s="66"/>
      <c r="R207" s="66"/>
      <c r="S207" s="66"/>
      <c r="T207" s="66"/>
      <c r="U207" s="66"/>
      <c r="V207" s="66"/>
      <c r="W207" s="66"/>
      <c r="X207" s="66"/>
      <c r="Y207" s="66"/>
      <c r="Z207" s="66"/>
      <c r="AA207" s="66"/>
    </row>
    <row r="208" ht="15.75" customHeight="1">
      <c r="A208" s="66"/>
      <c r="B208" s="66"/>
      <c r="C208" s="66"/>
      <c r="D208" s="66"/>
      <c r="E208" s="66"/>
      <c r="F208" s="68" t="str">
        <f t="array" ref="F208">IF(INDEX('Binder Data'!$A$502:$A$751,ROW()-1)="","",IF(INDEX('Binder Data'!$D$502:$D$751,ROW()-1)="Needed",INDEX('Binder Data'!$B$502:$B$751,ROW()-1),INDEX('Binder Data'!$D$502:$D$751,ROW()-1)))</f>
        <v/>
      </c>
      <c r="G208" s="66"/>
      <c r="H208" s="66"/>
      <c r="I208" s="66"/>
      <c r="J208" s="66"/>
      <c r="K208" s="66"/>
      <c r="L208" s="66"/>
      <c r="M208" s="66"/>
      <c r="N208" s="66"/>
      <c r="O208" s="66"/>
      <c r="P208" s="66"/>
      <c r="Q208" s="66"/>
      <c r="R208" s="66"/>
      <c r="S208" s="66"/>
      <c r="T208" s="66"/>
      <c r="U208" s="66"/>
      <c r="V208" s="66"/>
      <c r="W208" s="66"/>
      <c r="X208" s="66"/>
      <c r="Y208" s="66"/>
      <c r="Z208" s="66"/>
      <c r="AA208" s="66"/>
    </row>
    <row r="209" ht="15.75" customHeight="1">
      <c r="A209" s="66"/>
      <c r="B209" s="66"/>
      <c r="C209" s="66"/>
      <c r="D209" s="66"/>
      <c r="E209" s="66"/>
      <c r="F209" s="68" t="str">
        <f t="array" ref="F209">IF(INDEX('Binder Data'!$A$502:$A$751,ROW()-1)="","",IF(INDEX('Binder Data'!$D$502:$D$751,ROW()-1)="Needed",INDEX('Binder Data'!$B$502:$B$751,ROW()-1),INDEX('Binder Data'!$D$502:$D$751,ROW()-1)))</f>
        <v/>
      </c>
      <c r="G209" s="66"/>
      <c r="H209" s="66"/>
      <c r="I209" s="66"/>
      <c r="J209" s="66"/>
      <c r="K209" s="66"/>
      <c r="L209" s="66"/>
      <c r="M209" s="66"/>
      <c r="N209" s="66"/>
      <c r="O209" s="66"/>
      <c r="P209" s="66"/>
      <c r="Q209" s="66"/>
      <c r="R209" s="66"/>
      <c r="S209" s="66"/>
      <c r="T209" s="66"/>
      <c r="U209" s="66"/>
      <c r="V209" s="66"/>
      <c r="W209" s="66"/>
      <c r="X209" s="66"/>
      <c r="Y209" s="66"/>
      <c r="Z209" s="66"/>
      <c r="AA209" s="66"/>
    </row>
    <row r="210" ht="15.75" customHeight="1">
      <c r="A210" s="66"/>
      <c r="B210" s="66"/>
      <c r="C210" s="66"/>
      <c r="D210" s="66"/>
      <c r="E210" s="66"/>
      <c r="F210" s="68" t="str">
        <f t="array" ref="F210">IF(INDEX('Binder Data'!$A$502:$A$751,ROW()-1)="","",IF(INDEX('Binder Data'!$D$502:$D$751,ROW()-1)="Needed",INDEX('Binder Data'!$B$502:$B$751,ROW()-1),INDEX('Binder Data'!$D$502:$D$751,ROW()-1)))</f>
        <v/>
      </c>
      <c r="G210" s="66"/>
      <c r="H210" s="66"/>
      <c r="I210" s="66"/>
      <c r="J210" s="66"/>
      <c r="K210" s="66"/>
      <c r="L210" s="66"/>
      <c r="M210" s="66"/>
      <c r="N210" s="66"/>
      <c r="O210" s="66"/>
      <c r="P210" s="66"/>
      <c r="Q210" s="66"/>
      <c r="R210" s="66"/>
      <c r="S210" s="66"/>
      <c r="T210" s="66"/>
      <c r="U210" s="66"/>
      <c r="V210" s="66"/>
      <c r="W210" s="66"/>
      <c r="X210" s="66"/>
      <c r="Y210" s="66"/>
      <c r="Z210" s="66"/>
      <c r="AA210" s="66"/>
    </row>
    <row r="211" ht="15.75" customHeight="1">
      <c r="A211" s="66"/>
      <c r="B211" s="66"/>
      <c r="C211" s="66"/>
      <c r="D211" s="66"/>
      <c r="E211" s="66"/>
      <c r="F211" s="68" t="str">
        <f t="array" ref="F211">IF(INDEX('Binder Data'!$A$502:$A$751,ROW()-1)="","",IF(INDEX('Binder Data'!$D$502:$D$751,ROW()-1)="Needed",INDEX('Binder Data'!$B$502:$B$751,ROW()-1),INDEX('Binder Data'!$D$502:$D$751,ROW()-1)))</f>
        <v/>
      </c>
      <c r="G211" s="66"/>
      <c r="H211" s="66"/>
      <c r="I211" s="66"/>
      <c r="J211" s="66"/>
      <c r="K211" s="66"/>
      <c r="L211" s="66"/>
      <c r="M211" s="66"/>
      <c r="N211" s="66"/>
      <c r="O211" s="66"/>
      <c r="P211" s="66"/>
      <c r="Q211" s="66"/>
      <c r="R211" s="66"/>
      <c r="S211" s="66"/>
      <c r="T211" s="66"/>
      <c r="U211" s="66"/>
      <c r="V211" s="66"/>
      <c r="W211" s="66"/>
      <c r="X211" s="66"/>
      <c r="Y211" s="66"/>
      <c r="Z211" s="66"/>
      <c r="AA211" s="66"/>
    </row>
    <row r="212" ht="15.75" customHeight="1">
      <c r="A212" s="66"/>
      <c r="B212" s="66"/>
      <c r="C212" s="66"/>
      <c r="D212" s="66"/>
      <c r="E212" s="66"/>
      <c r="F212" s="68" t="str">
        <f t="array" ref="F212">IF(INDEX('Binder Data'!$A$502:$A$751,ROW()-1)="","",IF(INDEX('Binder Data'!$D$502:$D$751,ROW()-1)="Needed",INDEX('Binder Data'!$B$502:$B$751,ROW()-1),INDEX('Binder Data'!$D$502:$D$751,ROW()-1)))</f>
        <v/>
      </c>
      <c r="G212" s="66"/>
      <c r="H212" s="66"/>
      <c r="I212" s="66"/>
      <c r="J212" s="66"/>
      <c r="K212" s="66"/>
      <c r="L212" s="66"/>
      <c r="M212" s="66"/>
      <c r="N212" s="66"/>
      <c r="O212" s="66"/>
      <c r="P212" s="66"/>
      <c r="Q212" s="66"/>
      <c r="R212" s="66"/>
      <c r="S212" s="66"/>
      <c r="T212" s="66"/>
      <c r="U212" s="66"/>
      <c r="V212" s="66"/>
      <c r="W212" s="66"/>
      <c r="X212" s="66"/>
      <c r="Y212" s="66"/>
      <c r="Z212" s="66"/>
      <c r="AA212" s="66"/>
    </row>
    <row r="213" ht="15.75" customHeight="1">
      <c r="A213" s="66"/>
      <c r="B213" s="66"/>
      <c r="C213" s="66"/>
      <c r="D213" s="66"/>
      <c r="E213" s="66"/>
      <c r="F213" s="68" t="str">
        <f t="array" ref="F213">IF(INDEX('Binder Data'!$A$502:$A$751,ROW()-1)="","",IF(INDEX('Binder Data'!$D$502:$D$751,ROW()-1)="Needed",INDEX('Binder Data'!$B$502:$B$751,ROW()-1),INDEX('Binder Data'!$D$502:$D$751,ROW()-1)))</f>
        <v/>
      </c>
      <c r="G213" s="66"/>
      <c r="H213" s="66"/>
      <c r="I213" s="66"/>
      <c r="J213" s="66"/>
      <c r="K213" s="66"/>
      <c r="L213" s="66"/>
      <c r="M213" s="66"/>
      <c r="N213" s="66"/>
      <c r="O213" s="66"/>
      <c r="P213" s="66"/>
      <c r="Q213" s="66"/>
      <c r="R213" s="66"/>
      <c r="S213" s="66"/>
      <c r="T213" s="66"/>
      <c r="U213" s="66"/>
      <c r="V213" s="66"/>
      <c r="W213" s="66"/>
      <c r="X213" s="66"/>
      <c r="Y213" s="66"/>
      <c r="Z213" s="66"/>
      <c r="AA213" s="66"/>
    </row>
    <row r="214" ht="15.75" customHeight="1">
      <c r="A214" s="66"/>
      <c r="B214" s="66"/>
      <c r="C214" s="66"/>
      <c r="D214" s="66"/>
      <c r="E214" s="66"/>
      <c r="F214" s="68" t="str">
        <f t="array" ref="F214">IF(INDEX('Binder Data'!$A$502:$A$751,ROW()-1)="","",IF(INDEX('Binder Data'!$D$502:$D$751,ROW()-1)="Needed",INDEX('Binder Data'!$B$502:$B$751,ROW()-1),INDEX('Binder Data'!$D$502:$D$751,ROW()-1)))</f>
        <v/>
      </c>
      <c r="G214" s="66"/>
      <c r="H214" s="66"/>
      <c r="I214" s="66"/>
      <c r="J214" s="66"/>
      <c r="K214" s="66"/>
      <c r="L214" s="66"/>
      <c r="M214" s="66"/>
      <c r="N214" s="66"/>
      <c r="O214" s="66"/>
      <c r="P214" s="66"/>
      <c r="Q214" s="66"/>
      <c r="R214" s="66"/>
      <c r="S214" s="66"/>
      <c r="T214" s="66"/>
      <c r="U214" s="66"/>
      <c r="V214" s="66"/>
      <c r="W214" s="66"/>
      <c r="X214" s="66"/>
      <c r="Y214" s="66"/>
      <c r="Z214" s="66"/>
      <c r="AA214" s="66"/>
    </row>
    <row r="215" ht="15.75" customHeight="1">
      <c r="A215" s="66"/>
      <c r="B215" s="66"/>
      <c r="C215" s="66"/>
      <c r="D215" s="66"/>
      <c r="E215" s="66"/>
      <c r="F215" s="68" t="str">
        <f t="array" ref="F215">IF(INDEX('Binder Data'!$A$502:$A$751,ROW()-1)="","",IF(INDEX('Binder Data'!$D$502:$D$751,ROW()-1)="Needed",INDEX('Binder Data'!$B$502:$B$751,ROW()-1),INDEX('Binder Data'!$D$502:$D$751,ROW()-1)))</f>
        <v/>
      </c>
      <c r="G215" s="66"/>
      <c r="H215" s="66"/>
      <c r="I215" s="66"/>
      <c r="J215" s="66"/>
      <c r="K215" s="66"/>
      <c r="L215" s="66"/>
      <c r="M215" s="66"/>
      <c r="N215" s="66"/>
      <c r="O215" s="66"/>
      <c r="P215" s="66"/>
      <c r="Q215" s="66"/>
      <c r="R215" s="66"/>
      <c r="S215" s="66"/>
      <c r="T215" s="66"/>
      <c r="U215" s="66"/>
      <c r="V215" s="66"/>
      <c r="W215" s="66"/>
      <c r="X215" s="66"/>
      <c r="Y215" s="66"/>
      <c r="Z215" s="66"/>
      <c r="AA215" s="66"/>
    </row>
    <row r="216" ht="15.75" customHeight="1">
      <c r="A216" s="66"/>
      <c r="B216" s="66"/>
      <c r="C216" s="66"/>
      <c r="D216" s="66"/>
      <c r="E216" s="66"/>
      <c r="F216" s="68" t="str">
        <f t="array" ref="F216">IF(INDEX('Binder Data'!$A$502:$A$751,ROW()-1)="","",IF(INDEX('Binder Data'!$D$502:$D$751,ROW()-1)="Needed",INDEX('Binder Data'!$B$502:$B$751,ROW()-1),INDEX('Binder Data'!$D$502:$D$751,ROW()-1)))</f>
        <v/>
      </c>
      <c r="G216" s="66"/>
      <c r="H216" s="66"/>
      <c r="I216" s="66"/>
      <c r="J216" s="66"/>
      <c r="K216" s="66"/>
      <c r="L216" s="66"/>
      <c r="M216" s="66"/>
      <c r="N216" s="66"/>
      <c r="O216" s="66"/>
      <c r="P216" s="66"/>
      <c r="Q216" s="66"/>
      <c r="R216" s="66"/>
      <c r="S216" s="66"/>
      <c r="T216" s="66"/>
      <c r="U216" s="66"/>
      <c r="V216" s="66"/>
      <c r="W216" s="66"/>
      <c r="X216" s="66"/>
      <c r="Y216" s="66"/>
      <c r="Z216" s="66"/>
      <c r="AA216" s="66"/>
    </row>
    <row r="217" ht="15.75" customHeight="1">
      <c r="A217" s="66"/>
      <c r="B217" s="66"/>
      <c r="C217" s="66"/>
      <c r="D217" s="66"/>
      <c r="E217" s="66"/>
      <c r="F217" s="68" t="str">
        <f t="array" ref="F217">IF(INDEX('Binder Data'!$A$502:$A$751,ROW()-1)="","",IF(INDEX('Binder Data'!$D$502:$D$751,ROW()-1)="Needed",INDEX('Binder Data'!$B$502:$B$751,ROW()-1),INDEX('Binder Data'!$D$502:$D$751,ROW()-1)))</f>
        <v/>
      </c>
      <c r="G217" s="66"/>
      <c r="H217" s="66"/>
      <c r="I217" s="66"/>
      <c r="J217" s="66"/>
      <c r="K217" s="66"/>
      <c r="L217" s="66"/>
      <c r="M217" s="66"/>
      <c r="N217" s="66"/>
      <c r="O217" s="66"/>
      <c r="P217" s="66"/>
      <c r="Q217" s="66"/>
      <c r="R217" s="66"/>
      <c r="S217" s="66"/>
      <c r="T217" s="66"/>
      <c r="U217" s="66"/>
      <c r="V217" s="66"/>
      <c r="W217" s="66"/>
      <c r="X217" s="66"/>
      <c r="Y217" s="66"/>
      <c r="Z217" s="66"/>
      <c r="AA217" s="66"/>
    </row>
    <row r="218" ht="15.75" customHeight="1">
      <c r="A218" s="66"/>
      <c r="B218" s="66"/>
      <c r="C218" s="66"/>
      <c r="D218" s="66"/>
      <c r="E218" s="66"/>
      <c r="F218" s="68" t="str">
        <f t="array" ref="F218">IF(INDEX('Binder Data'!$A$502:$A$751,ROW()-1)="","",IF(INDEX('Binder Data'!$D$502:$D$751,ROW()-1)="Needed",INDEX('Binder Data'!$B$502:$B$751,ROW()-1),INDEX('Binder Data'!$D$502:$D$751,ROW()-1)))</f>
        <v/>
      </c>
      <c r="G218" s="66"/>
      <c r="H218" s="66"/>
      <c r="I218" s="66"/>
      <c r="J218" s="66"/>
      <c r="K218" s="66"/>
      <c r="L218" s="66"/>
      <c r="M218" s="66"/>
      <c r="N218" s="66"/>
      <c r="O218" s="66"/>
      <c r="P218" s="66"/>
      <c r="Q218" s="66"/>
      <c r="R218" s="66"/>
      <c r="S218" s="66"/>
      <c r="T218" s="66"/>
      <c r="U218" s="66"/>
      <c r="V218" s="66"/>
      <c r="W218" s="66"/>
      <c r="X218" s="66"/>
      <c r="Y218" s="66"/>
      <c r="Z218" s="66"/>
      <c r="AA218" s="66"/>
    </row>
    <row r="219" ht="15.75" customHeight="1">
      <c r="A219" s="66"/>
      <c r="B219" s="66"/>
      <c r="C219" s="66"/>
      <c r="D219" s="66"/>
      <c r="E219" s="66"/>
      <c r="F219" s="68" t="str">
        <f t="array" ref="F219">IF(INDEX('Binder Data'!$A$502:$A$751,ROW()-1)="","",IF(INDEX('Binder Data'!$D$502:$D$751,ROW()-1)="Needed",INDEX('Binder Data'!$B$502:$B$751,ROW()-1),INDEX('Binder Data'!$D$502:$D$751,ROW()-1)))</f>
        <v/>
      </c>
      <c r="G219" s="66"/>
      <c r="H219" s="66"/>
      <c r="I219" s="66"/>
      <c r="J219" s="66"/>
      <c r="K219" s="66"/>
      <c r="L219" s="66"/>
      <c r="M219" s="66"/>
      <c r="N219" s="66"/>
      <c r="O219" s="66"/>
      <c r="P219" s="66"/>
      <c r="Q219" s="66"/>
      <c r="R219" s="66"/>
      <c r="S219" s="66"/>
      <c r="T219" s="66"/>
      <c r="U219" s="66"/>
      <c r="V219" s="66"/>
      <c r="W219" s="66"/>
      <c r="X219" s="66"/>
      <c r="Y219" s="66"/>
      <c r="Z219" s="66"/>
      <c r="AA219" s="66"/>
    </row>
    <row r="220" ht="15.75" customHeight="1">
      <c r="A220" s="66"/>
      <c r="B220" s="66"/>
      <c r="C220" s="66"/>
      <c r="D220" s="66"/>
      <c r="E220" s="66"/>
      <c r="F220" s="68" t="str">
        <f t="array" ref="F220">IF(INDEX('Binder Data'!$A$502:$A$751,ROW()-1)="","",IF(INDEX('Binder Data'!$D$502:$D$751,ROW()-1)="Needed",INDEX('Binder Data'!$B$502:$B$751,ROW()-1),INDEX('Binder Data'!$D$502:$D$751,ROW()-1)))</f>
        <v/>
      </c>
      <c r="G220" s="66"/>
      <c r="H220" s="66"/>
      <c r="I220" s="66"/>
      <c r="J220" s="66"/>
      <c r="K220" s="66"/>
      <c r="L220" s="66"/>
      <c r="M220" s="66"/>
      <c r="N220" s="66"/>
      <c r="O220" s="66"/>
      <c r="P220" s="66"/>
      <c r="Q220" s="66"/>
      <c r="R220" s="66"/>
      <c r="S220" s="66"/>
      <c r="T220" s="66"/>
      <c r="U220" s="66"/>
      <c r="V220" s="66"/>
      <c r="W220" s="66"/>
      <c r="X220" s="66"/>
      <c r="Y220" s="66"/>
      <c r="Z220" s="66"/>
      <c r="AA220" s="66"/>
    </row>
    <row r="221" ht="15.75" customHeight="1">
      <c r="A221" s="66"/>
      <c r="B221" s="66"/>
      <c r="C221" s="66"/>
      <c r="D221" s="66"/>
      <c r="E221" s="66"/>
      <c r="F221" s="68" t="str">
        <f t="array" ref="F221">IF(INDEX('Binder Data'!$A$502:$A$751,ROW()-1)="","",IF(INDEX('Binder Data'!$D$502:$D$751,ROW()-1)="Needed",INDEX('Binder Data'!$B$502:$B$751,ROW()-1),INDEX('Binder Data'!$D$502:$D$751,ROW()-1)))</f>
        <v/>
      </c>
      <c r="G221" s="66"/>
      <c r="H221" s="66"/>
      <c r="I221" s="66"/>
      <c r="J221" s="66"/>
      <c r="K221" s="66"/>
      <c r="L221" s="66"/>
      <c r="M221" s="66"/>
      <c r="N221" s="66"/>
      <c r="O221" s="66"/>
      <c r="P221" s="66"/>
      <c r="Q221" s="66"/>
      <c r="R221" s="66"/>
      <c r="S221" s="66"/>
      <c r="T221" s="66"/>
      <c r="U221" s="66"/>
      <c r="V221" s="66"/>
      <c r="W221" s="66"/>
      <c r="X221" s="66"/>
      <c r="Y221" s="66"/>
      <c r="Z221" s="66"/>
      <c r="AA221" s="66"/>
    </row>
    <row r="222" ht="15.75" customHeight="1">
      <c r="A222" s="66"/>
      <c r="B222" s="66"/>
      <c r="C222" s="66"/>
      <c r="D222" s="66"/>
      <c r="E222" s="66"/>
      <c r="F222" s="68" t="str">
        <f t="array" ref="F222">IF(INDEX('Binder Data'!$A$502:$A$751,ROW()-1)="","",IF(INDEX('Binder Data'!$D$502:$D$751,ROW()-1)="Needed",INDEX('Binder Data'!$B$502:$B$751,ROW()-1),INDEX('Binder Data'!$D$502:$D$751,ROW()-1)))</f>
        <v/>
      </c>
      <c r="G222" s="66"/>
      <c r="H222" s="66"/>
      <c r="I222" s="66"/>
      <c r="J222" s="66"/>
      <c r="K222" s="66"/>
      <c r="L222" s="66"/>
      <c r="M222" s="66"/>
      <c r="N222" s="66"/>
      <c r="O222" s="66"/>
      <c r="P222" s="66"/>
      <c r="Q222" s="66"/>
      <c r="R222" s="66"/>
      <c r="S222" s="66"/>
      <c r="T222" s="66"/>
      <c r="U222" s="66"/>
      <c r="V222" s="66"/>
      <c r="W222" s="66"/>
      <c r="X222" s="66"/>
      <c r="Y222" s="66"/>
      <c r="Z222" s="66"/>
      <c r="AA222" s="66"/>
    </row>
    <row r="223" ht="15.75" customHeight="1">
      <c r="A223" s="66"/>
      <c r="B223" s="66"/>
      <c r="C223" s="66"/>
      <c r="D223" s="66"/>
      <c r="E223" s="66"/>
      <c r="F223" s="68" t="str">
        <f t="array" ref="F223">IF(INDEX('Binder Data'!$A$502:$A$751,ROW()-1)="","",IF(INDEX('Binder Data'!$D$502:$D$751,ROW()-1)="Needed",INDEX('Binder Data'!$B$502:$B$751,ROW()-1),INDEX('Binder Data'!$D$502:$D$751,ROW()-1)))</f>
        <v/>
      </c>
      <c r="G223" s="66"/>
      <c r="H223" s="66"/>
      <c r="I223" s="66"/>
      <c r="J223" s="66"/>
      <c r="K223" s="66"/>
      <c r="L223" s="66"/>
      <c r="M223" s="66"/>
      <c r="N223" s="66"/>
      <c r="O223" s="66"/>
      <c r="P223" s="66"/>
      <c r="Q223" s="66"/>
      <c r="R223" s="66"/>
      <c r="S223" s="66"/>
      <c r="T223" s="66"/>
      <c r="U223" s="66"/>
      <c r="V223" s="66"/>
      <c r="W223" s="66"/>
      <c r="X223" s="66"/>
      <c r="Y223" s="66"/>
      <c r="Z223" s="66"/>
      <c r="AA223" s="66"/>
    </row>
    <row r="224" ht="15.75" customHeight="1">
      <c r="A224" s="66"/>
      <c r="B224" s="66"/>
      <c r="C224" s="66"/>
      <c r="D224" s="66"/>
      <c r="E224" s="66"/>
      <c r="F224" s="68" t="str">
        <f t="array" ref="F224">IF(INDEX('Binder Data'!$A$502:$A$751,ROW()-1)="","",IF(INDEX('Binder Data'!$D$502:$D$751,ROW()-1)="Needed",INDEX('Binder Data'!$B$502:$B$751,ROW()-1),INDEX('Binder Data'!$D$502:$D$751,ROW()-1)))</f>
        <v/>
      </c>
      <c r="G224" s="66"/>
      <c r="H224" s="66"/>
      <c r="I224" s="66"/>
      <c r="J224" s="66"/>
      <c r="K224" s="66"/>
      <c r="L224" s="66"/>
      <c r="M224" s="66"/>
      <c r="N224" s="66"/>
      <c r="O224" s="66"/>
      <c r="P224" s="66"/>
      <c r="Q224" s="66"/>
      <c r="R224" s="66"/>
      <c r="S224" s="66"/>
      <c r="T224" s="66"/>
      <c r="U224" s="66"/>
      <c r="V224" s="66"/>
      <c r="W224" s="66"/>
      <c r="X224" s="66"/>
      <c r="Y224" s="66"/>
      <c r="Z224" s="66"/>
      <c r="AA224" s="66"/>
    </row>
    <row r="225" ht="15.75" customHeight="1">
      <c r="A225" s="66"/>
      <c r="B225" s="66"/>
      <c r="C225" s="66"/>
      <c r="D225" s="66"/>
      <c r="E225" s="66"/>
      <c r="F225" s="68" t="str">
        <f t="array" ref="F225">IF(INDEX('Binder Data'!$A$502:$A$751,ROW()-1)="","",IF(INDEX('Binder Data'!$D$502:$D$751,ROW()-1)="Needed",INDEX('Binder Data'!$B$502:$B$751,ROW()-1),INDEX('Binder Data'!$D$502:$D$751,ROW()-1)))</f>
        <v/>
      </c>
      <c r="G225" s="66"/>
      <c r="H225" s="66"/>
      <c r="I225" s="66"/>
      <c r="J225" s="66"/>
      <c r="K225" s="66"/>
      <c r="L225" s="66"/>
      <c r="M225" s="66"/>
      <c r="N225" s="66"/>
      <c r="O225" s="66"/>
      <c r="P225" s="66"/>
      <c r="Q225" s="66"/>
      <c r="R225" s="66"/>
      <c r="S225" s="66"/>
      <c r="T225" s="66"/>
      <c r="U225" s="66"/>
      <c r="V225" s="66"/>
      <c r="W225" s="66"/>
      <c r="X225" s="66"/>
      <c r="Y225" s="66"/>
      <c r="Z225" s="66"/>
      <c r="AA225" s="66"/>
    </row>
    <row r="226" ht="15.75" customHeight="1">
      <c r="A226" s="66"/>
      <c r="B226" s="66"/>
      <c r="C226" s="66"/>
      <c r="D226" s="66"/>
      <c r="E226" s="66"/>
      <c r="F226" s="68" t="str">
        <f t="array" ref="F226">IF(INDEX('Binder Data'!$A$502:$A$751,ROW()-1)="","",IF(INDEX('Binder Data'!$D$502:$D$751,ROW()-1)="Needed",INDEX('Binder Data'!$B$502:$B$751,ROW()-1),INDEX('Binder Data'!$D$502:$D$751,ROW()-1)))</f>
        <v/>
      </c>
      <c r="G226" s="66"/>
      <c r="H226" s="66"/>
      <c r="I226" s="66"/>
      <c r="J226" s="66"/>
      <c r="K226" s="66"/>
      <c r="L226" s="66"/>
      <c r="M226" s="66"/>
      <c r="N226" s="66"/>
      <c r="O226" s="66"/>
      <c r="P226" s="66"/>
      <c r="Q226" s="66"/>
      <c r="R226" s="66"/>
      <c r="S226" s="66"/>
      <c r="T226" s="66"/>
      <c r="U226" s="66"/>
      <c r="V226" s="66"/>
      <c r="W226" s="66"/>
      <c r="X226" s="66"/>
      <c r="Y226" s="66"/>
      <c r="Z226" s="66"/>
      <c r="AA226" s="66"/>
    </row>
    <row r="227" ht="15.75" customHeight="1">
      <c r="A227" s="66"/>
      <c r="B227" s="66"/>
      <c r="C227" s="66"/>
      <c r="D227" s="66"/>
      <c r="E227" s="66"/>
      <c r="F227" s="68" t="str">
        <f t="array" ref="F227">IF(INDEX('Binder Data'!$A$502:$A$751,ROW()-1)="","",IF(INDEX('Binder Data'!$D$502:$D$751,ROW()-1)="Needed",INDEX('Binder Data'!$B$502:$B$751,ROW()-1),INDEX('Binder Data'!$D$502:$D$751,ROW()-1)))</f>
        <v/>
      </c>
      <c r="G227" s="66"/>
      <c r="H227" s="66"/>
      <c r="I227" s="66"/>
      <c r="J227" s="66"/>
      <c r="K227" s="66"/>
      <c r="L227" s="66"/>
      <c r="M227" s="66"/>
      <c r="N227" s="66"/>
      <c r="O227" s="66"/>
      <c r="P227" s="66"/>
      <c r="Q227" s="66"/>
      <c r="R227" s="66"/>
      <c r="S227" s="66"/>
      <c r="T227" s="66"/>
      <c r="U227" s="66"/>
      <c r="V227" s="66"/>
      <c r="W227" s="66"/>
      <c r="X227" s="66"/>
      <c r="Y227" s="66"/>
      <c r="Z227" s="66"/>
      <c r="AA227" s="66"/>
    </row>
    <row r="228" ht="15.75" customHeight="1">
      <c r="A228" s="66"/>
      <c r="B228" s="66"/>
      <c r="C228" s="66"/>
      <c r="D228" s="66"/>
      <c r="E228" s="66"/>
      <c r="F228" s="68" t="str">
        <f t="array" ref="F228">IF(INDEX('Binder Data'!$A$502:$A$751,ROW()-1)="","",IF(INDEX('Binder Data'!$D$502:$D$751,ROW()-1)="Needed",INDEX('Binder Data'!$B$502:$B$751,ROW()-1),INDEX('Binder Data'!$D$502:$D$751,ROW()-1)))</f>
        <v/>
      </c>
      <c r="G228" s="66"/>
      <c r="H228" s="66"/>
      <c r="I228" s="66"/>
      <c r="J228" s="66"/>
      <c r="K228" s="66"/>
      <c r="L228" s="66"/>
      <c r="M228" s="66"/>
      <c r="N228" s="66"/>
      <c r="O228" s="66"/>
      <c r="P228" s="66"/>
      <c r="Q228" s="66"/>
      <c r="R228" s="66"/>
      <c r="S228" s="66"/>
      <c r="T228" s="66"/>
      <c r="U228" s="66"/>
      <c r="V228" s="66"/>
      <c r="W228" s="66"/>
      <c r="X228" s="66"/>
      <c r="Y228" s="66"/>
      <c r="Z228" s="66"/>
      <c r="AA228" s="66"/>
    </row>
    <row r="229" ht="15.75" customHeight="1">
      <c r="A229" s="66"/>
      <c r="B229" s="66"/>
      <c r="C229" s="66"/>
      <c r="D229" s="66"/>
      <c r="E229" s="66"/>
      <c r="F229" s="68" t="str">
        <f t="array" ref="F229">IF(INDEX('Binder Data'!$A$502:$A$751,ROW()-1)="","",IF(INDEX('Binder Data'!$D$502:$D$751,ROW()-1)="Needed",INDEX('Binder Data'!$B$502:$B$751,ROW()-1),INDEX('Binder Data'!$D$502:$D$751,ROW()-1)))</f>
        <v/>
      </c>
      <c r="G229" s="66"/>
      <c r="H229" s="66"/>
      <c r="I229" s="66"/>
      <c r="J229" s="66"/>
      <c r="K229" s="66"/>
      <c r="L229" s="66"/>
      <c r="M229" s="66"/>
      <c r="N229" s="66"/>
      <c r="O229" s="66"/>
      <c r="P229" s="66"/>
      <c r="Q229" s="66"/>
      <c r="R229" s="66"/>
      <c r="S229" s="66"/>
      <c r="T229" s="66"/>
      <c r="U229" s="66"/>
      <c r="V229" s="66"/>
      <c r="W229" s="66"/>
      <c r="X229" s="66"/>
      <c r="Y229" s="66"/>
      <c r="Z229" s="66"/>
      <c r="AA229" s="66"/>
    </row>
    <row r="230" ht="15.75" customHeight="1">
      <c r="A230" s="66"/>
      <c r="B230" s="66"/>
      <c r="C230" s="66"/>
      <c r="D230" s="66"/>
      <c r="E230" s="66"/>
      <c r="F230" s="68" t="str">
        <f t="array" ref="F230">IF(INDEX('Binder Data'!$A$502:$A$751,ROW()-1)="","",IF(INDEX('Binder Data'!$D$502:$D$751,ROW()-1)="Needed",INDEX('Binder Data'!$B$502:$B$751,ROW()-1),INDEX('Binder Data'!$D$502:$D$751,ROW()-1)))</f>
        <v/>
      </c>
      <c r="G230" s="66"/>
      <c r="H230" s="66"/>
      <c r="I230" s="66"/>
      <c r="J230" s="66"/>
      <c r="K230" s="66"/>
      <c r="L230" s="66"/>
      <c r="M230" s="66"/>
      <c r="N230" s="66"/>
      <c r="O230" s="66"/>
      <c r="P230" s="66"/>
      <c r="Q230" s="66"/>
      <c r="R230" s="66"/>
      <c r="S230" s="66"/>
      <c r="T230" s="66"/>
      <c r="U230" s="66"/>
      <c r="V230" s="66"/>
      <c r="W230" s="66"/>
      <c r="X230" s="66"/>
      <c r="Y230" s="66"/>
      <c r="Z230" s="66"/>
      <c r="AA230" s="66"/>
    </row>
    <row r="231" ht="15.75" customHeight="1">
      <c r="A231" s="66"/>
      <c r="B231" s="66"/>
      <c r="C231" s="66"/>
      <c r="D231" s="66"/>
      <c r="E231" s="66"/>
      <c r="F231" s="68" t="str">
        <f t="array" ref="F231">IF(INDEX('Binder Data'!$A$502:$A$751,ROW()-1)="","",IF(INDEX('Binder Data'!$D$502:$D$751,ROW()-1)="Needed",INDEX('Binder Data'!$B$502:$B$751,ROW()-1),INDEX('Binder Data'!$D$502:$D$751,ROW()-1)))</f>
        <v/>
      </c>
      <c r="G231" s="66"/>
      <c r="H231" s="66"/>
      <c r="I231" s="66"/>
      <c r="J231" s="66"/>
      <c r="K231" s="66"/>
      <c r="L231" s="66"/>
      <c r="M231" s="66"/>
      <c r="N231" s="66"/>
      <c r="O231" s="66"/>
      <c r="P231" s="66"/>
      <c r="Q231" s="66"/>
      <c r="R231" s="66"/>
      <c r="S231" s="66"/>
      <c r="T231" s="66"/>
      <c r="U231" s="66"/>
      <c r="V231" s="66"/>
      <c r="W231" s="66"/>
      <c r="X231" s="66"/>
      <c r="Y231" s="66"/>
      <c r="Z231" s="66"/>
      <c r="AA231" s="66"/>
    </row>
    <row r="232" ht="15.75" customHeight="1">
      <c r="A232" s="66"/>
      <c r="B232" s="66"/>
      <c r="C232" s="66"/>
      <c r="D232" s="66"/>
      <c r="E232" s="66"/>
      <c r="F232" s="68" t="str">
        <f t="array" ref="F232">IF(INDEX('Binder Data'!$A$502:$A$751,ROW()-1)="","",IF(INDEX('Binder Data'!$D$502:$D$751,ROW()-1)="Needed",INDEX('Binder Data'!$B$502:$B$751,ROW()-1),INDEX('Binder Data'!$D$502:$D$751,ROW()-1)))</f>
        <v/>
      </c>
      <c r="G232" s="66"/>
      <c r="H232" s="66"/>
      <c r="I232" s="66"/>
      <c r="J232" s="66"/>
      <c r="K232" s="66"/>
      <c r="L232" s="66"/>
      <c r="M232" s="66"/>
      <c r="N232" s="66"/>
      <c r="O232" s="66"/>
      <c r="P232" s="66"/>
      <c r="Q232" s="66"/>
      <c r="R232" s="66"/>
      <c r="S232" s="66"/>
      <c r="T232" s="66"/>
      <c r="U232" s="66"/>
      <c r="V232" s="66"/>
      <c r="W232" s="66"/>
      <c r="X232" s="66"/>
      <c r="Y232" s="66"/>
      <c r="Z232" s="66"/>
      <c r="AA232" s="66"/>
    </row>
    <row r="233" ht="15.75" customHeight="1">
      <c r="A233" s="66"/>
      <c r="B233" s="66"/>
      <c r="C233" s="66"/>
      <c r="D233" s="66"/>
      <c r="E233" s="66"/>
      <c r="F233" s="68" t="str">
        <f t="array" ref="F233">IF(INDEX('Binder Data'!$A$502:$A$751,ROW()-1)="","",IF(INDEX('Binder Data'!$D$502:$D$751,ROW()-1)="Needed",INDEX('Binder Data'!$B$502:$B$751,ROW()-1),INDEX('Binder Data'!$D$502:$D$751,ROW()-1)))</f>
        <v/>
      </c>
      <c r="G233" s="66"/>
      <c r="H233" s="66"/>
      <c r="I233" s="66"/>
      <c r="J233" s="66"/>
      <c r="K233" s="66"/>
      <c r="L233" s="66"/>
      <c r="M233" s="66"/>
      <c r="N233" s="66"/>
      <c r="O233" s="66"/>
      <c r="P233" s="66"/>
      <c r="Q233" s="66"/>
      <c r="R233" s="66"/>
      <c r="S233" s="66"/>
      <c r="T233" s="66"/>
      <c r="U233" s="66"/>
      <c r="V233" s="66"/>
      <c r="W233" s="66"/>
      <c r="X233" s="66"/>
      <c r="Y233" s="66"/>
      <c r="Z233" s="66"/>
      <c r="AA233" s="66"/>
    </row>
    <row r="234" ht="15.75" customHeight="1">
      <c r="A234" s="66"/>
      <c r="B234" s="66"/>
      <c r="C234" s="66"/>
      <c r="D234" s="66"/>
      <c r="E234" s="66"/>
      <c r="F234" s="68" t="str">
        <f t="array" ref="F234">IF(INDEX('Binder Data'!$A$502:$A$751,ROW()-1)="","",IF(INDEX('Binder Data'!$D$502:$D$751,ROW()-1)="Needed",INDEX('Binder Data'!$B$502:$B$751,ROW()-1),INDEX('Binder Data'!$D$502:$D$751,ROW()-1)))</f>
        <v/>
      </c>
      <c r="G234" s="66"/>
      <c r="H234" s="66"/>
      <c r="I234" s="66"/>
      <c r="J234" s="66"/>
      <c r="K234" s="66"/>
      <c r="L234" s="66"/>
      <c r="M234" s="66"/>
      <c r="N234" s="66"/>
      <c r="O234" s="66"/>
      <c r="P234" s="66"/>
      <c r="Q234" s="66"/>
      <c r="R234" s="66"/>
      <c r="S234" s="66"/>
      <c r="T234" s="66"/>
      <c r="U234" s="66"/>
      <c r="V234" s="66"/>
      <c r="W234" s="66"/>
      <c r="X234" s="66"/>
      <c r="Y234" s="66"/>
      <c r="Z234" s="66"/>
      <c r="AA234" s="66"/>
    </row>
    <row r="235" ht="15.75" customHeight="1">
      <c r="A235" s="66"/>
      <c r="B235" s="66"/>
      <c r="C235" s="66"/>
      <c r="D235" s="66"/>
      <c r="E235" s="66"/>
      <c r="F235" s="68" t="str">
        <f t="array" ref="F235">IF(INDEX('Binder Data'!$A$502:$A$751,ROW()-1)="","",IF(INDEX('Binder Data'!$D$502:$D$751,ROW()-1)="Needed",INDEX('Binder Data'!$B$502:$B$751,ROW()-1),INDEX('Binder Data'!$D$502:$D$751,ROW()-1)))</f>
        <v/>
      </c>
      <c r="G235" s="66"/>
      <c r="H235" s="66"/>
      <c r="I235" s="66"/>
      <c r="J235" s="66"/>
      <c r="K235" s="66"/>
      <c r="L235" s="66"/>
      <c r="M235" s="66"/>
      <c r="N235" s="66"/>
      <c r="O235" s="66"/>
      <c r="P235" s="66"/>
      <c r="Q235" s="66"/>
      <c r="R235" s="66"/>
      <c r="S235" s="66"/>
      <c r="T235" s="66"/>
      <c r="U235" s="66"/>
      <c r="V235" s="66"/>
      <c r="W235" s="66"/>
      <c r="X235" s="66"/>
      <c r="Y235" s="66"/>
      <c r="Z235" s="66"/>
      <c r="AA235" s="66"/>
    </row>
    <row r="236" ht="15.75" customHeight="1">
      <c r="A236" s="66"/>
      <c r="B236" s="66"/>
      <c r="C236" s="66"/>
      <c r="D236" s="66"/>
      <c r="E236" s="66"/>
      <c r="F236" s="68" t="str">
        <f t="array" ref="F236">IF(INDEX('Binder Data'!$A$502:$A$751,ROW()-1)="","",IF(INDEX('Binder Data'!$D$502:$D$751,ROW()-1)="Needed",INDEX('Binder Data'!$B$502:$B$751,ROW()-1),INDEX('Binder Data'!$D$502:$D$751,ROW()-1)))</f>
        <v/>
      </c>
      <c r="G236" s="66"/>
      <c r="H236" s="66"/>
      <c r="I236" s="66"/>
      <c r="J236" s="66"/>
      <c r="K236" s="66"/>
      <c r="L236" s="66"/>
      <c r="M236" s="66"/>
      <c r="N236" s="66"/>
      <c r="O236" s="66"/>
      <c r="P236" s="66"/>
      <c r="Q236" s="66"/>
      <c r="R236" s="66"/>
      <c r="S236" s="66"/>
      <c r="T236" s="66"/>
      <c r="U236" s="66"/>
      <c r="V236" s="66"/>
      <c r="W236" s="66"/>
      <c r="X236" s="66"/>
      <c r="Y236" s="66"/>
      <c r="Z236" s="66"/>
      <c r="AA236" s="66"/>
    </row>
    <row r="237" ht="15.75" customHeight="1">
      <c r="A237" s="66"/>
      <c r="B237" s="66"/>
      <c r="C237" s="66"/>
      <c r="D237" s="66"/>
      <c r="E237" s="66"/>
      <c r="F237" s="68" t="str">
        <f t="array" ref="F237">IF(INDEX('Binder Data'!$A$502:$A$751,ROW()-1)="","",IF(INDEX('Binder Data'!$D$502:$D$751,ROW()-1)="Needed",INDEX('Binder Data'!$B$502:$B$751,ROW()-1),INDEX('Binder Data'!$D$502:$D$751,ROW()-1)))</f>
        <v/>
      </c>
      <c r="G237" s="66"/>
      <c r="H237" s="66"/>
      <c r="I237" s="66"/>
      <c r="J237" s="66"/>
      <c r="K237" s="66"/>
      <c r="L237" s="66"/>
      <c r="M237" s="66"/>
      <c r="N237" s="66"/>
      <c r="O237" s="66"/>
      <c r="P237" s="66"/>
      <c r="Q237" s="66"/>
      <c r="R237" s="66"/>
      <c r="S237" s="66"/>
      <c r="T237" s="66"/>
      <c r="U237" s="66"/>
      <c r="V237" s="66"/>
      <c r="W237" s="66"/>
      <c r="X237" s="66"/>
      <c r="Y237" s="66"/>
      <c r="Z237" s="66"/>
      <c r="AA237" s="66"/>
    </row>
    <row r="238" ht="15.75" customHeight="1">
      <c r="A238" s="66"/>
      <c r="B238" s="66"/>
      <c r="C238" s="66"/>
      <c r="D238" s="66"/>
      <c r="E238" s="66"/>
      <c r="F238" s="68" t="str">
        <f t="array" ref="F238">IF(INDEX('Binder Data'!$A$502:$A$751,ROW()-1)="","",IF(INDEX('Binder Data'!$D$502:$D$751,ROW()-1)="Needed",INDEX('Binder Data'!$B$502:$B$751,ROW()-1),INDEX('Binder Data'!$D$502:$D$751,ROW()-1)))</f>
        <v/>
      </c>
      <c r="G238" s="66"/>
      <c r="H238" s="66"/>
      <c r="I238" s="66"/>
      <c r="J238" s="66"/>
      <c r="K238" s="66"/>
      <c r="L238" s="66"/>
      <c r="M238" s="66"/>
      <c r="N238" s="66"/>
      <c r="O238" s="66"/>
      <c r="P238" s="66"/>
      <c r="Q238" s="66"/>
      <c r="R238" s="66"/>
      <c r="S238" s="66"/>
      <c r="T238" s="66"/>
      <c r="U238" s="66"/>
      <c r="V238" s="66"/>
      <c r="W238" s="66"/>
      <c r="X238" s="66"/>
      <c r="Y238" s="66"/>
      <c r="Z238" s="66"/>
      <c r="AA238" s="66"/>
    </row>
    <row r="239" ht="15.75" customHeight="1">
      <c r="A239" s="66"/>
      <c r="B239" s="66"/>
      <c r="C239" s="66"/>
      <c r="D239" s="66"/>
      <c r="E239" s="66"/>
      <c r="F239" s="68" t="str">
        <f t="array" ref="F239">IF(INDEX('Binder Data'!$A$502:$A$751,ROW()-1)="","",IF(INDEX('Binder Data'!$D$502:$D$751,ROW()-1)="Needed",INDEX('Binder Data'!$B$502:$B$751,ROW()-1),INDEX('Binder Data'!$D$502:$D$751,ROW()-1)))</f>
        <v/>
      </c>
      <c r="G239" s="66"/>
      <c r="H239" s="66"/>
      <c r="I239" s="66"/>
      <c r="J239" s="66"/>
      <c r="K239" s="66"/>
      <c r="L239" s="66"/>
      <c r="M239" s="66"/>
      <c r="N239" s="66"/>
      <c r="O239" s="66"/>
      <c r="P239" s="66"/>
      <c r="Q239" s="66"/>
      <c r="R239" s="66"/>
      <c r="S239" s="66"/>
      <c r="T239" s="66"/>
      <c r="U239" s="66"/>
      <c r="V239" s="66"/>
      <c r="W239" s="66"/>
      <c r="X239" s="66"/>
      <c r="Y239" s="66"/>
      <c r="Z239" s="66"/>
      <c r="AA239" s="66"/>
    </row>
    <row r="240" ht="15.75" customHeight="1">
      <c r="A240" s="66"/>
      <c r="B240" s="66"/>
      <c r="C240" s="66"/>
      <c r="D240" s="66"/>
      <c r="E240" s="66"/>
      <c r="F240" s="68" t="str">
        <f t="array" ref="F240">IF(INDEX('Binder Data'!$A$502:$A$751,ROW()-1)="","",IF(INDEX('Binder Data'!$D$502:$D$751,ROW()-1)="Needed",INDEX('Binder Data'!$B$502:$B$751,ROW()-1),INDEX('Binder Data'!$D$502:$D$751,ROW()-1)))</f>
        <v/>
      </c>
      <c r="G240" s="66"/>
      <c r="H240" s="66"/>
      <c r="I240" s="66"/>
      <c r="J240" s="66"/>
      <c r="K240" s="66"/>
      <c r="L240" s="66"/>
      <c r="M240" s="66"/>
      <c r="N240" s="66"/>
      <c r="O240" s="66"/>
      <c r="P240" s="66"/>
      <c r="Q240" s="66"/>
      <c r="R240" s="66"/>
      <c r="S240" s="66"/>
      <c r="T240" s="66"/>
      <c r="U240" s="66"/>
      <c r="V240" s="66"/>
      <c r="W240" s="66"/>
      <c r="X240" s="66"/>
      <c r="Y240" s="66"/>
      <c r="Z240" s="66"/>
      <c r="AA240" s="66"/>
    </row>
    <row r="241" ht="15.75" customHeight="1">
      <c r="A241" s="66"/>
      <c r="B241" s="66"/>
      <c r="C241" s="66"/>
      <c r="D241" s="66"/>
      <c r="E241" s="66"/>
      <c r="F241" s="68" t="str">
        <f t="array" ref="F241">IF(INDEX('Binder Data'!$A$502:$A$751,ROW()-1)="","",IF(INDEX('Binder Data'!$D$502:$D$751,ROW()-1)="Needed",INDEX('Binder Data'!$B$502:$B$751,ROW()-1),INDEX('Binder Data'!$D$502:$D$751,ROW()-1)))</f>
        <v/>
      </c>
      <c r="G241" s="66"/>
      <c r="H241" s="66"/>
      <c r="I241" s="66"/>
      <c r="J241" s="66"/>
      <c r="K241" s="66"/>
      <c r="L241" s="66"/>
      <c r="M241" s="66"/>
      <c r="N241" s="66"/>
      <c r="O241" s="66"/>
      <c r="P241" s="66"/>
      <c r="Q241" s="66"/>
      <c r="R241" s="66"/>
      <c r="S241" s="66"/>
      <c r="T241" s="66"/>
      <c r="U241" s="66"/>
      <c r="V241" s="66"/>
      <c r="W241" s="66"/>
      <c r="X241" s="66"/>
      <c r="Y241" s="66"/>
      <c r="Z241" s="66"/>
      <c r="AA241" s="66"/>
    </row>
    <row r="242" ht="15.75" customHeight="1">
      <c r="A242" s="66"/>
      <c r="B242" s="66"/>
      <c r="C242" s="66"/>
      <c r="D242" s="66"/>
      <c r="E242" s="66"/>
      <c r="F242" s="68" t="str">
        <f t="array" ref="F242">IF(INDEX('Binder Data'!$A$502:$A$751,ROW()-1)="","",IF(INDEX('Binder Data'!$D$502:$D$751,ROW()-1)="Needed",INDEX('Binder Data'!$B$502:$B$751,ROW()-1),INDEX('Binder Data'!$D$502:$D$751,ROW()-1)))</f>
        <v/>
      </c>
      <c r="G242" s="66"/>
      <c r="H242" s="66"/>
      <c r="I242" s="66"/>
      <c r="J242" s="66"/>
      <c r="K242" s="66"/>
      <c r="L242" s="66"/>
      <c r="M242" s="66"/>
      <c r="N242" s="66"/>
      <c r="O242" s="66"/>
      <c r="P242" s="66"/>
      <c r="Q242" s="66"/>
      <c r="R242" s="66"/>
      <c r="S242" s="66"/>
      <c r="T242" s="66"/>
      <c r="U242" s="66"/>
      <c r="V242" s="66"/>
      <c r="W242" s="66"/>
      <c r="X242" s="66"/>
      <c r="Y242" s="66"/>
      <c r="Z242" s="66"/>
      <c r="AA242" s="66"/>
    </row>
    <row r="243" ht="15.75" customHeight="1">
      <c r="A243" s="66"/>
      <c r="B243" s="66"/>
      <c r="C243" s="66"/>
      <c r="D243" s="66"/>
      <c r="E243" s="66"/>
      <c r="F243" s="68" t="str">
        <f t="array" ref="F243">IF(INDEX('Binder Data'!$A$502:$A$751,ROW()-1)="","",IF(INDEX('Binder Data'!$D$502:$D$751,ROW()-1)="Needed",INDEX('Binder Data'!$B$502:$B$751,ROW()-1),INDEX('Binder Data'!$D$502:$D$751,ROW()-1)))</f>
        <v/>
      </c>
      <c r="G243" s="66"/>
      <c r="H243" s="66"/>
      <c r="I243" s="66"/>
      <c r="J243" s="66"/>
      <c r="K243" s="66"/>
      <c r="L243" s="66"/>
      <c r="M243" s="66"/>
      <c r="N243" s="66"/>
      <c r="O243" s="66"/>
      <c r="P243" s="66"/>
      <c r="Q243" s="66"/>
      <c r="R243" s="66"/>
      <c r="S243" s="66"/>
      <c r="T243" s="66"/>
      <c r="U243" s="66"/>
      <c r="V243" s="66"/>
      <c r="W243" s="66"/>
      <c r="X243" s="66"/>
      <c r="Y243" s="66"/>
      <c r="Z243" s="66"/>
      <c r="AA243" s="66"/>
    </row>
    <row r="244" ht="15.75" customHeight="1">
      <c r="A244" s="66"/>
      <c r="B244" s="66"/>
      <c r="C244" s="66"/>
      <c r="D244" s="66"/>
      <c r="E244" s="66"/>
      <c r="F244" s="68" t="str">
        <f t="array" ref="F244">IF(INDEX('Binder Data'!$A$502:$A$751,ROW()-1)="","",IF(INDEX('Binder Data'!$D$502:$D$751,ROW()-1)="Needed",INDEX('Binder Data'!$B$502:$B$751,ROW()-1),INDEX('Binder Data'!$D$502:$D$751,ROW()-1)))</f>
        <v/>
      </c>
      <c r="G244" s="66"/>
      <c r="H244" s="66"/>
      <c r="I244" s="66"/>
      <c r="J244" s="66"/>
      <c r="K244" s="66"/>
      <c r="L244" s="66"/>
      <c r="M244" s="66"/>
      <c r="N244" s="66"/>
      <c r="O244" s="66"/>
      <c r="P244" s="66"/>
      <c r="Q244" s="66"/>
      <c r="R244" s="66"/>
      <c r="S244" s="66"/>
      <c r="T244" s="66"/>
      <c r="U244" s="66"/>
      <c r="V244" s="66"/>
      <c r="W244" s="66"/>
      <c r="X244" s="66"/>
      <c r="Y244" s="66"/>
      <c r="Z244" s="66"/>
      <c r="AA244" s="66"/>
    </row>
    <row r="245" ht="15.75" customHeight="1">
      <c r="A245" s="66"/>
      <c r="B245" s="66"/>
      <c r="C245" s="66"/>
      <c r="D245" s="66"/>
      <c r="E245" s="66"/>
      <c r="F245" s="68" t="str">
        <f t="array" ref="F245">IF(INDEX('Binder Data'!$A$502:$A$751,ROW()-1)="","",IF(INDEX('Binder Data'!$D$502:$D$751,ROW()-1)="Needed",INDEX('Binder Data'!$B$502:$B$751,ROW()-1),INDEX('Binder Data'!$D$502:$D$751,ROW()-1)))</f>
        <v/>
      </c>
      <c r="G245" s="66"/>
      <c r="H245" s="66"/>
      <c r="I245" s="66"/>
      <c r="J245" s="66"/>
      <c r="K245" s="66"/>
      <c r="L245" s="66"/>
      <c r="M245" s="66"/>
      <c r="N245" s="66"/>
      <c r="O245" s="66"/>
      <c r="P245" s="66"/>
      <c r="Q245" s="66"/>
      <c r="R245" s="66"/>
      <c r="S245" s="66"/>
      <c r="T245" s="66"/>
      <c r="U245" s="66"/>
      <c r="V245" s="66"/>
      <c r="W245" s="66"/>
      <c r="X245" s="66"/>
      <c r="Y245" s="66"/>
      <c r="Z245" s="66"/>
      <c r="AA245" s="66"/>
    </row>
    <row r="246" ht="15.75" customHeight="1">
      <c r="A246" s="66"/>
      <c r="B246" s="66"/>
      <c r="C246" s="66"/>
      <c r="D246" s="66"/>
      <c r="E246" s="66"/>
      <c r="F246" s="68" t="str">
        <f t="array" ref="F246">IF(INDEX('Binder Data'!$A$502:$A$751,ROW()-1)="","",IF(INDEX('Binder Data'!$D$502:$D$751,ROW()-1)="Needed",INDEX('Binder Data'!$B$502:$B$751,ROW()-1),INDEX('Binder Data'!$D$502:$D$751,ROW()-1)))</f>
        <v/>
      </c>
      <c r="G246" s="66"/>
      <c r="H246" s="66"/>
      <c r="I246" s="66"/>
      <c r="J246" s="66"/>
      <c r="K246" s="66"/>
      <c r="L246" s="66"/>
      <c r="M246" s="66"/>
      <c r="N246" s="66"/>
      <c r="O246" s="66"/>
      <c r="P246" s="66"/>
      <c r="Q246" s="66"/>
      <c r="R246" s="66"/>
      <c r="S246" s="66"/>
      <c r="T246" s="66"/>
      <c r="U246" s="66"/>
      <c r="V246" s="66"/>
      <c r="W246" s="66"/>
      <c r="X246" s="66"/>
      <c r="Y246" s="66"/>
      <c r="Z246" s="66"/>
      <c r="AA246" s="66"/>
    </row>
    <row r="247" ht="15.75" customHeight="1">
      <c r="A247" s="66"/>
      <c r="B247" s="66"/>
      <c r="C247" s="66"/>
      <c r="D247" s="66"/>
      <c r="E247" s="66"/>
      <c r="F247" s="68" t="str">
        <f t="array" ref="F247">IF(INDEX('Binder Data'!$A$502:$A$751,ROW()-1)="","",IF(INDEX('Binder Data'!$D$502:$D$751,ROW()-1)="Needed",INDEX('Binder Data'!$B$502:$B$751,ROW()-1),INDEX('Binder Data'!$D$502:$D$751,ROW()-1)))</f>
        <v/>
      </c>
      <c r="G247" s="66"/>
      <c r="H247" s="66"/>
      <c r="I247" s="66"/>
      <c r="J247" s="66"/>
      <c r="K247" s="66"/>
      <c r="L247" s="66"/>
      <c r="M247" s="66"/>
      <c r="N247" s="66"/>
      <c r="O247" s="66"/>
      <c r="P247" s="66"/>
      <c r="Q247" s="66"/>
      <c r="R247" s="66"/>
      <c r="S247" s="66"/>
      <c r="T247" s="66"/>
      <c r="U247" s="66"/>
      <c r="V247" s="66"/>
      <c r="W247" s="66"/>
      <c r="X247" s="66"/>
      <c r="Y247" s="66"/>
      <c r="Z247" s="66"/>
      <c r="AA247" s="66"/>
    </row>
    <row r="248" ht="15.75" customHeight="1">
      <c r="A248" s="66"/>
      <c r="B248" s="66"/>
      <c r="C248" s="66"/>
      <c r="D248" s="66"/>
      <c r="E248" s="66"/>
      <c r="F248" s="68" t="str">
        <f t="array" ref="F248">IF(INDEX('Binder Data'!$A$502:$A$751,ROW()-1)="","",IF(INDEX('Binder Data'!$D$502:$D$751,ROW()-1)="Needed",INDEX('Binder Data'!$B$502:$B$751,ROW()-1),INDEX('Binder Data'!$D$502:$D$751,ROW()-1)))</f>
        <v/>
      </c>
      <c r="G248" s="66"/>
      <c r="H248" s="66"/>
      <c r="I248" s="66"/>
      <c r="J248" s="66"/>
      <c r="K248" s="66"/>
      <c r="L248" s="66"/>
      <c r="M248" s="66"/>
      <c r="N248" s="66"/>
      <c r="O248" s="66"/>
      <c r="P248" s="66"/>
      <c r="Q248" s="66"/>
      <c r="R248" s="66"/>
      <c r="S248" s="66"/>
      <c r="T248" s="66"/>
      <c r="U248" s="66"/>
      <c r="V248" s="66"/>
      <c r="W248" s="66"/>
      <c r="X248" s="66"/>
      <c r="Y248" s="66"/>
      <c r="Z248" s="66"/>
      <c r="AA248" s="66"/>
    </row>
    <row r="249" ht="15.75" customHeight="1">
      <c r="A249" s="66"/>
      <c r="B249" s="66"/>
      <c r="C249" s="66"/>
      <c r="D249" s="66"/>
      <c r="E249" s="66"/>
      <c r="F249" s="68" t="str">
        <f t="array" ref="F249">IF(INDEX('Binder Data'!$A$502:$A$751,ROW()-1)="","",IF(INDEX('Binder Data'!$D$502:$D$751,ROW()-1)="Needed",INDEX('Binder Data'!$B$502:$B$751,ROW()-1),INDEX('Binder Data'!$D$502:$D$751,ROW()-1)))</f>
        <v/>
      </c>
      <c r="G249" s="66"/>
      <c r="H249" s="66"/>
      <c r="I249" s="66"/>
      <c r="J249" s="66"/>
      <c r="K249" s="66"/>
      <c r="L249" s="66"/>
      <c r="M249" s="66"/>
      <c r="N249" s="66"/>
      <c r="O249" s="66"/>
      <c r="P249" s="66"/>
      <c r="Q249" s="66"/>
      <c r="R249" s="66"/>
      <c r="S249" s="66"/>
      <c r="T249" s="66"/>
      <c r="U249" s="66"/>
      <c r="V249" s="66"/>
      <c r="W249" s="66"/>
      <c r="X249" s="66"/>
      <c r="Y249" s="66"/>
      <c r="Z249" s="66"/>
      <c r="AA249" s="66"/>
    </row>
    <row r="250" ht="15.75" customHeight="1">
      <c r="A250" s="66"/>
      <c r="B250" s="66"/>
      <c r="C250" s="66"/>
      <c r="D250" s="66"/>
      <c r="E250" s="66"/>
      <c r="F250" s="68" t="str">
        <f t="array" ref="F250">IF(INDEX('Binder Data'!$A$502:$A$751,ROW()-1)="","",IF(INDEX('Binder Data'!$D$502:$D$751,ROW()-1)="Needed",INDEX('Binder Data'!$B$502:$B$751,ROW()-1),INDEX('Binder Data'!$D$502:$D$751,ROW()-1)))</f>
        <v/>
      </c>
      <c r="G250" s="66"/>
      <c r="H250" s="66"/>
      <c r="I250" s="66"/>
      <c r="J250" s="66"/>
      <c r="K250" s="66"/>
      <c r="L250" s="66"/>
      <c r="M250" s="66"/>
      <c r="N250" s="66"/>
      <c r="O250" s="66"/>
      <c r="P250" s="66"/>
      <c r="Q250" s="66"/>
      <c r="R250" s="66"/>
      <c r="S250" s="66"/>
      <c r="T250" s="66"/>
      <c r="U250" s="66"/>
      <c r="V250" s="66"/>
      <c r="W250" s="66"/>
      <c r="X250" s="66"/>
      <c r="Y250" s="66"/>
      <c r="Z250" s="66"/>
      <c r="AA250" s="66"/>
    </row>
    <row r="251" ht="15.75" customHeight="1">
      <c r="A251" s="66"/>
      <c r="B251" s="66"/>
      <c r="C251" s="66"/>
      <c r="D251" s="66"/>
      <c r="E251" s="66"/>
      <c r="F251" s="68" t="str">
        <f t="array" ref="F251">IF(INDEX('Binder Data'!$A$502:$A$751,ROW()-1)="","",IF(INDEX('Binder Data'!$D$502:$D$751,ROW()-1)="Needed",INDEX('Binder Data'!$B$502:$B$751,ROW()-1),INDEX('Binder Data'!$D$502:$D$751,ROW()-1)))</f>
        <v/>
      </c>
      <c r="G251" s="66"/>
      <c r="H251" s="66"/>
      <c r="I251" s="66"/>
      <c r="J251" s="66"/>
      <c r="K251" s="66"/>
      <c r="L251" s="66"/>
      <c r="M251" s="66"/>
      <c r="N251" s="66"/>
      <c r="O251" s="66"/>
      <c r="P251" s="66"/>
      <c r="Q251" s="66"/>
      <c r="R251" s="66"/>
      <c r="S251" s="66"/>
      <c r="T251" s="66"/>
      <c r="U251" s="66"/>
      <c r="V251" s="66"/>
      <c r="W251" s="66"/>
      <c r="X251" s="66"/>
      <c r="Y251" s="66"/>
      <c r="Z251" s="66"/>
      <c r="AA251" s="66"/>
    </row>
    <row r="252" ht="15.7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c r="AA252" s="66"/>
    </row>
    <row r="253" ht="15.7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c r="AA253" s="66"/>
    </row>
    <row r="254" ht="15.7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c r="AA254" s="66"/>
    </row>
    <row r="255" ht="15.7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c r="AA255" s="66"/>
    </row>
    <row r="256" ht="15.7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c r="AA256" s="66"/>
    </row>
    <row r="257" ht="15.7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c r="AA257" s="66"/>
    </row>
    <row r="258" ht="15.7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c r="AA258" s="66"/>
    </row>
    <row r="259" ht="15.7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c r="AA259" s="66"/>
    </row>
    <row r="260" ht="15.7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c r="AA260" s="66"/>
    </row>
    <row r="261" ht="15.7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c r="AA261" s="66"/>
    </row>
    <row r="262" ht="15.7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c r="AA262" s="66"/>
    </row>
    <row r="263" ht="15.7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c r="AA263" s="66"/>
    </row>
    <row r="264" ht="15.7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c r="AA264" s="66"/>
    </row>
    <row r="265" ht="15.7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c r="AA265" s="66"/>
    </row>
    <row r="266" ht="15.7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c r="AA266" s="66"/>
    </row>
    <row r="267" ht="15.7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c r="AA267" s="66"/>
    </row>
    <row r="268" ht="15.7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c r="AA268" s="66"/>
    </row>
    <row r="269" ht="15.7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c r="AA269" s="66"/>
    </row>
    <row r="270" ht="15.7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c r="AA270" s="66"/>
    </row>
    <row r="271" ht="15.7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c r="AA271" s="66"/>
    </row>
    <row r="272" ht="15.7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c r="AA272" s="66"/>
    </row>
    <row r="273" ht="15.7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c r="AA273" s="66"/>
    </row>
    <row r="274" ht="15.7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c r="AA274" s="66"/>
    </row>
    <row r="275" ht="15.7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c r="AA275" s="66"/>
    </row>
    <row r="276" ht="15.7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c r="AA276" s="66"/>
    </row>
    <row r="277" ht="15.7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c r="AA277" s="66"/>
    </row>
    <row r="278" ht="15.7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c r="AA278" s="66"/>
    </row>
    <row r="279" ht="15.7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c r="AA279" s="66"/>
    </row>
    <row r="280" ht="15.7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c r="AA280" s="66"/>
    </row>
    <row r="281" ht="15.7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c r="AA281" s="66"/>
    </row>
    <row r="282" ht="15.7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c r="AA282" s="66"/>
    </row>
    <row r="283" ht="15.7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c r="AA283" s="66"/>
    </row>
    <row r="284" ht="15.7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c r="AA284" s="66"/>
    </row>
    <row r="285" ht="15.7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c r="AA285" s="66"/>
    </row>
    <row r="286" ht="15.7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c r="AA286" s="66"/>
    </row>
    <row r="287" ht="15.7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c r="AA287" s="66"/>
    </row>
    <row r="288" ht="15.7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c r="AA288" s="66"/>
    </row>
    <row r="289" ht="15.7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c r="AA289" s="66"/>
    </row>
    <row r="290" ht="15.7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c r="AA290" s="66"/>
    </row>
    <row r="291" ht="15.7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c r="AA291" s="66"/>
    </row>
    <row r="292" ht="15.7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c r="AA292" s="66"/>
    </row>
    <row r="293" ht="15.7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c r="AA293" s="66"/>
    </row>
    <row r="294" ht="15.7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c r="AA294" s="66"/>
    </row>
    <row r="295" ht="15.7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c r="AA295" s="66"/>
    </row>
    <row r="296" ht="15.7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c r="AA296" s="66"/>
    </row>
    <row r="297" ht="15.7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c r="AA297" s="66"/>
    </row>
    <row r="298" ht="15.7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c r="AA298" s="66"/>
    </row>
    <row r="299" ht="15.7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c r="AA299" s="66"/>
    </row>
    <row r="300" ht="15.7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c r="AA300" s="66"/>
    </row>
    <row r="301" ht="15.7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c r="AA301" s="66"/>
    </row>
    <row r="302" ht="15.7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c r="AA302" s="66"/>
    </row>
    <row r="303" ht="15.7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c r="AA303" s="66"/>
    </row>
    <row r="304" ht="15.7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c r="AA304" s="66"/>
    </row>
    <row r="305" ht="15.7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c r="AA305" s="66"/>
    </row>
    <row r="306" ht="15.7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c r="AA306" s="66"/>
    </row>
    <row r="307" ht="15.7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c r="AA307" s="66"/>
    </row>
    <row r="308" ht="15.7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c r="AA308" s="66"/>
    </row>
    <row r="309" ht="15.7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c r="AA309" s="66"/>
    </row>
    <row r="310" ht="15.7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c r="AA310" s="66"/>
    </row>
    <row r="311" ht="15.7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c r="AA311" s="66"/>
    </row>
    <row r="312" ht="15.7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c r="AA312" s="66"/>
    </row>
    <row r="313" ht="15.7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c r="AA313" s="66"/>
    </row>
    <row r="314" ht="15.7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c r="AA314" s="66"/>
    </row>
    <row r="315" ht="15.7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c r="AA315" s="66"/>
    </row>
    <row r="316" ht="15.7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c r="AA316" s="66"/>
    </row>
    <row r="317" ht="15.7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c r="AA317" s="66"/>
    </row>
    <row r="318" ht="15.7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c r="AA318" s="66"/>
    </row>
    <row r="319" ht="15.7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c r="AA319" s="66"/>
    </row>
    <row r="320" ht="15.7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c r="AA320" s="66"/>
    </row>
    <row r="321" ht="15.7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c r="AA321" s="66"/>
    </row>
    <row r="322" ht="15.7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c r="AA322" s="66"/>
    </row>
    <row r="323" ht="15.7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c r="AA323" s="66"/>
    </row>
    <row r="324" ht="15.7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c r="AA324" s="66"/>
    </row>
    <row r="325" ht="15.7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c r="AA325" s="66"/>
    </row>
    <row r="326" ht="15.7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c r="AA326" s="66"/>
    </row>
    <row r="327" ht="15.7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c r="AA327" s="66"/>
    </row>
    <row r="328" ht="15.7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c r="AA328" s="66"/>
    </row>
    <row r="329" ht="15.7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c r="AA329" s="66"/>
    </row>
    <row r="330" ht="15.7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c r="AA330" s="66"/>
    </row>
    <row r="331" ht="15.7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c r="AA331" s="66"/>
    </row>
    <row r="332" ht="15.7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c r="AA332" s="66"/>
    </row>
    <row r="333" ht="15.7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c r="AA333" s="66"/>
    </row>
    <row r="334" ht="15.7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c r="AA334" s="66"/>
    </row>
    <row r="335" ht="15.7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c r="AA335" s="66"/>
    </row>
    <row r="336" ht="15.7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c r="AA336" s="66"/>
    </row>
    <row r="337" ht="15.7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c r="AA337" s="66"/>
    </row>
    <row r="338" ht="15.7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c r="AA338" s="66"/>
    </row>
    <row r="339" ht="15.7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c r="AA339" s="66"/>
    </row>
    <row r="340" ht="15.7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c r="AA340" s="66"/>
    </row>
    <row r="341" ht="15.7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c r="AA341" s="66"/>
    </row>
    <row r="342" ht="15.7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c r="AA342" s="66"/>
    </row>
    <row r="343" ht="15.7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c r="AA343" s="66"/>
    </row>
    <row r="344" ht="15.7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c r="AA344" s="66"/>
    </row>
    <row r="345" ht="15.7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c r="AA345" s="66"/>
    </row>
    <row r="346" ht="15.7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c r="AA346" s="66"/>
    </row>
    <row r="347" ht="15.7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c r="AA347" s="66"/>
    </row>
    <row r="348" ht="15.7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c r="AA348" s="66"/>
    </row>
    <row r="349" ht="15.7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c r="AA349" s="66"/>
    </row>
    <row r="350" ht="15.7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c r="AA350" s="66"/>
    </row>
    <row r="351" ht="15.7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c r="AA351" s="66"/>
    </row>
    <row r="352" ht="15.7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c r="AA352" s="66"/>
    </row>
    <row r="353" ht="15.7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row>
    <row r="354" ht="15.7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c r="AA354" s="66"/>
    </row>
    <row r="355" ht="15.7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c r="AA355" s="66"/>
    </row>
    <row r="356" ht="15.7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c r="AA356" s="66"/>
    </row>
    <row r="357" ht="15.7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c r="AA357" s="66"/>
    </row>
    <row r="358" ht="15.7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c r="AA358" s="66"/>
    </row>
    <row r="359" ht="15.7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row>
    <row r="360" ht="15.7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c r="AA360" s="66"/>
    </row>
    <row r="361" ht="15.7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c r="AA361" s="66"/>
    </row>
    <row r="362" ht="15.7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row>
    <row r="363" ht="15.7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c r="AA363" s="66"/>
    </row>
    <row r="364" ht="15.7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c r="AA364" s="66"/>
    </row>
    <row r="365" ht="15.7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c r="AA365" s="66"/>
    </row>
    <row r="366" ht="15.7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c r="AA366" s="66"/>
    </row>
    <row r="367" ht="15.7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c r="AA367" s="66"/>
    </row>
    <row r="368" ht="15.7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c r="AA368" s="66"/>
    </row>
    <row r="369" ht="15.7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c r="AA369" s="66"/>
    </row>
    <row r="370" ht="15.7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c r="AA370" s="66"/>
    </row>
    <row r="371" ht="15.7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c r="AA371" s="66"/>
    </row>
    <row r="372" ht="15.7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c r="AA372" s="66"/>
    </row>
    <row r="373" ht="15.7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c r="AA373" s="66"/>
    </row>
    <row r="374" ht="15.7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c r="AA374" s="66"/>
    </row>
    <row r="375" ht="15.7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c r="AA375" s="66"/>
    </row>
    <row r="376" ht="15.7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c r="AA376" s="66"/>
    </row>
    <row r="377" ht="15.7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c r="AA377" s="66"/>
    </row>
    <row r="378" ht="15.7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c r="AA378" s="66"/>
    </row>
    <row r="379" ht="15.7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c r="AA379" s="66"/>
    </row>
    <row r="380" ht="15.7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c r="AA380" s="66"/>
    </row>
    <row r="381" ht="15.7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c r="AA381" s="66"/>
    </row>
    <row r="382" ht="15.7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c r="AA382" s="66"/>
    </row>
    <row r="383" ht="15.7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c r="AA383" s="66"/>
    </row>
    <row r="384" ht="15.7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c r="AA384" s="66"/>
    </row>
    <row r="385" ht="15.7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c r="AA385" s="66"/>
    </row>
    <row r="386" ht="15.7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c r="AA386" s="66"/>
    </row>
    <row r="387" ht="15.7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c r="AA387" s="66"/>
    </row>
    <row r="388" ht="15.7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c r="AA388" s="66"/>
    </row>
    <row r="389" ht="15.7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c r="AA389" s="66"/>
    </row>
    <row r="390" ht="15.7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c r="AA390" s="66"/>
    </row>
    <row r="391" ht="15.7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c r="AA391" s="66"/>
    </row>
    <row r="392" ht="15.7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c r="AA392" s="66"/>
    </row>
    <row r="393" ht="15.7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c r="AA393" s="66"/>
    </row>
    <row r="394" ht="15.7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c r="AA394" s="66"/>
    </row>
    <row r="395" ht="15.7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c r="AA395" s="66"/>
    </row>
    <row r="396" ht="15.7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c r="AA396" s="66"/>
    </row>
    <row r="397" ht="15.7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c r="AA397" s="66"/>
    </row>
    <row r="398" ht="15.7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c r="AA398" s="66"/>
    </row>
    <row r="399" ht="15.7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c r="AA399" s="66"/>
    </row>
    <row r="400" ht="15.7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c r="AA400" s="66"/>
    </row>
    <row r="401" ht="15.7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c r="AA401" s="66"/>
    </row>
    <row r="402" ht="15.7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c r="AA402" s="66"/>
    </row>
    <row r="403" ht="15.7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c r="AA403" s="66"/>
    </row>
    <row r="404" ht="15.7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c r="AA404" s="66"/>
    </row>
    <row r="405" ht="15.7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c r="AA405" s="66"/>
    </row>
    <row r="406" ht="15.7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c r="AA406" s="66"/>
    </row>
    <row r="407" ht="15.7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c r="AA407" s="66"/>
    </row>
    <row r="408" ht="15.7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c r="AA408" s="66"/>
    </row>
    <row r="409" ht="15.7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c r="AA409" s="66"/>
    </row>
    <row r="410" ht="15.7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c r="AA410" s="66"/>
    </row>
    <row r="411" ht="15.7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c r="AA411" s="66"/>
    </row>
    <row r="412" ht="15.7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c r="AA412" s="66"/>
    </row>
    <row r="413" ht="15.7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c r="AA413" s="66"/>
    </row>
    <row r="414" ht="15.7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c r="AA414" s="66"/>
    </row>
    <row r="415" ht="15.7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c r="AA415" s="66"/>
    </row>
    <row r="416" ht="15.7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c r="AA416" s="66"/>
    </row>
    <row r="417" ht="15.7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c r="AA417" s="66"/>
    </row>
    <row r="418" ht="15.7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c r="AA418" s="66"/>
    </row>
    <row r="419" ht="15.7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c r="AA419" s="66"/>
    </row>
    <row r="420" ht="15.7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c r="AA420" s="66"/>
    </row>
    <row r="421" ht="15.7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c r="AA421" s="66"/>
    </row>
    <row r="422" ht="15.7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c r="AA422" s="66"/>
    </row>
    <row r="423" ht="15.7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c r="AA423" s="66"/>
    </row>
    <row r="424" ht="15.7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c r="AA424" s="66"/>
    </row>
    <row r="425" ht="15.7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c r="AA425" s="66"/>
    </row>
    <row r="426" ht="15.7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c r="AA426" s="66"/>
    </row>
    <row r="427" ht="15.7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c r="AA427" s="66"/>
    </row>
    <row r="428" ht="15.7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c r="AA428" s="66"/>
    </row>
    <row r="429" ht="15.7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c r="AA429" s="66"/>
    </row>
    <row r="430" ht="15.7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c r="AA430" s="66"/>
    </row>
    <row r="431" ht="15.7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c r="AA431" s="66"/>
    </row>
    <row r="432" ht="15.7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c r="AA432" s="66"/>
    </row>
    <row r="433" ht="15.7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c r="AA433" s="66"/>
    </row>
    <row r="434" ht="15.7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c r="AA434" s="66"/>
    </row>
    <row r="435" ht="15.7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c r="AA435" s="66"/>
    </row>
    <row r="436" ht="15.7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c r="AA436" s="66"/>
    </row>
    <row r="437" ht="15.7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c r="AA437" s="66"/>
    </row>
    <row r="438" ht="15.7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c r="AA438" s="66"/>
    </row>
    <row r="439" ht="15.7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c r="AA439" s="66"/>
    </row>
    <row r="440" ht="15.7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c r="AA440" s="66"/>
    </row>
    <row r="441" ht="15.7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c r="AA441" s="66"/>
    </row>
    <row r="442" ht="15.7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c r="AA442" s="66"/>
    </row>
    <row r="443" ht="15.7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c r="AA443" s="66"/>
    </row>
    <row r="444" ht="15.7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c r="AA444" s="66"/>
    </row>
    <row r="445" ht="15.7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c r="AA445" s="66"/>
    </row>
    <row r="446" ht="15.7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c r="AA446" s="66"/>
    </row>
    <row r="447" ht="15.7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c r="AA447" s="66"/>
    </row>
    <row r="448" ht="15.7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c r="AA448" s="66"/>
    </row>
    <row r="449" ht="15.7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c r="AA449" s="66"/>
    </row>
    <row r="450" ht="15.7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c r="AA450" s="66"/>
    </row>
    <row r="451" ht="15.7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c r="AA451" s="66"/>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autoFilter ref="$A$1:$O$1000"/>
  <dataValidations>
    <dataValidation type="list" allowBlank="1" sqref="A2:A251">
      <formula1>"FALSE,TRUE,ORDERED,PROXY,OUT OF DECK"</formula1>
    </dataValidation>
  </dataValidations>
  <printOptions/>
  <pageMargins bottom="1.0" footer="0.0" header="0.0" left="0.75" right="0.75" top="1.0"/>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38"/>
    <col customWidth="1" min="2" max="2" width="9.75"/>
    <col customWidth="1" min="3" max="3" width="27.0"/>
    <col customWidth="1" min="4" max="4" width="33.63"/>
    <col customWidth="1" min="5" max="5" width="12.25"/>
    <col customWidth="1" min="6" max="6" width="26.0"/>
    <col customWidth="1" hidden="1" min="7" max="7" width="30.0"/>
    <col customWidth="1" min="8" max="8" width="9.5"/>
    <col customWidth="1" min="9" max="9" width="9.25"/>
    <col customWidth="1" min="10" max="10" width="11.13"/>
    <col customWidth="1" min="11" max="11" width="9.0"/>
    <col customWidth="1" min="12" max="12" width="34.25"/>
    <col customWidth="1" min="13" max="13" width="60.0"/>
    <col customWidth="1" min="14" max="15" width="13.0"/>
    <col customWidth="1" min="16" max="16" width="35.63"/>
    <col customWidth="1" min="17" max="27" width="10.88"/>
  </cols>
  <sheetData>
    <row r="1" ht="26.25" customHeight="1">
      <c r="A1" s="65" t="s">
        <v>106</v>
      </c>
      <c r="B1" s="65" t="s">
        <v>107</v>
      </c>
      <c r="C1" s="65" t="s">
        <v>108</v>
      </c>
      <c r="D1" s="65" t="s">
        <v>109</v>
      </c>
      <c r="E1" s="65" t="s">
        <v>110</v>
      </c>
      <c r="F1" s="65" t="s">
        <v>111</v>
      </c>
      <c r="G1" s="65" t="s">
        <v>112</v>
      </c>
      <c r="H1" s="65" t="s">
        <v>113</v>
      </c>
      <c r="I1" s="65" t="s">
        <v>114</v>
      </c>
      <c r="J1" s="65" t="s">
        <v>115</v>
      </c>
      <c r="K1" s="65" t="s">
        <v>116</v>
      </c>
      <c r="L1" s="65" t="s">
        <v>117</v>
      </c>
      <c r="M1" s="65" t="s">
        <v>118</v>
      </c>
      <c r="N1" s="65" t="s">
        <v>119</v>
      </c>
      <c r="O1" s="65" t="s">
        <v>120</v>
      </c>
      <c r="P1" s="66"/>
      <c r="Q1" s="66"/>
      <c r="R1" s="66"/>
      <c r="S1" s="66"/>
      <c r="T1" s="66"/>
      <c r="U1" s="66"/>
      <c r="V1" s="66"/>
      <c r="W1" s="66"/>
      <c r="X1" s="66"/>
      <c r="Y1" s="66"/>
      <c r="Z1" s="66"/>
      <c r="AA1" s="66"/>
    </row>
    <row r="2" ht="15.0" customHeight="1">
      <c r="A2" s="67" t="b">
        <v>0</v>
      </c>
      <c r="B2" s="66"/>
      <c r="C2" s="66"/>
      <c r="D2" s="66"/>
      <c r="E2" s="66"/>
      <c r="F2" s="68" t="str">
        <f t="array" ref="F2">IF(INDEX('Binder Data'!$A$752:$A$1001,ROW()-1)="","",IF(INDEX('Binder Data'!$D$752:$D$1001,ROW()-1)="Needed",INDEX('Binder Data'!$B$752:$B$1001,ROW()-1),INDEX('Binder Data'!$D$752:$D$1001,ROW()-1)))</f>
        <v/>
      </c>
      <c r="G2" s="66"/>
      <c r="H2" s="66"/>
      <c r="I2" s="66"/>
      <c r="J2" s="69"/>
      <c r="K2" s="69"/>
      <c r="L2" s="69"/>
      <c r="M2" s="69"/>
      <c r="N2" s="66"/>
      <c r="O2" s="66"/>
      <c r="P2" s="66"/>
      <c r="Q2" s="66"/>
      <c r="R2" s="66"/>
      <c r="S2" s="66"/>
      <c r="T2" s="66"/>
      <c r="U2" s="66"/>
      <c r="V2" s="66"/>
      <c r="W2" s="66"/>
      <c r="X2" s="66"/>
      <c r="Y2" s="66"/>
      <c r="Z2" s="66"/>
      <c r="AA2" s="66"/>
    </row>
    <row r="3" ht="15.0" customHeight="1">
      <c r="A3" s="67" t="b">
        <v>0</v>
      </c>
      <c r="B3" s="66"/>
      <c r="C3" s="66"/>
      <c r="D3" s="66"/>
      <c r="E3" s="66"/>
      <c r="F3" s="68" t="str">
        <f t="array" ref="F3">IF(INDEX('Binder Data'!$A$752:$A$1001,ROW()-1)="","",IF(INDEX('Binder Data'!$D$752:$D$1001,ROW()-1)="Needed",INDEX('Binder Data'!$B$752:$B$1001,ROW()-1),INDEX('Binder Data'!$D$752:$D$1001,ROW()-1)))</f>
        <v/>
      </c>
      <c r="G3" s="66"/>
      <c r="H3" s="66"/>
      <c r="I3" s="66"/>
      <c r="J3" s="69"/>
      <c r="K3" s="69"/>
      <c r="L3" s="69"/>
      <c r="M3" s="69"/>
      <c r="N3" s="66"/>
      <c r="O3" s="66"/>
      <c r="P3" s="66"/>
      <c r="Q3" s="66"/>
      <c r="R3" s="66"/>
      <c r="S3" s="66"/>
      <c r="T3" s="66"/>
      <c r="U3" s="66"/>
      <c r="V3" s="66"/>
      <c r="W3" s="66"/>
      <c r="X3" s="66"/>
      <c r="Y3" s="66"/>
      <c r="Z3" s="66"/>
      <c r="AA3" s="66"/>
    </row>
    <row r="4" ht="15.0" customHeight="1">
      <c r="A4" s="67" t="b">
        <v>0</v>
      </c>
      <c r="B4" s="66"/>
      <c r="C4" s="66"/>
      <c r="D4" s="66"/>
      <c r="E4" s="66"/>
      <c r="F4" s="68" t="str">
        <f t="array" ref="F4">IF(INDEX('Binder Data'!$A$752:$A$1001,ROW()-1)="","",IF(INDEX('Binder Data'!$D$752:$D$1001,ROW()-1)="Needed",INDEX('Binder Data'!$B$752:$B$1001,ROW()-1),INDEX('Binder Data'!$D$752:$D$1001,ROW()-1)))</f>
        <v/>
      </c>
      <c r="G4" s="66"/>
      <c r="H4" s="66"/>
      <c r="I4" s="66"/>
      <c r="J4" s="69"/>
      <c r="K4" s="69"/>
      <c r="L4" s="69"/>
      <c r="M4" s="69"/>
      <c r="N4" s="66"/>
      <c r="O4" s="66"/>
      <c r="P4" s="66"/>
      <c r="Q4" s="66"/>
      <c r="R4" s="66"/>
      <c r="S4" s="66"/>
      <c r="T4" s="66"/>
      <c r="U4" s="66"/>
      <c r="V4" s="66"/>
      <c r="W4" s="66"/>
      <c r="X4" s="66"/>
      <c r="Y4" s="66"/>
      <c r="Z4" s="66"/>
      <c r="AA4" s="66"/>
    </row>
    <row r="5" ht="15.0" customHeight="1">
      <c r="A5" s="67" t="b">
        <v>0</v>
      </c>
      <c r="B5" s="66"/>
      <c r="C5" s="66"/>
      <c r="D5" s="66"/>
      <c r="E5" s="66"/>
      <c r="F5" s="68" t="str">
        <f t="array" ref="F5">IF(INDEX('Binder Data'!$A$752:$A$1001,ROW()-1)="","",IF(INDEX('Binder Data'!$D$752:$D$1001,ROW()-1)="Needed",INDEX('Binder Data'!$B$752:$B$1001,ROW()-1),INDEX('Binder Data'!$D$752:$D$1001,ROW()-1)))</f>
        <v/>
      </c>
      <c r="G5" s="66"/>
      <c r="H5" s="66"/>
      <c r="I5" s="66"/>
      <c r="J5" s="69"/>
      <c r="K5" s="69"/>
      <c r="L5" s="69"/>
      <c r="M5" s="69"/>
      <c r="N5" s="66"/>
      <c r="O5" s="66"/>
      <c r="P5" s="66"/>
      <c r="Q5" s="66"/>
      <c r="R5" s="66"/>
      <c r="S5" s="66"/>
      <c r="T5" s="66"/>
      <c r="U5" s="66"/>
      <c r="V5" s="66"/>
      <c r="W5" s="66"/>
      <c r="X5" s="66"/>
      <c r="Y5" s="66"/>
      <c r="Z5" s="66"/>
      <c r="AA5" s="66"/>
    </row>
    <row r="6" ht="15.0" customHeight="1">
      <c r="A6" s="67" t="b">
        <v>0</v>
      </c>
      <c r="B6" s="66"/>
      <c r="C6" s="66"/>
      <c r="D6" s="66"/>
      <c r="E6" s="66"/>
      <c r="F6" s="68" t="str">
        <f t="array" ref="F6">IF(INDEX('Binder Data'!$A$752:$A$1001,ROW()-1)="","",IF(INDEX('Binder Data'!$D$752:$D$1001,ROW()-1)="Needed",INDEX('Binder Data'!$B$752:$B$1001,ROW()-1),INDEX('Binder Data'!$D$752:$D$1001,ROW()-1)))</f>
        <v/>
      </c>
      <c r="G6" s="66"/>
      <c r="H6" s="66"/>
      <c r="I6" s="66"/>
      <c r="J6" s="69"/>
      <c r="K6" s="69"/>
      <c r="L6" s="69"/>
      <c r="M6" s="69"/>
      <c r="N6" s="66"/>
      <c r="O6" s="66"/>
      <c r="P6" s="66"/>
      <c r="Q6" s="66"/>
      <c r="R6" s="66"/>
      <c r="S6" s="66"/>
      <c r="T6" s="66"/>
      <c r="U6" s="66"/>
      <c r="V6" s="66"/>
      <c r="W6" s="66"/>
      <c r="X6" s="66"/>
      <c r="Y6" s="66"/>
      <c r="Z6" s="66"/>
      <c r="AA6" s="66"/>
    </row>
    <row r="7" ht="15.0" customHeight="1">
      <c r="A7" s="67" t="b">
        <v>0</v>
      </c>
      <c r="B7" s="66"/>
      <c r="C7" s="66"/>
      <c r="D7" s="66"/>
      <c r="E7" s="66"/>
      <c r="F7" s="68" t="str">
        <f t="array" ref="F7">IF(INDEX('Binder Data'!$A$752:$A$1001,ROW()-1)="","",IF(INDEX('Binder Data'!$D$752:$D$1001,ROW()-1)="Needed",INDEX('Binder Data'!$B$752:$B$1001,ROW()-1),INDEX('Binder Data'!$D$752:$D$1001,ROW()-1)))</f>
        <v/>
      </c>
      <c r="G7" s="66"/>
      <c r="H7" s="66"/>
      <c r="I7" s="66"/>
      <c r="J7" s="69"/>
      <c r="K7" s="69"/>
      <c r="L7" s="69"/>
      <c r="M7" s="69"/>
      <c r="N7" s="66"/>
      <c r="O7" s="66"/>
      <c r="P7" s="66"/>
      <c r="Q7" s="66"/>
      <c r="R7" s="66"/>
      <c r="S7" s="66"/>
      <c r="T7" s="66"/>
      <c r="U7" s="66"/>
      <c r="V7" s="66"/>
      <c r="W7" s="66"/>
      <c r="X7" s="66"/>
      <c r="Y7" s="66"/>
      <c r="Z7" s="66"/>
      <c r="AA7" s="66"/>
    </row>
    <row r="8" ht="15.0" customHeight="1">
      <c r="A8" s="67" t="b">
        <v>0</v>
      </c>
      <c r="B8" s="66"/>
      <c r="C8" s="66"/>
      <c r="D8" s="66"/>
      <c r="E8" s="66"/>
      <c r="F8" s="68" t="str">
        <f t="array" ref="F8">IF(INDEX('Binder Data'!$A$752:$A$1001,ROW()-1)="","",IF(INDEX('Binder Data'!$D$752:$D$1001,ROW()-1)="Needed",INDEX('Binder Data'!$B$752:$B$1001,ROW()-1),INDEX('Binder Data'!$D$752:$D$1001,ROW()-1)))</f>
        <v/>
      </c>
      <c r="G8" s="66"/>
      <c r="H8" s="66"/>
      <c r="I8" s="66"/>
      <c r="J8" s="69"/>
      <c r="K8" s="69"/>
      <c r="L8" s="69"/>
      <c r="M8" s="69"/>
      <c r="N8" s="66"/>
      <c r="O8" s="66"/>
      <c r="P8" s="66"/>
      <c r="Q8" s="66"/>
      <c r="R8" s="66"/>
      <c r="S8" s="66"/>
      <c r="T8" s="66"/>
      <c r="U8" s="66"/>
      <c r="V8" s="66"/>
      <c r="W8" s="66"/>
      <c r="X8" s="66"/>
      <c r="Y8" s="66"/>
      <c r="Z8" s="66"/>
      <c r="AA8" s="66"/>
    </row>
    <row r="9" ht="15.0" customHeight="1">
      <c r="A9" s="67" t="b">
        <v>0</v>
      </c>
      <c r="B9" s="66"/>
      <c r="C9" s="66"/>
      <c r="D9" s="66"/>
      <c r="E9" s="66"/>
      <c r="F9" s="68" t="str">
        <f t="array" ref="F9">IF(INDEX('Binder Data'!$A$752:$A$1001,ROW()-1)="","",IF(INDEX('Binder Data'!$D$752:$D$1001,ROW()-1)="Needed",INDEX('Binder Data'!$B$752:$B$1001,ROW()-1),INDEX('Binder Data'!$D$752:$D$1001,ROW()-1)))</f>
        <v/>
      </c>
      <c r="G9" s="66"/>
      <c r="H9" s="66"/>
      <c r="I9" s="66"/>
      <c r="J9" s="69"/>
      <c r="K9" s="69"/>
      <c r="L9" s="69"/>
      <c r="M9" s="69"/>
      <c r="N9" s="66"/>
      <c r="O9" s="66"/>
      <c r="P9" s="66"/>
      <c r="Q9" s="66"/>
      <c r="R9" s="66"/>
      <c r="S9" s="66"/>
      <c r="T9" s="66"/>
      <c r="U9" s="66"/>
      <c r="V9" s="66"/>
      <c r="W9" s="66"/>
      <c r="X9" s="66"/>
      <c r="Y9" s="66"/>
      <c r="Z9" s="66"/>
      <c r="AA9" s="66"/>
    </row>
    <row r="10" ht="15.0" customHeight="1">
      <c r="A10" s="67" t="b">
        <v>0</v>
      </c>
      <c r="B10" s="66"/>
      <c r="C10" s="66"/>
      <c r="D10" s="66"/>
      <c r="E10" s="66"/>
      <c r="F10" s="68" t="str">
        <f t="array" ref="F10">IF(INDEX('Binder Data'!$A$752:$A$1001,ROW()-1)="","",IF(INDEX('Binder Data'!$D$752:$D$1001,ROW()-1)="Needed",INDEX('Binder Data'!$B$752:$B$1001,ROW()-1),INDEX('Binder Data'!$D$752:$D$1001,ROW()-1)))</f>
        <v/>
      </c>
      <c r="G10" s="66"/>
      <c r="H10" s="66"/>
      <c r="I10" s="66"/>
      <c r="J10" s="69"/>
      <c r="K10" s="69"/>
      <c r="L10" s="69"/>
      <c r="M10" s="69"/>
      <c r="N10" s="66"/>
      <c r="O10" s="66"/>
      <c r="P10" s="66"/>
      <c r="Q10" s="66"/>
      <c r="R10" s="66"/>
      <c r="S10" s="66"/>
      <c r="T10" s="66"/>
      <c r="U10" s="66"/>
      <c r="V10" s="66"/>
      <c r="W10" s="66"/>
      <c r="X10" s="66"/>
      <c r="Y10" s="66"/>
      <c r="Z10" s="66"/>
      <c r="AA10" s="66"/>
    </row>
    <row r="11" ht="15.0" customHeight="1">
      <c r="A11" s="67" t="b">
        <v>0</v>
      </c>
      <c r="B11" s="66"/>
      <c r="C11" s="66"/>
      <c r="D11" s="66"/>
      <c r="E11" s="66"/>
      <c r="F11" s="68" t="str">
        <f t="array" ref="F11">IF(INDEX('Binder Data'!$A$752:$A$1001,ROW()-1)="","",IF(INDEX('Binder Data'!$D$752:$D$1001,ROW()-1)="Needed",INDEX('Binder Data'!$B$752:$B$1001,ROW()-1),INDEX('Binder Data'!$D$752:$D$1001,ROW()-1)))</f>
        <v/>
      </c>
      <c r="G11" s="66"/>
      <c r="H11" s="66"/>
      <c r="I11" s="66"/>
      <c r="J11" s="69"/>
      <c r="K11" s="69"/>
      <c r="L11" s="69"/>
      <c r="M11" s="69"/>
      <c r="N11" s="66"/>
      <c r="O11" s="66"/>
      <c r="P11" s="66"/>
      <c r="Q11" s="66"/>
      <c r="R11" s="66"/>
      <c r="S11" s="66"/>
      <c r="T11" s="66"/>
      <c r="U11" s="66"/>
      <c r="V11" s="66"/>
      <c r="W11" s="66"/>
      <c r="X11" s="66"/>
      <c r="Y11" s="66"/>
      <c r="Z11" s="66"/>
      <c r="AA11" s="66"/>
    </row>
    <row r="12" ht="15.0" customHeight="1">
      <c r="A12" s="67" t="b">
        <v>0</v>
      </c>
      <c r="B12" s="66"/>
      <c r="C12" s="66"/>
      <c r="D12" s="66"/>
      <c r="E12" s="66"/>
      <c r="F12" s="68" t="str">
        <f t="array" ref="F12">IF(INDEX('Binder Data'!$A$752:$A$1001,ROW()-1)="","",IF(INDEX('Binder Data'!$D$752:$D$1001,ROW()-1)="Needed",INDEX('Binder Data'!$B$752:$B$1001,ROW()-1),INDEX('Binder Data'!$D$752:$D$1001,ROW()-1)))</f>
        <v/>
      </c>
      <c r="G12" s="66"/>
      <c r="H12" s="66"/>
      <c r="I12" s="66"/>
      <c r="J12" s="69"/>
      <c r="K12" s="69"/>
      <c r="L12" s="69"/>
      <c r="M12" s="69"/>
      <c r="N12" s="66"/>
      <c r="O12" s="66"/>
      <c r="P12" s="66"/>
      <c r="Q12" s="66"/>
      <c r="R12" s="66"/>
      <c r="S12" s="66"/>
      <c r="T12" s="66"/>
      <c r="U12" s="66"/>
      <c r="V12" s="66"/>
      <c r="W12" s="66"/>
      <c r="X12" s="66"/>
      <c r="Y12" s="66"/>
      <c r="Z12" s="66"/>
      <c r="AA12" s="66"/>
    </row>
    <row r="13" ht="15.0" customHeight="1">
      <c r="A13" s="67" t="b">
        <v>0</v>
      </c>
      <c r="B13" s="66"/>
      <c r="C13" s="66"/>
      <c r="D13" s="66"/>
      <c r="E13" s="66"/>
      <c r="F13" s="68" t="str">
        <f t="array" ref="F13">IF(INDEX('Binder Data'!$A$752:$A$1001,ROW()-1)="","",IF(INDEX('Binder Data'!$D$752:$D$1001,ROW()-1)="Needed",INDEX('Binder Data'!$B$752:$B$1001,ROW()-1),INDEX('Binder Data'!$D$752:$D$1001,ROW()-1)))</f>
        <v/>
      </c>
      <c r="G13" s="66"/>
      <c r="H13" s="66"/>
      <c r="I13" s="66"/>
      <c r="J13" s="69"/>
      <c r="K13" s="69"/>
      <c r="L13" s="69"/>
      <c r="M13" s="69"/>
      <c r="N13" s="66"/>
      <c r="O13" s="66"/>
      <c r="P13" s="66"/>
      <c r="Q13" s="66"/>
      <c r="R13" s="66"/>
      <c r="S13" s="66"/>
      <c r="T13" s="66"/>
      <c r="U13" s="66"/>
      <c r="V13" s="66"/>
      <c r="W13" s="66"/>
      <c r="X13" s="66"/>
      <c r="Y13" s="66"/>
      <c r="Z13" s="66"/>
      <c r="AA13" s="66"/>
    </row>
    <row r="14" ht="15.0" customHeight="1">
      <c r="A14" s="67" t="b">
        <v>0</v>
      </c>
      <c r="B14" s="66"/>
      <c r="C14" s="66"/>
      <c r="D14" s="66"/>
      <c r="E14" s="66"/>
      <c r="F14" s="68" t="str">
        <f t="array" ref="F14">IF(INDEX('Binder Data'!$A$752:$A$1001,ROW()-1)="","",IF(INDEX('Binder Data'!$D$752:$D$1001,ROW()-1)="Needed",INDEX('Binder Data'!$B$752:$B$1001,ROW()-1),INDEX('Binder Data'!$D$752:$D$1001,ROW()-1)))</f>
        <v/>
      </c>
      <c r="G14" s="66"/>
      <c r="H14" s="66"/>
      <c r="I14" s="66"/>
      <c r="J14" s="69"/>
      <c r="K14" s="69"/>
      <c r="L14" s="69"/>
      <c r="M14" s="69"/>
      <c r="N14" s="66"/>
      <c r="O14" s="66"/>
      <c r="P14" s="66"/>
      <c r="Q14" s="66"/>
      <c r="R14" s="66"/>
      <c r="S14" s="66"/>
      <c r="T14" s="66"/>
      <c r="U14" s="66"/>
      <c r="V14" s="66"/>
      <c r="W14" s="66"/>
      <c r="X14" s="66"/>
      <c r="Y14" s="66"/>
      <c r="Z14" s="66"/>
      <c r="AA14" s="66"/>
    </row>
    <row r="15" ht="15.0" customHeight="1">
      <c r="A15" s="67" t="b">
        <v>0</v>
      </c>
      <c r="B15" s="66"/>
      <c r="C15" s="66"/>
      <c r="D15" s="66"/>
      <c r="E15" s="66"/>
      <c r="F15" s="68" t="str">
        <f t="array" ref="F15">IF(INDEX('Binder Data'!$A$752:$A$1001,ROW()-1)="","",IF(INDEX('Binder Data'!$D$752:$D$1001,ROW()-1)="Needed",INDEX('Binder Data'!$B$752:$B$1001,ROW()-1),INDEX('Binder Data'!$D$752:$D$1001,ROW()-1)))</f>
        <v/>
      </c>
      <c r="G15" s="66"/>
      <c r="H15" s="66"/>
      <c r="I15" s="66"/>
      <c r="J15" s="69"/>
      <c r="K15" s="69"/>
      <c r="L15" s="69"/>
      <c r="M15" s="69"/>
      <c r="N15" s="66"/>
      <c r="O15" s="66"/>
      <c r="P15" s="66"/>
      <c r="Q15" s="66"/>
      <c r="R15" s="66"/>
      <c r="S15" s="66"/>
      <c r="T15" s="66"/>
      <c r="U15" s="66"/>
      <c r="V15" s="66"/>
      <c r="W15" s="66"/>
      <c r="X15" s="66"/>
      <c r="Y15" s="66"/>
      <c r="Z15" s="66"/>
      <c r="AA15" s="66"/>
    </row>
    <row r="16" ht="15.0" customHeight="1">
      <c r="A16" s="67" t="b">
        <v>0</v>
      </c>
      <c r="B16" s="66"/>
      <c r="C16" s="66"/>
      <c r="D16" s="66"/>
      <c r="E16" s="66"/>
      <c r="F16" s="68" t="str">
        <f t="array" ref="F16">IF(INDEX('Binder Data'!$A$752:$A$1001,ROW()-1)="","",IF(INDEX('Binder Data'!$D$752:$D$1001,ROW()-1)="Needed",INDEX('Binder Data'!$B$752:$B$1001,ROW()-1),INDEX('Binder Data'!$D$752:$D$1001,ROW()-1)))</f>
        <v/>
      </c>
      <c r="G16" s="66"/>
      <c r="H16" s="66"/>
      <c r="I16" s="66"/>
      <c r="J16" s="69"/>
      <c r="K16" s="69"/>
      <c r="L16" s="69"/>
      <c r="M16" s="69"/>
      <c r="N16" s="66"/>
      <c r="O16" s="66"/>
      <c r="P16" s="66"/>
      <c r="Q16" s="66"/>
      <c r="R16" s="66"/>
      <c r="S16" s="66"/>
      <c r="T16" s="66"/>
      <c r="U16" s="66"/>
      <c r="V16" s="66"/>
      <c r="W16" s="66"/>
      <c r="X16" s="66"/>
      <c r="Y16" s="66"/>
      <c r="Z16" s="66"/>
      <c r="AA16" s="66"/>
    </row>
    <row r="17" ht="15.0" customHeight="1">
      <c r="A17" s="67" t="b">
        <v>0</v>
      </c>
      <c r="B17" s="66"/>
      <c r="C17" s="66"/>
      <c r="D17" s="66"/>
      <c r="E17" s="66"/>
      <c r="F17" s="68" t="str">
        <f t="array" ref="F17">IF(INDEX('Binder Data'!$A$752:$A$1001,ROW()-1)="","",IF(INDEX('Binder Data'!$D$752:$D$1001,ROW()-1)="Needed",INDEX('Binder Data'!$B$752:$B$1001,ROW()-1),INDEX('Binder Data'!$D$752:$D$1001,ROW()-1)))</f>
        <v/>
      </c>
      <c r="G17" s="66"/>
      <c r="H17" s="66"/>
      <c r="I17" s="66"/>
      <c r="J17" s="69"/>
      <c r="K17" s="69"/>
      <c r="L17" s="69"/>
      <c r="M17" s="69"/>
      <c r="N17" s="66"/>
      <c r="O17" s="66"/>
      <c r="P17" s="66"/>
      <c r="Q17" s="66"/>
      <c r="R17" s="66"/>
      <c r="S17" s="66"/>
      <c r="T17" s="66"/>
      <c r="U17" s="66"/>
      <c r="V17" s="66"/>
      <c r="W17" s="66"/>
      <c r="X17" s="66"/>
      <c r="Y17" s="66"/>
      <c r="Z17" s="66"/>
      <c r="AA17" s="66"/>
    </row>
    <row r="18" ht="15.0" customHeight="1">
      <c r="A18" s="67" t="b">
        <v>0</v>
      </c>
      <c r="B18" s="66"/>
      <c r="C18" s="66"/>
      <c r="D18" s="66"/>
      <c r="E18" s="66"/>
      <c r="F18" s="68" t="str">
        <f t="array" ref="F18">IF(INDEX('Binder Data'!$A$752:$A$1001,ROW()-1)="","",IF(INDEX('Binder Data'!$D$752:$D$1001,ROW()-1)="Needed",INDEX('Binder Data'!$B$752:$B$1001,ROW()-1),INDEX('Binder Data'!$D$752:$D$1001,ROW()-1)))</f>
        <v/>
      </c>
      <c r="G18" s="66"/>
      <c r="H18" s="66"/>
      <c r="I18" s="66"/>
      <c r="J18" s="69"/>
      <c r="K18" s="69"/>
      <c r="L18" s="69"/>
      <c r="M18" s="69"/>
      <c r="N18" s="66"/>
      <c r="O18" s="66"/>
      <c r="P18" s="66"/>
      <c r="Q18" s="66"/>
      <c r="R18" s="66"/>
      <c r="S18" s="66"/>
      <c r="T18" s="66"/>
      <c r="U18" s="66"/>
      <c r="V18" s="66"/>
      <c r="W18" s="66"/>
      <c r="X18" s="66"/>
      <c r="Y18" s="66"/>
      <c r="Z18" s="66"/>
      <c r="AA18" s="66"/>
    </row>
    <row r="19" ht="15.0" customHeight="1">
      <c r="A19" s="67" t="b">
        <v>0</v>
      </c>
      <c r="B19" s="66"/>
      <c r="C19" s="66"/>
      <c r="D19" s="66"/>
      <c r="E19" s="66"/>
      <c r="F19" s="68" t="str">
        <f t="array" ref="F19">IF(INDEX('Binder Data'!$A$752:$A$1001,ROW()-1)="","",IF(INDEX('Binder Data'!$D$752:$D$1001,ROW()-1)="Needed",INDEX('Binder Data'!$B$752:$B$1001,ROW()-1),INDEX('Binder Data'!$D$752:$D$1001,ROW()-1)))</f>
        <v/>
      </c>
      <c r="G19" s="66"/>
      <c r="H19" s="66"/>
      <c r="I19" s="66"/>
      <c r="J19" s="69"/>
      <c r="K19" s="69"/>
      <c r="L19" s="69"/>
      <c r="M19" s="69"/>
      <c r="N19" s="66"/>
      <c r="O19" s="66"/>
      <c r="P19" s="66"/>
      <c r="Q19" s="66"/>
      <c r="R19" s="66"/>
      <c r="S19" s="66"/>
      <c r="T19" s="66"/>
      <c r="U19" s="66"/>
      <c r="V19" s="66"/>
      <c r="W19" s="66"/>
      <c r="X19" s="66"/>
      <c r="Y19" s="66"/>
      <c r="Z19" s="66"/>
      <c r="AA19" s="66"/>
    </row>
    <row r="20" ht="15.0" customHeight="1">
      <c r="A20" s="67" t="b">
        <v>0</v>
      </c>
      <c r="B20" s="66"/>
      <c r="C20" s="66"/>
      <c r="D20" s="66"/>
      <c r="E20" s="66"/>
      <c r="F20" s="68" t="str">
        <f t="array" ref="F20">IF(INDEX('Binder Data'!$A$752:$A$1001,ROW()-1)="","",IF(INDEX('Binder Data'!$D$752:$D$1001,ROW()-1)="Needed",INDEX('Binder Data'!$B$752:$B$1001,ROW()-1),INDEX('Binder Data'!$D$752:$D$1001,ROW()-1)))</f>
        <v/>
      </c>
      <c r="G20" s="66"/>
      <c r="H20" s="66"/>
      <c r="I20" s="66"/>
      <c r="J20" s="69"/>
      <c r="K20" s="69"/>
      <c r="L20" s="69"/>
      <c r="M20" s="69"/>
      <c r="N20" s="66"/>
      <c r="O20" s="66"/>
      <c r="P20" s="66"/>
      <c r="Q20" s="66"/>
      <c r="R20" s="66"/>
      <c r="S20" s="66"/>
      <c r="T20" s="66"/>
      <c r="U20" s="66"/>
      <c r="V20" s="66"/>
      <c r="W20" s="66"/>
      <c r="X20" s="66"/>
      <c r="Y20" s="66"/>
      <c r="Z20" s="66"/>
      <c r="AA20" s="66"/>
    </row>
    <row r="21" ht="15.75" customHeight="1">
      <c r="A21" s="67" t="b">
        <v>0</v>
      </c>
      <c r="B21" s="66"/>
      <c r="C21" s="66"/>
      <c r="D21" s="66"/>
      <c r="E21" s="66"/>
      <c r="F21" s="68" t="str">
        <f t="array" ref="F21">IF(INDEX('Binder Data'!$A$752:$A$1001,ROW()-1)="","",IF(INDEX('Binder Data'!$D$752:$D$1001,ROW()-1)="Needed",INDEX('Binder Data'!$B$752:$B$1001,ROW()-1),INDEX('Binder Data'!$D$752:$D$1001,ROW()-1)))</f>
        <v/>
      </c>
      <c r="G21" s="66"/>
      <c r="H21" s="66"/>
      <c r="I21" s="66"/>
      <c r="J21" s="69"/>
      <c r="K21" s="69"/>
      <c r="L21" s="69"/>
      <c r="M21" s="69"/>
      <c r="N21" s="66"/>
      <c r="O21" s="66"/>
      <c r="P21" s="66"/>
      <c r="Q21" s="66"/>
      <c r="R21" s="66"/>
      <c r="S21" s="66"/>
      <c r="T21" s="66"/>
      <c r="U21" s="66"/>
      <c r="V21" s="66"/>
      <c r="W21" s="66"/>
      <c r="X21" s="66"/>
      <c r="Y21" s="66"/>
      <c r="Z21" s="66"/>
      <c r="AA21" s="66"/>
    </row>
    <row r="22" ht="15.75" customHeight="1">
      <c r="A22" s="67" t="b">
        <v>0</v>
      </c>
      <c r="B22" s="66"/>
      <c r="C22" s="66"/>
      <c r="D22" s="66"/>
      <c r="E22" s="66"/>
      <c r="F22" s="68" t="str">
        <f t="array" ref="F22">IF(INDEX('Binder Data'!$A$752:$A$1001,ROW()-1)="","",IF(INDEX('Binder Data'!$D$752:$D$1001,ROW()-1)="Needed",INDEX('Binder Data'!$B$752:$B$1001,ROW()-1),INDEX('Binder Data'!$D$752:$D$1001,ROW()-1)))</f>
        <v/>
      </c>
      <c r="G22" s="66"/>
      <c r="H22" s="66"/>
      <c r="I22" s="66"/>
      <c r="J22" s="69"/>
      <c r="K22" s="69"/>
      <c r="L22" s="69"/>
      <c r="M22" s="69"/>
      <c r="N22" s="66"/>
      <c r="O22" s="66"/>
      <c r="P22" s="66"/>
      <c r="Q22" s="66"/>
      <c r="R22" s="66"/>
      <c r="S22" s="66"/>
      <c r="T22" s="66"/>
      <c r="U22" s="66"/>
      <c r="V22" s="66"/>
      <c r="W22" s="66"/>
      <c r="X22" s="66"/>
      <c r="Y22" s="66"/>
      <c r="Z22" s="66"/>
      <c r="AA22" s="66"/>
    </row>
    <row r="23" ht="15.75" customHeight="1">
      <c r="A23" s="67" t="b">
        <v>0</v>
      </c>
      <c r="B23" s="66"/>
      <c r="C23" s="66"/>
      <c r="D23" s="66"/>
      <c r="E23" s="66"/>
      <c r="F23" s="68" t="str">
        <f t="array" ref="F23">IF(INDEX('Binder Data'!$A$752:$A$1001,ROW()-1)="","",IF(INDEX('Binder Data'!$D$752:$D$1001,ROW()-1)="Needed",INDEX('Binder Data'!$B$752:$B$1001,ROW()-1),INDEX('Binder Data'!$D$752:$D$1001,ROW()-1)))</f>
        <v/>
      </c>
      <c r="G23" s="66"/>
      <c r="H23" s="66"/>
      <c r="I23" s="66"/>
      <c r="J23" s="69"/>
      <c r="K23" s="69"/>
      <c r="L23" s="69"/>
      <c r="M23" s="69"/>
      <c r="N23" s="66"/>
      <c r="O23" s="66"/>
      <c r="P23" s="66"/>
      <c r="Q23" s="66"/>
      <c r="R23" s="66"/>
      <c r="S23" s="66"/>
      <c r="T23" s="66"/>
      <c r="U23" s="66"/>
      <c r="V23" s="66"/>
      <c r="W23" s="66"/>
      <c r="X23" s="66"/>
      <c r="Y23" s="66"/>
      <c r="Z23" s="66"/>
      <c r="AA23" s="66"/>
    </row>
    <row r="24" ht="15.75" customHeight="1">
      <c r="A24" s="67" t="b">
        <v>0</v>
      </c>
      <c r="B24" s="66"/>
      <c r="C24" s="66"/>
      <c r="D24" s="66"/>
      <c r="E24" s="66"/>
      <c r="F24" s="68" t="str">
        <f t="array" ref="F24">IF(INDEX('Binder Data'!$A$752:$A$1001,ROW()-1)="","",IF(INDEX('Binder Data'!$D$752:$D$1001,ROW()-1)="Needed",INDEX('Binder Data'!$B$752:$B$1001,ROW()-1),INDEX('Binder Data'!$D$752:$D$1001,ROW()-1)))</f>
        <v/>
      </c>
      <c r="G24" s="66"/>
      <c r="H24" s="66"/>
      <c r="I24" s="66"/>
      <c r="J24" s="69"/>
      <c r="K24" s="69"/>
      <c r="L24" s="69"/>
      <c r="M24" s="69"/>
      <c r="N24" s="66"/>
      <c r="O24" s="66"/>
      <c r="P24" s="66"/>
      <c r="Q24" s="66"/>
      <c r="R24" s="66"/>
      <c r="S24" s="66"/>
      <c r="T24" s="66"/>
      <c r="U24" s="66"/>
      <c r="V24" s="66"/>
      <c r="W24" s="66"/>
      <c r="X24" s="66"/>
      <c r="Y24" s="66"/>
      <c r="Z24" s="66"/>
      <c r="AA24" s="66"/>
    </row>
    <row r="25" ht="15.75" customHeight="1">
      <c r="A25" s="67" t="b">
        <v>0</v>
      </c>
      <c r="B25" s="66"/>
      <c r="C25" s="66"/>
      <c r="D25" s="66"/>
      <c r="E25" s="66"/>
      <c r="F25" s="68" t="str">
        <f t="array" ref="F25">IF(INDEX('Binder Data'!$A$752:$A$1001,ROW()-1)="","",IF(INDEX('Binder Data'!$D$752:$D$1001,ROW()-1)="Needed",INDEX('Binder Data'!$B$752:$B$1001,ROW()-1),INDEX('Binder Data'!$D$752:$D$1001,ROW()-1)))</f>
        <v/>
      </c>
      <c r="G25" s="66"/>
      <c r="H25" s="66"/>
      <c r="I25" s="66"/>
      <c r="J25" s="69"/>
      <c r="K25" s="69"/>
      <c r="L25" s="69"/>
      <c r="M25" s="69"/>
      <c r="N25" s="66"/>
      <c r="O25" s="66"/>
      <c r="P25" s="66"/>
      <c r="Q25" s="66"/>
      <c r="R25" s="66"/>
      <c r="S25" s="66"/>
      <c r="T25" s="66"/>
      <c r="U25" s="66"/>
      <c r="V25" s="66"/>
      <c r="W25" s="66"/>
      <c r="X25" s="66"/>
      <c r="Y25" s="66"/>
      <c r="Z25" s="66"/>
      <c r="AA25" s="66"/>
    </row>
    <row r="26" ht="15.75" customHeight="1">
      <c r="A26" s="67" t="b">
        <v>0</v>
      </c>
      <c r="B26" s="66"/>
      <c r="C26" s="66"/>
      <c r="D26" s="66"/>
      <c r="E26" s="66"/>
      <c r="F26" s="68" t="str">
        <f t="array" ref="F26">IF(INDEX('Binder Data'!$A$752:$A$1001,ROW()-1)="","",IF(INDEX('Binder Data'!$D$752:$D$1001,ROW()-1)="Needed",INDEX('Binder Data'!$B$752:$B$1001,ROW()-1),INDEX('Binder Data'!$D$752:$D$1001,ROW()-1)))</f>
        <v/>
      </c>
      <c r="G26" s="66"/>
      <c r="H26" s="66"/>
      <c r="I26" s="66"/>
      <c r="J26" s="69"/>
      <c r="K26" s="69"/>
      <c r="L26" s="69"/>
      <c r="M26" s="69"/>
      <c r="N26" s="66"/>
      <c r="O26" s="66"/>
      <c r="P26" s="66"/>
      <c r="Q26" s="66"/>
      <c r="R26" s="66"/>
      <c r="S26" s="66"/>
      <c r="T26" s="66"/>
      <c r="U26" s="66"/>
      <c r="V26" s="66"/>
      <c r="W26" s="66"/>
      <c r="X26" s="66"/>
      <c r="Y26" s="66"/>
      <c r="Z26" s="66"/>
      <c r="AA26" s="66"/>
    </row>
    <row r="27" ht="15.75" customHeight="1">
      <c r="A27" s="67" t="b">
        <v>0</v>
      </c>
      <c r="B27" s="66"/>
      <c r="C27" s="66"/>
      <c r="D27" s="66"/>
      <c r="E27" s="66"/>
      <c r="F27" s="68" t="str">
        <f t="array" ref="F27">IF(INDEX('Binder Data'!$A$752:$A$1001,ROW()-1)="","",IF(INDEX('Binder Data'!$D$752:$D$1001,ROW()-1)="Needed",INDEX('Binder Data'!$B$752:$B$1001,ROW()-1),INDEX('Binder Data'!$D$752:$D$1001,ROW()-1)))</f>
        <v/>
      </c>
      <c r="G27" s="66"/>
      <c r="H27" s="66"/>
      <c r="I27" s="66"/>
      <c r="J27" s="69"/>
      <c r="K27" s="69"/>
      <c r="L27" s="69"/>
      <c r="M27" s="69"/>
      <c r="N27" s="66"/>
      <c r="O27" s="66"/>
      <c r="P27" s="66"/>
      <c r="Q27" s="66"/>
      <c r="R27" s="66"/>
      <c r="S27" s="66"/>
      <c r="T27" s="66"/>
      <c r="U27" s="66"/>
      <c r="V27" s="66"/>
      <c r="W27" s="66"/>
      <c r="X27" s="66"/>
      <c r="Y27" s="66"/>
      <c r="Z27" s="66"/>
      <c r="AA27" s="66"/>
    </row>
    <row r="28" ht="15.75" customHeight="1">
      <c r="A28" s="67" t="b">
        <v>0</v>
      </c>
      <c r="B28" s="66"/>
      <c r="C28" s="66"/>
      <c r="D28" s="66"/>
      <c r="E28" s="66"/>
      <c r="F28" s="68" t="str">
        <f t="array" ref="F28">IF(INDEX('Binder Data'!$A$752:$A$1001,ROW()-1)="","",IF(INDEX('Binder Data'!$D$752:$D$1001,ROW()-1)="Needed",INDEX('Binder Data'!$B$752:$B$1001,ROW()-1),INDEX('Binder Data'!$D$752:$D$1001,ROW()-1)))</f>
        <v/>
      </c>
      <c r="G28" s="66"/>
      <c r="H28" s="66"/>
      <c r="I28" s="66"/>
      <c r="J28" s="69"/>
      <c r="K28" s="69"/>
      <c r="L28" s="69"/>
      <c r="M28" s="69"/>
      <c r="N28" s="66"/>
      <c r="O28" s="66"/>
      <c r="P28" s="66"/>
      <c r="Q28" s="66"/>
      <c r="R28" s="66"/>
      <c r="S28" s="66"/>
      <c r="T28" s="66"/>
      <c r="U28" s="66"/>
      <c r="V28" s="66"/>
      <c r="W28" s="66"/>
      <c r="X28" s="66"/>
      <c r="Y28" s="66"/>
      <c r="Z28" s="66"/>
      <c r="AA28" s="66"/>
    </row>
    <row r="29" ht="15.75" customHeight="1">
      <c r="A29" s="67" t="b">
        <v>0</v>
      </c>
      <c r="B29" s="66"/>
      <c r="C29" s="66"/>
      <c r="D29" s="66"/>
      <c r="E29" s="66"/>
      <c r="F29" s="68" t="str">
        <f t="array" ref="F29">IF(INDEX('Binder Data'!$A$752:$A$1001,ROW()-1)="","",IF(INDEX('Binder Data'!$D$752:$D$1001,ROW()-1)="Needed",INDEX('Binder Data'!$B$752:$B$1001,ROW()-1),INDEX('Binder Data'!$D$752:$D$1001,ROW()-1)))</f>
        <v/>
      </c>
      <c r="G29" s="66"/>
      <c r="H29" s="66"/>
      <c r="I29" s="66"/>
      <c r="J29" s="69"/>
      <c r="K29" s="69"/>
      <c r="L29" s="69"/>
      <c r="M29" s="69"/>
      <c r="N29" s="66"/>
      <c r="O29" s="66"/>
      <c r="P29" s="66"/>
      <c r="Q29" s="66"/>
      <c r="R29" s="66"/>
      <c r="S29" s="66"/>
      <c r="T29" s="66"/>
      <c r="U29" s="66"/>
      <c r="V29" s="66"/>
      <c r="W29" s="66"/>
      <c r="X29" s="66"/>
      <c r="Y29" s="66"/>
      <c r="Z29" s="66"/>
      <c r="AA29" s="66"/>
    </row>
    <row r="30" ht="15.75" customHeight="1">
      <c r="A30" s="67" t="b">
        <v>0</v>
      </c>
      <c r="B30" s="66"/>
      <c r="C30" s="66"/>
      <c r="D30" s="66"/>
      <c r="E30" s="66"/>
      <c r="F30" s="68" t="str">
        <f t="array" ref="F30">IF(INDEX('Binder Data'!$A$752:$A$1001,ROW()-1)="","",IF(INDEX('Binder Data'!$D$752:$D$1001,ROW()-1)="Needed",INDEX('Binder Data'!$B$752:$B$1001,ROW()-1),INDEX('Binder Data'!$D$752:$D$1001,ROW()-1)))</f>
        <v/>
      </c>
      <c r="G30" s="66"/>
      <c r="H30" s="66"/>
      <c r="I30" s="66"/>
      <c r="J30" s="69"/>
      <c r="K30" s="69"/>
      <c r="L30" s="69"/>
      <c r="M30" s="69"/>
      <c r="N30" s="66"/>
      <c r="O30" s="66"/>
      <c r="P30" s="66"/>
      <c r="Q30" s="66"/>
      <c r="R30" s="66"/>
      <c r="S30" s="66"/>
      <c r="T30" s="66"/>
      <c r="U30" s="66"/>
      <c r="V30" s="66"/>
      <c r="W30" s="66"/>
      <c r="X30" s="66"/>
      <c r="Y30" s="66"/>
      <c r="Z30" s="66"/>
      <c r="AA30" s="66"/>
    </row>
    <row r="31" ht="15.75" customHeight="1">
      <c r="A31" s="67" t="b">
        <v>0</v>
      </c>
      <c r="B31" s="66"/>
      <c r="C31" s="66"/>
      <c r="D31" s="66"/>
      <c r="E31" s="66"/>
      <c r="F31" s="68" t="str">
        <f t="array" ref="F31">IF(INDEX('Binder Data'!$A$752:$A$1001,ROW()-1)="","",IF(INDEX('Binder Data'!$D$752:$D$1001,ROW()-1)="Needed",INDEX('Binder Data'!$B$752:$B$1001,ROW()-1),INDEX('Binder Data'!$D$752:$D$1001,ROW()-1)))</f>
        <v/>
      </c>
      <c r="G31" s="66"/>
      <c r="H31" s="66"/>
      <c r="I31" s="66"/>
      <c r="J31" s="69"/>
      <c r="K31" s="69"/>
      <c r="L31" s="69"/>
      <c r="M31" s="69"/>
      <c r="N31" s="66"/>
      <c r="O31" s="66"/>
      <c r="P31" s="66"/>
      <c r="Q31" s="66"/>
      <c r="R31" s="66"/>
      <c r="S31" s="66"/>
      <c r="T31" s="66"/>
      <c r="U31" s="66"/>
      <c r="V31" s="66"/>
      <c r="W31" s="66"/>
      <c r="X31" s="66"/>
      <c r="Y31" s="66"/>
      <c r="Z31" s="66"/>
      <c r="AA31" s="66"/>
    </row>
    <row r="32" ht="15.75" customHeight="1">
      <c r="A32" s="67" t="b">
        <v>0</v>
      </c>
      <c r="B32" s="66"/>
      <c r="C32" s="66"/>
      <c r="D32" s="66"/>
      <c r="E32" s="66"/>
      <c r="F32" s="68" t="str">
        <f t="array" ref="F32">IF(INDEX('Binder Data'!$A$752:$A$1001,ROW()-1)="","",IF(INDEX('Binder Data'!$D$752:$D$1001,ROW()-1)="Needed",INDEX('Binder Data'!$B$752:$B$1001,ROW()-1),INDEX('Binder Data'!$D$752:$D$1001,ROW()-1)))</f>
        <v/>
      </c>
      <c r="G32" s="66"/>
      <c r="H32" s="66"/>
      <c r="I32" s="66"/>
      <c r="J32" s="69"/>
      <c r="K32" s="69"/>
      <c r="L32" s="69"/>
      <c r="M32" s="69"/>
      <c r="N32" s="66"/>
      <c r="O32" s="66"/>
      <c r="P32" s="66"/>
      <c r="Q32" s="66"/>
      <c r="R32" s="66"/>
      <c r="S32" s="66"/>
      <c r="T32" s="66"/>
      <c r="U32" s="66"/>
      <c r="V32" s="66"/>
      <c r="W32" s="66"/>
      <c r="X32" s="66"/>
      <c r="Y32" s="66"/>
      <c r="Z32" s="66"/>
      <c r="AA32" s="66"/>
    </row>
    <row r="33" ht="15.75" customHeight="1">
      <c r="A33" s="67" t="b">
        <v>0</v>
      </c>
      <c r="B33" s="66"/>
      <c r="C33" s="66"/>
      <c r="D33" s="66"/>
      <c r="E33" s="66"/>
      <c r="F33" s="68" t="str">
        <f t="array" ref="F33">IF(INDEX('Binder Data'!$A$752:$A$1001,ROW()-1)="","",IF(INDEX('Binder Data'!$D$752:$D$1001,ROW()-1)="Needed",INDEX('Binder Data'!$B$752:$B$1001,ROW()-1),INDEX('Binder Data'!$D$752:$D$1001,ROW()-1)))</f>
        <v/>
      </c>
      <c r="G33" s="66"/>
      <c r="H33" s="66"/>
      <c r="I33" s="66"/>
      <c r="J33" s="69"/>
      <c r="K33" s="69"/>
      <c r="L33" s="69"/>
      <c r="M33" s="69"/>
      <c r="N33" s="66"/>
      <c r="O33" s="66"/>
      <c r="P33" s="66"/>
      <c r="Q33" s="66"/>
      <c r="R33" s="66"/>
      <c r="S33" s="66"/>
      <c r="T33" s="66"/>
      <c r="U33" s="66"/>
      <c r="V33" s="66"/>
      <c r="W33" s="66"/>
      <c r="X33" s="66"/>
      <c r="Y33" s="66"/>
      <c r="Z33" s="66"/>
      <c r="AA33" s="66"/>
    </row>
    <row r="34" ht="15.75" customHeight="1">
      <c r="A34" s="67" t="b">
        <v>0</v>
      </c>
      <c r="B34" s="66"/>
      <c r="C34" s="66"/>
      <c r="D34" s="66"/>
      <c r="E34" s="66"/>
      <c r="F34" s="68" t="str">
        <f t="array" ref="F34">IF(INDEX('Binder Data'!$A$752:$A$1001,ROW()-1)="","",IF(INDEX('Binder Data'!$D$752:$D$1001,ROW()-1)="Needed",INDEX('Binder Data'!$B$752:$B$1001,ROW()-1),INDEX('Binder Data'!$D$752:$D$1001,ROW()-1)))</f>
        <v/>
      </c>
      <c r="G34" s="66"/>
      <c r="H34" s="66"/>
      <c r="I34" s="66"/>
      <c r="J34" s="69"/>
      <c r="K34" s="69"/>
      <c r="L34" s="69"/>
      <c r="M34" s="69"/>
      <c r="N34" s="66"/>
      <c r="O34" s="66"/>
      <c r="P34" s="66"/>
      <c r="Q34" s="66"/>
      <c r="R34" s="66"/>
      <c r="S34" s="66"/>
      <c r="T34" s="66"/>
      <c r="U34" s="66"/>
      <c r="V34" s="66"/>
      <c r="W34" s="66"/>
      <c r="X34" s="66"/>
      <c r="Y34" s="66"/>
      <c r="Z34" s="66"/>
      <c r="AA34" s="66"/>
    </row>
    <row r="35" ht="15.75" customHeight="1">
      <c r="A35" s="67" t="b">
        <v>0</v>
      </c>
      <c r="B35" s="66"/>
      <c r="C35" s="66"/>
      <c r="D35" s="66"/>
      <c r="E35" s="66"/>
      <c r="F35" s="68" t="str">
        <f t="array" ref="F35">IF(INDEX('Binder Data'!$A$752:$A$1001,ROW()-1)="","",IF(INDEX('Binder Data'!$D$752:$D$1001,ROW()-1)="Needed",INDEX('Binder Data'!$B$752:$B$1001,ROW()-1),INDEX('Binder Data'!$D$752:$D$1001,ROW()-1)))</f>
        <v/>
      </c>
      <c r="G35" s="66"/>
      <c r="H35" s="66"/>
      <c r="I35" s="66"/>
      <c r="J35" s="69"/>
      <c r="K35" s="69"/>
      <c r="L35" s="69"/>
      <c r="M35" s="69"/>
      <c r="N35" s="66"/>
      <c r="O35" s="66"/>
      <c r="P35" s="66"/>
      <c r="Q35" s="66"/>
      <c r="R35" s="66"/>
      <c r="S35" s="66"/>
      <c r="T35" s="66"/>
      <c r="U35" s="66"/>
      <c r="V35" s="66"/>
      <c r="W35" s="66"/>
      <c r="X35" s="66"/>
      <c r="Y35" s="66"/>
      <c r="Z35" s="66"/>
      <c r="AA35" s="66"/>
    </row>
    <row r="36" ht="15.75" customHeight="1">
      <c r="A36" s="67" t="b">
        <v>0</v>
      </c>
      <c r="B36" s="66"/>
      <c r="C36" s="66"/>
      <c r="D36" s="66"/>
      <c r="E36" s="66"/>
      <c r="F36" s="68" t="str">
        <f t="array" ref="F36">IF(INDEX('Binder Data'!$A$752:$A$1001,ROW()-1)="","",IF(INDEX('Binder Data'!$D$752:$D$1001,ROW()-1)="Needed",INDEX('Binder Data'!$B$752:$B$1001,ROW()-1),INDEX('Binder Data'!$D$752:$D$1001,ROW()-1)))</f>
        <v/>
      </c>
      <c r="G36" s="66"/>
      <c r="H36" s="66"/>
      <c r="I36" s="66"/>
      <c r="J36" s="69"/>
      <c r="K36" s="69"/>
      <c r="L36" s="69"/>
      <c r="M36" s="69"/>
      <c r="N36" s="66"/>
      <c r="O36" s="66"/>
      <c r="P36" s="66"/>
      <c r="Q36" s="66"/>
      <c r="R36" s="66"/>
      <c r="S36" s="66"/>
      <c r="T36" s="66"/>
      <c r="U36" s="66"/>
      <c r="V36" s="66"/>
      <c r="W36" s="66"/>
      <c r="X36" s="66"/>
      <c r="Y36" s="66"/>
      <c r="Z36" s="66"/>
      <c r="AA36" s="66"/>
    </row>
    <row r="37" ht="15.75" customHeight="1">
      <c r="A37" s="67" t="b">
        <v>0</v>
      </c>
      <c r="B37" s="66"/>
      <c r="C37" s="66"/>
      <c r="D37" s="66"/>
      <c r="E37" s="66"/>
      <c r="F37" s="68" t="str">
        <f t="array" ref="F37">IF(INDEX('Binder Data'!$A$752:$A$1001,ROW()-1)="","",IF(INDEX('Binder Data'!$D$752:$D$1001,ROW()-1)="Needed",INDEX('Binder Data'!$B$752:$B$1001,ROW()-1),INDEX('Binder Data'!$D$752:$D$1001,ROW()-1)))</f>
        <v/>
      </c>
      <c r="G37" s="66"/>
      <c r="H37" s="66"/>
      <c r="I37" s="66"/>
      <c r="J37" s="69"/>
      <c r="K37" s="69"/>
      <c r="L37" s="69"/>
      <c r="M37" s="69"/>
      <c r="N37" s="66"/>
      <c r="O37" s="66"/>
      <c r="P37" s="66"/>
      <c r="Q37" s="66"/>
      <c r="R37" s="66"/>
      <c r="S37" s="66"/>
      <c r="T37" s="66"/>
      <c r="U37" s="66"/>
      <c r="V37" s="66"/>
      <c r="W37" s="66"/>
      <c r="X37" s="66"/>
      <c r="Y37" s="66"/>
      <c r="Z37" s="66"/>
      <c r="AA37" s="66"/>
    </row>
    <row r="38" ht="15.75" customHeight="1">
      <c r="A38" s="67" t="b">
        <v>0</v>
      </c>
      <c r="B38" s="66"/>
      <c r="C38" s="66"/>
      <c r="D38" s="66"/>
      <c r="E38" s="66"/>
      <c r="F38" s="68" t="str">
        <f t="array" ref="F38">IF(INDEX('Binder Data'!$A$752:$A$1001,ROW()-1)="","",IF(INDEX('Binder Data'!$D$752:$D$1001,ROW()-1)="Needed",INDEX('Binder Data'!$B$752:$B$1001,ROW()-1),INDEX('Binder Data'!$D$752:$D$1001,ROW()-1)))</f>
        <v/>
      </c>
      <c r="G38" s="66"/>
      <c r="H38" s="66"/>
      <c r="I38" s="66"/>
      <c r="J38" s="69"/>
      <c r="K38" s="69"/>
      <c r="L38" s="69"/>
      <c r="M38" s="69"/>
      <c r="N38" s="66"/>
      <c r="O38" s="66"/>
      <c r="P38" s="66"/>
      <c r="Q38" s="66"/>
      <c r="R38" s="66"/>
      <c r="S38" s="66"/>
      <c r="T38" s="66"/>
      <c r="U38" s="66"/>
      <c r="V38" s="66"/>
      <c r="W38" s="66"/>
      <c r="X38" s="66"/>
      <c r="Y38" s="66"/>
      <c r="Z38" s="66"/>
      <c r="AA38" s="66"/>
    </row>
    <row r="39" ht="15.75" customHeight="1">
      <c r="A39" s="67" t="b">
        <v>0</v>
      </c>
      <c r="B39" s="66"/>
      <c r="C39" s="66"/>
      <c r="D39" s="66"/>
      <c r="E39" s="66"/>
      <c r="F39" s="68" t="str">
        <f t="array" ref="F39">IF(INDEX('Binder Data'!$A$752:$A$1001,ROW()-1)="","",IF(INDEX('Binder Data'!$D$752:$D$1001,ROW()-1)="Needed",INDEX('Binder Data'!$B$752:$B$1001,ROW()-1),INDEX('Binder Data'!$D$752:$D$1001,ROW()-1)))</f>
        <v/>
      </c>
      <c r="G39" s="66"/>
      <c r="H39" s="66"/>
      <c r="I39" s="66"/>
      <c r="J39" s="69"/>
      <c r="K39" s="69"/>
      <c r="L39" s="69"/>
      <c r="M39" s="69"/>
      <c r="N39" s="66"/>
      <c r="O39" s="66"/>
      <c r="P39" s="66"/>
      <c r="Q39" s="66"/>
      <c r="R39" s="66"/>
      <c r="S39" s="66"/>
      <c r="T39" s="66"/>
      <c r="U39" s="66"/>
      <c r="V39" s="66"/>
      <c r="W39" s="66"/>
      <c r="X39" s="66"/>
      <c r="Y39" s="66"/>
      <c r="Z39" s="66"/>
      <c r="AA39" s="66"/>
    </row>
    <row r="40" ht="15.75" customHeight="1">
      <c r="A40" s="67" t="b">
        <v>0</v>
      </c>
      <c r="B40" s="66"/>
      <c r="C40" s="66"/>
      <c r="D40" s="66"/>
      <c r="E40" s="66"/>
      <c r="F40" s="68" t="str">
        <f t="array" ref="F40">IF(INDEX('Binder Data'!$A$752:$A$1001,ROW()-1)="","",IF(INDEX('Binder Data'!$D$752:$D$1001,ROW()-1)="Needed",INDEX('Binder Data'!$B$752:$B$1001,ROW()-1),INDEX('Binder Data'!$D$752:$D$1001,ROW()-1)))</f>
        <v/>
      </c>
      <c r="G40" s="66"/>
      <c r="H40" s="66"/>
      <c r="I40" s="66"/>
      <c r="J40" s="69"/>
      <c r="K40" s="69"/>
      <c r="L40" s="69"/>
      <c r="M40" s="69"/>
      <c r="N40" s="66"/>
      <c r="O40" s="66"/>
      <c r="P40" s="66"/>
      <c r="Q40" s="66"/>
      <c r="R40" s="66"/>
      <c r="S40" s="66"/>
      <c r="T40" s="66"/>
      <c r="U40" s="66"/>
      <c r="V40" s="66"/>
      <c r="W40" s="66"/>
      <c r="X40" s="66"/>
      <c r="Y40" s="66"/>
      <c r="Z40" s="66"/>
      <c r="AA40" s="66"/>
    </row>
    <row r="41" ht="15.75" customHeight="1">
      <c r="A41" s="67" t="b">
        <v>0</v>
      </c>
      <c r="B41" s="66"/>
      <c r="C41" s="66"/>
      <c r="D41" s="66"/>
      <c r="E41" s="66"/>
      <c r="F41" s="68" t="str">
        <f t="array" ref="F41">IF(INDEX('Binder Data'!$A$752:$A$1001,ROW()-1)="","",IF(INDEX('Binder Data'!$D$752:$D$1001,ROW()-1)="Needed",INDEX('Binder Data'!$B$752:$B$1001,ROW()-1),INDEX('Binder Data'!$D$752:$D$1001,ROW()-1)))</f>
        <v/>
      </c>
      <c r="G41" s="66"/>
      <c r="H41" s="66"/>
      <c r="I41" s="66"/>
      <c r="J41" s="69"/>
      <c r="K41" s="69"/>
      <c r="L41" s="69"/>
      <c r="M41" s="69"/>
      <c r="N41" s="66"/>
      <c r="O41" s="66"/>
      <c r="P41" s="66"/>
      <c r="Q41" s="66"/>
      <c r="R41" s="66"/>
      <c r="S41" s="66"/>
      <c r="T41" s="66"/>
      <c r="U41" s="66"/>
      <c r="V41" s="66"/>
      <c r="W41" s="66"/>
      <c r="X41" s="66"/>
      <c r="Y41" s="66"/>
      <c r="Z41" s="66"/>
      <c r="AA41" s="66"/>
    </row>
    <row r="42" ht="15.75" customHeight="1">
      <c r="A42" s="67" t="b">
        <v>0</v>
      </c>
      <c r="B42" s="66"/>
      <c r="C42" s="66"/>
      <c r="D42" s="66"/>
      <c r="E42" s="66"/>
      <c r="F42" s="68" t="str">
        <f t="array" ref="F42">IF(INDEX('Binder Data'!$A$752:$A$1001,ROW()-1)="","",IF(INDEX('Binder Data'!$D$752:$D$1001,ROW()-1)="Needed",INDEX('Binder Data'!$B$752:$B$1001,ROW()-1),INDEX('Binder Data'!$D$752:$D$1001,ROW()-1)))</f>
        <v/>
      </c>
      <c r="G42" s="66"/>
      <c r="H42" s="66"/>
      <c r="I42" s="66"/>
      <c r="J42" s="69"/>
      <c r="K42" s="69"/>
      <c r="L42" s="69"/>
      <c r="M42" s="69"/>
      <c r="N42" s="66"/>
      <c r="O42" s="66"/>
      <c r="P42" s="66"/>
      <c r="Q42" s="66"/>
      <c r="R42" s="66"/>
      <c r="S42" s="66"/>
      <c r="T42" s="66"/>
      <c r="U42" s="66"/>
      <c r="V42" s="66"/>
      <c r="W42" s="66"/>
      <c r="X42" s="66"/>
      <c r="Y42" s="66"/>
      <c r="Z42" s="66"/>
      <c r="AA42" s="66"/>
    </row>
    <row r="43" ht="15.75" customHeight="1">
      <c r="A43" s="67" t="b">
        <v>0</v>
      </c>
      <c r="B43" s="66"/>
      <c r="C43" s="66"/>
      <c r="D43" s="66"/>
      <c r="E43" s="66"/>
      <c r="F43" s="68" t="str">
        <f t="array" ref="F43">IF(INDEX('Binder Data'!$A$752:$A$1001,ROW()-1)="","",IF(INDEX('Binder Data'!$D$752:$D$1001,ROW()-1)="Needed",INDEX('Binder Data'!$B$752:$B$1001,ROW()-1),INDEX('Binder Data'!$D$752:$D$1001,ROW()-1)))</f>
        <v/>
      </c>
      <c r="G43" s="66"/>
      <c r="H43" s="66"/>
      <c r="I43" s="66"/>
      <c r="J43" s="69"/>
      <c r="K43" s="69"/>
      <c r="L43" s="69"/>
      <c r="M43" s="69"/>
      <c r="N43" s="66"/>
      <c r="O43" s="66"/>
      <c r="P43" s="66"/>
      <c r="Q43" s="66"/>
      <c r="R43" s="66"/>
      <c r="S43" s="66"/>
      <c r="T43" s="66"/>
      <c r="U43" s="66"/>
      <c r="V43" s="66"/>
      <c r="W43" s="66"/>
      <c r="X43" s="66"/>
      <c r="Y43" s="66"/>
      <c r="Z43" s="66"/>
      <c r="AA43" s="66"/>
    </row>
    <row r="44" ht="15.75" customHeight="1">
      <c r="A44" s="67" t="b">
        <v>0</v>
      </c>
      <c r="B44" s="66"/>
      <c r="C44" s="66"/>
      <c r="D44" s="66"/>
      <c r="E44" s="66"/>
      <c r="F44" s="68" t="str">
        <f t="array" ref="F44">IF(INDEX('Binder Data'!$A$752:$A$1001,ROW()-1)="","",IF(INDEX('Binder Data'!$D$752:$D$1001,ROW()-1)="Needed",INDEX('Binder Data'!$B$752:$B$1001,ROW()-1),INDEX('Binder Data'!$D$752:$D$1001,ROW()-1)))</f>
        <v/>
      </c>
      <c r="G44" s="66"/>
      <c r="H44" s="66"/>
      <c r="I44" s="66"/>
      <c r="J44" s="69"/>
      <c r="K44" s="69"/>
      <c r="L44" s="69"/>
      <c r="M44" s="69"/>
      <c r="N44" s="66"/>
      <c r="O44" s="66"/>
      <c r="P44" s="66"/>
      <c r="Q44" s="66"/>
      <c r="R44" s="66"/>
      <c r="S44" s="66"/>
      <c r="T44" s="66"/>
      <c r="U44" s="66"/>
      <c r="V44" s="66"/>
      <c r="W44" s="66"/>
      <c r="X44" s="66"/>
      <c r="Y44" s="66"/>
      <c r="Z44" s="66"/>
      <c r="AA44" s="66"/>
    </row>
    <row r="45" ht="15.75" customHeight="1">
      <c r="A45" s="67" t="b">
        <v>0</v>
      </c>
      <c r="B45" s="66"/>
      <c r="C45" s="66"/>
      <c r="D45" s="66"/>
      <c r="E45" s="66"/>
      <c r="F45" s="68" t="str">
        <f t="array" ref="F45">IF(INDEX('Binder Data'!$A$752:$A$1001,ROW()-1)="","",IF(INDEX('Binder Data'!$D$752:$D$1001,ROW()-1)="Needed",INDEX('Binder Data'!$B$752:$B$1001,ROW()-1),INDEX('Binder Data'!$D$752:$D$1001,ROW()-1)))</f>
        <v/>
      </c>
      <c r="G45" s="66"/>
      <c r="H45" s="66"/>
      <c r="I45" s="66"/>
      <c r="J45" s="69"/>
      <c r="K45" s="69"/>
      <c r="L45" s="69"/>
      <c r="M45" s="69"/>
      <c r="N45" s="66"/>
      <c r="O45" s="66"/>
      <c r="P45" s="66"/>
      <c r="Q45" s="66"/>
      <c r="R45" s="66"/>
      <c r="S45" s="66"/>
      <c r="T45" s="66"/>
      <c r="U45" s="66"/>
      <c r="V45" s="66"/>
      <c r="W45" s="66"/>
      <c r="X45" s="66"/>
      <c r="Y45" s="66"/>
      <c r="Z45" s="66"/>
      <c r="AA45" s="66"/>
    </row>
    <row r="46" ht="15.75" customHeight="1">
      <c r="A46" s="67" t="b">
        <v>0</v>
      </c>
      <c r="B46" s="66"/>
      <c r="C46" s="66"/>
      <c r="D46" s="66"/>
      <c r="E46" s="66"/>
      <c r="F46" s="68" t="str">
        <f t="array" ref="F46">IF(INDEX('Binder Data'!$A$752:$A$1001,ROW()-1)="","",IF(INDEX('Binder Data'!$D$752:$D$1001,ROW()-1)="Needed",INDEX('Binder Data'!$B$752:$B$1001,ROW()-1),INDEX('Binder Data'!$D$752:$D$1001,ROW()-1)))</f>
        <v/>
      </c>
      <c r="G46" s="66"/>
      <c r="H46" s="66"/>
      <c r="I46" s="66"/>
      <c r="J46" s="69"/>
      <c r="K46" s="69"/>
      <c r="L46" s="69"/>
      <c r="M46" s="69"/>
      <c r="N46" s="66"/>
      <c r="O46" s="66"/>
      <c r="P46" s="66"/>
      <c r="Q46" s="66"/>
      <c r="R46" s="66"/>
      <c r="S46" s="66"/>
      <c r="T46" s="66"/>
      <c r="U46" s="66"/>
      <c r="V46" s="66"/>
      <c r="W46" s="66"/>
      <c r="X46" s="66"/>
      <c r="Y46" s="66"/>
      <c r="Z46" s="66"/>
      <c r="AA46" s="66"/>
    </row>
    <row r="47" ht="15.75" customHeight="1">
      <c r="A47" s="67" t="b">
        <v>0</v>
      </c>
      <c r="B47" s="66"/>
      <c r="C47" s="66"/>
      <c r="D47" s="66"/>
      <c r="E47" s="66"/>
      <c r="F47" s="68" t="str">
        <f t="array" ref="F47">IF(INDEX('Binder Data'!$A$752:$A$1001,ROW()-1)="","",IF(INDEX('Binder Data'!$D$752:$D$1001,ROW()-1)="Needed",INDEX('Binder Data'!$B$752:$B$1001,ROW()-1),INDEX('Binder Data'!$D$752:$D$1001,ROW()-1)))</f>
        <v/>
      </c>
      <c r="G47" s="66"/>
      <c r="H47" s="66"/>
      <c r="I47" s="66"/>
      <c r="J47" s="69"/>
      <c r="K47" s="69"/>
      <c r="L47" s="69"/>
      <c r="M47" s="69"/>
      <c r="N47" s="66"/>
      <c r="O47" s="66"/>
      <c r="P47" s="66"/>
      <c r="Q47" s="66"/>
      <c r="R47" s="66"/>
      <c r="S47" s="66"/>
      <c r="T47" s="66"/>
      <c r="U47" s="66"/>
      <c r="V47" s="66"/>
      <c r="W47" s="66"/>
      <c r="X47" s="66"/>
      <c r="Y47" s="66"/>
      <c r="Z47" s="66"/>
      <c r="AA47" s="66"/>
    </row>
    <row r="48" ht="15.75" customHeight="1">
      <c r="A48" s="67" t="b">
        <v>0</v>
      </c>
      <c r="B48" s="66"/>
      <c r="C48" s="66"/>
      <c r="D48" s="66"/>
      <c r="E48" s="66"/>
      <c r="F48" s="68" t="str">
        <f t="array" ref="F48">IF(INDEX('Binder Data'!$A$752:$A$1001,ROW()-1)="","",IF(INDEX('Binder Data'!$D$752:$D$1001,ROW()-1)="Needed",INDEX('Binder Data'!$B$752:$B$1001,ROW()-1),INDEX('Binder Data'!$D$752:$D$1001,ROW()-1)))</f>
        <v/>
      </c>
      <c r="G48" s="66"/>
      <c r="H48" s="66"/>
      <c r="I48" s="66"/>
      <c r="J48" s="69"/>
      <c r="K48" s="69"/>
      <c r="L48" s="69"/>
      <c r="M48" s="69"/>
      <c r="N48" s="66"/>
      <c r="O48" s="66"/>
      <c r="P48" s="66"/>
      <c r="Q48" s="66"/>
      <c r="R48" s="66"/>
      <c r="S48" s="66"/>
      <c r="T48" s="66"/>
      <c r="U48" s="66"/>
      <c r="V48" s="66"/>
      <c r="W48" s="66"/>
      <c r="X48" s="66"/>
      <c r="Y48" s="66"/>
      <c r="Z48" s="66"/>
      <c r="AA48" s="66"/>
    </row>
    <row r="49" ht="15.75" customHeight="1">
      <c r="A49" s="67" t="b">
        <v>0</v>
      </c>
      <c r="B49" s="66"/>
      <c r="C49" s="66"/>
      <c r="D49" s="66"/>
      <c r="E49" s="66"/>
      <c r="F49" s="68" t="str">
        <f t="array" ref="F49">IF(INDEX('Binder Data'!$A$752:$A$1001,ROW()-1)="","",IF(INDEX('Binder Data'!$D$752:$D$1001,ROW()-1)="Needed",INDEX('Binder Data'!$B$752:$B$1001,ROW()-1),INDEX('Binder Data'!$D$752:$D$1001,ROW()-1)))</f>
        <v/>
      </c>
      <c r="G49" s="66"/>
      <c r="H49" s="66"/>
      <c r="I49" s="66"/>
      <c r="J49" s="69"/>
      <c r="K49" s="69"/>
      <c r="L49" s="69"/>
      <c r="M49" s="69"/>
      <c r="N49" s="66"/>
      <c r="O49" s="66"/>
      <c r="P49" s="66"/>
      <c r="Q49" s="66"/>
      <c r="R49" s="66"/>
      <c r="S49" s="66"/>
      <c r="T49" s="66"/>
      <c r="U49" s="66"/>
      <c r="V49" s="66"/>
      <c r="W49" s="66"/>
      <c r="X49" s="66"/>
      <c r="Y49" s="66"/>
      <c r="Z49" s="66"/>
      <c r="AA49" s="66"/>
    </row>
    <row r="50" ht="15.75" customHeight="1">
      <c r="A50" s="67" t="b">
        <v>0</v>
      </c>
      <c r="B50" s="66"/>
      <c r="C50" s="66"/>
      <c r="D50" s="66"/>
      <c r="E50" s="66"/>
      <c r="F50" s="68" t="str">
        <f t="array" ref="F50">IF(INDEX('Binder Data'!$A$752:$A$1001,ROW()-1)="","",IF(INDEX('Binder Data'!$D$752:$D$1001,ROW()-1)="Needed",INDEX('Binder Data'!$B$752:$B$1001,ROW()-1),INDEX('Binder Data'!$D$752:$D$1001,ROW()-1)))</f>
        <v/>
      </c>
      <c r="G50" s="66"/>
      <c r="H50" s="66"/>
      <c r="I50" s="66"/>
      <c r="J50" s="69"/>
      <c r="K50" s="69"/>
      <c r="L50" s="69"/>
      <c r="M50" s="69"/>
      <c r="N50" s="66"/>
      <c r="O50" s="66"/>
      <c r="P50" s="66"/>
      <c r="Q50" s="66"/>
      <c r="R50" s="66"/>
      <c r="S50" s="66"/>
      <c r="T50" s="66"/>
      <c r="U50" s="66"/>
      <c r="V50" s="66"/>
      <c r="W50" s="66"/>
      <c r="X50" s="66"/>
      <c r="Y50" s="66"/>
      <c r="Z50" s="66"/>
      <c r="AA50" s="66"/>
    </row>
    <row r="51" ht="15.75" customHeight="1">
      <c r="A51" s="67" t="b">
        <v>0</v>
      </c>
      <c r="B51" s="66"/>
      <c r="C51" s="66"/>
      <c r="D51" s="66"/>
      <c r="E51" s="66"/>
      <c r="F51" s="68" t="str">
        <f t="array" ref="F51">IF(INDEX('Binder Data'!$A$752:$A$1001,ROW()-1)="","",IF(INDEX('Binder Data'!$D$752:$D$1001,ROW()-1)="Needed",INDEX('Binder Data'!$B$752:$B$1001,ROW()-1),INDEX('Binder Data'!$D$752:$D$1001,ROW()-1)))</f>
        <v/>
      </c>
      <c r="G51" s="66"/>
      <c r="H51" s="66"/>
      <c r="I51" s="66"/>
      <c r="J51" s="69"/>
      <c r="K51" s="69"/>
      <c r="L51" s="69"/>
      <c r="M51" s="69"/>
      <c r="N51" s="66"/>
      <c r="O51" s="66"/>
      <c r="P51" s="66"/>
      <c r="Q51" s="66"/>
      <c r="R51" s="66"/>
      <c r="S51" s="66"/>
      <c r="T51" s="66"/>
      <c r="U51" s="66"/>
      <c r="V51" s="66"/>
      <c r="W51" s="66"/>
      <c r="X51" s="66"/>
      <c r="Y51" s="66"/>
      <c r="Z51" s="66"/>
      <c r="AA51" s="66"/>
    </row>
    <row r="52" ht="15.75" customHeight="1">
      <c r="A52" s="67" t="b">
        <v>0</v>
      </c>
      <c r="B52" s="66"/>
      <c r="C52" s="66"/>
      <c r="D52" s="66"/>
      <c r="E52" s="66"/>
      <c r="F52" s="68" t="str">
        <f t="array" ref="F52">IF(INDEX('Binder Data'!$A$752:$A$1001,ROW()-1)="","",IF(INDEX('Binder Data'!$D$752:$D$1001,ROW()-1)="Needed",INDEX('Binder Data'!$B$752:$B$1001,ROW()-1),INDEX('Binder Data'!$D$752:$D$1001,ROW()-1)))</f>
        <v/>
      </c>
      <c r="G52" s="66"/>
      <c r="H52" s="66"/>
      <c r="I52" s="66"/>
      <c r="J52" s="69"/>
      <c r="K52" s="69"/>
      <c r="L52" s="69"/>
      <c r="M52" s="69"/>
      <c r="N52" s="66"/>
      <c r="O52" s="66"/>
      <c r="P52" s="66"/>
      <c r="Q52" s="66"/>
      <c r="R52" s="66"/>
      <c r="S52" s="66"/>
      <c r="T52" s="66"/>
      <c r="U52" s="66"/>
      <c r="V52" s="66"/>
      <c r="W52" s="66"/>
      <c r="X52" s="66"/>
      <c r="Y52" s="66"/>
      <c r="Z52" s="66"/>
      <c r="AA52" s="66"/>
    </row>
    <row r="53" ht="15.75" customHeight="1">
      <c r="A53" s="67" t="b">
        <v>0</v>
      </c>
      <c r="B53" s="66"/>
      <c r="C53" s="66"/>
      <c r="D53" s="66"/>
      <c r="E53" s="66"/>
      <c r="F53" s="68" t="str">
        <f t="array" ref="F53">IF(INDEX('Binder Data'!$A$752:$A$1001,ROW()-1)="","",IF(INDEX('Binder Data'!$D$752:$D$1001,ROW()-1)="Needed",INDEX('Binder Data'!$B$752:$B$1001,ROW()-1),INDEX('Binder Data'!$D$752:$D$1001,ROW()-1)))</f>
        <v/>
      </c>
      <c r="G53" s="66"/>
      <c r="H53" s="66"/>
      <c r="I53" s="66"/>
      <c r="J53" s="69"/>
      <c r="K53" s="69"/>
      <c r="L53" s="69"/>
      <c r="M53" s="69"/>
      <c r="N53" s="66"/>
      <c r="O53" s="66"/>
      <c r="P53" s="66"/>
      <c r="Q53" s="66"/>
      <c r="R53" s="66"/>
      <c r="S53" s="66"/>
      <c r="T53" s="66"/>
      <c r="U53" s="66"/>
      <c r="V53" s="66"/>
      <c r="W53" s="66"/>
      <c r="X53" s="66"/>
      <c r="Y53" s="66"/>
      <c r="Z53" s="66"/>
      <c r="AA53" s="66"/>
    </row>
    <row r="54" ht="15.75" customHeight="1">
      <c r="A54" s="67" t="b">
        <v>0</v>
      </c>
      <c r="B54" s="66"/>
      <c r="C54" s="66"/>
      <c r="D54" s="66"/>
      <c r="E54" s="66"/>
      <c r="F54" s="68" t="str">
        <f t="array" ref="F54">IF(INDEX('Binder Data'!$A$752:$A$1001,ROW()-1)="","",IF(INDEX('Binder Data'!$D$752:$D$1001,ROW()-1)="Needed",INDEX('Binder Data'!$B$752:$B$1001,ROW()-1),INDEX('Binder Data'!$D$752:$D$1001,ROW()-1)))</f>
        <v/>
      </c>
      <c r="G54" s="66"/>
      <c r="H54" s="66"/>
      <c r="I54" s="66"/>
      <c r="J54" s="69"/>
      <c r="K54" s="69"/>
      <c r="L54" s="69"/>
      <c r="M54" s="69"/>
      <c r="N54" s="66"/>
      <c r="O54" s="66"/>
      <c r="P54" s="66"/>
      <c r="Q54" s="66"/>
      <c r="R54" s="66"/>
      <c r="S54" s="66"/>
      <c r="T54" s="66"/>
      <c r="U54" s="66"/>
      <c r="V54" s="66"/>
      <c r="W54" s="66"/>
      <c r="X54" s="66"/>
      <c r="Y54" s="66"/>
      <c r="Z54" s="66"/>
      <c r="AA54" s="66"/>
    </row>
    <row r="55" ht="15.75" customHeight="1">
      <c r="A55" s="67" t="b">
        <v>0</v>
      </c>
      <c r="B55" s="66"/>
      <c r="C55" s="66"/>
      <c r="D55" s="66"/>
      <c r="E55" s="66"/>
      <c r="F55" s="68" t="str">
        <f t="array" ref="F55">IF(INDEX('Binder Data'!$A$752:$A$1001,ROW()-1)="","",IF(INDEX('Binder Data'!$D$752:$D$1001,ROW()-1)="Needed",INDEX('Binder Data'!$B$752:$B$1001,ROW()-1),INDEX('Binder Data'!$D$752:$D$1001,ROW()-1)))</f>
        <v/>
      </c>
      <c r="G55" s="66"/>
      <c r="H55" s="66"/>
      <c r="I55" s="66"/>
      <c r="J55" s="69"/>
      <c r="K55" s="69"/>
      <c r="L55" s="69"/>
      <c r="M55" s="69"/>
      <c r="N55" s="66"/>
      <c r="O55" s="66"/>
      <c r="P55" s="66"/>
      <c r="Q55" s="66"/>
      <c r="R55" s="66"/>
      <c r="S55" s="66"/>
      <c r="T55" s="66"/>
      <c r="U55" s="66"/>
      <c r="V55" s="66"/>
      <c r="W55" s="66"/>
      <c r="X55" s="66"/>
      <c r="Y55" s="66"/>
      <c r="Z55" s="66"/>
      <c r="AA55" s="66"/>
    </row>
    <row r="56" ht="15.75" customHeight="1">
      <c r="A56" s="67" t="b">
        <v>0</v>
      </c>
      <c r="B56" s="66"/>
      <c r="C56" s="66"/>
      <c r="D56" s="66"/>
      <c r="E56" s="66"/>
      <c r="F56" s="68" t="str">
        <f t="array" ref="F56">IF(INDEX('Binder Data'!$A$752:$A$1001,ROW()-1)="","",IF(INDEX('Binder Data'!$D$752:$D$1001,ROW()-1)="Needed",INDEX('Binder Data'!$B$752:$B$1001,ROW()-1),INDEX('Binder Data'!$D$752:$D$1001,ROW()-1)))</f>
        <v/>
      </c>
      <c r="G56" s="66"/>
      <c r="H56" s="66"/>
      <c r="I56" s="66"/>
      <c r="J56" s="69"/>
      <c r="K56" s="69"/>
      <c r="L56" s="69"/>
      <c r="M56" s="69"/>
      <c r="N56" s="66"/>
      <c r="O56" s="66"/>
      <c r="P56" s="66"/>
      <c r="Q56" s="66"/>
      <c r="R56" s="66"/>
      <c r="S56" s="66"/>
      <c r="T56" s="66"/>
      <c r="U56" s="66"/>
      <c r="V56" s="66"/>
      <c r="W56" s="66"/>
      <c r="X56" s="66"/>
      <c r="Y56" s="66"/>
      <c r="Z56" s="66"/>
      <c r="AA56" s="66"/>
    </row>
    <row r="57" ht="15.75" customHeight="1">
      <c r="A57" s="67" t="b">
        <v>0</v>
      </c>
      <c r="B57" s="66"/>
      <c r="C57" s="66"/>
      <c r="D57" s="66"/>
      <c r="E57" s="66"/>
      <c r="F57" s="68" t="str">
        <f t="array" ref="F57">IF(INDEX('Binder Data'!$A$752:$A$1001,ROW()-1)="","",IF(INDEX('Binder Data'!$D$752:$D$1001,ROW()-1)="Needed",INDEX('Binder Data'!$B$752:$B$1001,ROW()-1),INDEX('Binder Data'!$D$752:$D$1001,ROW()-1)))</f>
        <v/>
      </c>
      <c r="G57" s="66"/>
      <c r="H57" s="66"/>
      <c r="I57" s="66"/>
      <c r="J57" s="69"/>
      <c r="K57" s="69"/>
      <c r="L57" s="69"/>
      <c r="M57" s="69"/>
      <c r="N57" s="66"/>
      <c r="O57" s="66"/>
      <c r="P57" s="66"/>
      <c r="Q57" s="66"/>
      <c r="R57" s="66"/>
      <c r="S57" s="66"/>
      <c r="T57" s="66"/>
      <c r="U57" s="66"/>
      <c r="V57" s="66"/>
      <c r="W57" s="66"/>
      <c r="X57" s="66"/>
      <c r="Y57" s="66"/>
      <c r="Z57" s="66"/>
      <c r="AA57" s="66"/>
    </row>
    <row r="58" ht="15.75" customHeight="1">
      <c r="A58" s="67" t="b">
        <v>0</v>
      </c>
      <c r="B58" s="66"/>
      <c r="C58" s="66"/>
      <c r="D58" s="66"/>
      <c r="E58" s="66"/>
      <c r="F58" s="68" t="str">
        <f t="array" ref="F58">IF(INDEX('Binder Data'!$A$752:$A$1001,ROW()-1)="","",IF(INDEX('Binder Data'!$D$752:$D$1001,ROW()-1)="Needed",INDEX('Binder Data'!$B$752:$B$1001,ROW()-1),INDEX('Binder Data'!$D$752:$D$1001,ROW()-1)))</f>
        <v/>
      </c>
      <c r="G58" s="66"/>
      <c r="H58" s="66"/>
      <c r="I58" s="66"/>
      <c r="J58" s="69"/>
      <c r="K58" s="69"/>
      <c r="L58" s="69"/>
      <c r="M58" s="69"/>
      <c r="N58" s="66"/>
      <c r="O58" s="66"/>
      <c r="P58" s="66"/>
      <c r="Q58" s="66"/>
      <c r="R58" s="66"/>
      <c r="S58" s="66"/>
      <c r="T58" s="66"/>
      <c r="U58" s="66"/>
      <c r="V58" s="66"/>
      <c r="W58" s="66"/>
      <c r="X58" s="66"/>
      <c r="Y58" s="66"/>
      <c r="Z58" s="66"/>
      <c r="AA58" s="66"/>
    </row>
    <row r="59" ht="15.75" customHeight="1">
      <c r="A59" s="67" t="b">
        <v>0</v>
      </c>
      <c r="B59" s="66"/>
      <c r="C59" s="66"/>
      <c r="D59" s="66"/>
      <c r="E59" s="66"/>
      <c r="F59" s="68" t="str">
        <f t="array" ref="F59">IF(INDEX('Binder Data'!$A$752:$A$1001,ROW()-1)="","",IF(INDEX('Binder Data'!$D$752:$D$1001,ROW()-1)="Needed",INDEX('Binder Data'!$B$752:$B$1001,ROW()-1),INDEX('Binder Data'!$D$752:$D$1001,ROW()-1)))</f>
        <v/>
      </c>
      <c r="G59" s="66"/>
      <c r="H59" s="66"/>
      <c r="I59" s="66"/>
      <c r="J59" s="69"/>
      <c r="K59" s="69"/>
      <c r="L59" s="69"/>
      <c r="M59" s="69"/>
      <c r="N59" s="66"/>
      <c r="O59" s="66"/>
      <c r="P59" s="66"/>
      <c r="Q59" s="66"/>
      <c r="R59" s="66"/>
      <c r="S59" s="66"/>
      <c r="T59" s="66"/>
      <c r="U59" s="66"/>
      <c r="V59" s="66"/>
      <c r="W59" s="66"/>
      <c r="X59" s="66"/>
      <c r="Y59" s="66"/>
      <c r="Z59" s="66"/>
      <c r="AA59" s="66"/>
    </row>
    <row r="60" ht="15.75" customHeight="1">
      <c r="A60" s="67" t="b">
        <v>0</v>
      </c>
      <c r="B60" s="66"/>
      <c r="C60" s="66"/>
      <c r="D60" s="66"/>
      <c r="E60" s="66"/>
      <c r="F60" s="68" t="str">
        <f t="array" ref="F60">IF(INDEX('Binder Data'!$A$752:$A$1001,ROW()-1)="","",IF(INDEX('Binder Data'!$D$752:$D$1001,ROW()-1)="Needed",INDEX('Binder Data'!$B$752:$B$1001,ROW()-1),INDEX('Binder Data'!$D$752:$D$1001,ROW()-1)))</f>
        <v/>
      </c>
      <c r="G60" s="66"/>
      <c r="H60" s="66"/>
      <c r="I60" s="66"/>
      <c r="J60" s="69"/>
      <c r="K60" s="69"/>
      <c r="L60" s="69"/>
      <c r="M60" s="69"/>
      <c r="N60" s="66"/>
      <c r="O60" s="66"/>
      <c r="P60" s="66"/>
      <c r="Q60" s="66"/>
      <c r="R60" s="66"/>
      <c r="S60" s="66"/>
      <c r="T60" s="66"/>
      <c r="U60" s="66"/>
      <c r="V60" s="66"/>
      <c r="W60" s="66"/>
      <c r="X60" s="66"/>
      <c r="Y60" s="66"/>
      <c r="Z60" s="66"/>
      <c r="AA60" s="66"/>
    </row>
    <row r="61" ht="15.75" customHeight="1">
      <c r="A61" s="67" t="b">
        <v>0</v>
      </c>
      <c r="B61" s="66"/>
      <c r="C61" s="66"/>
      <c r="D61" s="66"/>
      <c r="E61" s="66"/>
      <c r="F61" s="68" t="str">
        <f t="array" ref="F61">IF(INDEX('Binder Data'!$A$752:$A$1001,ROW()-1)="","",IF(INDEX('Binder Data'!$D$752:$D$1001,ROW()-1)="Needed",INDEX('Binder Data'!$B$752:$B$1001,ROW()-1),INDEX('Binder Data'!$D$752:$D$1001,ROW()-1)))</f>
        <v/>
      </c>
      <c r="G61" s="66"/>
      <c r="H61" s="66"/>
      <c r="I61" s="66"/>
      <c r="J61" s="69"/>
      <c r="K61" s="69"/>
      <c r="L61" s="69"/>
      <c r="M61" s="69"/>
      <c r="N61" s="66"/>
      <c r="O61" s="66"/>
      <c r="P61" s="66"/>
      <c r="Q61" s="66"/>
      <c r="R61" s="66"/>
      <c r="S61" s="66"/>
      <c r="T61" s="66"/>
      <c r="U61" s="66"/>
      <c r="V61" s="66"/>
      <c r="W61" s="66"/>
      <c r="X61" s="66"/>
      <c r="Y61" s="66"/>
      <c r="Z61" s="66"/>
      <c r="AA61" s="66"/>
    </row>
    <row r="62" ht="15.75" customHeight="1">
      <c r="A62" s="67" t="b">
        <v>0</v>
      </c>
      <c r="B62" s="66"/>
      <c r="C62" s="66"/>
      <c r="D62" s="66"/>
      <c r="E62" s="66"/>
      <c r="F62" s="68" t="str">
        <f t="array" ref="F62">IF(INDEX('Binder Data'!$A$752:$A$1001,ROW()-1)="","",IF(INDEX('Binder Data'!$D$752:$D$1001,ROW()-1)="Needed",INDEX('Binder Data'!$B$752:$B$1001,ROW()-1),INDEX('Binder Data'!$D$752:$D$1001,ROW()-1)))</f>
        <v/>
      </c>
      <c r="G62" s="66"/>
      <c r="H62" s="66"/>
      <c r="I62" s="66"/>
      <c r="J62" s="69"/>
      <c r="K62" s="69"/>
      <c r="L62" s="69"/>
      <c r="M62" s="69"/>
      <c r="N62" s="66"/>
      <c r="O62" s="66"/>
      <c r="P62" s="66"/>
      <c r="Q62" s="66"/>
      <c r="R62" s="66"/>
      <c r="S62" s="66"/>
      <c r="T62" s="66"/>
      <c r="U62" s="66"/>
      <c r="V62" s="66"/>
      <c r="W62" s="66"/>
      <c r="X62" s="66"/>
      <c r="Y62" s="66"/>
      <c r="Z62" s="66"/>
      <c r="AA62" s="66"/>
    </row>
    <row r="63" ht="15.75" customHeight="1">
      <c r="A63" s="67" t="b">
        <v>0</v>
      </c>
      <c r="B63" s="66"/>
      <c r="C63" s="66"/>
      <c r="D63" s="66"/>
      <c r="E63" s="66"/>
      <c r="F63" s="68" t="str">
        <f t="array" ref="F63">IF(INDEX('Binder Data'!$A$752:$A$1001,ROW()-1)="","",IF(INDEX('Binder Data'!$D$752:$D$1001,ROW()-1)="Needed",INDEX('Binder Data'!$B$752:$B$1001,ROW()-1),INDEX('Binder Data'!$D$752:$D$1001,ROW()-1)))</f>
        <v/>
      </c>
      <c r="G63" s="66"/>
      <c r="H63" s="66"/>
      <c r="I63" s="66"/>
      <c r="J63" s="69"/>
      <c r="K63" s="69"/>
      <c r="L63" s="69"/>
      <c r="M63" s="69"/>
      <c r="N63" s="66"/>
      <c r="O63" s="66"/>
      <c r="P63" s="66"/>
      <c r="Q63" s="66"/>
      <c r="R63" s="66"/>
      <c r="S63" s="66"/>
      <c r="T63" s="66"/>
      <c r="U63" s="66"/>
      <c r="V63" s="66"/>
      <c r="W63" s="66"/>
      <c r="X63" s="66"/>
      <c r="Y63" s="66"/>
      <c r="Z63" s="66"/>
      <c r="AA63" s="66"/>
    </row>
    <row r="64" ht="15.75" customHeight="1">
      <c r="A64" s="67" t="b">
        <v>0</v>
      </c>
      <c r="B64" s="66"/>
      <c r="C64" s="66"/>
      <c r="D64" s="66"/>
      <c r="E64" s="66"/>
      <c r="F64" s="68" t="str">
        <f t="array" ref="F64">IF(INDEX('Binder Data'!$A$752:$A$1001,ROW()-1)="","",IF(INDEX('Binder Data'!$D$752:$D$1001,ROW()-1)="Needed",INDEX('Binder Data'!$B$752:$B$1001,ROW()-1),INDEX('Binder Data'!$D$752:$D$1001,ROW()-1)))</f>
        <v/>
      </c>
      <c r="G64" s="66"/>
      <c r="H64" s="66"/>
      <c r="I64" s="66"/>
      <c r="J64" s="69"/>
      <c r="K64" s="69"/>
      <c r="L64" s="69"/>
      <c r="M64" s="69"/>
      <c r="N64" s="66"/>
      <c r="O64" s="66"/>
      <c r="P64" s="66"/>
      <c r="Q64" s="66"/>
      <c r="R64" s="66"/>
      <c r="S64" s="66"/>
      <c r="T64" s="66"/>
      <c r="U64" s="66"/>
      <c r="V64" s="66"/>
      <c r="W64" s="66"/>
      <c r="X64" s="66"/>
      <c r="Y64" s="66"/>
      <c r="Z64" s="66"/>
      <c r="AA64" s="66"/>
    </row>
    <row r="65" ht="15.75" customHeight="1">
      <c r="A65" s="67" t="b">
        <v>0</v>
      </c>
      <c r="B65" s="66"/>
      <c r="C65" s="66"/>
      <c r="D65" s="66"/>
      <c r="E65" s="66"/>
      <c r="F65" s="68" t="str">
        <f t="array" ref="F65">IF(INDEX('Binder Data'!$A$752:$A$1001,ROW()-1)="","",IF(INDEX('Binder Data'!$D$752:$D$1001,ROW()-1)="Needed",INDEX('Binder Data'!$B$752:$B$1001,ROW()-1),INDEX('Binder Data'!$D$752:$D$1001,ROW()-1)))</f>
        <v/>
      </c>
      <c r="G65" s="66"/>
      <c r="H65" s="66"/>
      <c r="I65" s="66"/>
      <c r="J65" s="69"/>
      <c r="K65" s="69"/>
      <c r="L65" s="69"/>
      <c r="M65" s="69"/>
      <c r="N65" s="66"/>
      <c r="O65" s="66"/>
      <c r="P65" s="66"/>
      <c r="Q65" s="66"/>
      <c r="R65" s="66"/>
      <c r="S65" s="66"/>
      <c r="T65" s="66"/>
      <c r="U65" s="66"/>
      <c r="V65" s="66"/>
      <c r="W65" s="66"/>
      <c r="X65" s="66"/>
      <c r="Y65" s="66"/>
      <c r="Z65" s="66"/>
      <c r="AA65" s="66"/>
    </row>
    <row r="66" ht="15.75" customHeight="1">
      <c r="A66" s="67" t="b">
        <v>0</v>
      </c>
      <c r="B66" s="66"/>
      <c r="C66" s="66"/>
      <c r="D66" s="66"/>
      <c r="E66" s="66"/>
      <c r="F66" s="68" t="str">
        <f t="array" ref="F66">IF(INDEX('Binder Data'!$A$752:$A$1001,ROW()-1)="","",IF(INDEX('Binder Data'!$D$752:$D$1001,ROW()-1)="Needed",INDEX('Binder Data'!$B$752:$B$1001,ROW()-1),INDEX('Binder Data'!$D$752:$D$1001,ROW()-1)))</f>
        <v/>
      </c>
      <c r="G66" s="66"/>
      <c r="H66" s="66"/>
      <c r="I66" s="66"/>
      <c r="J66" s="69"/>
      <c r="K66" s="69"/>
      <c r="L66" s="69"/>
      <c r="M66" s="69"/>
      <c r="N66" s="66"/>
      <c r="O66" s="66"/>
      <c r="P66" s="66"/>
      <c r="Q66" s="66"/>
      <c r="R66" s="66"/>
      <c r="S66" s="66"/>
      <c r="T66" s="66"/>
      <c r="U66" s="66"/>
      <c r="V66" s="66"/>
      <c r="W66" s="66"/>
      <c r="X66" s="66"/>
      <c r="Y66" s="66"/>
      <c r="Z66" s="66"/>
      <c r="AA66" s="66"/>
    </row>
    <row r="67" ht="15.75" customHeight="1">
      <c r="A67" s="67" t="b">
        <v>0</v>
      </c>
      <c r="B67" s="66"/>
      <c r="C67" s="66"/>
      <c r="D67" s="66"/>
      <c r="E67" s="66"/>
      <c r="F67" s="68" t="str">
        <f t="array" ref="F67">IF(INDEX('Binder Data'!$A$752:$A$1001,ROW()-1)="","",IF(INDEX('Binder Data'!$D$752:$D$1001,ROW()-1)="Needed",INDEX('Binder Data'!$B$752:$B$1001,ROW()-1),INDEX('Binder Data'!$D$752:$D$1001,ROW()-1)))</f>
        <v/>
      </c>
      <c r="G67" s="66"/>
      <c r="H67" s="66"/>
      <c r="I67" s="66"/>
      <c r="J67" s="69"/>
      <c r="K67" s="69"/>
      <c r="L67" s="69"/>
      <c r="M67" s="69"/>
      <c r="N67" s="66"/>
      <c r="O67" s="66"/>
      <c r="P67" s="66"/>
      <c r="Q67" s="66"/>
      <c r="R67" s="66"/>
      <c r="S67" s="66"/>
      <c r="T67" s="66"/>
      <c r="U67" s="66"/>
      <c r="V67" s="66"/>
      <c r="W67" s="66"/>
      <c r="X67" s="66"/>
      <c r="Y67" s="66"/>
      <c r="Z67" s="66"/>
      <c r="AA67" s="66"/>
    </row>
    <row r="68" ht="15.75" customHeight="1">
      <c r="A68" s="67" t="b">
        <v>0</v>
      </c>
      <c r="B68" s="66"/>
      <c r="C68" s="66"/>
      <c r="D68" s="66"/>
      <c r="E68" s="66"/>
      <c r="F68" s="68" t="str">
        <f t="array" ref="F68">IF(INDEX('Binder Data'!$A$752:$A$1001,ROW()-1)="","",IF(INDEX('Binder Data'!$D$752:$D$1001,ROW()-1)="Needed",INDEX('Binder Data'!$B$752:$B$1001,ROW()-1),INDEX('Binder Data'!$D$752:$D$1001,ROW()-1)))</f>
        <v/>
      </c>
      <c r="G68" s="66"/>
      <c r="H68" s="66"/>
      <c r="I68" s="66"/>
      <c r="J68" s="69"/>
      <c r="K68" s="69"/>
      <c r="L68" s="69"/>
      <c r="M68" s="69"/>
      <c r="N68" s="66"/>
      <c r="O68" s="66"/>
      <c r="P68" s="66"/>
      <c r="Q68" s="66"/>
      <c r="R68" s="66"/>
      <c r="S68" s="66"/>
      <c r="T68" s="66"/>
      <c r="U68" s="66"/>
      <c r="V68" s="66"/>
      <c r="W68" s="66"/>
      <c r="X68" s="66"/>
      <c r="Y68" s="66"/>
      <c r="Z68" s="66"/>
      <c r="AA68" s="66"/>
    </row>
    <row r="69" ht="15.75" customHeight="1">
      <c r="A69" s="67" t="b">
        <v>0</v>
      </c>
      <c r="B69" s="66"/>
      <c r="C69" s="66"/>
      <c r="D69" s="66"/>
      <c r="E69" s="66"/>
      <c r="F69" s="68" t="str">
        <f t="array" ref="F69">IF(INDEX('Binder Data'!$A$752:$A$1001,ROW()-1)="","",IF(INDEX('Binder Data'!$D$752:$D$1001,ROW()-1)="Needed",INDEX('Binder Data'!$B$752:$B$1001,ROW()-1),INDEX('Binder Data'!$D$752:$D$1001,ROW()-1)))</f>
        <v/>
      </c>
      <c r="G69" s="66"/>
      <c r="H69" s="66"/>
      <c r="I69" s="66"/>
      <c r="J69" s="69"/>
      <c r="K69" s="69"/>
      <c r="L69" s="69"/>
      <c r="M69" s="69"/>
      <c r="N69" s="66"/>
      <c r="O69" s="66"/>
      <c r="P69" s="66"/>
      <c r="Q69" s="66"/>
      <c r="R69" s="66"/>
      <c r="S69" s="66"/>
      <c r="T69" s="66"/>
      <c r="U69" s="66"/>
      <c r="V69" s="66"/>
      <c r="W69" s="66"/>
      <c r="X69" s="66"/>
      <c r="Y69" s="66"/>
      <c r="Z69" s="66"/>
      <c r="AA69" s="66"/>
    </row>
    <row r="70" ht="15.75" customHeight="1">
      <c r="A70" s="67" t="b">
        <v>0</v>
      </c>
      <c r="B70" s="66"/>
      <c r="C70" s="66"/>
      <c r="D70" s="66"/>
      <c r="E70" s="66"/>
      <c r="F70" s="68" t="str">
        <f t="array" ref="F70">IF(INDEX('Binder Data'!$A$752:$A$1001,ROW()-1)="","",IF(INDEX('Binder Data'!$D$752:$D$1001,ROW()-1)="Needed",INDEX('Binder Data'!$B$752:$B$1001,ROW()-1),INDEX('Binder Data'!$D$752:$D$1001,ROW()-1)))</f>
        <v/>
      </c>
      <c r="G70" s="66"/>
      <c r="H70" s="66"/>
      <c r="I70" s="66"/>
      <c r="J70" s="69"/>
      <c r="K70" s="69"/>
      <c r="L70" s="69"/>
      <c r="M70" s="69"/>
      <c r="N70" s="66"/>
      <c r="O70" s="66"/>
      <c r="P70" s="66"/>
      <c r="Q70" s="66"/>
      <c r="R70" s="66"/>
      <c r="S70" s="66"/>
      <c r="T70" s="66"/>
      <c r="U70" s="66"/>
      <c r="V70" s="66"/>
      <c r="W70" s="66"/>
      <c r="X70" s="66"/>
      <c r="Y70" s="66"/>
      <c r="Z70" s="66"/>
      <c r="AA70" s="66"/>
    </row>
    <row r="71" ht="15.75" customHeight="1">
      <c r="A71" s="67" t="b">
        <v>0</v>
      </c>
      <c r="B71" s="66"/>
      <c r="C71" s="66"/>
      <c r="D71" s="66"/>
      <c r="E71" s="66"/>
      <c r="F71" s="68" t="str">
        <f t="array" ref="F71">IF(INDEX('Binder Data'!$A$752:$A$1001,ROW()-1)="","",IF(INDEX('Binder Data'!$D$752:$D$1001,ROW()-1)="Needed",INDEX('Binder Data'!$B$752:$B$1001,ROW()-1),INDEX('Binder Data'!$D$752:$D$1001,ROW()-1)))</f>
        <v/>
      </c>
      <c r="G71" s="66"/>
      <c r="H71" s="66"/>
      <c r="I71" s="66"/>
      <c r="J71" s="69"/>
      <c r="K71" s="69"/>
      <c r="L71" s="69"/>
      <c r="M71" s="69"/>
      <c r="N71" s="66"/>
      <c r="O71" s="66"/>
      <c r="P71" s="66"/>
      <c r="Q71" s="66"/>
      <c r="R71" s="66"/>
      <c r="S71" s="66"/>
      <c r="T71" s="66"/>
      <c r="U71" s="66"/>
      <c r="V71" s="66"/>
      <c r="W71" s="66"/>
      <c r="X71" s="66"/>
      <c r="Y71" s="66"/>
      <c r="Z71" s="66"/>
      <c r="AA71" s="66"/>
    </row>
    <row r="72" ht="15.75" customHeight="1">
      <c r="A72" s="67" t="b">
        <v>0</v>
      </c>
      <c r="B72" s="66"/>
      <c r="C72" s="66"/>
      <c r="D72" s="66"/>
      <c r="E72" s="66"/>
      <c r="F72" s="68" t="str">
        <f t="array" ref="F72">IF(INDEX('Binder Data'!$A$752:$A$1001,ROW()-1)="","",IF(INDEX('Binder Data'!$D$752:$D$1001,ROW()-1)="Needed",INDEX('Binder Data'!$B$752:$B$1001,ROW()-1),INDEX('Binder Data'!$D$752:$D$1001,ROW()-1)))</f>
        <v/>
      </c>
      <c r="G72" s="66"/>
      <c r="H72" s="66"/>
      <c r="I72" s="66"/>
      <c r="J72" s="69"/>
      <c r="K72" s="69"/>
      <c r="L72" s="69"/>
      <c r="M72" s="69"/>
      <c r="N72" s="66"/>
      <c r="O72" s="66"/>
      <c r="P72" s="66"/>
      <c r="Q72" s="66"/>
      <c r="R72" s="66"/>
      <c r="S72" s="66"/>
      <c r="T72" s="66"/>
      <c r="U72" s="66"/>
      <c r="V72" s="66"/>
      <c r="W72" s="66"/>
      <c r="X72" s="66"/>
      <c r="Y72" s="66"/>
      <c r="Z72" s="66"/>
      <c r="AA72" s="66"/>
    </row>
    <row r="73" ht="15.75" customHeight="1">
      <c r="A73" s="67" t="b">
        <v>0</v>
      </c>
      <c r="B73" s="66"/>
      <c r="C73" s="66"/>
      <c r="D73" s="66"/>
      <c r="E73" s="66"/>
      <c r="F73" s="68" t="str">
        <f t="array" ref="F73">IF(INDEX('Binder Data'!$A$752:$A$1001,ROW()-1)="","",IF(INDEX('Binder Data'!$D$752:$D$1001,ROW()-1)="Needed",INDEX('Binder Data'!$B$752:$B$1001,ROW()-1),INDEX('Binder Data'!$D$752:$D$1001,ROW()-1)))</f>
        <v/>
      </c>
      <c r="G73" s="66"/>
      <c r="H73" s="66"/>
      <c r="I73" s="66"/>
      <c r="J73" s="69"/>
      <c r="K73" s="69"/>
      <c r="L73" s="69"/>
      <c r="M73" s="69"/>
      <c r="N73" s="66"/>
      <c r="O73" s="66"/>
      <c r="P73" s="66"/>
      <c r="Q73" s="66"/>
      <c r="R73" s="66"/>
      <c r="S73" s="66"/>
      <c r="T73" s="66"/>
      <c r="U73" s="66"/>
      <c r="V73" s="66"/>
      <c r="W73" s="66"/>
      <c r="X73" s="66"/>
      <c r="Y73" s="66"/>
      <c r="Z73" s="66"/>
      <c r="AA73" s="66"/>
    </row>
    <row r="74" ht="15.75" customHeight="1">
      <c r="A74" s="67" t="b">
        <v>0</v>
      </c>
      <c r="B74" s="66"/>
      <c r="C74" s="66"/>
      <c r="D74" s="66"/>
      <c r="E74" s="66"/>
      <c r="F74" s="68" t="str">
        <f t="array" ref="F74">IF(INDEX('Binder Data'!$A$752:$A$1001,ROW()-1)="","",IF(INDEX('Binder Data'!$D$752:$D$1001,ROW()-1)="Needed",INDEX('Binder Data'!$B$752:$B$1001,ROW()-1),INDEX('Binder Data'!$D$752:$D$1001,ROW()-1)))</f>
        <v/>
      </c>
      <c r="G74" s="66"/>
      <c r="H74" s="66"/>
      <c r="I74" s="66"/>
      <c r="J74" s="69"/>
      <c r="K74" s="69"/>
      <c r="L74" s="69"/>
      <c r="M74" s="69"/>
      <c r="N74" s="66"/>
      <c r="O74" s="66"/>
      <c r="P74" s="66"/>
      <c r="Q74" s="66"/>
      <c r="R74" s="66"/>
      <c r="S74" s="66"/>
      <c r="T74" s="66"/>
      <c r="U74" s="66"/>
      <c r="V74" s="66"/>
      <c r="W74" s="66"/>
      <c r="X74" s="66"/>
      <c r="Y74" s="66"/>
      <c r="Z74" s="66"/>
      <c r="AA74" s="66"/>
    </row>
    <row r="75" ht="15.75" customHeight="1">
      <c r="A75" s="67" t="b">
        <v>0</v>
      </c>
      <c r="B75" s="66"/>
      <c r="C75" s="66"/>
      <c r="D75" s="66"/>
      <c r="E75" s="66"/>
      <c r="F75" s="68" t="str">
        <f t="array" ref="F75">IF(INDEX('Binder Data'!$A$752:$A$1001,ROW()-1)="","",IF(INDEX('Binder Data'!$D$752:$D$1001,ROW()-1)="Needed",INDEX('Binder Data'!$B$752:$B$1001,ROW()-1),INDEX('Binder Data'!$D$752:$D$1001,ROW()-1)))</f>
        <v/>
      </c>
      <c r="G75" s="66"/>
      <c r="H75" s="66"/>
      <c r="I75" s="66"/>
      <c r="J75" s="69"/>
      <c r="K75" s="69"/>
      <c r="L75" s="69"/>
      <c r="M75" s="69"/>
      <c r="N75" s="66"/>
      <c r="O75" s="66"/>
      <c r="P75" s="66"/>
      <c r="Q75" s="66"/>
      <c r="R75" s="66"/>
      <c r="S75" s="66"/>
      <c r="T75" s="66"/>
      <c r="U75" s="66"/>
      <c r="V75" s="66"/>
      <c r="W75" s="66"/>
      <c r="X75" s="66"/>
      <c r="Y75" s="66"/>
      <c r="Z75" s="66"/>
      <c r="AA75" s="66"/>
    </row>
    <row r="76" ht="15.75" customHeight="1">
      <c r="A76" s="67" t="b">
        <v>0</v>
      </c>
      <c r="B76" s="66"/>
      <c r="C76" s="66"/>
      <c r="D76" s="66"/>
      <c r="E76" s="66"/>
      <c r="F76" s="68" t="str">
        <f t="array" ref="F76">IF(INDEX('Binder Data'!$A$752:$A$1001,ROW()-1)="","",IF(INDEX('Binder Data'!$D$752:$D$1001,ROW()-1)="Needed",INDEX('Binder Data'!$B$752:$B$1001,ROW()-1),INDEX('Binder Data'!$D$752:$D$1001,ROW()-1)))</f>
        <v/>
      </c>
      <c r="G76" s="66"/>
      <c r="H76" s="66"/>
      <c r="I76" s="66"/>
      <c r="J76" s="69"/>
      <c r="K76" s="69"/>
      <c r="L76" s="69"/>
      <c r="M76" s="69"/>
      <c r="N76" s="66"/>
      <c r="O76" s="66"/>
      <c r="P76" s="66"/>
      <c r="Q76" s="66"/>
      <c r="R76" s="66"/>
      <c r="S76" s="66"/>
      <c r="T76" s="66"/>
      <c r="U76" s="66"/>
      <c r="V76" s="66"/>
      <c r="W76" s="66"/>
      <c r="X76" s="66"/>
      <c r="Y76" s="66"/>
      <c r="Z76" s="66"/>
      <c r="AA76" s="66"/>
    </row>
    <row r="77" ht="15.75" customHeight="1">
      <c r="A77" s="67" t="b">
        <v>0</v>
      </c>
      <c r="B77" s="66"/>
      <c r="C77" s="66"/>
      <c r="D77" s="66"/>
      <c r="E77" s="66"/>
      <c r="F77" s="68" t="str">
        <f t="array" ref="F77">IF(INDEX('Binder Data'!$A$752:$A$1001,ROW()-1)="","",IF(INDEX('Binder Data'!$D$752:$D$1001,ROW()-1)="Needed",INDEX('Binder Data'!$B$752:$B$1001,ROW()-1),INDEX('Binder Data'!$D$752:$D$1001,ROW()-1)))</f>
        <v/>
      </c>
      <c r="G77" s="66"/>
      <c r="H77" s="66"/>
      <c r="I77" s="66"/>
      <c r="J77" s="69"/>
      <c r="K77" s="69"/>
      <c r="L77" s="69"/>
      <c r="M77" s="69"/>
      <c r="N77" s="66"/>
      <c r="O77" s="66"/>
      <c r="P77" s="66"/>
      <c r="Q77" s="66"/>
      <c r="R77" s="66"/>
      <c r="S77" s="66"/>
      <c r="T77" s="66"/>
      <c r="U77" s="66"/>
      <c r="V77" s="66"/>
      <c r="W77" s="66"/>
      <c r="X77" s="66"/>
      <c r="Y77" s="66"/>
      <c r="Z77" s="66"/>
      <c r="AA77" s="66"/>
    </row>
    <row r="78" ht="15.75" customHeight="1">
      <c r="A78" s="67" t="b">
        <v>0</v>
      </c>
      <c r="B78" s="66"/>
      <c r="C78" s="66"/>
      <c r="D78" s="66"/>
      <c r="E78" s="66"/>
      <c r="F78" s="68" t="str">
        <f t="array" ref="F78">IF(INDEX('Binder Data'!$A$752:$A$1001,ROW()-1)="","",IF(INDEX('Binder Data'!$D$752:$D$1001,ROW()-1)="Needed",INDEX('Binder Data'!$B$752:$B$1001,ROW()-1),INDEX('Binder Data'!$D$752:$D$1001,ROW()-1)))</f>
        <v/>
      </c>
      <c r="G78" s="66"/>
      <c r="H78" s="66"/>
      <c r="I78" s="66"/>
      <c r="J78" s="69"/>
      <c r="K78" s="69"/>
      <c r="L78" s="69"/>
      <c r="M78" s="69"/>
      <c r="N78" s="66"/>
      <c r="O78" s="66"/>
      <c r="P78" s="66"/>
      <c r="Q78" s="66"/>
      <c r="R78" s="66"/>
      <c r="S78" s="66"/>
      <c r="T78" s="66"/>
      <c r="U78" s="66"/>
      <c r="V78" s="66"/>
      <c r="W78" s="66"/>
      <c r="X78" s="66"/>
      <c r="Y78" s="66"/>
      <c r="Z78" s="66"/>
      <c r="AA78" s="66"/>
    </row>
    <row r="79" ht="15.75" customHeight="1">
      <c r="A79" s="67" t="b">
        <v>0</v>
      </c>
      <c r="B79" s="66"/>
      <c r="C79" s="66"/>
      <c r="D79" s="66"/>
      <c r="E79" s="66"/>
      <c r="F79" s="68" t="str">
        <f t="array" ref="F79">IF(INDEX('Binder Data'!$A$752:$A$1001,ROW()-1)="","",IF(INDEX('Binder Data'!$D$752:$D$1001,ROW()-1)="Needed",INDEX('Binder Data'!$B$752:$B$1001,ROW()-1),INDEX('Binder Data'!$D$752:$D$1001,ROW()-1)))</f>
        <v/>
      </c>
      <c r="G79" s="66"/>
      <c r="H79" s="66"/>
      <c r="I79" s="66"/>
      <c r="J79" s="69"/>
      <c r="K79" s="69"/>
      <c r="L79" s="69"/>
      <c r="M79" s="69"/>
      <c r="N79" s="66"/>
      <c r="O79" s="66"/>
      <c r="P79" s="66"/>
      <c r="Q79" s="66"/>
      <c r="R79" s="66"/>
      <c r="S79" s="66"/>
      <c r="T79" s="66"/>
      <c r="U79" s="66"/>
      <c r="V79" s="66"/>
      <c r="W79" s="66"/>
      <c r="X79" s="66"/>
      <c r="Y79" s="66"/>
      <c r="Z79" s="66"/>
      <c r="AA79" s="66"/>
    </row>
    <row r="80" ht="15.75" customHeight="1">
      <c r="A80" s="67" t="b">
        <v>0</v>
      </c>
      <c r="B80" s="66"/>
      <c r="C80" s="66"/>
      <c r="D80" s="66"/>
      <c r="E80" s="66"/>
      <c r="F80" s="68" t="str">
        <f t="array" ref="F80">IF(INDEX('Binder Data'!$A$752:$A$1001,ROW()-1)="","",IF(INDEX('Binder Data'!$D$752:$D$1001,ROW()-1)="Needed",INDEX('Binder Data'!$B$752:$B$1001,ROW()-1),INDEX('Binder Data'!$D$752:$D$1001,ROW()-1)))</f>
        <v/>
      </c>
      <c r="G80" s="66"/>
      <c r="H80" s="66"/>
      <c r="I80" s="66"/>
      <c r="J80" s="69"/>
      <c r="K80" s="69"/>
      <c r="L80" s="69"/>
      <c r="M80" s="69"/>
      <c r="N80" s="66"/>
      <c r="O80" s="66"/>
      <c r="P80" s="66"/>
      <c r="Q80" s="66"/>
      <c r="R80" s="66"/>
      <c r="S80" s="66"/>
      <c r="T80" s="66"/>
      <c r="U80" s="66"/>
      <c r="V80" s="66"/>
      <c r="W80" s="66"/>
      <c r="X80" s="66"/>
      <c r="Y80" s="66"/>
      <c r="Z80" s="66"/>
      <c r="AA80" s="66"/>
    </row>
    <row r="81" ht="15.75" customHeight="1">
      <c r="A81" s="67" t="b">
        <v>0</v>
      </c>
      <c r="B81" s="66"/>
      <c r="C81" s="66"/>
      <c r="D81" s="66"/>
      <c r="E81" s="66"/>
      <c r="F81" s="68" t="str">
        <f t="array" ref="F81">IF(INDEX('Binder Data'!$A$752:$A$1001,ROW()-1)="","",IF(INDEX('Binder Data'!$D$752:$D$1001,ROW()-1)="Needed",INDEX('Binder Data'!$B$752:$B$1001,ROW()-1),INDEX('Binder Data'!$D$752:$D$1001,ROW()-1)))</f>
        <v/>
      </c>
      <c r="G81" s="66"/>
      <c r="H81" s="66"/>
      <c r="I81" s="66"/>
      <c r="J81" s="69"/>
      <c r="K81" s="69"/>
      <c r="L81" s="69"/>
      <c r="M81" s="69"/>
      <c r="N81" s="66"/>
      <c r="O81" s="66"/>
      <c r="P81" s="66"/>
      <c r="Q81" s="66"/>
      <c r="R81" s="66"/>
      <c r="S81" s="66"/>
      <c r="T81" s="66"/>
      <c r="U81" s="66"/>
      <c r="V81" s="66"/>
      <c r="W81" s="66"/>
      <c r="X81" s="66"/>
      <c r="Y81" s="66"/>
      <c r="Z81" s="66"/>
      <c r="AA81" s="66"/>
    </row>
    <row r="82" ht="15.75" customHeight="1">
      <c r="A82" s="67" t="b">
        <v>0</v>
      </c>
      <c r="B82" s="66"/>
      <c r="C82" s="66"/>
      <c r="D82" s="66"/>
      <c r="E82" s="66"/>
      <c r="F82" s="68" t="str">
        <f t="array" ref="F82">IF(INDEX('Binder Data'!$A$752:$A$1001,ROW()-1)="","",IF(INDEX('Binder Data'!$D$752:$D$1001,ROW()-1)="Needed",INDEX('Binder Data'!$B$752:$B$1001,ROW()-1),INDEX('Binder Data'!$D$752:$D$1001,ROW()-1)))</f>
        <v/>
      </c>
      <c r="G82" s="66"/>
      <c r="H82" s="66"/>
      <c r="I82" s="66"/>
      <c r="J82" s="69"/>
      <c r="K82" s="69"/>
      <c r="L82" s="69"/>
      <c r="M82" s="69"/>
      <c r="N82" s="66"/>
      <c r="O82" s="66"/>
      <c r="P82" s="66"/>
      <c r="Q82" s="66"/>
      <c r="R82" s="66"/>
      <c r="S82" s="66"/>
      <c r="T82" s="66"/>
      <c r="U82" s="66"/>
      <c r="V82" s="66"/>
      <c r="W82" s="66"/>
      <c r="X82" s="66"/>
      <c r="Y82" s="66"/>
      <c r="Z82" s="66"/>
      <c r="AA82" s="66"/>
    </row>
    <row r="83" ht="15.75" customHeight="1">
      <c r="A83" s="67" t="b">
        <v>0</v>
      </c>
      <c r="B83" s="66"/>
      <c r="C83" s="66"/>
      <c r="D83" s="66"/>
      <c r="E83" s="66"/>
      <c r="F83" s="68" t="str">
        <f t="array" ref="F83">IF(INDEX('Binder Data'!$A$752:$A$1001,ROW()-1)="","",IF(INDEX('Binder Data'!$D$752:$D$1001,ROW()-1)="Needed",INDEX('Binder Data'!$B$752:$B$1001,ROW()-1),INDEX('Binder Data'!$D$752:$D$1001,ROW()-1)))</f>
        <v/>
      </c>
      <c r="G83" s="66"/>
      <c r="H83" s="66"/>
      <c r="I83" s="66"/>
      <c r="J83" s="69"/>
      <c r="K83" s="69"/>
      <c r="L83" s="69"/>
      <c r="M83" s="69"/>
      <c r="N83" s="66"/>
      <c r="O83" s="66"/>
      <c r="P83" s="66"/>
      <c r="Q83" s="66"/>
      <c r="R83" s="66"/>
      <c r="S83" s="66"/>
      <c r="T83" s="66"/>
      <c r="U83" s="66"/>
      <c r="V83" s="66"/>
      <c r="W83" s="66"/>
      <c r="X83" s="66"/>
      <c r="Y83" s="66"/>
      <c r="Z83" s="66"/>
      <c r="AA83" s="66"/>
    </row>
    <row r="84" ht="15.75" customHeight="1">
      <c r="A84" s="67" t="b">
        <v>0</v>
      </c>
      <c r="B84" s="66"/>
      <c r="C84" s="66"/>
      <c r="D84" s="66"/>
      <c r="E84" s="66"/>
      <c r="F84" s="68" t="str">
        <f t="array" ref="F84">IF(INDEX('Binder Data'!$A$752:$A$1001,ROW()-1)="","",IF(INDEX('Binder Data'!$D$752:$D$1001,ROW()-1)="Needed",INDEX('Binder Data'!$B$752:$B$1001,ROW()-1),INDEX('Binder Data'!$D$752:$D$1001,ROW()-1)))</f>
        <v/>
      </c>
      <c r="G84" s="66"/>
      <c r="H84" s="66"/>
      <c r="I84" s="66"/>
      <c r="J84" s="69"/>
      <c r="K84" s="69"/>
      <c r="L84" s="69"/>
      <c r="M84" s="69"/>
      <c r="N84" s="66"/>
      <c r="O84" s="66"/>
      <c r="P84" s="66"/>
      <c r="Q84" s="66"/>
      <c r="R84" s="66"/>
      <c r="S84" s="66"/>
      <c r="T84" s="66"/>
      <c r="U84" s="66"/>
      <c r="V84" s="66"/>
      <c r="W84" s="66"/>
      <c r="X84" s="66"/>
      <c r="Y84" s="66"/>
      <c r="Z84" s="66"/>
      <c r="AA84" s="66"/>
    </row>
    <row r="85" ht="15.75" customHeight="1">
      <c r="A85" s="67" t="b">
        <v>0</v>
      </c>
      <c r="B85" s="66"/>
      <c r="C85" s="66"/>
      <c r="D85" s="66"/>
      <c r="E85" s="66"/>
      <c r="F85" s="68" t="str">
        <f t="array" ref="F85">IF(INDEX('Binder Data'!$A$752:$A$1001,ROW()-1)="","",IF(INDEX('Binder Data'!$D$752:$D$1001,ROW()-1)="Needed",INDEX('Binder Data'!$B$752:$B$1001,ROW()-1),INDEX('Binder Data'!$D$752:$D$1001,ROW()-1)))</f>
        <v/>
      </c>
      <c r="G85" s="66"/>
      <c r="H85" s="66"/>
      <c r="I85" s="66"/>
      <c r="J85" s="69"/>
      <c r="K85" s="69"/>
      <c r="L85" s="69"/>
      <c r="M85" s="69"/>
      <c r="N85" s="66"/>
      <c r="O85" s="66"/>
      <c r="P85" s="66"/>
      <c r="Q85" s="66"/>
      <c r="R85" s="66"/>
      <c r="S85" s="66"/>
      <c r="T85" s="66"/>
      <c r="U85" s="66"/>
      <c r="V85" s="66"/>
      <c r="W85" s="66"/>
      <c r="X85" s="66"/>
      <c r="Y85" s="66"/>
      <c r="Z85" s="66"/>
      <c r="AA85" s="66"/>
    </row>
    <row r="86" ht="15.75" customHeight="1">
      <c r="A86" s="67" t="b">
        <v>0</v>
      </c>
      <c r="B86" s="66"/>
      <c r="C86" s="66"/>
      <c r="D86" s="66"/>
      <c r="E86" s="66"/>
      <c r="F86" s="68" t="str">
        <f t="array" ref="F86">IF(INDEX('Binder Data'!$A$752:$A$1001,ROW()-1)="","",IF(INDEX('Binder Data'!$D$752:$D$1001,ROW()-1)="Needed",INDEX('Binder Data'!$B$752:$B$1001,ROW()-1),INDEX('Binder Data'!$D$752:$D$1001,ROW()-1)))</f>
        <v/>
      </c>
      <c r="G86" s="66"/>
      <c r="H86" s="66"/>
      <c r="I86" s="66"/>
      <c r="J86" s="69"/>
      <c r="K86" s="69"/>
      <c r="L86" s="69"/>
      <c r="M86" s="69"/>
      <c r="N86" s="66"/>
      <c r="O86" s="66"/>
      <c r="P86" s="66"/>
      <c r="Q86" s="66"/>
      <c r="R86" s="66"/>
      <c r="S86" s="66"/>
      <c r="T86" s="66"/>
      <c r="U86" s="66"/>
      <c r="V86" s="66"/>
      <c r="W86" s="66"/>
      <c r="X86" s="66"/>
      <c r="Y86" s="66"/>
      <c r="Z86" s="66"/>
      <c r="AA86" s="66"/>
    </row>
    <row r="87" ht="15.75" customHeight="1">
      <c r="A87" s="67" t="b">
        <v>0</v>
      </c>
      <c r="B87" s="66"/>
      <c r="C87" s="66"/>
      <c r="D87" s="66"/>
      <c r="E87" s="66"/>
      <c r="F87" s="68" t="str">
        <f t="array" ref="F87">IF(INDEX('Binder Data'!$A$752:$A$1001,ROW()-1)="","",IF(INDEX('Binder Data'!$D$752:$D$1001,ROW()-1)="Needed",INDEX('Binder Data'!$B$752:$B$1001,ROW()-1),INDEX('Binder Data'!$D$752:$D$1001,ROW()-1)))</f>
        <v/>
      </c>
      <c r="G87" s="66"/>
      <c r="H87" s="66"/>
      <c r="I87" s="66"/>
      <c r="J87" s="69"/>
      <c r="K87" s="69"/>
      <c r="L87" s="69"/>
      <c r="M87" s="69"/>
      <c r="N87" s="66"/>
      <c r="O87" s="66"/>
      <c r="P87" s="66"/>
      <c r="Q87" s="66"/>
      <c r="R87" s="66"/>
      <c r="S87" s="66"/>
      <c r="T87" s="66"/>
      <c r="U87" s="66"/>
      <c r="V87" s="66"/>
      <c r="W87" s="66"/>
      <c r="X87" s="66"/>
      <c r="Y87" s="66"/>
      <c r="Z87" s="66"/>
      <c r="AA87" s="66"/>
    </row>
    <row r="88" ht="15.75" customHeight="1">
      <c r="A88" s="67" t="b">
        <v>0</v>
      </c>
      <c r="B88" s="66"/>
      <c r="C88" s="66"/>
      <c r="D88" s="66"/>
      <c r="E88" s="66"/>
      <c r="F88" s="68" t="str">
        <f t="array" ref="F88">IF(INDEX('Binder Data'!$A$752:$A$1001,ROW()-1)="","",IF(INDEX('Binder Data'!$D$752:$D$1001,ROW()-1)="Needed",INDEX('Binder Data'!$B$752:$B$1001,ROW()-1),INDEX('Binder Data'!$D$752:$D$1001,ROW()-1)))</f>
        <v/>
      </c>
      <c r="G88" s="66"/>
      <c r="H88" s="66"/>
      <c r="I88" s="66"/>
      <c r="J88" s="69"/>
      <c r="K88" s="69"/>
      <c r="L88" s="69"/>
      <c r="M88" s="69"/>
      <c r="N88" s="66"/>
      <c r="O88" s="66"/>
      <c r="P88" s="66"/>
      <c r="Q88" s="66"/>
      <c r="R88" s="66"/>
      <c r="S88" s="66"/>
      <c r="T88" s="66"/>
      <c r="U88" s="66"/>
      <c r="V88" s="66"/>
      <c r="W88" s="66"/>
      <c r="X88" s="66"/>
      <c r="Y88" s="66"/>
      <c r="Z88" s="66"/>
      <c r="AA88" s="66"/>
    </row>
    <row r="89" ht="15.75" customHeight="1">
      <c r="A89" s="67" t="b">
        <v>0</v>
      </c>
      <c r="B89" s="66"/>
      <c r="C89" s="66"/>
      <c r="D89" s="66"/>
      <c r="E89" s="66"/>
      <c r="F89" s="68" t="str">
        <f t="array" ref="F89">IF(INDEX('Binder Data'!$A$752:$A$1001,ROW()-1)="","",IF(INDEX('Binder Data'!$D$752:$D$1001,ROW()-1)="Needed",INDEX('Binder Data'!$B$752:$B$1001,ROW()-1),INDEX('Binder Data'!$D$752:$D$1001,ROW()-1)))</f>
        <v/>
      </c>
      <c r="G89" s="66"/>
      <c r="H89" s="66"/>
      <c r="I89" s="66"/>
      <c r="J89" s="69"/>
      <c r="K89" s="69"/>
      <c r="L89" s="69"/>
      <c r="M89" s="69"/>
      <c r="N89" s="66"/>
      <c r="O89" s="66"/>
      <c r="P89" s="66"/>
      <c r="Q89" s="66"/>
      <c r="R89" s="66"/>
      <c r="S89" s="66"/>
      <c r="T89" s="66"/>
      <c r="U89" s="66"/>
      <c r="V89" s="66"/>
      <c r="W89" s="66"/>
      <c r="X89" s="66"/>
      <c r="Y89" s="66"/>
      <c r="Z89" s="66"/>
      <c r="AA89" s="66"/>
    </row>
    <row r="90" ht="15.75" customHeight="1">
      <c r="A90" s="66"/>
      <c r="B90" s="66"/>
      <c r="C90" s="70"/>
      <c r="D90" s="66"/>
      <c r="E90" s="66"/>
      <c r="F90" s="68" t="str">
        <f t="array" ref="F90">IF(INDEX('Binder Data'!$A$752:$A$1001,ROW()-1)="","",IF(INDEX('Binder Data'!$D$752:$D$1001,ROW()-1)="Needed",INDEX('Binder Data'!$B$752:$B$1001,ROW()-1),INDEX('Binder Data'!$D$752:$D$1001,ROW()-1)))</f>
        <v/>
      </c>
      <c r="G90" s="66"/>
      <c r="H90" s="66"/>
      <c r="I90" s="66"/>
      <c r="J90" s="69"/>
      <c r="K90" s="69"/>
      <c r="L90" s="69"/>
      <c r="M90" s="69"/>
      <c r="N90" s="66"/>
      <c r="O90" s="66"/>
      <c r="P90" s="66"/>
      <c r="Q90" s="66"/>
      <c r="R90" s="66"/>
      <c r="S90" s="66"/>
      <c r="T90" s="66"/>
      <c r="U90" s="66"/>
      <c r="V90" s="66"/>
      <c r="W90" s="66"/>
      <c r="X90" s="66"/>
      <c r="Y90" s="66"/>
      <c r="Z90" s="66"/>
      <c r="AA90" s="66"/>
    </row>
    <row r="91" ht="15.75" customHeight="1">
      <c r="A91" s="66"/>
      <c r="B91" s="66"/>
      <c r="C91" s="70"/>
      <c r="D91" s="66"/>
      <c r="E91" s="66"/>
      <c r="F91" s="68" t="str">
        <f t="array" ref="F91">IF(INDEX('Binder Data'!$A$752:$A$1001,ROW()-1)="","",IF(INDEX('Binder Data'!$D$752:$D$1001,ROW()-1)="Needed",INDEX('Binder Data'!$B$752:$B$1001,ROW()-1),INDEX('Binder Data'!$D$752:$D$1001,ROW()-1)))</f>
        <v/>
      </c>
      <c r="G91" s="66"/>
      <c r="H91" s="66"/>
      <c r="I91" s="66"/>
      <c r="J91" s="69"/>
      <c r="K91" s="69"/>
      <c r="L91" s="69"/>
      <c r="M91" s="69"/>
      <c r="N91" s="66"/>
      <c r="O91" s="66"/>
      <c r="P91" s="66"/>
      <c r="Q91" s="66"/>
      <c r="R91" s="66"/>
      <c r="S91" s="66"/>
      <c r="T91" s="66"/>
      <c r="U91" s="66"/>
      <c r="V91" s="66"/>
      <c r="W91" s="66"/>
      <c r="X91" s="66"/>
      <c r="Y91" s="66"/>
      <c r="Z91" s="66"/>
      <c r="AA91" s="66"/>
    </row>
    <row r="92" ht="15.75" customHeight="1">
      <c r="A92" s="66"/>
      <c r="B92" s="66"/>
      <c r="C92" s="70"/>
      <c r="D92" s="66"/>
      <c r="E92" s="66"/>
      <c r="F92" s="68" t="str">
        <f t="array" ref="F92">IF(INDEX('Binder Data'!$A$752:$A$1001,ROW()-1)="","",IF(INDEX('Binder Data'!$D$752:$D$1001,ROW()-1)="Needed",INDEX('Binder Data'!$B$752:$B$1001,ROW()-1),INDEX('Binder Data'!$D$752:$D$1001,ROW()-1)))</f>
        <v/>
      </c>
      <c r="G92" s="66"/>
      <c r="H92" s="66"/>
      <c r="I92" s="66"/>
      <c r="J92" s="69"/>
      <c r="K92" s="69"/>
      <c r="L92" s="69"/>
      <c r="M92" s="69"/>
      <c r="N92" s="66"/>
      <c r="O92" s="66"/>
      <c r="P92" s="66"/>
      <c r="Q92" s="66"/>
      <c r="R92" s="66"/>
      <c r="S92" s="66"/>
      <c r="T92" s="66"/>
      <c r="U92" s="66"/>
      <c r="V92" s="66"/>
      <c r="W92" s="66"/>
      <c r="X92" s="66"/>
      <c r="Y92" s="66"/>
      <c r="Z92" s="66"/>
      <c r="AA92" s="66"/>
    </row>
    <row r="93" ht="15.75" customHeight="1">
      <c r="A93" s="66"/>
      <c r="B93" s="66"/>
      <c r="C93" s="70"/>
      <c r="D93" s="66"/>
      <c r="E93" s="66"/>
      <c r="F93" s="68" t="str">
        <f t="array" ref="F93">IF(INDEX('Binder Data'!$A$752:$A$1001,ROW()-1)="","",IF(INDEX('Binder Data'!$D$752:$D$1001,ROW()-1)="Needed",INDEX('Binder Data'!$B$752:$B$1001,ROW()-1),INDEX('Binder Data'!$D$752:$D$1001,ROW()-1)))</f>
        <v/>
      </c>
      <c r="G93" s="66"/>
      <c r="H93" s="66"/>
      <c r="I93" s="66"/>
      <c r="J93" s="69"/>
      <c r="K93" s="69"/>
      <c r="L93" s="69"/>
      <c r="M93" s="69"/>
      <c r="N93" s="66"/>
      <c r="O93" s="66"/>
      <c r="P93" s="66"/>
      <c r="Q93" s="66"/>
      <c r="R93" s="66"/>
      <c r="S93" s="66"/>
      <c r="T93" s="66"/>
      <c r="U93" s="66"/>
      <c r="V93" s="66"/>
      <c r="W93" s="66"/>
      <c r="X93" s="66"/>
      <c r="Y93" s="66"/>
      <c r="Z93" s="66"/>
      <c r="AA93" s="66"/>
    </row>
    <row r="94" ht="15.75" customHeight="1">
      <c r="A94" s="66"/>
      <c r="B94" s="66"/>
      <c r="C94" s="70"/>
      <c r="D94" s="66"/>
      <c r="E94" s="66"/>
      <c r="F94" s="68" t="str">
        <f t="array" ref="F94">IF(INDEX('Binder Data'!$A$752:$A$1001,ROW()-1)="","",IF(INDEX('Binder Data'!$D$752:$D$1001,ROW()-1)="Needed",INDEX('Binder Data'!$B$752:$B$1001,ROW()-1),INDEX('Binder Data'!$D$752:$D$1001,ROW()-1)))</f>
        <v/>
      </c>
      <c r="G94" s="66"/>
      <c r="H94" s="66"/>
      <c r="I94" s="66"/>
      <c r="J94" s="69"/>
      <c r="K94" s="69"/>
      <c r="L94" s="69"/>
      <c r="M94" s="69"/>
      <c r="N94" s="66"/>
      <c r="O94" s="66"/>
      <c r="P94" s="66"/>
      <c r="Q94" s="66"/>
      <c r="R94" s="66"/>
      <c r="S94" s="66"/>
      <c r="T94" s="66"/>
      <c r="U94" s="66"/>
      <c r="V94" s="66"/>
      <c r="W94" s="66"/>
      <c r="X94" s="66"/>
      <c r="Y94" s="66"/>
      <c r="Z94" s="66"/>
      <c r="AA94" s="66"/>
    </row>
    <row r="95" ht="15.75" customHeight="1">
      <c r="A95" s="66"/>
      <c r="B95" s="66"/>
      <c r="C95" s="70"/>
      <c r="D95" s="66"/>
      <c r="E95" s="66"/>
      <c r="F95" s="68" t="str">
        <f t="array" ref="F95">IF(INDEX('Binder Data'!$A$752:$A$1001,ROW()-1)="","",IF(INDEX('Binder Data'!$D$752:$D$1001,ROW()-1)="Needed",INDEX('Binder Data'!$B$752:$B$1001,ROW()-1),INDEX('Binder Data'!$D$752:$D$1001,ROW()-1)))</f>
        <v/>
      </c>
      <c r="G95" s="66"/>
      <c r="H95" s="66"/>
      <c r="I95" s="66"/>
      <c r="J95" s="69"/>
      <c r="K95" s="69"/>
      <c r="L95" s="69"/>
      <c r="M95" s="69"/>
      <c r="N95" s="66"/>
      <c r="O95" s="71"/>
      <c r="P95" s="66"/>
      <c r="Q95" s="66"/>
      <c r="R95" s="66"/>
      <c r="S95" s="66"/>
      <c r="T95" s="66"/>
      <c r="U95" s="66"/>
      <c r="V95" s="66"/>
      <c r="W95" s="66"/>
      <c r="X95" s="66"/>
      <c r="Y95" s="66"/>
      <c r="Z95" s="66"/>
      <c r="AA95" s="66"/>
    </row>
    <row r="96" ht="15.75" customHeight="1">
      <c r="A96" s="66"/>
      <c r="B96" s="66"/>
      <c r="C96" s="70"/>
      <c r="D96" s="66"/>
      <c r="E96" s="66"/>
      <c r="F96" s="68" t="str">
        <f t="array" ref="F96">IF(INDEX('Binder Data'!$A$752:$A$1001,ROW()-1)="","",IF(INDEX('Binder Data'!$D$752:$D$1001,ROW()-1)="Needed",INDEX('Binder Data'!$B$752:$B$1001,ROW()-1),INDEX('Binder Data'!$D$752:$D$1001,ROW()-1)))</f>
        <v/>
      </c>
      <c r="G96" s="66"/>
      <c r="H96" s="66"/>
      <c r="I96" s="66"/>
      <c r="J96" s="69"/>
      <c r="K96" s="69"/>
      <c r="L96" s="69"/>
      <c r="M96" s="69"/>
      <c r="N96" s="66"/>
      <c r="O96" s="71"/>
      <c r="P96" s="66"/>
      <c r="Q96" s="66"/>
      <c r="R96" s="66"/>
      <c r="S96" s="66"/>
      <c r="T96" s="66"/>
      <c r="U96" s="66"/>
      <c r="V96" s="66"/>
      <c r="W96" s="66"/>
      <c r="X96" s="66"/>
      <c r="Y96" s="66"/>
      <c r="Z96" s="66"/>
      <c r="AA96" s="66"/>
    </row>
    <row r="97" ht="15.75" customHeight="1">
      <c r="A97" s="66"/>
      <c r="B97" s="66"/>
      <c r="C97" s="70"/>
      <c r="D97" s="66"/>
      <c r="E97" s="66"/>
      <c r="F97" s="68" t="str">
        <f t="array" ref="F97">IF(INDEX('Binder Data'!$A$752:$A$1001,ROW()-1)="","",IF(INDEX('Binder Data'!$D$752:$D$1001,ROW()-1)="Needed",INDEX('Binder Data'!$B$752:$B$1001,ROW()-1),INDEX('Binder Data'!$D$752:$D$1001,ROW()-1)))</f>
        <v/>
      </c>
      <c r="G97" s="66"/>
      <c r="H97" s="66"/>
      <c r="I97" s="66"/>
      <c r="J97" s="66"/>
      <c r="K97" s="66"/>
      <c r="L97" s="66"/>
      <c r="M97" s="66"/>
      <c r="N97" s="66"/>
      <c r="O97" s="66"/>
      <c r="P97" s="66"/>
      <c r="Q97" s="66"/>
      <c r="R97" s="66"/>
      <c r="S97" s="66"/>
      <c r="T97" s="66"/>
      <c r="U97" s="66"/>
      <c r="V97" s="66"/>
      <c r="W97" s="66"/>
      <c r="X97" s="66"/>
      <c r="Y97" s="66"/>
      <c r="Z97" s="66"/>
      <c r="AA97" s="66"/>
    </row>
    <row r="98" ht="15.75" customHeight="1">
      <c r="A98" s="66"/>
      <c r="B98" s="66"/>
      <c r="C98" s="70"/>
      <c r="D98" s="66"/>
      <c r="E98" s="66"/>
      <c r="F98" s="68" t="str">
        <f t="array" ref="F98">IF(INDEX('Binder Data'!$A$752:$A$1001,ROW()-1)="","",IF(INDEX('Binder Data'!$D$752:$D$1001,ROW()-1)="Needed",INDEX('Binder Data'!$B$752:$B$1001,ROW()-1),INDEX('Binder Data'!$D$752:$D$1001,ROW()-1)))</f>
        <v/>
      </c>
      <c r="G98" s="66"/>
      <c r="H98" s="66"/>
      <c r="I98" s="66"/>
      <c r="J98" s="66"/>
      <c r="K98" s="66"/>
      <c r="L98" s="66"/>
      <c r="M98" s="66"/>
      <c r="N98" s="66"/>
      <c r="O98" s="71"/>
      <c r="P98" s="66"/>
      <c r="Q98" s="66"/>
      <c r="R98" s="66"/>
      <c r="S98" s="66"/>
      <c r="T98" s="66"/>
      <c r="U98" s="66"/>
      <c r="V98" s="66"/>
      <c r="W98" s="66"/>
      <c r="X98" s="66"/>
      <c r="Y98" s="66"/>
      <c r="Z98" s="66"/>
      <c r="AA98" s="66"/>
    </row>
    <row r="99" ht="15.75" customHeight="1">
      <c r="A99" s="66"/>
      <c r="B99" s="66"/>
      <c r="C99" s="70"/>
      <c r="D99" s="66"/>
      <c r="E99" s="66"/>
      <c r="F99" s="68" t="str">
        <f t="array" ref="F99">IF(INDEX('Binder Data'!$A$752:$A$1001,ROW()-1)="","",IF(INDEX('Binder Data'!$D$752:$D$1001,ROW()-1)="Needed",INDEX('Binder Data'!$B$752:$B$1001,ROW()-1),INDEX('Binder Data'!$D$752:$D$1001,ROW()-1)))</f>
        <v/>
      </c>
      <c r="G99" s="66"/>
      <c r="H99" s="66"/>
      <c r="I99" s="66"/>
      <c r="J99" s="66"/>
      <c r="K99" s="66"/>
      <c r="L99" s="66"/>
      <c r="M99" s="66"/>
      <c r="N99" s="66"/>
      <c r="O99" s="71"/>
      <c r="P99" s="66"/>
      <c r="Q99" s="66"/>
      <c r="R99" s="66"/>
      <c r="S99" s="66"/>
      <c r="T99" s="66"/>
      <c r="U99" s="66"/>
      <c r="V99" s="66"/>
      <c r="W99" s="66"/>
      <c r="X99" s="66"/>
      <c r="Y99" s="66"/>
      <c r="Z99" s="66"/>
      <c r="AA99" s="66"/>
    </row>
    <row r="100" ht="15.75" customHeight="1">
      <c r="A100" s="66"/>
      <c r="B100" s="66"/>
      <c r="C100" s="70"/>
      <c r="D100" s="66"/>
      <c r="E100" s="66"/>
      <c r="F100" s="68" t="str">
        <f t="array" ref="F100">IF(INDEX('Binder Data'!$A$752:$A$1001,ROW()-1)="","",IF(INDEX('Binder Data'!$D$752:$D$1001,ROW()-1)="Needed",INDEX('Binder Data'!$B$752:$B$1001,ROW()-1),INDEX('Binder Data'!$D$752:$D$1001,ROW()-1)))</f>
        <v/>
      </c>
      <c r="G100" s="66"/>
      <c r="H100" s="66"/>
      <c r="I100" s="66"/>
      <c r="J100" s="66"/>
      <c r="K100" s="66"/>
      <c r="L100" s="66"/>
      <c r="M100" s="66"/>
      <c r="N100" s="66"/>
      <c r="O100" s="71"/>
      <c r="P100" s="66"/>
      <c r="Q100" s="66"/>
      <c r="R100" s="66"/>
      <c r="S100" s="66"/>
      <c r="T100" s="66"/>
      <c r="U100" s="66"/>
      <c r="V100" s="66"/>
      <c r="W100" s="66"/>
      <c r="X100" s="66"/>
      <c r="Y100" s="66"/>
      <c r="Z100" s="66"/>
      <c r="AA100" s="66"/>
    </row>
    <row r="101" ht="15.75" customHeight="1">
      <c r="A101" s="66"/>
      <c r="B101" s="66"/>
      <c r="C101" s="70"/>
      <c r="D101" s="66"/>
      <c r="E101" s="66"/>
      <c r="F101" s="68" t="str">
        <f t="array" ref="F101">IF(INDEX('Binder Data'!$A$752:$A$1001,ROW()-1)="","",IF(INDEX('Binder Data'!$D$752:$D$1001,ROW()-1)="Needed",INDEX('Binder Data'!$B$752:$B$1001,ROW()-1),INDEX('Binder Data'!$D$752:$D$1001,ROW()-1)))</f>
        <v/>
      </c>
      <c r="G101" s="66"/>
      <c r="H101" s="66"/>
      <c r="I101" s="66"/>
      <c r="J101" s="66"/>
      <c r="K101" s="66"/>
      <c r="L101" s="66"/>
      <c r="M101" s="66"/>
      <c r="N101" s="66"/>
      <c r="O101" s="71"/>
      <c r="P101" s="66"/>
      <c r="Q101" s="66"/>
      <c r="R101" s="66"/>
      <c r="S101" s="66"/>
      <c r="T101" s="66"/>
      <c r="U101" s="66"/>
      <c r="V101" s="66"/>
      <c r="W101" s="66"/>
      <c r="X101" s="66"/>
      <c r="Y101" s="66"/>
      <c r="Z101" s="66"/>
      <c r="AA101" s="66"/>
    </row>
    <row r="102" ht="15.75" customHeight="1">
      <c r="A102" s="66"/>
      <c r="B102" s="66"/>
      <c r="C102" s="70"/>
      <c r="D102" s="66"/>
      <c r="E102" s="66"/>
      <c r="F102" s="68" t="str">
        <f t="array" ref="F102">IF(INDEX('Binder Data'!$A$752:$A$1001,ROW()-1)="","",IF(INDEX('Binder Data'!$D$752:$D$1001,ROW()-1)="Needed",INDEX('Binder Data'!$B$752:$B$1001,ROW()-1),INDEX('Binder Data'!$D$752:$D$1001,ROW()-1)))</f>
        <v/>
      </c>
      <c r="G102" s="66"/>
      <c r="H102" s="66"/>
      <c r="I102" s="66"/>
      <c r="J102" s="66"/>
      <c r="K102" s="66"/>
      <c r="L102" s="66"/>
      <c r="M102" s="66"/>
      <c r="N102" s="66"/>
      <c r="O102" s="71"/>
      <c r="P102" s="66"/>
      <c r="Q102" s="66"/>
      <c r="R102" s="66"/>
      <c r="S102" s="66"/>
      <c r="T102" s="66"/>
      <c r="U102" s="66"/>
      <c r="V102" s="66"/>
      <c r="W102" s="66"/>
      <c r="X102" s="66"/>
      <c r="Y102" s="66"/>
      <c r="Z102" s="66"/>
      <c r="AA102" s="66"/>
    </row>
    <row r="103" ht="15.75" customHeight="1">
      <c r="A103" s="66"/>
      <c r="B103" s="66"/>
      <c r="C103" s="70"/>
      <c r="D103" s="66"/>
      <c r="E103" s="66"/>
      <c r="F103" s="68" t="str">
        <f t="array" ref="F103">IF(INDEX('Binder Data'!$A$752:$A$1001,ROW()-1)="","",IF(INDEX('Binder Data'!$D$752:$D$1001,ROW()-1)="Needed",INDEX('Binder Data'!$B$752:$B$1001,ROW()-1),INDEX('Binder Data'!$D$752:$D$1001,ROW()-1)))</f>
        <v/>
      </c>
      <c r="G103" s="66"/>
      <c r="H103" s="66"/>
      <c r="I103" s="66"/>
      <c r="J103" s="66"/>
      <c r="K103" s="66"/>
      <c r="L103" s="66"/>
      <c r="M103" s="66"/>
      <c r="N103" s="66"/>
      <c r="O103" s="71"/>
      <c r="P103" s="66"/>
      <c r="Q103" s="66"/>
      <c r="R103" s="66"/>
      <c r="S103" s="66"/>
      <c r="T103" s="66"/>
      <c r="U103" s="66"/>
      <c r="V103" s="66"/>
      <c r="W103" s="66"/>
      <c r="X103" s="66"/>
      <c r="Y103" s="66"/>
      <c r="Z103" s="66"/>
      <c r="AA103" s="66"/>
    </row>
    <row r="104" ht="15.75" customHeight="1">
      <c r="A104" s="66"/>
      <c r="B104" s="66"/>
      <c r="C104" s="70"/>
      <c r="D104" s="66"/>
      <c r="E104" s="66"/>
      <c r="F104" s="68" t="str">
        <f t="array" ref="F104">IF(INDEX('Binder Data'!$A$752:$A$1001,ROW()-1)="","",IF(INDEX('Binder Data'!$D$752:$D$1001,ROW()-1)="Needed",INDEX('Binder Data'!$B$752:$B$1001,ROW()-1),INDEX('Binder Data'!$D$752:$D$1001,ROW()-1)))</f>
        <v/>
      </c>
      <c r="G104" s="66"/>
      <c r="H104" s="66"/>
      <c r="I104" s="66"/>
      <c r="J104" s="66"/>
      <c r="K104" s="66"/>
      <c r="L104" s="66"/>
      <c r="M104" s="66"/>
      <c r="N104" s="66"/>
      <c r="O104" s="71"/>
      <c r="P104" s="66"/>
      <c r="Q104" s="66"/>
      <c r="R104" s="66"/>
      <c r="S104" s="66"/>
      <c r="T104" s="66"/>
      <c r="U104" s="66"/>
      <c r="V104" s="66"/>
      <c r="W104" s="66"/>
      <c r="X104" s="66"/>
      <c r="Y104" s="66"/>
      <c r="Z104" s="66"/>
      <c r="AA104" s="66"/>
    </row>
    <row r="105" ht="15.75" customHeight="1">
      <c r="A105" s="66"/>
      <c r="B105" s="66"/>
      <c r="C105" s="70"/>
      <c r="D105" s="66"/>
      <c r="E105" s="66"/>
      <c r="F105" s="68" t="str">
        <f t="array" ref="F105">IF(INDEX('Binder Data'!$A$752:$A$1001,ROW()-1)="","",IF(INDEX('Binder Data'!$D$752:$D$1001,ROW()-1)="Needed",INDEX('Binder Data'!$B$752:$B$1001,ROW()-1),INDEX('Binder Data'!$D$752:$D$1001,ROW()-1)))</f>
        <v/>
      </c>
      <c r="G105" s="66"/>
      <c r="H105" s="66"/>
      <c r="I105" s="66"/>
      <c r="J105" s="66"/>
      <c r="K105" s="66"/>
      <c r="L105" s="66"/>
      <c r="M105" s="66"/>
      <c r="N105" s="66"/>
      <c r="O105" s="71"/>
      <c r="P105" s="66"/>
      <c r="Q105" s="66"/>
      <c r="R105" s="66"/>
      <c r="S105" s="66"/>
      <c r="T105" s="66"/>
      <c r="U105" s="66"/>
      <c r="V105" s="66"/>
      <c r="W105" s="66"/>
      <c r="X105" s="66"/>
      <c r="Y105" s="66"/>
      <c r="Z105" s="66"/>
      <c r="AA105" s="66"/>
    </row>
    <row r="106" ht="15.75" customHeight="1">
      <c r="A106" s="66"/>
      <c r="B106" s="66"/>
      <c r="C106" s="70"/>
      <c r="D106" s="66"/>
      <c r="E106" s="66"/>
      <c r="F106" s="68" t="str">
        <f t="array" ref="F106">IF(INDEX('Binder Data'!$A$752:$A$1001,ROW()-1)="","",IF(INDEX('Binder Data'!$D$752:$D$1001,ROW()-1)="Needed",INDEX('Binder Data'!$B$752:$B$1001,ROW()-1),INDEX('Binder Data'!$D$752:$D$1001,ROW()-1)))</f>
        <v/>
      </c>
      <c r="G106" s="66"/>
      <c r="H106" s="66"/>
      <c r="I106" s="66"/>
      <c r="J106" s="66"/>
      <c r="K106" s="66"/>
      <c r="L106" s="66"/>
      <c r="M106" s="66"/>
      <c r="N106" s="66"/>
      <c r="O106" s="66"/>
      <c r="P106" s="66"/>
      <c r="Q106" s="66"/>
      <c r="R106" s="66"/>
      <c r="S106" s="66"/>
      <c r="T106" s="66"/>
      <c r="U106" s="66"/>
      <c r="V106" s="66"/>
      <c r="W106" s="66"/>
      <c r="X106" s="66"/>
      <c r="Y106" s="66"/>
      <c r="Z106" s="66"/>
      <c r="AA106" s="66"/>
    </row>
    <row r="107" ht="15.75" customHeight="1">
      <c r="A107" s="66"/>
      <c r="B107" s="66"/>
      <c r="C107" s="70"/>
      <c r="D107" s="66"/>
      <c r="E107" s="66"/>
      <c r="F107" s="68" t="str">
        <f t="array" ref="F107">IF(INDEX('Binder Data'!$A$752:$A$1001,ROW()-1)="","",IF(INDEX('Binder Data'!$D$752:$D$1001,ROW()-1)="Needed",INDEX('Binder Data'!$B$752:$B$1001,ROW()-1),INDEX('Binder Data'!$D$752:$D$1001,ROW()-1)))</f>
        <v/>
      </c>
      <c r="G107" s="66"/>
      <c r="H107" s="66"/>
      <c r="I107" s="66"/>
      <c r="J107" s="66"/>
      <c r="K107" s="66"/>
      <c r="L107" s="66"/>
      <c r="M107" s="66"/>
      <c r="N107" s="66"/>
      <c r="O107" s="66"/>
      <c r="P107" s="66"/>
      <c r="Q107" s="66"/>
      <c r="R107" s="66"/>
      <c r="S107" s="66"/>
      <c r="T107" s="66"/>
      <c r="U107" s="66"/>
      <c r="V107" s="66"/>
      <c r="W107" s="66"/>
      <c r="X107" s="66"/>
      <c r="Y107" s="66"/>
      <c r="Z107" s="66"/>
      <c r="AA107" s="66"/>
    </row>
    <row r="108" ht="15.75" customHeight="1">
      <c r="A108" s="66"/>
      <c r="B108" s="66"/>
      <c r="C108" s="70"/>
      <c r="D108" s="66"/>
      <c r="E108" s="66"/>
      <c r="F108" s="68" t="str">
        <f t="array" ref="F108">IF(INDEX('Binder Data'!$A$752:$A$1001,ROW()-1)="","",IF(INDEX('Binder Data'!$D$752:$D$1001,ROW()-1)="Needed",INDEX('Binder Data'!$B$752:$B$1001,ROW()-1),INDEX('Binder Data'!$D$752:$D$1001,ROW()-1)))</f>
        <v/>
      </c>
      <c r="G108" s="66"/>
      <c r="H108" s="66"/>
      <c r="I108" s="66"/>
      <c r="J108" s="66"/>
      <c r="K108" s="66"/>
      <c r="L108" s="66"/>
      <c r="M108" s="66"/>
      <c r="N108" s="66"/>
      <c r="O108" s="66"/>
      <c r="P108" s="66"/>
      <c r="Q108" s="66"/>
      <c r="R108" s="66"/>
      <c r="S108" s="66"/>
      <c r="T108" s="66"/>
      <c r="U108" s="66"/>
      <c r="V108" s="66"/>
      <c r="W108" s="66"/>
      <c r="X108" s="66"/>
      <c r="Y108" s="66"/>
      <c r="Z108" s="66"/>
      <c r="AA108" s="66"/>
    </row>
    <row r="109" ht="15.75" customHeight="1">
      <c r="A109" s="66"/>
      <c r="B109" s="66"/>
      <c r="C109" s="70"/>
      <c r="D109" s="66"/>
      <c r="E109" s="66"/>
      <c r="F109" s="68" t="str">
        <f t="array" ref="F109">IF(INDEX('Binder Data'!$A$752:$A$1001,ROW()-1)="","",IF(INDEX('Binder Data'!$D$752:$D$1001,ROW()-1)="Needed",INDEX('Binder Data'!$B$752:$B$1001,ROW()-1),INDEX('Binder Data'!$D$752:$D$1001,ROW()-1)))</f>
        <v/>
      </c>
      <c r="G109" s="66"/>
      <c r="H109" s="66"/>
      <c r="I109" s="66"/>
      <c r="J109" s="66"/>
      <c r="K109" s="66"/>
      <c r="L109" s="66"/>
      <c r="M109" s="66"/>
      <c r="N109" s="66"/>
      <c r="O109" s="66"/>
      <c r="P109" s="66"/>
      <c r="Q109" s="66"/>
      <c r="R109" s="66"/>
      <c r="S109" s="66"/>
      <c r="T109" s="66"/>
      <c r="U109" s="66"/>
      <c r="V109" s="66"/>
      <c r="W109" s="66"/>
      <c r="X109" s="66"/>
      <c r="Y109" s="66"/>
      <c r="Z109" s="66"/>
      <c r="AA109" s="66"/>
    </row>
    <row r="110" ht="15.75" customHeight="1">
      <c r="A110" s="66"/>
      <c r="B110" s="66"/>
      <c r="C110" s="70"/>
      <c r="D110" s="66"/>
      <c r="E110" s="66"/>
      <c r="F110" s="68" t="str">
        <f t="array" ref="F110">IF(INDEX('Binder Data'!$A$752:$A$1001,ROW()-1)="","",IF(INDEX('Binder Data'!$D$752:$D$1001,ROW()-1)="Needed",INDEX('Binder Data'!$B$752:$B$1001,ROW()-1),INDEX('Binder Data'!$D$752:$D$1001,ROW()-1)))</f>
        <v/>
      </c>
      <c r="G110" s="66"/>
      <c r="H110" s="66"/>
      <c r="I110" s="66"/>
      <c r="J110" s="66"/>
      <c r="K110" s="66"/>
      <c r="L110" s="66"/>
      <c r="M110" s="66"/>
      <c r="N110" s="66"/>
      <c r="O110" s="66"/>
      <c r="P110" s="66"/>
      <c r="Q110" s="66"/>
      <c r="R110" s="66"/>
      <c r="S110" s="66"/>
      <c r="T110" s="66"/>
      <c r="U110" s="66"/>
      <c r="V110" s="66"/>
      <c r="W110" s="66"/>
      <c r="X110" s="66"/>
      <c r="Y110" s="66"/>
      <c r="Z110" s="66"/>
      <c r="AA110" s="66"/>
    </row>
    <row r="111" ht="15.75" customHeight="1">
      <c r="A111" s="66"/>
      <c r="B111" s="66"/>
      <c r="C111" s="70"/>
      <c r="D111" s="66"/>
      <c r="E111" s="66"/>
      <c r="F111" s="68" t="str">
        <f t="array" ref="F111">IF(INDEX('Binder Data'!$A$752:$A$1001,ROW()-1)="","",IF(INDEX('Binder Data'!$D$752:$D$1001,ROW()-1)="Needed",INDEX('Binder Data'!$B$752:$B$1001,ROW()-1),INDEX('Binder Data'!$D$752:$D$1001,ROW()-1)))</f>
        <v/>
      </c>
      <c r="G111" s="66"/>
      <c r="H111" s="66"/>
      <c r="I111" s="66"/>
      <c r="J111" s="66"/>
      <c r="K111" s="66"/>
      <c r="L111" s="66"/>
      <c r="M111" s="66"/>
      <c r="N111" s="66"/>
      <c r="O111" s="66"/>
      <c r="P111" s="66"/>
      <c r="Q111" s="66"/>
      <c r="R111" s="66"/>
      <c r="S111" s="66"/>
      <c r="T111" s="66"/>
      <c r="U111" s="66"/>
      <c r="V111" s="66"/>
      <c r="W111" s="66"/>
      <c r="X111" s="66"/>
      <c r="Y111" s="66"/>
      <c r="Z111" s="66"/>
      <c r="AA111" s="66"/>
    </row>
    <row r="112" ht="15.75" customHeight="1">
      <c r="A112" s="66"/>
      <c r="B112" s="66"/>
      <c r="C112" s="70"/>
      <c r="D112" s="66"/>
      <c r="E112" s="66"/>
      <c r="F112" s="68" t="str">
        <f t="array" ref="F112">IF(INDEX('Binder Data'!$A$752:$A$1001,ROW()-1)="","",IF(INDEX('Binder Data'!$D$752:$D$1001,ROW()-1)="Needed",INDEX('Binder Data'!$B$752:$B$1001,ROW()-1),INDEX('Binder Data'!$D$752:$D$1001,ROW()-1)))</f>
        <v/>
      </c>
      <c r="G112" s="66"/>
      <c r="H112" s="66"/>
      <c r="I112" s="66"/>
      <c r="J112" s="66"/>
      <c r="K112" s="66"/>
      <c r="L112" s="66"/>
      <c r="M112" s="66"/>
      <c r="N112" s="66"/>
      <c r="O112" s="66"/>
      <c r="P112" s="66"/>
      <c r="Q112" s="66"/>
      <c r="R112" s="66"/>
      <c r="S112" s="66"/>
      <c r="T112" s="66"/>
      <c r="U112" s="66"/>
      <c r="V112" s="66"/>
      <c r="W112" s="66"/>
      <c r="X112" s="66"/>
      <c r="Y112" s="66"/>
      <c r="Z112" s="66"/>
      <c r="AA112" s="66"/>
    </row>
    <row r="113" ht="15.75" customHeight="1">
      <c r="A113" s="66"/>
      <c r="B113" s="66"/>
      <c r="C113" s="70"/>
      <c r="D113" s="66"/>
      <c r="E113" s="66"/>
      <c r="F113" s="68" t="str">
        <f t="array" ref="F113">IF(INDEX('Binder Data'!$A$752:$A$1001,ROW()-1)="","",IF(INDEX('Binder Data'!$D$752:$D$1001,ROW()-1)="Needed",INDEX('Binder Data'!$B$752:$B$1001,ROW()-1),INDEX('Binder Data'!$D$752:$D$1001,ROW()-1)))</f>
        <v/>
      </c>
      <c r="G113" s="66"/>
      <c r="H113" s="66"/>
      <c r="I113" s="66"/>
      <c r="J113" s="66"/>
      <c r="K113" s="66"/>
      <c r="L113" s="66"/>
      <c r="M113" s="66"/>
      <c r="N113" s="66"/>
      <c r="O113" s="66"/>
      <c r="P113" s="66"/>
      <c r="Q113" s="66"/>
      <c r="R113" s="66"/>
      <c r="S113" s="66"/>
      <c r="T113" s="66"/>
      <c r="U113" s="66"/>
      <c r="V113" s="66"/>
      <c r="W113" s="66"/>
      <c r="X113" s="66"/>
      <c r="Y113" s="66"/>
      <c r="Z113" s="66"/>
      <c r="AA113" s="66"/>
    </row>
    <row r="114" ht="15.75" customHeight="1">
      <c r="A114" s="66"/>
      <c r="B114" s="66"/>
      <c r="C114" s="70"/>
      <c r="D114" s="66"/>
      <c r="E114" s="66"/>
      <c r="F114" s="68" t="str">
        <f t="array" ref="F114">IF(INDEX('Binder Data'!$A$752:$A$1001,ROW()-1)="","",IF(INDEX('Binder Data'!$D$752:$D$1001,ROW()-1)="Needed",INDEX('Binder Data'!$B$752:$B$1001,ROW()-1),INDEX('Binder Data'!$D$752:$D$1001,ROW()-1)))</f>
        <v/>
      </c>
      <c r="G114" s="66"/>
      <c r="H114" s="66"/>
      <c r="I114" s="66"/>
      <c r="J114" s="66"/>
      <c r="K114" s="66"/>
      <c r="L114" s="66"/>
      <c r="M114" s="66"/>
      <c r="N114" s="66"/>
      <c r="O114" s="66"/>
      <c r="P114" s="66"/>
      <c r="Q114" s="66"/>
      <c r="R114" s="66"/>
      <c r="S114" s="66"/>
      <c r="T114" s="66"/>
      <c r="U114" s="66"/>
      <c r="V114" s="66"/>
      <c r="W114" s="66"/>
      <c r="X114" s="66"/>
      <c r="Y114" s="66"/>
      <c r="Z114" s="66"/>
      <c r="AA114" s="66"/>
    </row>
    <row r="115" ht="15.75" customHeight="1">
      <c r="A115" s="66"/>
      <c r="B115" s="66"/>
      <c r="C115" s="70"/>
      <c r="D115" s="66"/>
      <c r="E115" s="66"/>
      <c r="F115" s="68" t="str">
        <f t="array" ref="F115">IF(INDEX('Binder Data'!$A$752:$A$1001,ROW()-1)="","",IF(INDEX('Binder Data'!$D$752:$D$1001,ROW()-1)="Needed",INDEX('Binder Data'!$B$752:$B$1001,ROW()-1),INDEX('Binder Data'!$D$752:$D$1001,ROW()-1)))</f>
        <v/>
      </c>
      <c r="G115" s="66"/>
      <c r="H115" s="66"/>
      <c r="I115" s="66"/>
      <c r="J115" s="66"/>
      <c r="K115" s="66"/>
      <c r="L115" s="66"/>
      <c r="M115" s="66"/>
      <c r="N115" s="66"/>
      <c r="O115" s="66"/>
      <c r="P115" s="66"/>
      <c r="Q115" s="66"/>
      <c r="R115" s="66"/>
      <c r="S115" s="66"/>
      <c r="T115" s="66"/>
      <c r="U115" s="66"/>
      <c r="V115" s="66"/>
      <c r="W115" s="66"/>
      <c r="X115" s="66"/>
      <c r="Y115" s="66"/>
      <c r="Z115" s="66"/>
      <c r="AA115" s="66"/>
    </row>
    <row r="116" ht="15.75" customHeight="1">
      <c r="A116" s="66"/>
      <c r="B116" s="66"/>
      <c r="C116" s="70"/>
      <c r="D116" s="66"/>
      <c r="E116" s="66"/>
      <c r="F116" s="68" t="str">
        <f t="array" ref="F116">IF(INDEX('Binder Data'!$A$752:$A$1001,ROW()-1)="","",IF(INDEX('Binder Data'!$D$752:$D$1001,ROW()-1)="Needed",INDEX('Binder Data'!$B$752:$B$1001,ROW()-1),INDEX('Binder Data'!$D$752:$D$1001,ROW()-1)))</f>
        <v/>
      </c>
      <c r="G116" s="66"/>
      <c r="H116" s="66"/>
      <c r="I116" s="66"/>
      <c r="J116" s="66"/>
      <c r="K116" s="66"/>
      <c r="L116" s="66"/>
      <c r="M116" s="66"/>
      <c r="N116" s="66"/>
      <c r="O116" s="66"/>
      <c r="P116" s="66"/>
      <c r="Q116" s="66"/>
      <c r="R116" s="66"/>
      <c r="S116" s="66"/>
      <c r="T116" s="66"/>
      <c r="U116" s="66"/>
      <c r="V116" s="66"/>
      <c r="W116" s="66"/>
      <c r="X116" s="66"/>
      <c r="Y116" s="66"/>
      <c r="Z116" s="66"/>
      <c r="AA116" s="66"/>
    </row>
    <row r="117" ht="15.75" customHeight="1">
      <c r="A117" s="66"/>
      <c r="B117" s="66"/>
      <c r="C117" s="70"/>
      <c r="D117" s="66"/>
      <c r="E117" s="66"/>
      <c r="F117" s="68" t="str">
        <f t="array" ref="F117">IF(INDEX('Binder Data'!$A$752:$A$1001,ROW()-1)="","",IF(INDEX('Binder Data'!$D$752:$D$1001,ROW()-1)="Needed",INDEX('Binder Data'!$B$752:$B$1001,ROW()-1),INDEX('Binder Data'!$D$752:$D$1001,ROW()-1)))</f>
        <v/>
      </c>
      <c r="G117" s="66"/>
      <c r="H117" s="66"/>
      <c r="I117" s="66"/>
      <c r="J117" s="66"/>
      <c r="K117" s="66"/>
      <c r="L117" s="66"/>
      <c r="M117" s="66"/>
      <c r="N117" s="66"/>
      <c r="O117" s="66"/>
      <c r="P117" s="66"/>
      <c r="Q117" s="66"/>
      <c r="R117" s="66"/>
      <c r="S117" s="66"/>
      <c r="T117" s="66"/>
      <c r="U117" s="66"/>
      <c r="V117" s="66"/>
      <c r="W117" s="66"/>
      <c r="X117" s="66"/>
      <c r="Y117" s="66"/>
      <c r="Z117" s="66"/>
      <c r="AA117" s="66"/>
    </row>
    <row r="118" ht="15.75" customHeight="1">
      <c r="A118" s="66"/>
      <c r="B118" s="66"/>
      <c r="C118" s="70"/>
      <c r="D118" s="66"/>
      <c r="E118" s="66"/>
      <c r="F118" s="68" t="str">
        <f t="array" ref="F118">IF(INDEX('Binder Data'!$A$752:$A$1001,ROW()-1)="","",IF(INDEX('Binder Data'!$D$752:$D$1001,ROW()-1)="Needed",INDEX('Binder Data'!$B$752:$B$1001,ROW()-1),INDEX('Binder Data'!$D$752:$D$1001,ROW()-1)))</f>
        <v/>
      </c>
      <c r="G118" s="66"/>
      <c r="H118" s="66"/>
      <c r="I118" s="66"/>
      <c r="J118" s="66"/>
      <c r="K118" s="66"/>
      <c r="L118" s="66"/>
      <c r="M118" s="66"/>
      <c r="N118" s="66"/>
      <c r="O118" s="66"/>
      <c r="P118" s="66"/>
      <c r="Q118" s="66"/>
      <c r="R118" s="66"/>
      <c r="S118" s="66"/>
      <c r="T118" s="66"/>
      <c r="U118" s="66"/>
      <c r="V118" s="66"/>
      <c r="W118" s="66"/>
      <c r="X118" s="66"/>
      <c r="Y118" s="66"/>
      <c r="Z118" s="66"/>
      <c r="AA118" s="66"/>
    </row>
    <row r="119" ht="15.75" customHeight="1">
      <c r="A119" s="66"/>
      <c r="B119" s="66"/>
      <c r="C119" s="70"/>
      <c r="D119" s="66"/>
      <c r="E119" s="66"/>
      <c r="F119" s="68" t="str">
        <f t="array" ref="F119">IF(INDEX('Binder Data'!$A$752:$A$1001,ROW()-1)="","",IF(INDEX('Binder Data'!$D$752:$D$1001,ROW()-1)="Needed",INDEX('Binder Data'!$B$752:$B$1001,ROW()-1),INDEX('Binder Data'!$D$752:$D$1001,ROW()-1)))</f>
        <v/>
      </c>
      <c r="G119" s="66"/>
      <c r="H119" s="66"/>
      <c r="I119" s="66"/>
      <c r="J119" s="66"/>
      <c r="K119" s="66"/>
      <c r="L119" s="66"/>
      <c r="M119" s="66"/>
      <c r="N119" s="66"/>
      <c r="O119" s="66"/>
      <c r="P119" s="66"/>
      <c r="Q119" s="66"/>
      <c r="R119" s="66"/>
      <c r="S119" s="66"/>
      <c r="T119" s="66"/>
      <c r="U119" s="66"/>
      <c r="V119" s="66"/>
      <c r="W119" s="66"/>
      <c r="X119" s="66"/>
      <c r="Y119" s="66"/>
      <c r="Z119" s="66"/>
      <c r="AA119" s="66"/>
    </row>
    <row r="120" ht="15.75" customHeight="1">
      <c r="A120" s="66"/>
      <c r="B120" s="66"/>
      <c r="C120" s="70"/>
      <c r="D120" s="66"/>
      <c r="E120" s="66"/>
      <c r="F120" s="68" t="str">
        <f t="array" ref="F120">IF(INDEX('Binder Data'!$A$752:$A$1001,ROW()-1)="","",IF(INDEX('Binder Data'!$D$752:$D$1001,ROW()-1)="Needed",INDEX('Binder Data'!$B$752:$B$1001,ROW()-1),INDEX('Binder Data'!$D$752:$D$1001,ROW()-1)))</f>
        <v/>
      </c>
      <c r="G120" s="66"/>
      <c r="H120" s="66"/>
      <c r="I120" s="66"/>
      <c r="J120" s="66"/>
      <c r="K120" s="66"/>
      <c r="L120" s="66"/>
      <c r="M120" s="66"/>
      <c r="N120" s="66"/>
      <c r="O120" s="66"/>
      <c r="P120" s="66"/>
      <c r="Q120" s="66"/>
      <c r="R120" s="66"/>
      <c r="S120" s="66"/>
      <c r="T120" s="66"/>
      <c r="U120" s="66"/>
      <c r="V120" s="66"/>
      <c r="W120" s="66"/>
      <c r="X120" s="66"/>
      <c r="Y120" s="66"/>
      <c r="Z120" s="66"/>
      <c r="AA120" s="66"/>
    </row>
    <row r="121" ht="15.75" customHeight="1">
      <c r="A121" s="66"/>
      <c r="B121" s="66"/>
      <c r="C121" s="70"/>
      <c r="D121" s="66"/>
      <c r="E121" s="66"/>
      <c r="F121" s="68" t="str">
        <f t="array" ref="F121">IF(INDEX('Binder Data'!$A$752:$A$1001,ROW()-1)="","",IF(INDEX('Binder Data'!$D$752:$D$1001,ROW()-1)="Needed",INDEX('Binder Data'!$B$752:$B$1001,ROW()-1),INDEX('Binder Data'!$D$752:$D$1001,ROW()-1)))</f>
        <v/>
      </c>
      <c r="G121" s="66"/>
      <c r="H121" s="66"/>
      <c r="I121" s="66"/>
      <c r="J121" s="66"/>
      <c r="K121" s="66"/>
      <c r="L121" s="66"/>
      <c r="M121" s="66"/>
      <c r="N121" s="66"/>
      <c r="O121" s="66"/>
      <c r="P121" s="66"/>
      <c r="Q121" s="66"/>
      <c r="R121" s="66"/>
      <c r="S121" s="66"/>
      <c r="T121" s="66"/>
      <c r="U121" s="66"/>
      <c r="V121" s="66"/>
      <c r="W121" s="66"/>
      <c r="X121" s="66"/>
      <c r="Y121" s="66"/>
      <c r="Z121" s="66"/>
      <c r="AA121" s="66"/>
    </row>
    <row r="122" ht="15.75" customHeight="1">
      <c r="A122" s="66"/>
      <c r="B122" s="66"/>
      <c r="C122" s="70"/>
      <c r="D122" s="66"/>
      <c r="E122" s="66"/>
      <c r="F122" s="68" t="str">
        <f t="array" ref="F122">IF(INDEX('Binder Data'!$A$752:$A$1001,ROW()-1)="","",IF(INDEX('Binder Data'!$D$752:$D$1001,ROW()-1)="Needed",INDEX('Binder Data'!$B$752:$B$1001,ROW()-1),INDEX('Binder Data'!$D$752:$D$1001,ROW()-1)))</f>
        <v/>
      </c>
      <c r="G122" s="66"/>
      <c r="H122" s="66"/>
      <c r="I122" s="66"/>
      <c r="J122" s="66"/>
      <c r="K122" s="66"/>
      <c r="L122" s="66"/>
      <c r="M122" s="66"/>
      <c r="N122" s="66"/>
      <c r="O122" s="66"/>
      <c r="P122" s="66"/>
      <c r="Q122" s="66"/>
      <c r="R122" s="66"/>
      <c r="S122" s="66"/>
      <c r="T122" s="66"/>
      <c r="U122" s="66"/>
      <c r="V122" s="66"/>
      <c r="W122" s="66"/>
      <c r="X122" s="66"/>
      <c r="Y122" s="66"/>
      <c r="Z122" s="66"/>
      <c r="AA122" s="66"/>
    </row>
    <row r="123" ht="15.75" customHeight="1">
      <c r="A123" s="66"/>
      <c r="B123" s="66"/>
      <c r="C123" s="70"/>
      <c r="D123" s="66"/>
      <c r="E123" s="66"/>
      <c r="F123" s="68" t="str">
        <f t="array" ref="F123">IF(INDEX('Binder Data'!$A$752:$A$1001,ROW()-1)="","",IF(INDEX('Binder Data'!$D$752:$D$1001,ROW()-1)="Needed",INDEX('Binder Data'!$B$752:$B$1001,ROW()-1),INDEX('Binder Data'!$D$752:$D$1001,ROW()-1)))</f>
        <v/>
      </c>
      <c r="G123" s="66"/>
      <c r="H123" s="66"/>
      <c r="I123" s="66"/>
      <c r="J123" s="66"/>
      <c r="K123" s="66"/>
      <c r="L123" s="66"/>
      <c r="M123" s="66"/>
      <c r="N123" s="66"/>
      <c r="O123" s="66"/>
      <c r="P123" s="66"/>
      <c r="Q123" s="66"/>
      <c r="R123" s="66"/>
      <c r="S123" s="66"/>
      <c r="T123" s="66"/>
      <c r="U123" s="66"/>
      <c r="V123" s="66"/>
      <c r="W123" s="66"/>
      <c r="X123" s="66"/>
      <c r="Y123" s="66"/>
      <c r="Z123" s="66"/>
      <c r="AA123" s="66"/>
    </row>
    <row r="124" ht="15.75" customHeight="1">
      <c r="A124" s="66"/>
      <c r="B124" s="66"/>
      <c r="C124" s="70"/>
      <c r="D124" s="66"/>
      <c r="E124" s="66"/>
      <c r="F124" s="68" t="str">
        <f t="array" ref="F124">IF(INDEX('Binder Data'!$A$752:$A$1001,ROW()-1)="","",IF(INDEX('Binder Data'!$D$752:$D$1001,ROW()-1)="Needed",INDEX('Binder Data'!$B$752:$B$1001,ROW()-1),INDEX('Binder Data'!$D$752:$D$1001,ROW()-1)))</f>
        <v/>
      </c>
      <c r="G124" s="66"/>
      <c r="H124" s="66"/>
      <c r="I124" s="66"/>
      <c r="J124" s="66"/>
      <c r="K124" s="66"/>
      <c r="L124" s="66"/>
      <c r="M124" s="66"/>
      <c r="N124" s="66"/>
      <c r="O124" s="66"/>
      <c r="P124" s="66"/>
      <c r="Q124" s="66"/>
      <c r="R124" s="66"/>
      <c r="S124" s="66"/>
      <c r="T124" s="66"/>
      <c r="U124" s="66"/>
      <c r="V124" s="66"/>
      <c r="W124" s="66"/>
      <c r="X124" s="66"/>
      <c r="Y124" s="66"/>
      <c r="Z124" s="66"/>
      <c r="AA124" s="66"/>
    </row>
    <row r="125" ht="15.75" customHeight="1">
      <c r="A125" s="66"/>
      <c r="B125" s="66"/>
      <c r="C125" s="70"/>
      <c r="D125" s="66"/>
      <c r="E125" s="66"/>
      <c r="F125" s="68" t="str">
        <f t="array" ref="F125">IF(INDEX('Binder Data'!$A$752:$A$1001,ROW()-1)="","",IF(INDEX('Binder Data'!$D$752:$D$1001,ROW()-1)="Needed",INDEX('Binder Data'!$B$752:$B$1001,ROW()-1),INDEX('Binder Data'!$D$752:$D$1001,ROW()-1)))</f>
        <v/>
      </c>
      <c r="G125" s="66"/>
      <c r="H125" s="66"/>
      <c r="I125" s="66"/>
      <c r="J125" s="66"/>
      <c r="K125" s="66"/>
      <c r="L125" s="66"/>
      <c r="M125" s="66"/>
      <c r="N125" s="66"/>
      <c r="O125" s="66"/>
      <c r="P125" s="66"/>
      <c r="Q125" s="66"/>
      <c r="R125" s="66"/>
      <c r="S125" s="66"/>
      <c r="T125" s="66"/>
      <c r="U125" s="66"/>
      <c r="V125" s="66"/>
      <c r="W125" s="66"/>
      <c r="X125" s="66"/>
      <c r="Y125" s="66"/>
      <c r="Z125" s="66"/>
      <c r="AA125" s="66"/>
    </row>
    <row r="126" ht="15.75" customHeight="1">
      <c r="A126" s="66"/>
      <c r="B126" s="66"/>
      <c r="C126" s="70"/>
      <c r="D126" s="66"/>
      <c r="E126" s="66"/>
      <c r="F126" s="68" t="str">
        <f t="array" ref="F126">IF(INDEX('Binder Data'!$A$752:$A$1001,ROW()-1)="","",IF(INDEX('Binder Data'!$D$752:$D$1001,ROW()-1)="Needed",INDEX('Binder Data'!$B$752:$B$1001,ROW()-1),INDEX('Binder Data'!$D$752:$D$1001,ROW()-1)))</f>
        <v/>
      </c>
      <c r="G126" s="66"/>
      <c r="H126" s="66"/>
      <c r="I126" s="66"/>
      <c r="J126" s="66"/>
      <c r="K126" s="66"/>
      <c r="L126" s="66"/>
      <c r="M126" s="66"/>
      <c r="N126" s="66"/>
      <c r="O126" s="66"/>
      <c r="P126" s="66"/>
      <c r="Q126" s="66"/>
      <c r="R126" s="66"/>
      <c r="S126" s="66"/>
      <c r="T126" s="66"/>
      <c r="U126" s="66"/>
      <c r="V126" s="66"/>
      <c r="W126" s="66"/>
      <c r="X126" s="66"/>
      <c r="Y126" s="66"/>
      <c r="Z126" s="66"/>
      <c r="AA126" s="66"/>
    </row>
    <row r="127" ht="15.75" customHeight="1">
      <c r="A127" s="66"/>
      <c r="B127" s="66"/>
      <c r="C127" s="70"/>
      <c r="D127" s="66"/>
      <c r="E127" s="66"/>
      <c r="F127" s="68" t="str">
        <f t="array" ref="F127">IF(INDEX('Binder Data'!$A$752:$A$1001,ROW()-1)="","",IF(INDEX('Binder Data'!$D$752:$D$1001,ROW()-1)="Needed",INDEX('Binder Data'!$B$752:$B$1001,ROW()-1),INDEX('Binder Data'!$D$752:$D$1001,ROW()-1)))</f>
        <v/>
      </c>
      <c r="G127" s="66"/>
      <c r="H127" s="66"/>
      <c r="I127" s="66"/>
      <c r="J127" s="66"/>
      <c r="K127" s="66"/>
      <c r="L127" s="66"/>
      <c r="M127" s="66"/>
      <c r="N127" s="66"/>
      <c r="O127" s="66"/>
      <c r="P127" s="66"/>
      <c r="Q127" s="66"/>
      <c r="R127" s="66"/>
      <c r="S127" s="66"/>
      <c r="T127" s="66"/>
      <c r="U127" s="66"/>
      <c r="V127" s="66"/>
      <c r="W127" s="66"/>
      <c r="X127" s="66"/>
      <c r="Y127" s="66"/>
      <c r="Z127" s="66"/>
      <c r="AA127" s="66"/>
    </row>
    <row r="128" ht="15.75" customHeight="1">
      <c r="A128" s="66"/>
      <c r="B128" s="66"/>
      <c r="C128" s="70"/>
      <c r="D128" s="66"/>
      <c r="E128" s="66"/>
      <c r="F128" s="68" t="str">
        <f t="array" ref="F128">IF(INDEX('Binder Data'!$A$752:$A$1001,ROW()-1)="","",IF(INDEX('Binder Data'!$D$752:$D$1001,ROW()-1)="Needed",INDEX('Binder Data'!$B$752:$B$1001,ROW()-1),INDEX('Binder Data'!$D$752:$D$1001,ROW()-1)))</f>
        <v/>
      </c>
      <c r="G128" s="66"/>
      <c r="H128" s="66"/>
      <c r="I128" s="66"/>
      <c r="J128" s="66"/>
      <c r="K128" s="66"/>
      <c r="L128" s="66"/>
      <c r="M128" s="66"/>
      <c r="N128" s="66"/>
      <c r="O128" s="66"/>
      <c r="P128" s="66"/>
      <c r="Q128" s="66"/>
      <c r="R128" s="66"/>
      <c r="S128" s="66"/>
      <c r="T128" s="66"/>
      <c r="U128" s="66"/>
      <c r="V128" s="66"/>
      <c r="W128" s="66"/>
      <c r="X128" s="66"/>
      <c r="Y128" s="66"/>
      <c r="Z128" s="66"/>
      <c r="AA128" s="66"/>
    </row>
    <row r="129" ht="15.75" customHeight="1">
      <c r="A129" s="66"/>
      <c r="B129" s="66"/>
      <c r="C129" s="70"/>
      <c r="D129" s="66"/>
      <c r="E129" s="66"/>
      <c r="F129" s="68" t="str">
        <f t="array" ref="F129">IF(INDEX('Binder Data'!$A$752:$A$1001,ROW()-1)="","",IF(INDEX('Binder Data'!$D$752:$D$1001,ROW()-1)="Needed",INDEX('Binder Data'!$B$752:$B$1001,ROW()-1),INDEX('Binder Data'!$D$752:$D$1001,ROW()-1)))</f>
        <v/>
      </c>
      <c r="G129" s="66"/>
      <c r="H129" s="66"/>
      <c r="I129" s="66"/>
      <c r="J129" s="66"/>
      <c r="K129" s="66"/>
      <c r="L129" s="66"/>
      <c r="M129" s="66"/>
      <c r="N129" s="66"/>
      <c r="O129" s="66"/>
      <c r="P129" s="66"/>
      <c r="Q129" s="66"/>
      <c r="R129" s="66"/>
      <c r="S129" s="66"/>
      <c r="T129" s="66"/>
      <c r="U129" s="66"/>
      <c r="V129" s="66"/>
      <c r="W129" s="66"/>
      <c r="X129" s="66"/>
      <c r="Y129" s="66"/>
      <c r="Z129" s="66"/>
      <c r="AA129" s="66"/>
    </row>
    <row r="130" ht="15.75" customHeight="1">
      <c r="A130" s="66"/>
      <c r="B130" s="66"/>
      <c r="C130" s="70"/>
      <c r="D130" s="66"/>
      <c r="E130" s="66"/>
      <c r="F130" s="68" t="str">
        <f t="array" ref="F130">IF(INDEX('Binder Data'!$A$752:$A$1001,ROW()-1)="","",IF(INDEX('Binder Data'!$D$752:$D$1001,ROW()-1)="Needed",INDEX('Binder Data'!$B$752:$B$1001,ROW()-1),INDEX('Binder Data'!$D$752:$D$1001,ROW()-1)))</f>
        <v/>
      </c>
      <c r="G130" s="66"/>
      <c r="H130" s="66"/>
      <c r="I130" s="66"/>
      <c r="J130" s="66"/>
      <c r="K130" s="66"/>
      <c r="L130" s="66"/>
      <c r="M130" s="66"/>
      <c r="N130" s="66"/>
      <c r="O130" s="66"/>
      <c r="P130" s="66"/>
      <c r="Q130" s="66"/>
      <c r="R130" s="66"/>
      <c r="S130" s="66"/>
      <c r="T130" s="66"/>
      <c r="U130" s="66"/>
      <c r="V130" s="66"/>
      <c r="W130" s="66"/>
      <c r="X130" s="66"/>
      <c r="Y130" s="66"/>
      <c r="Z130" s="66"/>
      <c r="AA130" s="66"/>
    </row>
    <row r="131" ht="15.75" customHeight="1">
      <c r="A131" s="66"/>
      <c r="B131" s="66"/>
      <c r="C131" s="70"/>
      <c r="D131" s="66"/>
      <c r="E131" s="66"/>
      <c r="F131" s="68" t="str">
        <f t="array" ref="F131">IF(INDEX('Binder Data'!$A$752:$A$1001,ROW()-1)="","",IF(INDEX('Binder Data'!$D$752:$D$1001,ROW()-1)="Needed",INDEX('Binder Data'!$B$752:$B$1001,ROW()-1),INDEX('Binder Data'!$D$752:$D$1001,ROW()-1)))</f>
        <v/>
      </c>
      <c r="G131" s="66"/>
      <c r="H131" s="66"/>
      <c r="I131" s="66"/>
      <c r="J131" s="66"/>
      <c r="K131" s="66"/>
      <c r="L131" s="66"/>
      <c r="M131" s="66"/>
      <c r="N131" s="66"/>
      <c r="O131" s="66"/>
      <c r="P131" s="66"/>
      <c r="Q131" s="66"/>
      <c r="R131" s="66"/>
      <c r="S131" s="66"/>
      <c r="T131" s="66"/>
      <c r="U131" s="66"/>
      <c r="V131" s="66"/>
      <c r="W131" s="66"/>
      <c r="X131" s="66"/>
      <c r="Y131" s="66"/>
      <c r="Z131" s="66"/>
      <c r="AA131" s="66"/>
    </row>
    <row r="132" ht="15.75" customHeight="1">
      <c r="A132" s="66"/>
      <c r="B132" s="66"/>
      <c r="C132" s="70"/>
      <c r="D132" s="66"/>
      <c r="E132" s="66"/>
      <c r="F132" s="68" t="str">
        <f t="array" ref="F132">IF(INDEX('Binder Data'!$A$752:$A$1001,ROW()-1)="","",IF(INDEX('Binder Data'!$D$752:$D$1001,ROW()-1)="Needed",INDEX('Binder Data'!$B$752:$B$1001,ROW()-1),INDEX('Binder Data'!$D$752:$D$1001,ROW()-1)))</f>
        <v/>
      </c>
      <c r="G132" s="66"/>
      <c r="H132" s="66"/>
      <c r="I132" s="66"/>
      <c r="J132" s="66"/>
      <c r="K132" s="66"/>
      <c r="L132" s="66"/>
      <c r="M132" s="66"/>
      <c r="N132" s="66"/>
      <c r="O132" s="66"/>
      <c r="P132" s="66"/>
      <c r="Q132" s="66"/>
      <c r="R132" s="66"/>
      <c r="S132" s="66"/>
      <c r="T132" s="66"/>
      <c r="U132" s="66"/>
      <c r="V132" s="66"/>
      <c r="W132" s="66"/>
      <c r="X132" s="66"/>
      <c r="Y132" s="66"/>
      <c r="Z132" s="66"/>
      <c r="AA132" s="66"/>
    </row>
    <row r="133" ht="15.75" customHeight="1">
      <c r="A133" s="66"/>
      <c r="B133" s="66"/>
      <c r="C133" s="70"/>
      <c r="D133" s="66"/>
      <c r="E133" s="66"/>
      <c r="F133" s="68" t="str">
        <f t="array" ref="F133">IF(INDEX('Binder Data'!$A$752:$A$1001,ROW()-1)="","",IF(INDEX('Binder Data'!$D$752:$D$1001,ROW()-1)="Needed",INDEX('Binder Data'!$B$752:$B$1001,ROW()-1),INDEX('Binder Data'!$D$752:$D$1001,ROW()-1)))</f>
        <v/>
      </c>
      <c r="G133" s="66"/>
      <c r="H133" s="66"/>
      <c r="I133" s="66"/>
      <c r="J133" s="66"/>
      <c r="K133" s="66"/>
      <c r="L133" s="66"/>
      <c r="M133" s="66"/>
      <c r="N133" s="66"/>
      <c r="O133" s="66"/>
      <c r="P133" s="66"/>
      <c r="Q133" s="66"/>
      <c r="R133" s="66"/>
      <c r="S133" s="66"/>
      <c r="T133" s="66"/>
      <c r="U133" s="66"/>
      <c r="V133" s="66"/>
      <c r="W133" s="66"/>
      <c r="X133" s="66"/>
      <c r="Y133" s="66"/>
      <c r="Z133" s="66"/>
      <c r="AA133" s="66"/>
    </row>
    <row r="134" ht="15.75" customHeight="1">
      <c r="A134" s="66"/>
      <c r="B134" s="66"/>
      <c r="C134" s="70"/>
      <c r="D134" s="66"/>
      <c r="E134" s="66"/>
      <c r="F134" s="68" t="str">
        <f t="array" ref="F134">IF(INDEX('Binder Data'!$A$752:$A$1001,ROW()-1)="","",IF(INDEX('Binder Data'!$D$752:$D$1001,ROW()-1)="Needed",INDEX('Binder Data'!$B$752:$B$1001,ROW()-1),INDEX('Binder Data'!$D$752:$D$1001,ROW()-1)))</f>
        <v/>
      </c>
      <c r="G134" s="66"/>
      <c r="H134" s="66"/>
      <c r="I134" s="66"/>
      <c r="J134" s="66"/>
      <c r="K134" s="66"/>
      <c r="L134" s="66"/>
      <c r="M134" s="66"/>
      <c r="N134" s="66"/>
      <c r="O134" s="66"/>
      <c r="P134" s="66"/>
      <c r="Q134" s="66"/>
      <c r="R134" s="66"/>
      <c r="S134" s="66"/>
      <c r="T134" s="66"/>
      <c r="U134" s="66"/>
      <c r="V134" s="66"/>
      <c r="W134" s="66"/>
      <c r="X134" s="66"/>
      <c r="Y134" s="66"/>
      <c r="Z134" s="66"/>
      <c r="AA134" s="66"/>
    </row>
    <row r="135" ht="15.75" customHeight="1">
      <c r="A135" s="66"/>
      <c r="B135" s="66"/>
      <c r="C135" s="70"/>
      <c r="D135" s="66"/>
      <c r="E135" s="66"/>
      <c r="F135" s="68" t="str">
        <f t="array" ref="F135">IF(INDEX('Binder Data'!$A$752:$A$1001,ROW()-1)="","",IF(INDEX('Binder Data'!$D$752:$D$1001,ROW()-1)="Needed",INDEX('Binder Data'!$B$752:$B$1001,ROW()-1),INDEX('Binder Data'!$D$752:$D$1001,ROW()-1)))</f>
        <v/>
      </c>
      <c r="G135" s="66"/>
      <c r="H135" s="66"/>
      <c r="I135" s="66"/>
      <c r="J135" s="66"/>
      <c r="K135" s="66"/>
      <c r="L135" s="66"/>
      <c r="M135" s="66"/>
      <c r="N135" s="66"/>
      <c r="O135" s="66"/>
      <c r="P135" s="66"/>
      <c r="Q135" s="66"/>
      <c r="R135" s="66"/>
      <c r="S135" s="66"/>
      <c r="T135" s="66"/>
      <c r="U135" s="66"/>
      <c r="V135" s="66"/>
      <c r="W135" s="66"/>
      <c r="X135" s="66"/>
      <c r="Y135" s="66"/>
      <c r="Z135" s="66"/>
      <c r="AA135" s="66"/>
    </row>
    <row r="136" ht="15.75" customHeight="1">
      <c r="A136" s="66"/>
      <c r="B136" s="66"/>
      <c r="C136" s="70"/>
      <c r="D136" s="66"/>
      <c r="E136" s="66"/>
      <c r="F136" s="68" t="str">
        <f t="array" ref="F136">IF(INDEX('Binder Data'!$A$752:$A$1001,ROW()-1)="","",IF(INDEX('Binder Data'!$D$752:$D$1001,ROW()-1)="Needed",INDEX('Binder Data'!$B$752:$B$1001,ROW()-1),INDEX('Binder Data'!$D$752:$D$1001,ROW()-1)))</f>
        <v/>
      </c>
      <c r="G136" s="66"/>
      <c r="H136" s="66"/>
      <c r="I136" s="66"/>
      <c r="J136" s="66"/>
      <c r="K136" s="66"/>
      <c r="L136" s="66"/>
      <c r="M136" s="66"/>
      <c r="N136" s="66"/>
      <c r="O136" s="66"/>
      <c r="P136" s="66"/>
      <c r="Q136" s="66"/>
      <c r="R136" s="66"/>
      <c r="S136" s="66"/>
      <c r="T136" s="66"/>
      <c r="U136" s="66"/>
      <c r="V136" s="66"/>
      <c r="W136" s="66"/>
      <c r="X136" s="66"/>
      <c r="Y136" s="66"/>
      <c r="Z136" s="66"/>
      <c r="AA136" s="66"/>
    </row>
    <row r="137" ht="15.75" customHeight="1">
      <c r="A137" s="66"/>
      <c r="B137" s="66"/>
      <c r="C137" s="70"/>
      <c r="D137" s="66"/>
      <c r="E137" s="66"/>
      <c r="F137" s="68" t="str">
        <f t="array" ref="F137">IF(INDEX('Binder Data'!$A$752:$A$1001,ROW()-1)="","",IF(INDEX('Binder Data'!$D$752:$D$1001,ROW()-1)="Needed",INDEX('Binder Data'!$B$752:$B$1001,ROW()-1),INDEX('Binder Data'!$D$752:$D$1001,ROW()-1)))</f>
        <v/>
      </c>
      <c r="G137" s="66"/>
      <c r="H137" s="66"/>
      <c r="I137" s="66"/>
      <c r="J137" s="66"/>
      <c r="K137" s="66"/>
      <c r="L137" s="66"/>
      <c r="M137" s="66"/>
      <c r="N137" s="66"/>
      <c r="O137" s="66"/>
      <c r="P137" s="66"/>
      <c r="Q137" s="66"/>
      <c r="R137" s="66"/>
      <c r="S137" s="66"/>
      <c r="T137" s="66"/>
      <c r="U137" s="66"/>
      <c r="V137" s="66"/>
      <c r="W137" s="66"/>
      <c r="X137" s="66"/>
      <c r="Y137" s="66"/>
      <c r="Z137" s="66"/>
      <c r="AA137" s="66"/>
    </row>
    <row r="138" ht="15.75" customHeight="1">
      <c r="A138" s="66"/>
      <c r="B138" s="66"/>
      <c r="C138" s="70"/>
      <c r="D138" s="66"/>
      <c r="E138" s="66"/>
      <c r="F138" s="68" t="str">
        <f t="array" ref="F138">IF(INDEX('Binder Data'!$A$752:$A$1001,ROW()-1)="","",IF(INDEX('Binder Data'!$D$752:$D$1001,ROW()-1)="Needed",INDEX('Binder Data'!$B$752:$B$1001,ROW()-1),INDEX('Binder Data'!$D$752:$D$1001,ROW()-1)))</f>
        <v/>
      </c>
      <c r="G138" s="66"/>
      <c r="H138" s="66"/>
      <c r="I138" s="66"/>
      <c r="J138" s="66"/>
      <c r="K138" s="66"/>
      <c r="L138" s="66"/>
      <c r="M138" s="66"/>
      <c r="N138" s="66"/>
      <c r="O138" s="66"/>
      <c r="P138" s="66"/>
      <c r="Q138" s="66"/>
      <c r="R138" s="66"/>
      <c r="S138" s="66"/>
      <c r="T138" s="66"/>
      <c r="U138" s="66"/>
      <c r="V138" s="66"/>
      <c r="W138" s="66"/>
      <c r="X138" s="66"/>
      <c r="Y138" s="66"/>
      <c r="Z138" s="66"/>
      <c r="AA138" s="66"/>
    </row>
    <row r="139" ht="15.75" customHeight="1">
      <c r="A139" s="66"/>
      <c r="B139" s="66"/>
      <c r="C139" s="70"/>
      <c r="D139" s="66"/>
      <c r="E139" s="66"/>
      <c r="F139" s="68" t="str">
        <f t="array" ref="F139">IF(INDEX('Binder Data'!$A$752:$A$1001,ROW()-1)="","",IF(INDEX('Binder Data'!$D$752:$D$1001,ROW()-1)="Needed",INDEX('Binder Data'!$B$752:$B$1001,ROW()-1),INDEX('Binder Data'!$D$752:$D$1001,ROW()-1)))</f>
        <v/>
      </c>
      <c r="G139" s="66"/>
      <c r="H139" s="66"/>
      <c r="I139" s="66"/>
      <c r="J139" s="66"/>
      <c r="K139" s="66"/>
      <c r="L139" s="66"/>
      <c r="M139" s="66"/>
      <c r="N139" s="66"/>
      <c r="O139" s="66"/>
      <c r="P139" s="66"/>
      <c r="Q139" s="66"/>
      <c r="R139" s="66"/>
      <c r="S139" s="66"/>
      <c r="T139" s="66"/>
      <c r="U139" s="66"/>
      <c r="V139" s="66"/>
      <c r="W139" s="66"/>
      <c r="X139" s="66"/>
      <c r="Y139" s="66"/>
      <c r="Z139" s="66"/>
      <c r="AA139" s="66"/>
    </row>
    <row r="140" ht="15.75" customHeight="1">
      <c r="A140" s="66"/>
      <c r="B140" s="66"/>
      <c r="C140" s="70"/>
      <c r="D140" s="66"/>
      <c r="E140" s="66"/>
      <c r="F140" s="68" t="str">
        <f t="array" ref="F140">IF(INDEX('Binder Data'!$A$752:$A$1001,ROW()-1)="","",IF(INDEX('Binder Data'!$D$752:$D$1001,ROW()-1)="Needed",INDEX('Binder Data'!$B$752:$B$1001,ROW()-1),INDEX('Binder Data'!$D$752:$D$1001,ROW()-1)))</f>
        <v/>
      </c>
      <c r="G140" s="66"/>
      <c r="H140" s="66"/>
      <c r="I140" s="66"/>
      <c r="J140" s="66"/>
      <c r="K140" s="66"/>
      <c r="L140" s="66"/>
      <c r="M140" s="66"/>
      <c r="N140" s="66"/>
      <c r="O140" s="66"/>
      <c r="P140" s="66"/>
      <c r="Q140" s="66"/>
      <c r="R140" s="66"/>
      <c r="S140" s="66"/>
      <c r="T140" s="66"/>
      <c r="U140" s="66"/>
      <c r="V140" s="66"/>
      <c r="W140" s="66"/>
      <c r="X140" s="66"/>
      <c r="Y140" s="66"/>
      <c r="Z140" s="66"/>
      <c r="AA140" s="66"/>
    </row>
    <row r="141" ht="15.75" customHeight="1">
      <c r="A141" s="66"/>
      <c r="B141" s="66"/>
      <c r="C141" s="70"/>
      <c r="D141" s="66"/>
      <c r="E141" s="66"/>
      <c r="F141" s="68" t="str">
        <f t="array" ref="F141">IF(INDEX('Binder Data'!$A$752:$A$1001,ROW()-1)="","",IF(INDEX('Binder Data'!$D$752:$D$1001,ROW()-1)="Needed",INDEX('Binder Data'!$B$752:$B$1001,ROW()-1),INDEX('Binder Data'!$D$752:$D$1001,ROW()-1)))</f>
        <v/>
      </c>
      <c r="G141" s="66"/>
      <c r="H141" s="66"/>
      <c r="I141" s="66"/>
      <c r="J141" s="66"/>
      <c r="K141" s="66"/>
      <c r="L141" s="66"/>
      <c r="M141" s="66"/>
      <c r="N141" s="66"/>
      <c r="O141" s="66"/>
      <c r="P141" s="66"/>
      <c r="Q141" s="66"/>
      <c r="R141" s="66"/>
      <c r="S141" s="66"/>
      <c r="T141" s="66"/>
      <c r="U141" s="66"/>
      <c r="V141" s="66"/>
      <c r="W141" s="66"/>
      <c r="X141" s="66"/>
      <c r="Y141" s="66"/>
      <c r="Z141" s="66"/>
      <c r="AA141" s="66"/>
    </row>
    <row r="142" ht="15.75" customHeight="1">
      <c r="A142" s="66"/>
      <c r="B142" s="66"/>
      <c r="C142" s="70"/>
      <c r="D142" s="66"/>
      <c r="E142" s="66"/>
      <c r="F142" s="68" t="str">
        <f t="array" ref="F142">IF(INDEX('Binder Data'!$A$752:$A$1001,ROW()-1)="","",IF(INDEX('Binder Data'!$D$752:$D$1001,ROW()-1)="Needed",INDEX('Binder Data'!$B$752:$B$1001,ROW()-1),INDEX('Binder Data'!$D$752:$D$1001,ROW()-1)))</f>
        <v/>
      </c>
      <c r="G142" s="66"/>
      <c r="H142" s="66"/>
      <c r="I142" s="66"/>
      <c r="J142" s="66"/>
      <c r="K142" s="66"/>
      <c r="L142" s="66"/>
      <c r="M142" s="66"/>
      <c r="N142" s="66"/>
      <c r="O142" s="66"/>
      <c r="P142" s="66"/>
      <c r="Q142" s="66"/>
      <c r="R142" s="66"/>
      <c r="S142" s="66"/>
      <c r="T142" s="66"/>
      <c r="U142" s="66"/>
      <c r="V142" s="66"/>
      <c r="W142" s="66"/>
      <c r="X142" s="66"/>
      <c r="Y142" s="66"/>
      <c r="Z142" s="66"/>
      <c r="AA142" s="66"/>
    </row>
    <row r="143" ht="15.75" customHeight="1">
      <c r="A143" s="66"/>
      <c r="B143" s="66"/>
      <c r="C143" s="70"/>
      <c r="D143" s="66"/>
      <c r="E143" s="66"/>
      <c r="F143" s="68" t="str">
        <f t="array" ref="F143">IF(INDEX('Binder Data'!$A$752:$A$1001,ROW()-1)="","",IF(INDEX('Binder Data'!$D$752:$D$1001,ROW()-1)="Needed",INDEX('Binder Data'!$B$752:$B$1001,ROW()-1),INDEX('Binder Data'!$D$752:$D$1001,ROW()-1)))</f>
        <v/>
      </c>
      <c r="G143" s="66"/>
      <c r="H143" s="66"/>
      <c r="I143" s="66"/>
      <c r="J143" s="66"/>
      <c r="K143" s="66"/>
      <c r="L143" s="66"/>
      <c r="M143" s="66"/>
      <c r="N143" s="66"/>
      <c r="O143" s="66"/>
      <c r="P143" s="66"/>
      <c r="Q143" s="66"/>
      <c r="R143" s="66"/>
      <c r="S143" s="66"/>
      <c r="T143" s="66"/>
      <c r="U143" s="66"/>
      <c r="V143" s="66"/>
      <c r="W143" s="66"/>
      <c r="X143" s="66"/>
      <c r="Y143" s="66"/>
      <c r="Z143" s="66"/>
      <c r="AA143" s="66"/>
    </row>
    <row r="144" ht="15.75" customHeight="1">
      <c r="A144" s="66"/>
      <c r="B144" s="66"/>
      <c r="C144" s="70"/>
      <c r="D144" s="66"/>
      <c r="E144" s="66"/>
      <c r="F144" s="68" t="str">
        <f t="array" ref="F144">IF(INDEX('Binder Data'!$A$752:$A$1001,ROW()-1)="","",IF(INDEX('Binder Data'!$D$752:$D$1001,ROW()-1)="Needed",INDEX('Binder Data'!$B$752:$B$1001,ROW()-1),INDEX('Binder Data'!$D$752:$D$1001,ROW()-1)))</f>
        <v/>
      </c>
      <c r="G144" s="66"/>
      <c r="H144" s="66"/>
      <c r="I144" s="66"/>
      <c r="J144" s="66"/>
      <c r="K144" s="66"/>
      <c r="L144" s="66"/>
      <c r="M144" s="66"/>
      <c r="N144" s="66"/>
      <c r="O144" s="66"/>
      <c r="P144" s="66"/>
      <c r="Q144" s="66"/>
      <c r="R144" s="66"/>
      <c r="S144" s="66"/>
      <c r="T144" s="66"/>
      <c r="U144" s="66"/>
      <c r="V144" s="66"/>
      <c r="W144" s="66"/>
      <c r="X144" s="66"/>
      <c r="Y144" s="66"/>
      <c r="Z144" s="66"/>
      <c r="AA144" s="66"/>
    </row>
    <row r="145" ht="15.75" customHeight="1">
      <c r="A145" s="66"/>
      <c r="B145" s="66"/>
      <c r="C145" s="70"/>
      <c r="D145" s="66"/>
      <c r="E145" s="66"/>
      <c r="F145" s="68" t="str">
        <f t="array" ref="F145">IF(INDEX('Binder Data'!$A$752:$A$1001,ROW()-1)="","",IF(INDEX('Binder Data'!$D$752:$D$1001,ROW()-1)="Needed",INDEX('Binder Data'!$B$752:$B$1001,ROW()-1),INDEX('Binder Data'!$D$752:$D$1001,ROW()-1)))</f>
        <v/>
      </c>
      <c r="G145" s="66"/>
      <c r="H145" s="66"/>
      <c r="I145" s="66"/>
      <c r="J145" s="66"/>
      <c r="K145" s="66"/>
      <c r="L145" s="66"/>
      <c r="M145" s="66"/>
      <c r="N145" s="66"/>
      <c r="O145" s="66"/>
      <c r="P145" s="66"/>
      <c r="Q145" s="66"/>
      <c r="R145" s="66"/>
      <c r="S145" s="66"/>
      <c r="T145" s="66"/>
      <c r="U145" s="66"/>
      <c r="V145" s="66"/>
      <c r="W145" s="66"/>
      <c r="X145" s="66"/>
      <c r="Y145" s="66"/>
      <c r="Z145" s="66"/>
      <c r="AA145" s="66"/>
    </row>
    <row r="146" ht="15.75" customHeight="1">
      <c r="A146" s="66"/>
      <c r="B146" s="66"/>
      <c r="C146" s="70"/>
      <c r="D146" s="66"/>
      <c r="E146" s="66"/>
      <c r="F146" s="68" t="str">
        <f t="array" ref="F146">IF(INDEX('Binder Data'!$A$752:$A$1001,ROW()-1)="","",IF(INDEX('Binder Data'!$D$752:$D$1001,ROW()-1)="Needed",INDEX('Binder Data'!$B$752:$B$1001,ROW()-1),INDEX('Binder Data'!$D$752:$D$1001,ROW()-1)))</f>
        <v/>
      </c>
      <c r="G146" s="66"/>
      <c r="H146" s="66"/>
      <c r="I146" s="66"/>
      <c r="J146" s="66"/>
      <c r="K146" s="66"/>
      <c r="L146" s="66"/>
      <c r="M146" s="66"/>
      <c r="N146" s="66"/>
      <c r="O146" s="66"/>
      <c r="P146" s="66"/>
      <c r="Q146" s="66"/>
      <c r="R146" s="66"/>
      <c r="S146" s="66"/>
      <c r="T146" s="66"/>
      <c r="U146" s="66"/>
      <c r="V146" s="66"/>
      <c r="W146" s="66"/>
      <c r="X146" s="66"/>
      <c r="Y146" s="66"/>
      <c r="Z146" s="66"/>
      <c r="AA146" s="66"/>
    </row>
    <row r="147" ht="15.75" customHeight="1">
      <c r="A147" s="66"/>
      <c r="B147" s="66"/>
      <c r="C147" s="70"/>
      <c r="D147" s="66"/>
      <c r="E147" s="66"/>
      <c r="F147" s="68" t="str">
        <f t="array" ref="F147">IF(INDEX('Binder Data'!$A$752:$A$1001,ROW()-1)="","",IF(INDEX('Binder Data'!$D$752:$D$1001,ROW()-1)="Needed",INDEX('Binder Data'!$B$752:$B$1001,ROW()-1),INDEX('Binder Data'!$D$752:$D$1001,ROW()-1)))</f>
        <v/>
      </c>
      <c r="G147" s="66"/>
      <c r="H147" s="66"/>
      <c r="I147" s="66"/>
      <c r="J147" s="66"/>
      <c r="K147" s="66"/>
      <c r="L147" s="66"/>
      <c r="M147" s="66"/>
      <c r="N147" s="66"/>
      <c r="O147" s="66"/>
      <c r="P147" s="66"/>
      <c r="Q147" s="66"/>
      <c r="R147" s="66"/>
      <c r="S147" s="66"/>
      <c r="T147" s="66"/>
      <c r="U147" s="66"/>
      <c r="V147" s="66"/>
      <c r="W147" s="66"/>
      <c r="X147" s="66"/>
      <c r="Y147" s="66"/>
      <c r="Z147" s="66"/>
      <c r="AA147" s="66"/>
    </row>
    <row r="148" ht="15.75" customHeight="1">
      <c r="A148" s="66"/>
      <c r="B148" s="66"/>
      <c r="C148" s="70"/>
      <c r="D148" s="66"/>
      <c r="E148" s="66"/>
      <c r="F148" s="68" t="str">
        <f t="array" ref="F148">IF(INDEX('Binder Data'!$A$752:$A$1001,ROW()-1)="","",IF(INDEX('Binder Data'!$D$752:$D$1001,ROW()-1)="Needed",INDEX('Binder Data'!$B$752:$B$1001,ROW()-1),INDEX('Binder Data'!$D$752:$D$1001,ROW()-1)))</f>
        <v/>
      </c>
      <c r="G148" s="66"/>
      <c r="H148" s="66"/>
      <c r="I148" s="66"/>
      <c r="J148" s="66"/>
      <c r="K148" s="66"/>
      <c r="L148" s="66"/>
      <c r="M148" s="66"/>
      <c r="N148" s="66"/>
      <c r="O148" s="66"/>
      <c r="P148" s="66"/>
      <c r="Q148" s="66"/>
      <c r="R148" s="66"/>
      <c r="S148" s="66"/>
      <c r="T148" s="66"/>
      <c r="U148" s="66"/>
      <c r="V148" s="66"/>
      <c r="W148" s="66"/>
      <c r="X148" s="66"/>
      <c r="Y148" s="66"/>
      <c r="Z148" s="66"/>
      <c r="AA148" s="66"/>
    </row>
    <row r="149" ht="15.75" customHeight="1">
      <c r="A149" s="66"/>
      <c r="B149" s="66"/>
      <c r="C149" s="70"/>
      <c r="D149" s="66"/>
      <c r="E149" s="66"/>
      <c r="F149" s="68" t="str">
        <f t="array" ref="F149">IF(INDEX('Binder Data'!$A$752:$A$1001,ROW()-1)="","",IF(INDEX('Binder Data'!$D$752:$D$1001,ROW()-1)="Needed",INDEX('Binder Data'!$B$752:$B$1001,ROW()-1),INDEX('Binder Data'!$D$752:$D$1001,ROW()-1)))</f>
        <v/>
      </c>
      <c r="G149" s="66"/>
      <c r="H149" s="66"/>
      <c r="I149" s="66"/>
      <c r="J149" s="66"/>
      <c r="K149" s="66"/>
      <c r="L149" s="66"/>
      <c r="M149" s="66"/>
      <c r="N149" s="66"/>
      <c r="O149" s="66"/>
      <c r="P149" s="66"/>
      <c r="Q149" s="66"/>
      <c r="R149" s="66"/>
      <c r="S149" s="66"/>
      <c r="T149" s="66"/>
      <c r="U149" s="66"/>
      <c r="V149" s="66"/>
      <c r="W149" s="66"/>
      <c r="X149" s="66"/>
      <c r="Y149" s="66"/>
      <c r="Z149" s="66"/>
      <c r="AA149" s="66"/>
    </row>
    <row r="150" ht="15.75" customHeight="1">
      <c r="A150" s="66"/>
      <c r="B150" s="66"/>
      <c r="C150" s="70"/>
      <c r="D150" s="66"/>
      <c r="E150" s="66"/>
      <c r="F150" s="68" t="str">
        <f t="array" ref="F150">IF(INDEX('Binder Data'!$A$752:$A$1001,ROW()-1)="","",IF(INDEX('Binder Data'!$D$752:$D$1001,ROW()-1)="Needed",INDEX('Binder Data'!$B$752:$B$1001,ROW()-1),INDEX('Binder Data'!$D$752:$D$1001,ROW()-1)))</f>
        <v/>
      </c>
      <c r="G150" s="66"/>
      <c r="H150" s="66"/>
      <c r="I150" s="66"/>
      <c r="J150" s="66"/>
      <c r="K150" s="66"/>
      <c r="L150" s="66"/>
      <c r="M150" s="66"/>
      <c r="N150" s="66"/>
      <c r="O150" s="66"/>
      <c r="P150" s="66"/>
      <c r="Q150" s="66"/>
      <c r="R150" s="66"/>
      <c r="S150" s="66"/>
      <c r="T150" s="66"/>
      <c r="U150" s="66"/>
      <c r="V150" s="66"/>
      <c r="W150" s="66"/>
      <c r="X150" s="66"/>
      <c r="Y150" s="66"/>
      <c r="Z150" s="66"/>
      <c r="AA150" s="66"/>
    </row>
    <row r="151" ht="15.75" customHeight="1">
      <c r="A151" s="66"/>
      <c r="B151" s="66"/>
      <c r="C151" s="70"/>
      <c r="D151" s="66"/>
      <c r="E151" s="66"/>
      <c r="F151" s="68" t="str">
        <f t="array" ref="F151">IF(INDEX('Binder Data'!$A$752:$A$1001,ROW()-1)="","",IF(INDEX('Binder Data'!$D$752:$D$1001,ROW()-1)="Needed",INDEX('Binder Data'!$B$752:$B$1001,ROW()-1),INDEX('Binder Data'!$D$752:$D$1001,ROW()-1)))</f>
        <v/>
      </c>
      <c r="G151" s="66"/>
      <c r="H151" s="66"/>
      <c r="I151" s="66"/>
      <c r="J151" s="66"/>
      <c r="K151" s="66"/>
      <c r="L151" s="66"/>
      <c r="M151" s="66"/>
      <c r="N151" s="66"/>
      <c r="O151" s="66"/>
      <c r="P151" s="66"/>
      <c r="Q151" s="66"/>
      <c r="R151" s="66"/>
      <c r="S151" s="66"/>
      <c r="T151" s="66"/>
      <c r="U151" s="66"/>
      <c r="V151" s="66"/>
      <c r="W151" s="66"/>
      <c r="X151" s="66"/>
      <c r="Y151" s="66"/>
      <c r="Z151" s="66"/>
      <c r="AA151" s="66"/>
    </row>
    <row r="152" ht="15.75" customHeight="1">
      <c r="A152" s="66"/>
      <c r="B152" s="66"/>
      <c r="C152" s="66"/>
      <c r="D152" s="66"/>
      <c r="E152" s="66"/>
      <c r="F152" s="68" t="str">
        <f t="array" ref="F152">IF(INDEX('Binder Data'!$A$752:$A$1001,ROW()-1)="","",IF(INDEX('Binder Data'!$D$752:$D$1001,ROW()-1)="Needed",INDEX('Binder Data'!$B$752:$B$1001,ROW()-1),INDEX('Binder Data'!$D$752:$D$1001,ROW()-1)))</f>
        <v/>
      </c>
      <c r="G152" s="66"/>
      <c r="H152" s="66"/>
      <c r="I152" s="66"/>
      <c r="J152" s="66"/>
      <c r="K152" s="66"/>
      <c r="L152" s="66"/>
      <c r="M152" s="66"/>
      <c r="N152" s="66"/>
      <c r="O152" s="66"/>
      <c r="P152" s="66"/>
      <c r="Q152" s="66"/>
      <c r="R152" s="66"/>
      <c r="S152" s="66"/>
      <c r="T152" s="66"/>
      <c r="U152" s="66"/>
      <c r="V152" s="66"/>
      <c r="W152" s="66"/>
      <c r="X152" s="66"/>
      <c r="Y152" s="66"/>
      <c r="Z152" s="66"/>
      <c r="AA152" s="66"/>
    </row>
    <row r="153" ht="15.75" customHeight="1">
      <c r="A153" s="66"/>
      <c r="B153" s="66"/>
      <c r="C153" s="66"/>
      <c r="D153" s="66"/>
      <c r="E153" s="66"/>
      <c r="F153" s="68" t="str">
        <f t="array" ref="F153">IF(INDEX('Binder Data'!$A$752:$A$1001,ROW()-1)="","",IF(INDEX('Binder Data'!$D$752:$D$1001,ROW()-1)="Needed",INDEX('Binder Data'!$B$752:$B$1001,ROW()-1),INDEX('Binder Data'!$D$752:$D$1001,ROW()-1)))</f>
        <v/>
      </c>
      <c r="G153" s="66"/>
      <c r="H153" s="66"/>
      <c r="I153" s="66"/>
      <c r="J153" s="66"/>
      <c r="K153" s="66"/>
      <c r="L153" s="66"/>
      <c r="M153" s="66"/>
      <c r="N153" s="66"/>
      <c r="O153" s="66"/>
      <c r="P153" s="66"/>
      <c r="Q153" s="66"/>
      <c r="R153" s="66"/>
      <c r="S153" s="66"/>
      <c r="T153" s="66"/>
      <c r="U153" s="66"/>
      <c r="V153" s="66"/>
      <c r="W153" s="66"/>
      <c r="X153" s="66"/>
      <c r="Y153" s="66"/>
      <c r="Z153" s="66"/>
      <c r="AA153" s="66"/>
    </row>
    <row r="154" ht="15.75" customHeight="1">
      <c r="A154" s="66"/>
      <c r="B154" s="66"/>
      <c r="C154" s="66"/>
      <c r="D154" s="66"/>
      <c r="E154" s="66"/>
      <c r="F154" s="68" t="str">
        <f t="array" ref="F154">IF(INDEX('Binder Data'!$A$752:$A$1001,ROW()-1)="","",IF(INDEX('Binder Data'!$D$752:$D$1001,ROW()-1)="Needed",INDEX('Binder Data'!$B$752:$B$1001,ROW()-1),INDEX('Binder Data'!$D$752:$D$1001,ROW()-1)))</f>
        <v/>
      </c>
      <c r="G154" s="66"/>
      <c r="H154" s="66"/>
      <c r="I154" s="66"/>
      <c r="J154" s="66"/>
      <c r="K154" s="66"/>
      <c r="L154" s="66"/>
      <c r="M154" s="66"/>
      <c r="N154" s="66"/>
      <c r="O154" s="66"/>
      <c r="P154" s="66"/>
      <c r="Q154" s="66"/>
      <c r="R154" s="66"/>
      <c r="S154" s="66"/>
      <c r="T154" s="66"/>
      <c r="U154" s="66"/>
      <c r="V154" s="66"/>
      <c r="W154" s="66"/>
      <c r="X154" s="66"/>
      <c r="Y154" s="66"/>
      <c r="Z154" s="66"/>
      <c r="AA154" s="66"/>
    </row>
    <row r="155" ht="15.75" customHeight="1">
      <c r="A155" s="66"/>
      <c r="B155" s="66"/>
      <c r="C155" s="66"/>
      <c r="D155" s="66"/>
      <c r="E155" s="66"/>
      <c r="F155" s="68" t="str">
        <f t="array" ref="F155">IF(INDEX('Binder Data'!$A$752:$A$1001,ROW()-1)="","",IF(INDEX('Binder Data'!$D$752:$D$1001,ROW()-1)="Needed",INDEX('Binder Data'!$B$752:$B$1001,ROW()-1),INDEX('Binder Data'!$D$752:$D$1001,ROW()-1)))</f>
        <v/>
      </c>
      <c r="G155" s="66"/>
      <c r="H155" s="66"/>
      <c r="I155" s="66"/>
      <c r="J155" s="66"/>
      <c r="K155" s="66"/>
      <c r="L155" s="66"/>
      <c r="M155" s="66"/>
      <c r="N155" s="66"/>
      <c r="O155" s="66"/>
      <c r="P155" s="66"/>
      <c r="Q155" s="66"/>
      <c r="R155" s="66"/>
      <c r="S155" s="66"/>
      <c r="T155" s="66"/>
      <c r="U155" s="66"/>
      <c r="V155" s="66"/>
      <c r="W155" s="66"/>
      <c r="X155" s="66"/>
      <c r="Y155" s="66"/>
      <c r="Z155" s="66"/>
      <c r="AA155" s="66"/>
    </row>
    <row r="156" ht="15.75" customHeight="1">
      <c r="A156" s="66"/>
      <c r="B156" s="66"/>
      <c r="C156" s="66"/>
      <c r="D156" s="66"/>
      <c r="E156" s="66"/>
      <c r="F156" s="68" t="str">
        <f t="array" ref="F156">IF(INDEX('Binder Data'!$A$752:$A$1001,ROW()-1)="","",IF(INDEX('Binder Data'!$D$752:$D$1001,ROW()-1)="Needed",INDEX('Binder Data'!$B$752:$B$1001,ROW()-1),INDEX('Binder Data'!$D$752:$D$1001,ROW()-1)))</f>
        <v/>
      </c>
      <c r="G156" s="66"/>
      <c r="H156" s="66"/>
      <c r="I156" s="66"/>
      <c r="J156" s="66"/>
      <c r="K156" s="66"/>
      <c r="L156" s="66"/>
      <c r="M156" s="66"/>
      <c r="N156" s="66"/>
      <c r="O156" s="66"/>
      <c r="P156" s="66"/>
      <c r="Q156" s="66"/>
      <c r="R156" s="66"/>
      <c r="S156" s="66"/>
      <c r="T156" s="66"/>
      <c r="U156" s="66"/>
      <c r="V156" s="66"/>
      <c r="W156" s="66"/>
      <c r="X156" s="66"/>
      <c r="Y156" s="66"/>
      <c r="Z156" s="66"/>
      <c r="AA156" s="66"/>
    </row>
    <row r="157" ht="15.75" customHeight="1">
      <c r="A157" s="66"/>
      <c r="B157" s="66"/>
      <c r="C157" s="66"/>
      <c r="D157" s="66"/>
      <c r="E157" s="66"/>
      <c r="F157" s="68" t="str">
        <f t="array" ref="F157">IF(INDEX('Binder Data'!$A$752:$A$1001,ROW()-1)="","",IF(INDEX('Binder Data'!$D$752:$D$1001,ROW()-1)="Needed",INDEX('Binder Data'!$B$752:$B$1001,ROW()-1),INDEX('Binder Data'!$D$752:$D$1001,ROW()-1)))</f>
        <v/>
      </c>
      <c r="G157" s="66"/>
      <c r="H157" s="66"/>
      <c r="I157" s="66"/>
      <c r="J157" s="66"/>
      <c r="K157" s="66"/>
      <c r="L157" s="66"/>
      <c r="M157" s="66"/>
      <c r="N157" s="66"/>
      <c r="O157" s="66"/>
      <c r="P157" s="66"/>
      <c r="Q157" s="66"/>
      <c r="R157" s="66"/>
      <c r="S157" s="66"/>
      <c r="T157" s="66"/>
      <c r="U157" s="66"/>
      <c r="V157" s="66"/>
      <c r="W157" s="66"/>
      <c r="X157" s="66"/>
      <c r="Y157" s="66"/>
      <c r="Z157" s="66"/>
      <c r="AA157" s="66"/>
    </row>
    <row r="158" ht="15.75" customHeight="1">
      <c r="A158" s="66"/>
      <c r="B158" s="66"/>
      <c r="C158" s="66"/>
      <c r="D158" s="66"/>
      <c r="E158" s="66"/>
      <c r="F158" s="68" t="str">
        <f t="array" ref="F158">IF(INDEX('Binder Data'!$A$752:$A$1001,ROW()-1)="","",IF(INDEX('Binder Data'!$D$752:$D$1001,ROW()-1)="Needed",INDEX('Binder Data'!$B$752:$B$1001,ROW()-1),INDEX('Binder Data'!$D$752:$D$1001,ROW()-1)))</f>
        <v/>
      </c>
      <c r="G158" s="66"/>
      <c r="H158" s="66"/>
      <c r="I158" s="66"/>
      <c r="J158" s="66"/>
      <c r="K158" s="66"/>
      <c r="L158" s="66"/>
      <c r="M158" s="66"/>
      <c r="N158" s="66"/>
      <c r="O158" s="66"/>
      <c r="P158" s="66"/>
      <c r="Q158" s="66"/>
      <c r="R158" s="66"/>
      <c r="S158" s="66"/>
      <c r="T158" s="66"/>
      <c r="U158" s="66"/>
      <c r="V158" s="66"/>
      <c r="W158" s="66"/>
      <c r="X158" s="66"/>
      <c r="Y158" s="66"/>
      <c r="Z158" s="66"/>
      <c r="AA158" s="66"/>
    </row>
    <row r="159" ht="15.75" customHeight="1">
      <c r="A159" s="66"/>
      <c r="B159" s="66"/>
      <c r="C159" s="66"/>
      <c r="D159" s="66"/>
      <c r="E159" s="66"/>
      <c r="F159" s="68" t="str">
        <f t="array" ref="F159">IF(INDEX('Binder Data'!$A$752:$A$1001,ROW()-1)="","",IF(INDEX('Binder Data'!$D$752:$D$1001,ROW()-1)="Needed",INDEX('Binder Data'!$B$752:$B$1001,ROW()-1),INDEX('Binder Data'!$D$752:$D$1001,ROW()-1)))</f>
        <v/>
      </c>
      <c r="G159" s="66"/>
      <c r="H159" s="66"/>
      <c r="I159" s="66"/>
      <c r="J159" s="66"/>
      <c r="K159" s="66"/>
      <c r="L159" s="66"/>
      <c r="M159" s="66"/>
      <c r="N159" s="66"/>
      <c r="O159" s="66"/>
      <c r="P159" s="66"/>
      <c r="Q159" s="66"/>
      <c r="R159" s="66"/>
      <c r="S159" s="66"/>
      <c r="T159" s="66"/>
      <c r="U159" s="66"/>
      <c r="V159" s="66"/>
      <c r="W159" s="66"/>
      <c r="X159" s="66"/>
      <c r="Y159" s="66"/>
      <c r="Z159" s="66"/>
      <c r="AA159" s="66"/>
    </row>
    <row r="160" ht="15.75" customHeight="1">
      <c r="A160" s="66"/>
      <c r="B160" s="66"/>
      <c r="C160" s="66"/>
      <c r="D160" s="66"/>
      <c r="E160" s="66"/>
      <c r="F160" s="68" t="str">
        <f t="array" ref="F160">IF(INDEX('Binder Data'!$A$752:$A$1001,ROW()-1)="","",IF(INDEX('Binder Data'!$D$752:$D$1001,ROW()-1)="Needed",INDEX('Binder Data'!$B$752:$B$1001,ROW()-1),INDEX('Binder Data'!$D$752:$D$1001,ROW()-1)))</f>
        <v/>
      </c>
      <c r="G160" s="66"/>
      <c r="H160" s="66"/>
      <c r="I160" s="66"/>
      <c r="J160" s="66"/>
      <c r="K160" s="66"/>
      <c r="L160" s="66"/>
      <c r="M160" s="66"/>
      <c r="N160" s="66"/>
      <c r="O160" s="66"/>
      <c r="P160" s="66"/>
      <c r="Q160" s="66"/>
      <c r="R160" s="66"/>
      <c r="S160" s="66"/>
      <c r="T160" s="66"/>
      <c r="U160" s="66"/>
      <c r="V160" s="66"/>
      <c r="W160" s="66"/>
      <c r="X160" s="66"/>
      <c r="Y160" s="66"/>
      <c r="Z160" s="66"/>
      <c r="AA160" s="66"/>
    </row>
    <row r="161" ht="15.75" customHeight="1">
      <c r="A161" s="66"/>
      <c r="B161" s="66"/>
      <c r="C161" s="66"/>
      <c r="D161" s="66"/>
      <c r="E161" s="66"/>
      <c r="F161" s="68" t="str">
        <f t="array" ref="F161">IF(INDEX('Binder Data'!$A$752:$A$1001,ROW()-1)="","",IF(INDEX('Binder Data'!$D$752:$D$1001,ROW()-1)="Needed",INDEX('Binder Data'!$B$752:$B$1001,ROW()-1),INDEX('Binder Data'!$D$752:$D$1001,ROW()-1)))</f>
        <v/>
      </c>
      <c r="G161" s="66"/>
      <c r="H161" s="66"/>
      <c r="I161" s="66"/>
      <c r="J161" s="66"/>
      <c r="K161" s="66"/>
      <c r="L161" s="66"/>
      <c r="M161" s="66"/>
      <c r="N161" s="66"/>
      <c r="O161" s="66"/>
      <c r="P161" s="66"/>
      <c r="Q161" s="66"/>
      <c r="R161" s="66"/>
      <c r="S161" s="66"/>
      <c r="T161" s="66"/>
      <c r="U161" s="66"/>
      <c r="V161" s="66"/>
      <c r="W161" s="66"/>
      <c r="X161" s="66"/>
      <c r="Y161" s="66"/>
      <c r="Z161" s="66"/>
      <c r="AA161" s="66"/>
    </row>
    <row r="162" ht="15.75" customHeight="1">
      <c r="A162" s="66"/>
      <c r="B162" s="66"/>
      <c r="C162" s="66"/>
      <c r="D162" s="66"/>
      <c r="E162" s="66"/>
      <c r="F162" s="68" t="str">
        <f t="array" ref="F162">IF(INDEX('Binder Data'!$A$752:$A$1001,ROW()-1)="","",IF(INDEX('Binder Data'!$D$752:$D$1001,ROW()-1)="Needed",INDEX('Binder Data'!$B$752:$B$1001,ROW()-1),INDEX('Binder Data'!$D$752:$D$1001,ROW()-1)))</f>
        <v/>
      </c>
      <c r="G162" s="66"/>
      <c r="H162" s="66"/>
      <c r="I162" s="66"/>
      <c r="J162" s="66"/>
      <c r="K162" s="66"/>
      <c r="L162" s="66"/>
      <c r="M162" s="66"/>
      <c r="N162" s="66"/>
      <c r="O162" s="66"/>
      <c r="P162" s="66"/>
      <c r="Q162" s="66"/>
      <c r="R162" s="66"/>
      <c r="S162" s="66"/>
      <c r="T162" s="66"/>
      <c r="U162" s="66"/>
      <c r="V162" s="66"/>
      <c r="W162" s="66"/>
      <c r="X162" s="66"/>
      <c r="Y162" s="66"/>
      <c r="Z162" s="66"/>
      <c r="AA162" s="66"/>
    </row>
    <row r="163" ht="15.75" customHeight="1">
      <c r="A163" s="66"/>
      <c r="B163" s="66"/>
      <c r="C163" s="66"/>
      <c r="D163" s="66"/>
      <c r="E163" s="66"/>
      <c r="F163" s="68" t="str">
        <f t="array" ref="F163">IF(INDEX('Binder Data'!$A$752:$A$1001,ROW()-1)="","",IF(INDEX('Binder Data'!$D$752:$D$1001,ROW()-1)="Needed",INDEX('Binder Data'!$B$752:$B$1001,ROW()-1),INDEX('Binder Data'!$D$752:$D$1001,ROW()-1)))</f>
        <v/>
      </c>
      <c r="G163" s="66"/>
      <c r="H163" s="66"/>
      <c r="I163" s="66"/>
      <c r="J163" s="66"/>
      <c r="K163" s="66"/>
      <c r="L163" s="66"/>
      <c r="M163" s="66"/>
      <c r="N163" s="66"/>
      <c r="O163" s="66"/>
      <c r="P163" s="66"/>
      <c r="Q163" s="66"/>
      <c r="R163" s="66"/>
      <c r="S163" s="66"/>
      <c r="T163" s="66"/>
      <c r="U163" s="66"/>
      <c r="V163" s="66"/>
      <c r="W163" s="66"/>
      <c r="X163" s="66"/>
      <c r="Y163" s="66"/>
      <c r="Z163" s="66"/>
      <c r="AA163" s="66"/>
    </row>
    <row r="164" ht="15.75" customHeight="1">
      <c r="A164" s="66"/>
      <c r="B164" s="66"/>
      <c r="C164" s="66"/>
      <c r="D164" s="66"/>
      <c r="E164" s="66"/>
      <c r="F164" s="68" t="str">
        <f t="array" ref="F164">IF(INDEX('Binder Data'!$A$752:$A$1001,ROW()-1)="","",IF(INDEX('Binder Data'!$D$752:$D$1001,ROW()-1)="Needed",INDEX('Binder Data'!$B$752:$B$1001,ROW()-1),INDEX('Binder Data'!$D$752:$D$1001,ROW()-1)))</f>
        <v/>
      </c>
      <c r="G164" s="66"/>
      <c r="H164" s="66"/>
      <c r="I164" s="66"/>
      <c r="J164" s="66"/>
      <c r="K164" s="66"/>
      <c r="L164" s="66"/>
      <c r="M164" s="66"/>
      <c r="N164" s="66"/>
      <c r="O164" s="66"/>
      <c r="P164" s="66"/>
      <c r="Q164" s="66"/>
      <c r="R164" s="66"/>
      <c r="S164" s="66"/>
      <c r="T164" s="66"/>
      <c r="U164" s="66"/>
      <c r="V164" s="66"/>
      <c r="W164" s="66"/>
      <c r="X164" s="66"/>
      <c r="Y164" s="66"/>
      <c r="Z164" s="66"/>
      <c r="AA164" s="66"/>
    </row>
    <row r="165" ht="15.75" customHeight="1">
      <c r="A165" s="66"/>
      <c r="B165" s="66"/>
      <c r="C165" s="66"/>
      <c r="D165" s="66"/>
      <c r="E165" s="66"/>
      <c r="F165" s="68" t="str">
        <f t="array" ref="F165">IF(INDEX('Binder Data'!$A$752:$A$1001,ROW()-1)="","",IF(INDEX('Binder Data'!$D$752:$D$1001,ROW()-1)="Needed",INDEX('Binder Data'!$B$752:$B$1001,ROW()-1),INDEX('Binder Data'!$D$752:$D$1001,ROW()-1)))</f>
        <v/>
      </c>
      <c r="G165" s="66"/>
      <c r="H165" s="66"/>
      <c r="I165" s="66"/>
      <c r="J165" s="66"/>
      <c r="K165" s="66"/>
      <c r="L165" s="66"/>
      <c r="M165" s="66"/>
      <c r="N165" s="66"/>
      <c r="O165" s="66"/>
      <c r="P165" s="66"/>
      <c r="Q165" s="66"/>
      <c r="R165" s="66"/>
      <c r="S165" s="66"/>
      <c r="T165" s="66"/>
      <c r="U165" s="66"/>
      <c r="V165" s="66"/>
      <c r="W165" s="66"/>
      <c r="X165" s="66"/>
      <c r="Y165" s="66"/>
      <c r="Z165" s="66"/>
      <c r="AA165" s="66"/>
    </row>
    <row r="166" ht="15.75" customHeight="1">
      <c r="A166" s="66"/>
      <c r="B166" s="66"/>
      <c r="C166" s="66"/>
      <c r="D166" s="66"/>
      <c r="E166" s="66"/>
      <c r="F166" s="68" t="str">
        <f t="array" ref="F166">IF(INDEX('Binder Data'!$A$752:$A$1001,ROW()-1)="","",IF(INDEX('Binder Data'!$D$752:$D$1001,ROW()-1)="Needed",INDEX('Binder Data'!$B$752:$B$1001,ROW()-1),INDEX('Binder Data'!$D$752:$D$1001,ROW()-1)))</f>
        <v/>
      </c>
      <c r="G166" s="66"/>
      <c r="H166" s="66"/>
      <c r="I166" s="66"/>
      <c r="J166" s="66"/>
      <c r="K166" s="66"/>
      <c r="L166" s="66"/>
      <c r="M166" s="66"/>
      <c r="N166" s="66"/>
      <c r="O166" s="66"/>
      <c r="P166" s="66"/>
      <c r="Q166" s="66"/>
      <c r="R166" s="66"/>
      <c r="S166" s="66"/>
      <c r="T166" s="66"/>
      <c r="U166" s="66"/>
      <c r="V166" s="66"/>
      <c r="W166" s="66"/>
      <c r="X166" s="66"/>
      <c r="Y166" s="66"/>
      <c r="Z166" s="66"/>
      <c r="AA166" s="66"/>
    </row>
    <row r="167" ht="15.75" customHeight="1">
      <c r="A167" s="66"/>
      <c r="B167" s="66"/>
      <c r="C167" s="66"/>
      <c r="D167" s="66"/>
      <c r="E167" s="66"/>
      <c r="F167" s="68" t="str">
        <f t="array" ref="F167">IF(INDEX('Binder Data'!$A$752:$A$1001,ROW()-1)="","",IF(INDEX('Binder Data'!$D$752:$D$1001,ROW()-1)="Needed",INDEX('Binder Data'!$B$752:$B$1001,ROW()-1),INDEX('Binder Data'!$D$752:$D$1001,ROW()-1)))</f>
        <v/>
      </c>
      <c r="G167" s="66"/>
      <c r="H167" s="66"/>
      <c r="I167" s="66"/>
      <c r="J167" s="66"/>
      <c r="K167" s="66"/>
      <c r="L167" s="66"/>
      <c r="M167" s="66"/>
      <c r="N167" s="66"/>
      <c r="O167" s="66"/>
      <c r="P167" s="66"/>
      <c r="Q167" s="66"/>
      <c r="R167" s="66"/>
      <c r="S167" s="66"/>
      <c r="T167" s="66"/>
      <c r="U167" s="66"/>
      <c r="V167" s="66"/>
      <c r="W167" s="66"/>
      <c r="X167" s="66"/>
      <c r="Y167" s="66"/>
      <c r="Z167" s="66"/>
      <c r="AA167" s="66"/>
    </row>
    <row r="168" ht="15.75" customHeight="1">
      <c r="A168" s="66"/>
      <c r="B168" s="66"/>
      <c r="C168" s="66"/>
      <c r="D168" s="66"/>
      <c r="E168" s="66"/>
      <c r="F168" s="68" t="str">
        <f t="array" ref="F168">IF(INDEX('Binder Data'!$A$752:$A$1001,ROW()-1)="","",IF(INDEX('Binder Data'!$D$752:$D$1001,ROW()-1)="Needed",INDEX('Binder Data'!$B$752:$B$1001,ROW()-1),INDEX('Binder Data'!$D$752:$D$1001,ROW()-1)))</f>
        <v/>
      </c>
      <c r="G168" s="66"/>
      <c r="H168" s="66"/>
      <c r="I168" s="66"/>
      <c r="J168" s="66"/>
      <c r="K168" s="66"/>
      <c r="L168" s="66"/>
      <c r="M168" s="66"/>
      <c r="N168" s="66"/>
      <c r="O168" s="66"/>
      <c r="P168" s="66"/>
      <c r="Q168" s="66"/>
      <c r="R168" s="66"/>
      <c r="S168" s="66"/>
      <c r="T168" s="66"/>
      <c r="U168" s="66"/>
      <c r="V168" s="66"/>
      <c r="W168" s="66"/>
      <c r="X168" s="66"/>
      <c r="Y168" s="66"/>
      <c r="Z168" s="66"/>
      <c r="AA168" s="66"/>
    </row>
    <row r="169" ht="15.75" customHeight="1">
      <c r="A169" s="66"/>
      <c r="B169" s="66"/>
      <c r="C169" s="66"/>
      <c r="D169" s="66"/>
      <c r="E169" s="66"/>
      <c r="F169" s="68" t="str">
        <f t="array" ref="F169">IF(INDEX('Binder Data'!$A$752:$A$1001,ROW()-1)="","",IF(INDEX('Binder Data'!$D$752:$D$1001,ROW()-1)="Needed",INDEX('Binder Data'!$B$752:$B$1001,ROW()-1),INDEX('Binder Data'!$D$752:$D$1001,ROW()-1)))</f>
        <v/>
      </c>
      <c r="G169" s="66"/>
      <c r="H169" s="66"/>
      <c r="I169" s="66"/>
      <c r="J169" s="66"/>
      <c r="K169" s="66"/>
      <c r="L169" s="66"/>
      <c r="M169" s="66"/>
      <c r="N169" s="66"/>
      <c r="O169" s="66"/>
      <c r="P169" s="66"/>
      <c r="Q169" s="66"/>
      <c r="R169" s="66"/>
      <c r="S169" s="66"/>
      <c r="T169" s="66"/>
      <c r="U169" s="66"/>
      <c r="V169" s="66"/>
      <c r="W169" s="66"/>
      <c r="X169" s="66"/>
      <c r="Y169" s="66"/>
      <c r="Z169" s="66"/>
      <c r="AA169" s="66"/>
    </row>
    <row r="170" ht="15.75" customHeight="1">
      <c r="A170" s="66"/>
      <c r="B170" s="66"/>
      <c r="C170" s="66"/>
      <c r="D170" s="66"/>
      <c r="E170" s="66"/>
      <c r="F170" s="68" t="str">
        <f t="array" ref="F170">IF(INDEX('Binder Data'!$A$752:$A$1001,ROW()-1)="","",IF(INDEX('Binder Data'!$D$752:$D$1001,ROW()-1)="Needed",INDEX('Binder Data'!$B$752:$B$1001,ROW()-1),INDEX('Binder Data'!$D$752:$D$1001,ROW()-1)))</f>
        <v/>
      </c>
      <c r="G170" s="66"/>
      <c r="H170" s="66"/>
      <c r="I170" s="66"/>
      <c r="J170" s="66"/>
      <c r="K170" s="66"/>
      <c r="L170" s="66"/>
      <c r="M170" s="66"/>
      <c r="N170" s="66"/>
      <c r="O170" s="66"/>
      <c r="P170" s="66"/>
      <c r="Q170" s="66"/>
      <c r="R170" s="66"/>
      <c r="S170" s="66"/>
      <c r="T170" s="66"/>
      <c r="U170" s="66"/>
      <c r="V170" s="66"/>
      <c r="W170" s="66"/>
      <c r="X170" s="66"/>
      <c r="Y170" s="66"/>
      <c r="Z170" s="66"/>
      <c r="AA170" s="66"/>
    </row>
    <row r="171" ht="15.75" customHeight="1">
      <c r="A171" s="66"/>
      <c r="B171" s="66"/>
      <c r="C171" s="66"/>
      <c r="D171" s="66"/>
      <c r="E171" s="66"/>
      <c r="F171" s="68" t="str">
        <f t="array" ref="F171">IF(INDEX('Binder Data'!$A$752:$A$1001,ROW()-1)="","",IF(INDEX('Binder Data'!$D$752:$D$1001,ROW()-1)="Needed",INDEX('Binder Data'!$B$752:$B$1001,ROW()-1),INDEX('Binder Data'!$D$752:$D$1001,ROW()-1)))</f>
        <v/>
      </c>
      <c r="G171" s="66"/>
      <c r="H171" s="66"/>
      <c r="I171" s="66"/>
      <c r="J171" s="66"/>
      <c r="K171" s="66"/>
      <c r="L171" s="66"/>
      <c r="M171" s="66"/>
      <c r="N171" s="66"/>
      <c r="O171" s="66"/>
      <c r="P171" s="66"/>
      <c r="Q171" s="66"/>
      <c r="R171" s="66"/>
      <c r="S171" s="66"/>
      <c r="T171" s="66"/>
      <c r="U171" s="66"/>
      <c r="V171" s="66"/>
      <c r="W171" s="66"/>
      <c r="X171" s="66"/>
      <c r="Y171" s="66"/>
      <c r="Z171" s="66"/>
      <c r="AA171" s="66"/>
    </row>
    <row r="172" ht="15.75" customHeight="1">
      <c r="A172" s="66"/>
      <c r="B172" s="66"/>
      <c r="C172" s="66"/>
      <c r="D172" s="66"/>
      <c r="E172" s="66"/>
      <c r="F172" s="68" t="str">
        <f t="array" ref="F172">IF(INDEX('Binder Data'!$A$752:$A$1001,ROW()-1)="","",IF(INDEX('Binder Data'!$D$752:$D$1001,ROW()-1)="Needed",INDEX('Binder Data'!$B$752:$B$1001,ROW()-1),INDEX('Binder Data'!$D$752:$D$1001,ROW()-1)))</f>
        <v/>
      </c>
      <c r="G172" s="66"/>
      <c r="H172" s="66"/>
      <c r="I172" s="66"/>
      <c r="J172" s="66"/>
      <c r="K172" s="66"/>
      <c r="L172" s="66"/>
      <c r="M172" s="66"/>
      <c r="N172" s="66"/>
      <c r="O172" s="66"/>
      <c r="P172" s="66"/>
      <c r="Q172" s="66"/>
      <c r="R172" s="66"/>
      <c r="S172" s="66"/>
      <c r="T172" s="66"/>
      <c r="U172" s="66"/>
      <c r="V172" s="66"/>
      <c r="W172" s="66"/>
      <c r="X172" s="66"/>
      <c r="Y172" s="66"/>
      <c r="Z172" s="66"/>
      <c r="AA172" s="66"/>
    </row>
    <row r="173" ht="15.75" customHeight="1">
      <c r="A173" s="66"/>
      <c r="B173" s="66"/>
      <c r="C173" s="66"/>
      <c r="D173" s="66"/>
      <c r="E173" s="66"/>
      <c r="F173" s="68" t="str">
        <f t="array" ref="F173">IF(INDEX('Binder Data'!$A$752:$A$1001,ROW()-1)="","",IF(INDEX('Binder Data'!$D$752:$D$1001,ROW()-1)="Needed",INDEX('Binder Data'!$B$752:$B$1001,ROW()-1),INDEX('Binder Data'!$D$752:$D$1001,ROW()-1)))</f>
        <v/>
      </c>
      <c r="G173" s="66"/>
      <c r="H173" s="66"/>
      <c r="I173" s="66"/>
      <c r="J173" s="66"/>
      <c r="K173" s="66"/>
      <c r="L173" s="66"/>
      <c r="M173" s="66"/>
      <c r="N173" s="66"/>
      <c r="O173" s="66"/>
      <c r="P173" s="66"/>
      <c r="Q173" s="66"/>
      <c r="R173" s="66"/>
      <c r="S173" s="66"/>
      <c r="T173" s="66"/>
      <c r="U173" s="66"/>
      <c r="V173" s="66"/>
      <c r="W173" s="66"/>
      <c r="X173" s="66"/>
      <c r="Y173" s="66"/>
      <c r="Z173" s="66"/>
      <c r="AA173" s="66"/>
    </row>
    <row r="174" ht="15.75" customHeight="1">
      <c r="A174" s="66"/>
      <c r="B174" s="66"/>
      <c r="C174" s="66"/>
      <c r="D174" s="66"/>
      <c r="E174" s="66"/>
      <c r="F174" s="68" t="str">
        <f t="array" ref="F174">IF(INDEX('Binder Data'!$A$752:$A$1001,ROW()-1)="","",IF(INDEX('Binder Data'!$D$752:$D$1001,ROW()-1)="Needed",INDEX('Binder Data'!$B$752:$B$1001,ROW()-1),INDEX('Binder Data'!$D$752:$D$1001,ROW()-1)))</f>
        <v/>
      </c>
      <c r="G174" s="66"/>
      <c r="H174" s="66"/>
      <c r="I174" s="66"/>
      <c r="J174" s="66"/>
      <c r="K174" s="66"/>
      <c r="L174" s="66"/>
      <c r="M174" s="66"/>
      <c r="N174" s="66"/>
      <c r="O174" s="66"/>
      <c r="P174" s="66"/>
      <c r="Q174" s="66"/>
      <c r="R174" s="66"/>
      <c r="S174" s="66"/>
      <c r="T174" s="66"/>
      <c r="U174" s="66"/>
      <c r="V174" s="66"/>
      <c r="W174" s="66"/>
      <c r="X174" s="66"/>
      <c r="Y174" s="66"/>
      <c r="Z174" s="66"/>
      <c r="AA174" s="66"/>
    </row>
    <row r="175" ht="15.75" customHeight="1">
      <c r="A175" s="66"/>
      <c r="B175" s="66"/>
      <c r="C175" s="66"/>
      <c r="D175" s="66"/>
      <c r="E175" s="66"/>
      <c r="F175" s="68" t="str">
        <f t="array" ref="F175">IF(INDEX('Binder Data'!$A$752:$A$1001,ROW()-1)="","",IF(INDEX('Binder Data'!$D$752:$D$1001,ROW()-1)="Needed",INDEX('Binder Data'!$B$752:$B$1001,ROW()-1),INDEX('Binder Data'!$D$752:$D$1001,ROW()-1)))</f>
        <v/>
      </c>
      <c r="G175" s="66"/>
      <c r="H175" s="66"/>
      <c r="I175" s="66"/>
      <c r="J175" s="66"/>
      <c r="K175" s="66"/>
      <c r="L175" s="66"/>
      <c r="M175" s="66"/>
      <c r="N175" s="66"/>
      <c r="O175" s="66"/>
      <c r="P175" s="66"/>
      <c r="Q175" s="66"/>
      <c r="R175" s="66"/>
      <c r="S175" s="66"/>
      <c r="T175" s="66"/>
      <c r="U175" s="66"/>
      <c r="V175" s="66"/>
      <c r="W175" s="66"/>
      <c r="X175" s="66"/>
      <c r="Y175" s="66"/>
      <c r="Z175" s="66"/>
      <c r="AA175" s="66"/>
    </row>
    <row r="176" ht="15.75" customHeight="1">
      <c r="A176" s="66"/>
      <c r="B176" s="66"/>
      <c r="C176" s="66"/>
      <c r="D176" s="66"/>
      <c r="E176" s="66"/>
      <c r="F176" s="68" t="str">
        <f t="array" ref="F176">IF(INDEX('Binder Data'!$A$752:$A$1001,ROW()-1)="","",IF(INDEX('Binder Data'!$D$752:$D$1001,ROW()-1)="Needed",INDEX('Binder Data'!$B$752:$B$1001,ROW()-1),INDEX('Binder Data'!$D$752:$D$1001,ROW()-1)))</f>
        <v/>
      </c>
      <c r="G176" s="66"/>
      <c r="H176" s="66"/>
      <c r="I176" s="66"/>
      <c r="J176" s="66"/>
      <c r="K176" s="66"/>
      <c r="L176" s="66"/>
      <c r="M176" s="66"/>
      <c r="N176" s="66"/>
      <c r="O176" s="66"/>
      <c r="P176" s="66"/>
      <c r="Q176" s="66"/>
      <c r="R176" s="66"/>
      <c r="S176" s="66"/>
      <c r="T176" s="66"/>
      <c r="U176" s="66"/>
      <c r="V176" s="66"/>
      <c r="W176" s="66"/>
      <c r="X176" s="66"/>
      <c r="Y176" s="66"/>
      <c r="Z176" s="66"/>
      <c r="AA176" s="66"/>
    </row>
    <row r="177" ht="15.75" customHeight="1">
      <c r="A177" s="66"/>
      <c r="B177" s="66"/>
      <c r="C177" s="66"/>
      <c r="D177" s="66"/>
      <c r="E177" s="66"/>
      <c r="F177" s="68" t="str">
        <f t="array" ref="F177">IF(INDEX('Binder Data'!$A$752:$A$1001,ROW()-1)="","",IF(INDEX('Binder Data'!$D$752:$D$1001,ROW()-1)="Needed",INDEX('Binder Data'!$B$752:$B$1001,ROW()-1),INDEX('Binder Data'!$D$752:$D$1001,ROW()-1)))</f>
        <v/>
      </c>
      <c r="G177" s="66"/>
      <c r="H177" s="66"/>
      <c r="I177" s="66"/>
      <c r="J177" s="66"/>
      <c r="K177" s="66"/>
      <c r="L177" s="66"/>
      <c r="M177" s="66"/>
      <c r="N177" s="66"/>
      <c r="O177" s="66"/>
      <c r="P177" s="66"/>
      <c r="Q177" s="66"/>
      <c r="R177" s="66"/>
      <c r="S177" s="66"/>
      <c r="T177" s="66"/>
      <c r="U177" s="66"/>
      <c r="V177" s="66"/>
      <c r="W177" s="66"/>
      <c r="X177" s="66"/>
      <c r="Y177" s="66"/>
      <c r="Z177" s="66"/>
      <c r="AA177" s="66"/>
    </row>
    <row r="178" ht="15.75" customHeight="1">
      <c r="A178" s="66"/>
      <c r="B178" s="66"/>
      <c r="C178" s="66"/>
      <c r="D178" s="66"/>
      <c r="E178" s="66"/>
      <c r="F178" s="68" t="str">
        <f t="array" ref="F178">IF(INDEX('Binder Data'!$A$752:$A$1001,ROW()-1)="","",IF(INDEX('Binder Data'!$D$752:$D$1001,ROW()-1)="Needed",INDEX('Binder Data'!$B$752:$B$1001,ROW()-1),INDEX('Binder Data'!$D$752:$D$1001,ROW()-1)))</f>
        <v/>
      </c>
      <c r="G178" s="66"/>
      <c r="H178" s="66"/>
      <c r="I178" s="66"/>
      <c r="J178" s="66"/>
      <c r="K178" s="66"/>
      <c r="L178" s="66"/>
      <c r="M178" s="66"/>
      <c r="N178" s="66"/>
      <c r="O178" s="66"/>
      <c r="P178" s="66"/>
      <c r="Q178" s="66"/>
      <c r="R178" s="66"/>
      <c r="S178" s="66"/>
      <c r="T178" s="66"/>
      <c r="U178" s="66"/>
      <c r="V178" s="66"/>
      <c r="W178" s="66"/>
      <c r="X178" s="66"/>
      <c r="Y178" s="66"/>
      <c r="Z178" s="66"/>
      <c r="AA178" s="66"/>
    </row>
    <row r="179" ht="15.75" customHeight="1">
      <c r="A179" s="66"/>
      <c r="B179" s="66"/>
      <c r="C179" s="66"/>
      <c r="D179" s="66"/>
      <c r="E179" s="66"/>
      <c r="F179" s="68" t="str">
        <f t="array" ref="F179">IF(INDEX('Binder Data'!$A$752:$A$1001,ROW()-1)="","",IF(INDEX('Binder Data'!$D$752:$D$1001,ROW()-1)="Needed",INDEX('Binder Data'!$B$752:$B$1001,ROW()-1),INDEX('Binder Data'!$D$752:$D$1001,ROW()-1)))</f>
        <v/>
      </c>
      <c r="G179" s="66"/>
      <c r="H179" s="66"/>
      <c r="I179" s="66"/>
      <c r="J179" s="66"/>
      <c r="K179" s="66"/>
      <c r="L179" s="66"/>
      <c r="M179" s="66"/>
      <c r="N179" s="66"/>
      <c r="O179" s="66"/>
      <c r="P179" s="66"/>
      <c r="Q179" s="66"/>
      <c r="R179" s="66"/>
      <c r="S179" s="66"/>
      <c r="T179" s="66"/>
      <c r="U179" s="66"/>
      <c r="V179" s="66"/>
      <c r="W179" s="66"/>
      <c r="X179" s="66"/>
      <c r="Y179" s="66"/>
      <c r="Z179" s="66"/>
      <c r="AA179" s="66"/>
    </row>
    <row r="180" ht="15.75" customHeight="1">
      <c r="A180" s="66"/>
      <c r="B180" s="66"/>
      <c r="C180" s="66"/>
      <c r="D180" s="66"/>
      <c r="E180" s="66"/>
      <c r="F180" s="68" t="str">
        <f t="array" ref="F180">IF(INDEX('Binder Data'!$A$752:$A$1001,ROW()-1)="","",IF(INDEX('Binder Data'!$D$752:$D$1001,ROW()-1)="Needed",INDEX('Binder Data'!$B$752:$B$1001,ROW()-1),INDEX('Binder Data'!$D$752:$D$1001,ROW()-1)))</f>
        <v/>
      </c>
      <c r="G180" s="66"/>
      <c r="H180" s="66"/>
      <c r="I180" s="66"/>
      <c r="J180" s="66"/>
      <c r="K180" s="66"/>
      <c r="L180" s="66"/>
      <c r="M180" s="66"/>
      <c r="N180" s="66"/>
      <c r="O180" s="66"/>
      <c r="P180" s="66"/>
      <c r="Q180" s="66"/>
      <c r="R180" s="66"/>
      <c r="S180" s="66"/>
      <c r="T180" s="66"/>
      <c r="U180" s="66"/>
      <c r="V180" s="66"/>
      <c r="W180" s="66"/>
      <c r="X180" s="66"/>
      <c r="Y180" s="66"/>
      <c r="Z180" s="66"/>
      <c r="AA180" s="66"/>
    </row>
    <row r="181" ht="15.75" customHeight="1">
      <c r="A181" s="66"/>
      <c r="B181" s="66"/>
      <c r="C181" s="66"/>
      <c r="D181" s="66"/>
      <c r="E181" s="66"/>
      <c r="F181" s="68" t="str">
        <f t="array" ref="F181">IF(INDEX('Binder Data'!$A$752:$A$1001,ROW()-1)="","",IF(INDEX('Binder Data'!$D$752:$D$1001,ROW()-1)="Needed",INDEX('Binder Data'!$B$752:$B$1001,ROW()-1),INDEX('Binder Data'!$D$752:$D$1001,ROW()-1)))</f>
        <v/>
      </c>
      <c r="G181" s="66"/>
      <c r="H181" s="66"/>
      <c r="I181" s="66"/>
      <c r="J181" s="66"/>
      <c r="K181" s="66"/>
      <c r="L181" s="66"/>
      <c r="M181" s="66"/>
      <c r="N181" s="66"/>
      <c r="O181" s="66"/>
      <c r="P181" s="66"/>
      <c r="Q181" s="66"/>
      <c r="R181" s="66"/>
      <c r="S181" s="66"/>
      <c r="T181" s="66"/>
      <c r="U181" s="66"/>
      <c r="V181" s="66"/>
      <c r="W181" s="66"/>
      <c r="X181" s="66"/>
      <c r="Y181" s="66"/>
      <c r="Z181" s="66"/>
      <c r="AA181" s="66"/>
    </row>
    <row r="182" ht="15.75" customHeight="1">
      <c r="A182" s="66"/>
      <c r="B182" s="66"/>
      <c r="C182" s="66"/>
      <c r="D182" s="66"/>
      <c r="E182" s="66"/>
      <c r="F182" s="68" t="str">
        <f t="array" ref="F182">IF(INDEX('Binder Data'!$A$752:$A$1001,ROW()-1)="","",IF(INDEX('Binder Data'!$D$752:$D$1001,ROW()-1)="Needed",INDEX('Binder Data'!$B$752:$B$1001,ROW()-1),INDEX('Binder Data'!$D$752:$D$1001,ROW()-1)))</f>
        <v/>
      </c>
      <c r="G182" s="66"/>
      <c r="H182" s="66"/>
      <c r="I182" s="66"/>
      <c r="J182" s="66"/>
      <c r="K182" s="66"/>
      <c r="L182" s="66"/>
      <c r="M182" s="66"/>
      <c r="N182" s="66"/>
      <c r="O182" s="66"/>
      <c r="P182" s="66"/>
      <c r="Q182" s="66"/>
      <c r="R182" s="66"/>
      <c r="S182" s="66"/>
      <c r="T182" s="66"/>
      <c r="U182" s="66"/>
      <c r="V182" s="66"/>
      <c r="W182" s="66"/>
      <c r="X182" s="66"/>
      <c r="Y182" s="66"/>
      <c r="Z182" s="66"/>
      <c r="AA182" s="66"/>
    </row>
    <row r="183" ht="15.75" customHeight="1">
      <c r="A183" s="66"/>
      <c r="B183" s="66"/>
      <c r="C183" s="66"/>
      <c r="D183" s="66"/>
      <c r="E183" s="66"/>
      <c r="F183" s="68" t="str">
        <f t="array" ref="F183">IF(INDEX('Binder Data'!$A$752:$A$1001,ROW()-1)="","",IF(INDEX('Binder Data'!$D$752:$D$1001,ROW()-1)="Needed",INDEX('Binder Data'!$B$752:$B$1001,ROW()-1),INDEX('Binder Data'!$D$752:$D$1001,ROW()-1)))</f>
        <v/>
      </c>
      <c r="G183" s="66"/>
      <c r="H183" s="66"/>
      <c r="I183" s="66"/>
      <c r="J183" s="66"/>
      <c r="K183" s="66"/>
      <c r="L183" s="66"/>
      <c r="M183" s="66"/>
      <c r="N183" s="66"/>
      <c r="O183" s="66"/>
      <c r="P183" s="66"/>
      <c r="Q183" s="66"/>
      <c r="R183" s="66"/>
      <c r="S183" s="66"/>
      <c r="T183" s="66"/>
      <c r="U183" s="66"/>
      <c r="V183" s="66"/>
      <c r="W183" s="66"/>
      <c r="X183" s="66"/>
      <c r="Y183" s="66"/>
      <c r="Z183" s="66"/>
      <c r="AA183" s="66"/>
    </row>
    <row r="184" ht="15.75" customHeight="1">
      <c r="A184" s="66"/>
      <c r="B184" s="66"/>
      <c r="C184" s="66"/>
      <c r="D184" s="66"/>
      <c r="E184" s="66"/>
      <c r="F184" s="68" t="str">
        <f t="array" ref="F184">IF(INDEX('Binder Data'!$A$752:$A$1001,ROW()-1)="","",IF(INDEX('Binder Data'!$D$752:$D$1001,ROW()-1)="Needed",INDEX('Binder Data'!$B$752:$B$1001,ROW()-1),INDEX('Binder Data'!$D$752:$D$1001,ROW()-1)))</f>
        <v/>
      </c>
      <c r="G184" s="66"/>
      <c r="H184" s="66"/>
      <c r="I184" s="66"/>
      <c r="J184" s="66"/>
      <c r="K184" s="66"/>
      <c r="L184" s="66"/>
      <c r="M184" s="66"/>
      <c r="N184" s="66"/>
      <c r="O184" s="66"/>
      <c r="P184" s="66"/>
      <c r="Q184" s="66"/>
      <c r="R184" s="66"/>
      <c r="S184" s="66"/>
      <c r="T184" s="66"/>
      <c r="U184" s="66"/>
      <c r="V184" s="66"/>
      <c r="W184" s="66"/>
      <c r="X184" s="66"/>
      <c r="Y184" s="66"/>
      <c r="Z184" s="66"/>
      <c r="AA184" s="66"/>
    </row>
    <row r="185" ht="15.75" customHeight="1">
      <c r="A185" s="66"/>
      <c r="B185" s="66"/>
      <c r="C185" s="66"/>
      <c r="D185" s="66"/>
      <c r="E185" s="66"/>
      <c r="F185" s="68" t="str">
        <f t="array" ref="F185">IF(INDEX('Binder Data'!$A$752:$A$1001,ROW()-1)="","",IF(INDEX('Binder Data'!$D$752:$D$1001,ROW()-1)="Needed",INDEX('Binder Data'!$B$752:$B$1001,ROW()-1),INDEX('Binder Data'!$D$752:$D$1001,ROW()-1)))</f>
        <v/>
      </c>
      <c r="G185" s="66"/>
      <c r="H185" s="66"/>
      <c r="I185" s="66"/>
      <c r="J185" s="66"/>
      <c r="K185" s="66"/>
      <c r="L185" s="66"/>
      <c r="M185" s="66"/>
      <c r="N185" s="66"/>
      <c r="O185" s="66"/>
      <c r="P185" s="66"/>
      <c r="Q185" s="66"/>
      <c r="R185" s="66"/>
      <c r="S185" s="66"/>
      <c r="T185" s="66"/>
      <c r="U185" s="66"/>
      <c r="V185" s="66"/>
      <c r="W185" s="66"/>
      <c r="X185" s="66"/>
      <c r="Y185" s="66"/>
      <c r="Z185" s="66"/>
      <c r="AA185" s="66"/>
    </row>
    <row r="186" ht="15.75" customHeight="1">
      <c r="A186" s="66"/>
      <c r="B186" s="66"/>
      <c r="C186" s="66"/>
      <c r="D186" s="66"/>
      <c r="E186" s="66"/>
      <c r="F186" s="68" t="str">
        <f t="array" ref="F186">IF(INDEX('Binder Data'!$A$752:$A$1001,ROW()-1)="","",IF(INDEX('Binder Data'!$D$752:$D$1001,ROW()-1)="Needed",INDEX('Binder Data'!$B$752:$B$1001,ROW()-1),INDEX('Binder Data'!$D$752:$D$1001,ROW()-1)))</f>
        <v/>
      </c>
      <c r="G186" s="66"/>
      <c r="H186" s="66"/>
      <c r="I186" s="66"/>
      <c r="J186" s="66"/>
      <c r="K186" s="66"/>
      <c r="L186" s="66"/>
      <c r="M186" s="66"/>
      <c r="N186" s="66"/>
      <c r="O186" s="66"/>
      <c r="P186" s="66"/>
      <c r="Q186" s="66"/>
      <c r="R186" s="66"/>
      <c r="S186" s="66"/>
      <c r="T186" s="66"/>
      <c r="U186" s="66"/>
      <c r="V186" s="66"/>
      <c r="W186" s="66"/>
      <c r="X186" s="66"/>
      <c r="Y186" s="66"/>
      <c r="Z186" s="66"/>
      <c r="AA186" s="66"/>
    </row>
    <row r="187" ht="15.75" customHeight="1">
      <c r="A187" s="66"/>
      <c r="B187" s="66"/>
      <c r="C187" s="66"/>
      <c r="D187" s="66"/>
      <c r="E187" s="66"/>
      <c r="F187" s="68" t="str">
        <f t="array" ref="F187">IF(INDEX('Binder Data'!$A$752:$A$1001,ROW()-1)="","",IF(INDEX('Binder Data'!$D$752:$D$1001,ROW()-1)="Needed",INDEX('Binder Data'!$B$752:$B$1001,ROW()-1),INDEX('Binder Data'!$D$752:$D$1001,ROW()-1)))</f>
        <v/>
      </c>
      <c r="G187" s="66"/>
      <c r="H187" s="66"/>
      <c r="I187" s="66"/>
      <c r="J187" s="66"/>
      <c r="K187" s="66"/>
      <c r="L187" s="66"/>
      <c r="M187" s="66"/>
      <c r="N187" s="66"/>
      <c r="O187" s="66"/>
      <c r="P187" s="66"/>
      <c r="Q187" s="66"/>
      <c r="R187" s="66"/>
      <c r="S187" s="66"/>
      <c r="T187" s="66"/>
      <c r="U187" s="66"/>
      <c r="V187" s="66"/>
      <c r="W187" s="66"/>
      <c r="X187" s="66"/>
      <c r="Y187" s="66"/>
      <c r="Z187" s="66"/>
      <c r="AA187" s="66"/>
    </row>
    <row r="188" ht="15.75" customHeight="1">
      <c r="A188" s="66"/>
      <c r="B188" s="66"/>
      <c r="C188" s="66"/>
      <c r="D188" s="66"/>
      <c r="E188" s="66"/>
      <c r="F188" s="68" t="str">
        <f t="array" ref="F188">IF(INDEX('Binder Data'!$A$752:$A$1001,ROW()-1)="","",IF(INDEX('Binder Data'!$D$752:$D$1001,ROW()-1)="Needed",INDEX('Binder Data'!$B$752:$B$1001,ROW()-1),INDEX('Binder Data'!$D$752:$D$1001,ROW()-1)))</f>
        <v/>
      </c>
      <c r="G188" s="66"/>
      <c r="H188" s="66"/>
      <c r="I188" s="66"/>
      <c r="J188" s="66"/>
      <c r="K188" s="66"/>
      <c r="L188" s="66"/>
      <c r="M188" s="66"/>
      <c r="N188" s="66"/>
      <c r="O188" s="66"/>
      <c r="P188" s="66"/>
      <c r="Q188" s="66"/>
      <c r="R188" s="66"/>
      <c r="S188" s="66"/>
      <c r="T188" s="66"/>
      <c r="U188" s="66"/>
      <c r="V188" s="66"/>
      <c r="W188" s="66"/>
      <c r="X188" s="66"/>
      <c r="Y188" s="66"/>
      <c r="Z188" s="66"/>
      <c r="AA188" s="66"/>
    </row>
    <row r="189" ht="15.75" customHeight="1">
      <c r="A189" s="66"/>
      <c r="B189" s="66"/>
      <c r="C189" s="66"/>
      <c r="D189" s="66"/>
      <c r="E189" s="66"/>
      <c r="F189" s="68" t="str">
        <f t="array" ref="F189">IF(INDEX('Binder Data'!$A$752:$A$1001,ROW()-1)="","",IF(INDEX('Binder Data'!$D$752:$D$1001,ROW()-1)="Needed",INDEX('Binder Data'!$B$752:$B$1001,ROW()-1),INDEX('Binder Data'!$D$752:$D$1001,ROW()-1)))</f>
        <v/>
      </c>
      <c r="G189" s="66"/>
      <c r="H189" s="66"/>
      <c r="I189" s="66"/>
      <c r="J189" s="66"/>
      <c r="K189" s="66"/>
      <c r="L189" s="66"/>
      <c r="M189" s="66"/>
      <c r="N189" s="66"/>
      <c r="O189" s="66"/>
      <c r="P189" s="66"/>
      <c r="Q189" s="66"/>
      <c r="R189" s="66"/>
      <c r="S189" s="66"/>
      <c r="T189" s="66"/>
      <c r="U189" s="66"/>
      <c r="V189" s="66"/>
      <c r="W189" s="66"/>
      <c r="X189" s="66"/>
      <c r="Y189" s="66"/>
      <c r="Z189" s="66"/>
      <c r="AA189" s="66"/>
    </row>
    <row r="190" ht="15.75" customHeight="1">
      <c r="A190" s="66"/>
      <c r="B190" s="66"/>
      <c r="C190" s="66"/>
      <c r="D190" s="66"/>
      <c r="E190" s="66"/>
      <c r="F190" s="68" t="str">
        <f t="array" ref="F190">IF(INDEX('Binder Data'!$A$752:$A$1001,ROW()-1)="","",IF(INDEX('Binder Data'!$D$752:$D$1001,ROW()-1)="Needed",INDEX('Binder Data'!$B$752:$B$1001,ROW()-1),INDEX('Binder Data'!$D$752:$D$1001,ROW()-1)))</f>
        <v/>
      </c>
      <c r="G190" s="66"/>
      <c r="H190" s="66"/>
      <c r="I190" s="66"/>
      <c r="J190" s="66"/>
      <c r="K190" s="66"/>
      <c r="L190" s="66"/>
      <c r="M190" s="66"/>
      <c r="N190" s="66"/>
      <c r="O190" s="66"/>
      <c r="P190" s="66"/>
      <c r="Q190" s="66"/>
      <c r="R190" s="66"/>
      <c r="S190" s="66"/>
      <c r="T190" s="66"/>
      <c r="U190" s="66"/>
      <c r="V190" s="66"/>
      <c r="W190" s="66"/>
      <c r="X190" s="66"/>
      <c r="Y190" s="66"/>
      <c r="Z190" s="66"/>
      <c r="AA190" s="66"/>
    </row>
    <row r="191" ht="15.75" customHeight="1">
      <c r="A191" s="66"/>
      <c r="B191" s="66"/>
      <c r="C191" s="66"/>
      <c r="D191" s="66"/>
      <c r="E191" s="66"/>
      <c r="F191" s="68" t="str">
        <f t="array" ref="F191">IF(INDEX('Binder Data'!$A$752:$A$1001,ROW()-1)="","",IF(INDEX('Binder Data'!$D$752:$D$1001,ROW()-1)="Needed",INDEX('Binder Data'!$B$752:$B$1001,ROW()-1),INDEX('Binder Data'!$D$752:$D$1001,ROW()-1)))</f>
        <v/>
      </c>
      <c r="G191" s="66"/>
      <c r="H191" s="66"/>
      <c r="I191" s="66"/>
      <c r="J191" s="66"/>
      <c r="K191" s="66"/>
      <c r="L191" s="66"/>
      <c r="M191" s="66"/>
      <c r="N191" s="66"/>
      <c r="O191" s="66"/>
      <c r="P191" s="66"/>
      <c r="Q191" s="66"/>
      <c r="R191" s="66"/>
      <c r="S191" s="66"/>
      <c r="T191" s="66"/>
      <c r="U191" s="66"/>
      <c r="V191" s="66"/>
      <c r="W191" s="66"/>
      <c r="X191" s="66"/>
      <c r="Y191" s="66"/>
      <c r="Z191" s="66"/>
      <c r="AA191" s="66"/>
    </row>
    <row r="192" ht="15.75" customHeight="1">
      <c r="A192" s="66"/>
      <c r="B192" s="66"/>
      <c r="C192" s="66"/>
      <c r="D192" s="66"/>
      <c r="E192" s="66"/>
      <c r="F192" s="68" t="str">
        <f t="array" ref="F192">IF(INDEX('Binder Data'!$A$752:$A$1001,ROW()-1)="","",IF(INDEX('Binder Data'!$D$752:$D$1001,ROW()-1)="Needed",INDEX('Binder Data'!$B$752:$B$1001,ROW()-1),INDEX('Binder Data'!$D$752:$D$1001,ROW()-1)))</f>
        <v/>
      </c>
      <c r="G192" s="66"/>
      <c r="H192" s="66"/>
      <c r="I192" s="66"/>
      <c r="J192" s="66"/>
      <c r="K192" s="66"/>
      <c r="L192" s="66"/>
      <c r="M192" s="66"/>
      <c r="N192" s="66"/>
      <c r="O192" s="66"/>
      <c r="P192" s="66"/>
      <c r="Q192" s="66"/>
      <c r="R192" s="66"/>
      <c r="S192" s="66"/>
      <c r="T192" s="66"/>
      <c r="U192" s="66"/>
      <c r="V192" s="66"/>
      <c r="W192" s="66"/>
      <c r="X192" s="66"/>
      <c r="Y192" s="66"/>
      <c r="Z192" s="66"/>
      <c r="AA192" s="66"/>
    </row>
    <row r="193" ht="15.75" customHeight="1">
      <c r="A193" s="66"/>
      <c r="B193" s="66"/>
      <c r="C193" s="66"/>
      <c r="D193" s="66"/>
      <c r="E193" s="66"/>
      <c r="F193" s="68" t="str">
        <f t="array" ref="F193">IF(INDEX('Binder Data'!$A$752:$A$1001,ROW()-1)="","",IF(INDEX('Binder Data'!$D$752:$D$1001,ROW()-1)="Needed",INDEX('Binder Data'!$B$752:$B$1001,ROW()-1),INDEX('Binder Data'!$D$752:$D$1001,ROW()-1)))</f>
        <v/>
      </c>
      <c r="G193" s="66"/>
      <c r="H193" s="66"/>
      <c r="I193" s="66"/>
      <c r="J193" s="66"/>
      <c r="K193" s="66"/>
      <c r="L193" s="66"/>
      <c r="M193" s="66"/>
      <c r="N193" s="66"/>
      <c r="O193" s="66"/>
      <c r="P193" s="66"/>
      <c r="Q193" s="66"/>
      <c r="R193" s="66"/>
      <c r="S193" s="66"/>
      <c r="T193" s="66"/>
      <c r="U193" s="66"/>
      <c r="V193" s="66"/>
      <c r="W193" s="66"/>
      <c r="X193" s="66"/>
      <c r="Y193" s="66"/>
      <c r="Z193" s="66"/>
      <c r="AA193" s="66"/>
    </row>
    <row r="194" ht="15.75" customHeight="1">
      <c r="A194" s="66"/>
      <c r="B194" s="66"/>
      <c r="C194" s="66"/>
      <c r="D194" s="66"/>
      <c r="E194" s="66"/>
      <c r="F194" s="68" t="str">
        <f t="array" ref="F194">IF(INDEX('Binder Data'!$A$752:$A$1001,ROW()-1)="","",IF(INDEX('Binder Data'!$D$752:$D$1001,ROW()-1)="Needed",INDEX('Binder Data'!$B$752:$B$1001,ROW()-1),INDEX('Binder Data'!$D$752:$D$1001,ROW()-1)))</f>
        <v/>
      </c>
      <c r="G194" s="66"/>
      <c r="H194" s="66"/>
      <c r="I194" s="66"/>
      <c r="J194" s="66"/>
      <c r="K194" s="66"/>
      <c r="L194" s="66"/>
      <c r="M194" s="66"/>
      <c r="N194" s="66"/>
      <c r="O194" s="66"/>
      <c r="P194" s="66"/>
      <c r="Q194" s="66"/>
      <c r="R194" s="66"/>
      <c r="S194" s="66"/>
      <c r="T194" s="66"/>
      <c r="U194" s="66"/>
      <c r="V194" s="66"/>
      <c r="W194" s="66"/>
      <c r="X194" s="66"/>
      <c r="Y194" s="66"/>
      <c r="Z194" s="66"/>
      <c r="AA194" s="66"/>
    </row>
    <row r="195" ht="15.75" customHeight="1">
      <c r="A195" s="66"/>
      <c r="B195" s="66"/>
      <c r="C195" s="66"/>
      <c r="D195" s="66"/>
      <c r="E195" s="66"/>
      <c r="F195" s="68" t="str">
        <f t="array" ref="F195">IF(INDEX('Binder Data'!$A$752:$A$1001,ROW()-1)="","",IF(INDEX('Binder Data'!$D$752:$D$1001,ROW()-1)="Needed",INDEX('Binder Data'!$B$752:$B$1001,ROW()-1),INDEX('Binder Data'!$D$752:$D$1001,ROW()-1)))</f>
        <v/>
      </c>
      <c r="G195" s="66"/>
      <c r="H195" s="66"/>
      <c r="I195" s="66"/>
      <c r="J195" s="66"/>
      <c r="K195" s="66"/>
      <c r="L195" s="66"/>
      <c r="M195" s="66"/>
      <c r="N195" s="66"/>
      <c r="O195" s="66"/>
      <c r="P195" s="66"/>
      <c r="Q195" s="66"/>
      <c r="R195" s="66"/>
      <c r="S195" s="66"/>
      <c r="T195" s="66"/>
      <c r="U195" s="66"/>
      <c r="V195" s="66"/>
      <c r="W195" s="66"/>
      <c r="X195" s="66"/>
      <c r="Y195" s="66"/>
      <c r="Z195" s="66"/>
      <c r="AA195" s="66"/>
    </row>
    <row r="196" ht="15.75" customHeight="1">
      <c r="A196" s="66"/>
      <c r="B196" s="66"/>
      <c r="C196" s="66"/>
      <c r="D196" s="66"/>
      <c r="E196" s="66"/>
      <c r="F196" s="68" t="str">
        <f t="array" ref="F196">IF(INDEX('Binder Data'!$A$752:$A$1001,ROW()-1)="","",IF(INDEX('Binder Data'!$D$752:$D$1001,ROW()-1)="Needed",INDEX('Binder Data'!$B$752:$B$1001,ROW()-1),INDEX('Binder Data'!$D$752:$D$1001,ROW()-1)))</f>
        <v/>
      </c>
      <c r="G196" s="66"/>
      <c r="H196" s="66"/>
      <c r="I196" s="66"/>
      <c r="J196" s="66"/>
      <c r="K196" s="66"/>
      <c r="L196" s="66"/>
      <c r="M196" s="66"/>
      <c r="N196" s="66"/>
      <c r="O196" s="66"/>
      <c r="P196" s="66"/>
      <c r="Q196" s="66"/>
      <c r="R196" s="66"/>
      <c r="S196" s="66"/>
      <c r="T196" s="66"/>
      <c r="U196" s="66"/>
      <c r="V196" s="66"/>
      <c r="W196" s="66"/>
      <c r="X196" s="66"/>
      <c r="Y196" s="66"/>
      <c r="Z196" s="66"/>
      <c r="AA196" s="66"/>
    </row>
    <row r="197" ht="15.75" customHeight="1">
      <c r="A197" s="66"/>
      <c r="B197" s="66"/>
      <c r="C197" s="66"/>
      <c r="D197" s="66"/>
      <c r="E197" s="66"/>
      <c r="F197" s="68" t="str">
        <f t="array" ref="F197">IF(INDEX('Binder Data'!$A$752:$A$1001,ROW()-1)="","",IF(INDEX('Binder Data'!$D$752:$D$1001,ROW()-1)="Needed",INDEX('Binder Data'!$B$752:$B$1001,ROW()-1),INDEX('Binder Data'!$D$752:$D$1001,ROW()-1)))</f>
        <v/>
      </c>
      <c r="G197" s="66"/>
      <c r="H197" s="66"/>
      <c r="I197" s="66"/>
      <c r="J197" s="66"/>
      <c r="K197" s="66"/>
      <c r="L197" s="66"/>
      <c r="M197" s="66"/>
      <c r="N197" s="66"/>
      <c r="O197" s="66"/>
      <c r="P197" s="66"/>
      <c r="Q197" s="66"/>
      <c r="R197" s="66"/>
      <c r="S197" s="66"/>
      <c r="T197" s="66"/>
      <c r="U197" s="66"/>
      <c r="V197" s="66"/>
      <c r="W197" s="66"/>
      <c r="X197" s="66"/>
      <c r="Y197" s="66"/>
      <c r="Z197" s="66"/>
      <c r="AA197" s="66"/>
    </row>
    <row r="198" ht="15.75" customHeight="1">
      <c r="A198" s="66"/>
      <c r="B198" s="66"/>
      <c r="C198" s="66"/>
      <c r="D198" s="66"/>
      <c r="E198" s="66"/>
      <c r="F198" s="68" t="str">
        <f t="array" ref="F198">IF(INDEX('Binder Data'!$A$752:$A$1001,ROW()-1)="","",IF(INDEX('Binder Data'!$D$752:$D$1001,ROW()-1)="Needed",INDEX('Binder Data'!$B$752:$B$1001,ROW()-1),INDEX('Binder Data'!$D$752:$D$1001,ROW()-1)))</f>
        <v/>
      </c>
      <c r="G198" s="66"/>
      <c r="H198" s="66"/>
      <c r="I198" s="66"/>
      <c r="J198" s="66"/>
      <c r="K198" s="66"/>
      <c r="L198" s="66"/>
      <c r="M198" s="66"/>
      <c r="N198" s="66"/>
      <c r="O198" s="66"/>
      <c r="P198" s="66"/>
      <c r="Q198" s="66"/>
      <c r="R198" s="66"/>
      <c r="S198" s="66"/>
      <c r="T198" s="66"/>
      <c r="U198" s="66"/>
      <c r="V198" s="66"/>
      <c r="W198" s="66"/>
      <c r="X198" s="66"/>
      <c r="Y198" s="66"/>
      <c r="Z198" s="66"/>
      <c r="AA198" s="66"/>
    </row>
    <row r="199" ht="15.75" customHeight="1">
      <c r="A199" s="66"/>
      <c r="B199" s="66"/>
      <c r="C199" s="66"/>
      <c r="D199" s="66"/>
      <c r="E199" s="66"/>
      <c r="F199" s="68" t="str">
        <f t="array" ref="F199">IF(INDEX('Binder Data'!$A$752:$A$1001,ROW()-1)="","",IF(INDEX('Binder Data'!$D$752:$D$1001,ROW()-1)="Needed",INDEX('Binder Data'!$B$752:$B$1001,ROW()-1),INDEX('Binder Data'!$D$752:$D$1001,ROW()-1)))</f>
        <v/>
      </c>
      <c r="G199" s="66"/>
      <c r="H199" s="66"/>
      <c r="I199" s="66"/>
      <c r="J199" s="66"/>
      <c r="K199" s="66"/>
      <c r="L199" s="66"/>
      <c r="M199" s="66"/>
      <c r="N199" s="66"/>
      <c r="O199" s="66"/>
      <c r="P199" s="66"/>
      <c r="Q199" s="66"/>
      <c r="R199" s="66"/>
      <c r="S199" s="66"/>
      <c r="T199" s="66"/>
      <c r="U199" s="66"/>
      <c r="V199" s="66"/>
      <c r="W199" s="66"/>
      <c r="X199" s="66"/>
      <c r="Y199" s="66"/>
      <c r="Z199" s="66"/>
      <c r="AA199" s="66"/>
    </row>
    <row r="200" ht="15.75" customHeight="1">
      <c r="A200" s="66"/>
      <c r="B200" s="66"/>
      <c r="C200" s="66"/>
      <c r="D200" s="66"/>
      <c r="E200" s="66"/>
      <c r="F200" s="68" t="str">
        <f t="array" ref="F200">IF(INDEX('Binder Data'!$A$752:$A$1001,ROW()-1)="","",IF(INDEX('Binder Data'!$D$752:$D$1001,ROW()-1)="Needed",INDEX('Binder Data'!$B$752:$B$1001,ROW()-1),INDEX('Binder Data'!$D$752:$D$1001,ROW()-1)))</f>
        <v/>
      </c>
      <c r="G200" s="66"/>
      <c r="H200" s="66"/>
      <c r="I200" s="66"/>
      <c r="J200" s="66"/>
      <c r="K200" s="66"/>
      <c r="L200" s="66"/>
      <c r="M200" s="66"/>
      <c r="N200" s="66"/>
      <c r="O200" s="66"/>
      <c r="P200" s="66"/>
      <c r="Q200" s="66"/>
      <c r="R200" s="66"/>
      <c r="S200" s="66"/>
      <c r="T200" s="66"/>
      <c r="U200" s="66"/>
      <c r="V200" s="66"/>
      <c r="W200" s="66"/>
      <c r="X200" s="66"/>
      <c r="Y200" s="66"/>
      <c r="Z200" s="66"/>
      <c r="AA200" s="66"/>
    </row>
    <row r="201" ht="15.75" customHeight="1">
      <c r="A201" s="66"/>
      <c r="B201" s="66"/>
      <c r="C201" s="66"/>
      <c r="D201" s="66"/>
      <c r="E201" s="66"/>
      <c r="F201" s="68" t="str">
        <f t="array" ref="F201">IF(INDEX('Binder Data'!$A$752:$A$1001,ROW()-1)="","",IF(INDEX('Binder Data'!$D$752:$D$1001,ROW()-1)="Needed",INDEX('Binder Data'!$B$752:$B$1001,ROW()-1),INDEX('Binder Data'!$D$752:$D$1001,ROW()-1)))</f>
        <v/>
      </c>
      <c r="G201" s="66"/>
      <c r="H201" s="66"/>
      <c r="I201" s="66"/>
      <c r="J201" s="66"/>
      <c r="K201" s="66"/>
      <c r="L201" s="66"/>
      <c r="M201" s="66"/>
      <c r="N201" s="66"/>
      <c r="O201" s="66"/>
      <c r="P201" s="66"/>
      <c r="Q201" s="66"/>
      <c r="R201" s="66"/>
      <c r="S201" s="66"/>
      <c r="T201" s="66"/>
      <c r="U201" s="66"/>
      <c r="V201" s="66"/>
      <c r="W201" s="66"/>
      <c r="X201" s="66"/>
      <c r="Y201" s="66"/>
      <c r="Z201" s="66"/>
      <c r="AA201" s="66"/>
    </row>
    <row r="202" ht="15.75" customHeight="1">
      <c r="A202" s="66"/>
      <c r="B202" s="66"/>
      <c r="C202" s="66"/>
      <c r="D202" s="66"/>
      <c r="E202" s="66"/>
      <c r="F202" s="68" t="str">
        <f t="array" ref="F202">IF(INDEX('Binder Data'!$A$752:$A$1001,ROW()-1)="","",IF(INDEX('Binder Data'!$D$752:$D$1001,ROW()-1)="Needed",INDEX('Binder Data'!$B$752:$B$1001,ROW()-1),INDEX('Binder Data'!$D$752:$D$1001,ROW()-1)))</f>
        <v/>
      </c>
      <c r="G202" s="66"/>
      <c r="H202" s="66"/>
      <c r="I202" s="66"/>
      <c r="J202" s="66"/>
      <c r="K202" s="66"/>
      <c r="L202" s="66"/>
      <c r="M202" s="66"/>
      <c r="N202" s="66"/>
      <c r="O202" s="66"/>
      <c r="P202" s="66"/>
      <c r="Q202" s="66"/>
      <c r="R202" s="66"/>
      <c r="S202" s="66"/>
      <c r="T202" s="66"/>
      <c r="U202" s="66"/>
      <c r="V202" s="66"/>
      <c r="W202" s="66"/>
      <c r="X202" s="66"/>
      <c r="Y202" s="66"/>
      <c r="Z202" s="66"/>
      <c r="AA202" s="66"/>
    </row>
    <row r="203" ht="15.75" customHeight="1">
      <c r="A203" s="66"/>
      <c r="B203" s="66"/>
      <c r="C203" s="66"/>
      <c r="D203" s="66"/>
      <c r="E203" s="66"/>
      <c r="F203" s="68" t="str">
        <f t="array" ref="F203">IF(INDEX('Binder Data'!$A$752:$A$1001,ROW()-1)="","",IF(INDEX('Binder Data'!$D$752:$D$1001,ROW()-1)="Needed",INDEX('Binder Data'!$B$752:$B$1001,ROW()-1),INDEX('Binder Data'!$D$752:$D$1001,ROW()-1)))</f>
        <v/>
      </c>
      <c r="G203" s="66"/>
      <c r="H203" s="66"/>
      <c r="I203" s="66"/>
      <c r="J203" s="66"/>
      <c r="K203" s="66"/>
      <c r="L203" s="66"/>
      <c r="M203" s="66"/>
      <c r="N203" s="66"/>
      <c r="O203" s="66"/>
      <c r="P203" s="66"/>
      <c r="Q203" s="66"/>
      <c r="R203" s="66"/>
      <c r="S203" s="66"/>
      <c r="T203" s="66"/>
      <c r="U203" s="66"/>
      <c r="V203" s="66"/>
      <c r="W203" s="66"/>
      <c r="X203" s="66"/>
      <c r="Y203" s="66"/>
      <c r="Z203" s="66"/>
      <c r="AA203" s="66"/>
    </row>
    <row r="204" ht="15.75" customHeight="1">
      <c r="A204" s="66"/>
      <c r="B204" s="66"/>
      <c r="C204" s="66"/>
      <c r="D204" s="66"/>
      <c r="E204" s="66"/>
      <c r="F204" s="68" t="str">
        <f t="array" ref="F204">IF(INDEX('Binder Data'!$A$752:$A$1001,ROW()-1)="","",IF(INDEX('Binder Data'!$D$752:$D$1001,ROW()-1)="Needed",INDEX('Binder Data'!$B$752:$B$1001,ROW()-1),INDEX('Binder Data'!$D$752:$D$1001,ROW()-1)))</f>
        <v/>
      </c>
      <c r="G204" s="66"/>
      <c r="H204" s="66"/>
      <c r="I204" s="66"/>
      <c r="J204" s="66"/>
      <c r="K204" s="66"/>
      <c r="L204" s="66"/>
      <c r="M204" s="66"/>
      <c r="N204" s="66"/>
      <c r="O204" s="66"/>
      <c r="P204" s="66"/>
      <c r="Q204" s="66"/>
      <c r="R204" s="66"/>
      <c r="S204" s="66"/>
      <c r="T204" s="66"/>
      <c r="U204" s="66"/>
      <c r="V204" s="66"/>
      <c r="W204" s="66"/>
      <c r="X204" s="66"/>
      <c r="Y204" s="66"/>
      <c r="Z204" s="66"/>
      <c r="AA204" s="66"/>
    </row>
    <row r="205" ht="15.75" customHeight="1">
      <c r="A205" s="66"/>
      <c r="B205" s="66"/>
      <c r="C205" s="66"/>
      <c r="D205" s="66"/>
      <c r="E205" s="66"/>
      <c r="F205" s="68" t="str">
        <f t="array" ref="F205">IF(INDEX('Binder Data'!$A$752:$A$1001,ROW()-1)="","",IF(INDEX('Binder Data'!$D$752:$D$1001,ROW()-1)="Needed",INDEX('Binder Data'!$B$752:$B$1001,ROW()-1),INDEX('Binder Data'!$D$752:$D$1001,ROW()-1)))</f>
        <v/>
      </c>
      <c r="G205" s="66"/>
      <c r="H205" s="66"/>
      <c r="I205" s="66"/>
      <c r="J205" s="66"/>
      <c r="K205" s="66"/>
      <c r="L205" s="66"/>
      <c r="M205" s="66"/>
      <c r="N205" s="66"/>
      <c r="O205" s="66"/>
      <c r="P205" s="66"/>
      <c r="Q205" s="66"/>
      <c r="R205" s="66"/>
      <c r="S205" s="66"/>
      <c r="T205" s="66"/>
      <c r="U205" s="66"/>
      <c r="V205" s="66"/>
      <c r="W205" s="66"/>
      <c r="X205" s="66"/>
      <c r="Y205" s="66"/>
      <c r="Z205" s="66"/>
      <c r="AA205" s="66"/>
    </row>
    <row r="206" ht="15.75" customHeight="1">
      <c r="A206" s="66"/>
      <c r="B206" s="66"/>
      <c r="C206" s="66"/>
      <c r="D206" s="66"/>
      <c r="E206" s="66"/>
      <c r="F206" s="68" t="str">
        <f t="array" ref="F206">IF(INDEX('Binder Data'!$A$752:$A$1001,ROW()-1)="","",IF(INDEX('Binder Data'!$D$752:$D$1001,ROW()-1)="Needed",INDEX('Binder Data'!$B$752:$B$1001,ROW()-1),INDEX('Binder Data'!$D$752:$D$1001,ROW()-1)))</f>
        <v/>
      </c>
      <c r="G206" s="66"/>
      <c r="H206" s="66"/>
      <c r="I206" s="66"/>
      <c r="J206" s="66"/>
      <c r="K206" s="66"/>
      <c r="L206" s="66"/>
      <c r="M206" s="66"/>
      <c r="N206" s="66"/>
      <c r="O206" s="66"/>
      <c r="P206" s="66"/>
      <c r="Q206" s="66"/>
      <c r="R206" s="66"/>
      <c r="S206" s="66"/>
      <c r="T206" s="66"/>
      <c r="U206" s="66"/>
      <c r="V206" s="66"/>
      <c r="W206" s="66"/>
      <c r="X206" s="66"/>
      <c r="Y206" s="66"/>
      <c r="Z206" s="66"/>
      <c r="AA206" s="66"/>
    </row>
    <row r="207" ht="15.75" customHeight="1">
      <c r="A207" s="66"/>
      <c r="B207" s="66"/>
      <c r="C207" s="66"/>
      <c r="D207" s="66"/>
      <c r="E207" s="66"/>
      <c r="F207" s="68" t="str">
        <f t="array" ref="F207">IF(INDEX('Binder Data'!$A$752:$A$1001,ROW()-1)="","",IF(INDEX('Binder Data'!$D$752:$D$1001,ROW()-1)="Needed",INDEX('Binder Data'!$B$752:$B$1001,ROW()-1),INDEX('Binder Data'!$D$752:$D$1001,ROW()-1)))</f>
        <v/>
      </c>
      <c r="G207" s="66"/>
      <c r="H207" s="66"/>
      <c r="I207" s="66"/>
      <c r="J207" s="66"/>
      <c r="K207" s="66"/>
      <c r="L207" s="66"/>
      <c r="M207" s="66"/>
      <c r="N207" s="66"/>
      <c r="O207" s="66"/>
      <c r="P207" s="66"/>
      <c r="Q207" s="66"/>
      <c r="R207" s="66"/>
      <c r="S207" s="66"/>
      <c r="T207" s="66"/>
      <c r="U207" s="66"/>
      <c r="V207" s="66"/>
      <c r="W207" s="66"/>
      <c r="X207" s="66"/>
      <c r="Y207" s="66"/>
      <c r="Z207" s="66"/>
      <c r="AA207" s="66"/>
    </row>
    <row r="208" ht="15.75" customHeight="1">
      <c r="A208" s="66"/>
      <c r="B208" s="66"/>
      <c r="C208" s="66"/>
      <c r="D208" s="66"/>
      <c r="E208" s="66"/>
      <c r="F208" s="68" t="str">
        <f t="array" ref="F208">IF(INDEX('Binder Data'!$A$752:$A$1001,ROW()-1)="","",IF(INDEX('Binder Data'!$D$752:$D$1001,ROW()-1)="Needed",INDEX('Binder Data'!$B$752:$B$1001,ROW()-1),INDEX('Binder Data'!$D$752:$D$1001,ROW()-1)))</f>
        <v/>
      </c>
      <c r="G208" s="66"/>
      <c r="H208" s="66"/>
      <c r="I208" s="66"/>
      <c r="J208" s="66"/>
      <c r="K208" s="66"/>
      <c r="L208" s="66"/>
      <c r="M208" s="66"/>
      <c r="N208" s="66"/>
      <c r="O208" s="66"/>
      <c r="P208" s="66"/>
      <c r="Q208" s="66"/>
      <c r="R208" s="66"/>
      <c r="S208" s="66"/>
      <c r="T208" s="66"/>
      <c r="U208" s="66"/>
      <c r="V208" s="66"/>
      <c r="W208" s="66"/>
      <c r="X208" s="66"/>
      <c r="Y208" s="66"/>
      <c r="Z208" s="66"/>
      <c r="AA208" s="66"/>
    </row>
    <row r="209" ht="15.75" customHeight="1">
      <c r="A209" s="66"/>
      <c r="B209" s="66"/>
      <c r="C209" s="66"/>
      <c r="D209" s="66"/>
      <c r="E209" s="66"/>
      <c r="F209" s="68" t="str">
        <f t="array" ref="F209">IF(INDEX('Binder Data'!$A$752:$A$1001,ROW()-1)="","",IF(INDEX('Binder Data'!$D$752:$D$1001,ROW()-1)="Needed",INDEX('Binder Data'!$B$752:$B$1001,ROW()-1),INDEX('Binder Data'!$D$752:$D$1001,ROW()-1)))</f>
        <v/>
      </c>
      <c r="G209" s="66"/>
      <c r="H209" s="66"/>
      <c r="I209" s="66"/>
      <c r="J209" s="66"/>
      <c r="K209" s="66"/>
      <c r="L209" s="66"/>
      <c r="M209" s="66"/>
      <c r="N209" s="66"/>
      <c r="O209" s="66"/>
      <c r="P209" s="66"/>
      <c r="Q209" s="66"/>
      <c r="R209" s="66"/>
      <c r="S209" s="66"/>
      <c r="T209" s="66"/>
      <c r="U209" s="66"/>
      <c r="V209" s="66"/>
      <c r="W209" s="66"/>
      <c r="X209" s="66"/>
      <c r="Y209" s="66"/>
      <c r="Z209" s="66"/>
      <c r="AA209" s="66"/>
    </row>
    <row r="210" ht="15.75" customHeight="1">
      <c r="A210" s="66"/>
      <c r="B210" s="66"/>
      <c r="C210" s="66"/>
      <c r="D210" s="66"/>
      <c r="E210" s="66"/>
      <c r="F210" s="68" t="str">
        <f t="array" ref="F210">IF(INDEX('Binder Data'!$A$752:$A$1001,ROW()-1)="","",IF(INDEX('Binder Data'!$D$752:$D$1001,ROW()-1)="Needed",INDEX('Binder Data'!$B$752:$B$1001,ROW()-1),INDEX('Binder Data'!$D$752:$D$1001,ROW()-1)))</f>
        <v/>
      </c>
      <c r="G210" s="66"/>
      <c r="H210" s="66"/>
      <c r="I210" s="66"/>
      <c r="J210" s="66"/>
      <c r="K210" s="66"/>
      <c r="L210" s="66"/>
      <c r="M210" s="66"/>
      <c r="N210" s="66"/>
      <c r="O210" s="66"/>
      <c r="P210" s="66"/>
      <c r="Q210" s="66"/>
      <c r="R210" s="66"/>
      <c r="S210" s="66"/>
      <c r="T210" s="66"/>
      <c r="U210" s="66"/>
      <c r="V210" s="66"/>
      <c r="W210" s="66"/>
      <c r="X210" s="66"/>
      <c r="Y210" s="66"/>
      <c r="Z210" s="66"/>
      <c r="AA210" s="66"/>
    </row>
    <row r="211" ht="15.75" customHeight="1">
      <c r="A211" s="66"/>
      <c r="B211" s="66"/>
      <c r="C211" s="66"/>
      <c r="D211" s="66"/>
      <c r="E211" s="66"/>
      <c r="F211" s="68" t="str">
        <f t="array" ref="F211">IF(INDEX('Binder Data'!$A$752:$A$1001,ROW()-1)="","",IF(INDEX('Binder Data'!$D$752:$D$1001,ROW()-1)="Needed",INDEX('Binder Data'!$B$752:$B$1001,ROW()-1),INDEX('Binder Data'!$D$752:$D$1001,ROW()-1)))</f>
        <v/>
      </c>
      <c r="G211" s="66"/>
      <c r="H211" s="66"/>
      <c r="I211" s="66"/>
      <c r="J211" s="66"/>
      <c r="K211" s="66"/>
      <c r="L211" s="66"/>
      <c r="M211" s="66"/>
      <c r="N211" s="66"/>
      <c r="O211" s="66"/>
      <c r="P211" s="66"/>
      <c r="Q211" s="66"/>
      <c r="R211" s="66"/>
      <c r="S211" s="66"/>
      <c r="T211" s="66"/>
      <c r="U211" s="66"/>
      <c r="V211" s="66"/>
      <c r="W211" s="66"/>
      <c r="X211" s="66"/>
      <c r="Y211" s="66"/>
      <c r="Z211" s="66"/>
      <c r="AA211" s="66"/>
    </row>
    <row r="212" ht="15.75" customHeight="1">
      <c r="A212" s="66"/>
      <c r="B212" s="66"/>
      <c r="C212" s="66"/>
      <c r="D212" s="66"/>
      <c r="E212" s="66"/>
      <c r="F212" s="68" t="str">
        <f t="array" ref="F212">IF(INDEX('Binder Data'!$A$752:$A$1001,ROW()-1)="","",IF(INDEX('Binder Data'!$D$752:$D$1001,ROW()-1)="Needed",INDEX('Binder Data'!$B$752:$B$1001,ROW()-1),INDEX('Binder Data'!$D$752:$D$1001,ROW()-1)))</f>
        <v/>
      </c>
      <c r="G212" s="66"/>
      <c r="H212" s="66"/>
      <c r="I212" s="66"/>
      <c r="J212" s="66"/>
      <c r="K212" s="66"/>
      <c r="L212" s="66"/>
      <c r="M212" s="66"/>
      <c r="N212" s="66"/>
      <c r="O212" s="66"/>
      <c r="P212" s="66"/>
      <c r="Q212" s="66"/>
      <c r="R212" s="66"/>
      <c r="S212" s="66"/>
      <c r="T212" s="66"/>
      <c r="U212" s="66"/>
      <c r="V212" s="66"/>
      <c r="W212" s="66"/>
      <c r="X212" s="66"/>
      <c r="Y212" s="66"/>
      <c r="Z212" s="66"/>
      <c r="AA212" s="66"/>
    </row>
    <row r="213" ht="15.75" customHeight="1">
      <c r="A213" s="66"/>
      <c r="B213" s="66"/>
      <c r="C213" s="66"/>
      <c r="D213" s="66"/>
      <c r="E213" s="66"/>
      <c r="F213" s="68" t="str">
        <f t="array" ref="F213">IF(INDEX('Binder Data'!$A$752:$A$1001,ROW()-1)="","",IF(INDEX('Binder Data'!$D$752:$D$1001,ROW()-1)="Needed",INDEX('Binder Data'!$B$752:$B$1001,ROW()-1),INDEX('Binder Data'!$D$752:$D$1001,ROW()-1)))</f>
        <v/>
      </c>
      <c r="G213" s="66"/>
      <c r="H213" s="66"/>
      <c r="I213" s="66"/>
      <c r="J213" s="66"/>
      <c r="K213" s="66"/>
      <c r="L213" s="66"/>
      <c r="M213" s="66"/>
      <c r="N213" s="66"/>
      <c r="O213" s="66"/>
      <c r="P213" s="66"/>
      <c r="Q213" s="66"/>
      <c r="R213" s="66"/>
      <c r="S213" s="66"/>
      <c r="T213" s="66"/>
      <c r="U213" s="66"/>
      <c r="V213" s="66"/>
      <c r="W213" s="66"/>
      <c r="X213" s="66"/>
      <c r="Y213" s="66"/>
      <c r="Z213" s="66"/>
      <c r="AA213" s="66"/>
    </row>
    <row r="214" ht="15.75" customHeight="1">
      <c r="A214" s="66"/>
      <c r="B214" s="66"/>
      <c r="C214" s="66"/>
      <c r="D214" s="66"/>
      <c r="E214" s="66"/>
      <c r="F214" s="68" t="str">
        <f t="array" ref="F214">IF(INDEX('Binder Data'!$A$752:$A$1001,ROW()-1)="","",IF(INDEX('Binder Data'!$D$752:$D$1001,ROW()-1)="Needed",INDEX('Binder Data'!$B$752:$B$1001,ROW()-1),INDEX('Binder Data'!$D$752:$D$1001,ROW()-1)))</f>
        <v/>
      </c>
      <c r="G214" s="66"/>
      <c r="H214" s="66"/>
      <c r="I214" s="66"/>
      <c r="J214" s="66"/>
      <c r="K214" s="66"/>
      <c r="L214" s="66"/>
      <c r="M214" s="66"/>
      <c r="N214" s="66"/>
      <c r="O214" s="66"/>
      <c r="P214" s="66"/>
      <c r="Q214" s="66"/>
      <c r="R214" s="66"/>
      <c r="S214" s="66"/>
      <c r="T214" s="66"/>
      <c r="U214" s="66"/>
      <c r="V214" s="66"/>
      <c r="W214" s="66"/>
      <c r="X214" s="66"/>
      <c r="Y214" s="66"/>
      <c r="Z214" s="66"/>
      <c r="AA214" s="66"/>
    </row>
    <row r="215" ht="15.75" customHeight="1">
      <c r="A215" s="66"/>
      <c r="B215" s="66"/>
      <c r="C215" s="66"/>
      <c r="D215" s="66"/>
      <c r="E215" s="66"/>
      <c r="F215" s="68" t="str">
        <f t="array" ref="F215">IF(INDEX('Binder Data'!$A$752:$A$1001,ROW()-1)="","",IF(INDEX('Binder Data'!$D$752:$D$1001,ROW()-1)="Needed",INDEX('Binder Data'!$B$752:$B$1001,ROW()-1),INDEX('Binder Data'!$D$752:$D$1001,ROW()-1)))</f>
        <v/>
      </c>
      <c r="G215" s="66"/>
      <c r="H215" s="66"/>
      <c r="I215" s="66"/>
      <c r="J215" s="66"/>
      <c r="K215" s="66"/>
      <c r="L215" s="66"/>
      <c r="M215" s="66"/>
      <c r="N215" s="66"/>
      <c r="O215" s="66"/>
      <c r="P215" s="66"/>
      <c r="Q215" s="66"/>
      <c r="R215" s="66"/>
      <c r="S215" s="66"/>
      <c r="T215" s="66"/>
      <c r="U215" s="66"/>
      <c r="V215" s="66"/>
      <c r="W215" s="66"/>
      <c r="X215" s="66"/>
      <c r="Y215" s="66"/>
      <c r="Z215" s="66"/>
      <c r="AA215" s="66"/>
    </row>
    <row r="216" ht="15.75" customHeight="1">
      <c r="A216" s="66"/>
      <c r="B216" s="66"/>
      <c r="C216" s="66"/>
      <c r="D216" s="66"/>
      <c r="E216" s="66"/>
      <c r="F216" s="68" t="str">
        <f t="array" ref="F216">IF(INDEX('Binder Data'!$A$752:$A$1001,ROW()-1)="","",IF(INDEX('Binder Data'!$D$752:$D$1001,ROW()-1)="Needed",INDEX('Binder Data'!$B$752:$B$1001,ROW()-1),INDEX('Binder Data'!$D$752:$D$1001,ROW()-1)))</f>
        <v/>
      </c>
      <c r="G216" s="66"/>
      <c r="H216" s="66"/>
      <c r="I216" s="66"/>
      <c r="J216" s="66"/>
      <c r="K216" s="66"/>
      <c r="L216" s="66"/>
      <c r="M216" s="66"/>
      <c r="N216" s="66"/>
      <c r="O216" s="66"/>
      <c r="P216" s="66"/>
      <c r="Q216" s="66"/>
      <c r="R216" s="66"/>
      <c r="S216" s="66"/>
      <c r="T216" s="66"/>
      <c r="U216" s="66"/>
      <c r="V216" s="66"/>
      <c r="W216" s="66"/>
      <c r="X216" s="66"/>
      <c r="Y216" s="66"/>
      <c r="Z216" s="66"/>
      <c r="AA216" s="66"/>
    </row>
    <row r="217" ht="15.75" customHeight="1">
      <c r="A217" s="66"/>
      <c r="B217" s="66"/>
      <c r="C217" s="66"/>
      <c r="D217" s="66"/>
      <c r="E217" s="66"/>
      <c r="F217" s="68" t="str">
        <f t="array" ref="F217">IF(INDEX('Binder Data'!$A$752:$A$1001,ROW()-1)="","",IF(INDEX('Binder Data'!$D$752:$D$1001,ROW()-1)="Needed",INDEX('Binder Data'!$B$752:$B$1001,ROW()-1),INDEX('Binder Data'!$D$752:$D$1001,ROW()-1)))</f>
        <v/>
      </c>
      <c r="G217" s="66"/>
      <c r="H217" s="66"/>
      <c r="I217" s="66"/>
      <c r="J217" s="66"/>
      <c r="K217" s="66"/>
      <c r="L217" s="66"/>
      <c r="M217" s="66"/>
      <c r="N217" s="66"/>
      <c r="O217" s="66"/>
      <c r="P217" s="66"/>
      <c r="Q217" s="66"/>
      <c r="R217" s="66"/>
      <c r="S217" s="66"/>
      <c r="T217" s="66"/>
      <c r="U217" s="66"/>
      <c r="V217" s="66"/>
      <c r="W217" s="66"/>
      <c r="X217" s="66"/>
      <c r="Y217" s="66"/>
      <c r="Z217" s="66"/>
      <c r="AA217" s="66"/>
    </row>
    <row r="218" ht="15.75" customHeight="1">
      <c r="A218" s="66"/>
      <c r="B218" s="66"/>
      <c r="C218" s="66"/>
      <c r="D218" s="66"/>
      <c r="E218" s="66"/>
      <c r="F218" s="68" t="str">
        <f t="array" ref="F218">IF(INDEX('Binder Data'!$A$752:$A$1001,ROW()-1)="","",IF(INDEX('Binder Data'!$D$752:$D$1001,ROW()-1)="Needed",INDEX('Binder Data'!$B$752:$B$1001,ROW()-1),INDEX('Binder Data'!$D$752:$D$1001,ROW()-1)))</f>
        <v/>
      </c>
      <c r="G218" s="66"/>
      <c r="H218" s="66"/>
      <c r="I218" s="66"/>
      <c r="J218" s="66"/>
      <c r="K218" s="66"/>
      <c r="L218" s="66"/>
      <c r="M218" s="66"/>
      <c r="N218" s="66"/>
      <c r="O218" s="66"/>
      <c r="P218" s="66"/>
      <c r="Q218" s="66"/>
      <c r="R218" s="66"/>
      <c r="S218" s="66"/>
      <c r="T218" s="66"/>
      <c r="U218" s="66"/>
      <c r="V218" s="66"/>
      <c r="W218" s="66"/>
      <c r="X218" s="66"/>
      <c r="Y218" s="66"/>
      <c r="Z218" s="66"/>
      <c r="AA218" s="66"/>
    </row>
    <row r="219" ht="15.75" customHeight="1">
      <c r="A219" s="66"/>
      <c r="B219" s="66"/>
      <c r="C219" s="66"/>
      <c r="D219" s="66"/>
      <c r="E219" s="66"/>
      <c r="F219" s="68" t="str">
        <f t="array" ref="F219">IF(INDEX('Binder Data'!$A$752:$A$1001,ROW()-1)="","",IF(INDEX('Binder Data'!$D$752:$D$1001,ROW()-1)="Needed",INDEX('Binder Data'!$B$752:$B$1001,ROW()-1),INDEX('Binder Data'!$D$752:$D$1001,ROW()-1)))</f>
        <v/>
      </c>
      <c r="G219" s="66"/>
      <c r="H219" s="66"/>
      <c r="I219" s="66"/>
      <c r="J219" s="66"/>
      <c r="K219" s="66"/>
      <c r="L219" s="66"/>
      <c r="M219" s="66"/>
      <c r="N219" s="66"/>
      <c r="O219" s="66"/>
      <c r="P219" s="66"/>
      <c r="Q219" s="66"/>
      <c r="R219" s="66"/>
      <c r="S219" s="66"/>
      <c r="T219" s="66"/>
      <c r="U219" s="66"/>
      <c r="V219" s="66"/>
      <c r="W219" s="66"/>
      <c r="X219" s="66"/>
      <c r="Y219" s="66"/>
      <c r="Z219" s="66"/>
      <c r="AA219" s="66"/>
    </row>
    <row r="220" ht="15.75" customHeight="1">
      <c r="A220" s="66"/>
      <c r="B220" s="66"/>
      <c r="C220" s="66"/>
      <c r="D220" s="66"/>
      <c r="E220" s="66"/>
      <c r="F220" s="68" t="str">
        <f t="array" ref="F220">IF(INDEX('Binder Data'!$A$752:$A$1001,ROW()-1)="","",IF(INDEX('Binder Data'!$D$752:$D$1001,ROW()-1)="Needed",INDEX('Binder Data'!$B$752:$B$1001,ROW()-1),INDEX('Binder Data'!$D$752:$D$1001,ROW()-1)))</f>
        <v/>
      </c>
      <c r="G220" s="66"/>
      <c r="H220" s="66"/>
      <c r="I220" s="66"/>
      <c r="J220" s="66"/>
      <c r="K220" s="66"/>
      <c r="L220" s="66"/>
      <c r="M220" s="66"/>
      <c r="N220" s="66"/>
      <c r="O220" s="66"/>
      <c r="P220" s="66"/>
      <c r="Q220" s="66"/>
      <c r="R220" s="66"/>
      <c r="S220" s="66"/>
      <c r="T220" s="66"/>
      <c r="U220" s="66"/>
      <c r="V220" s="66"/>
      <c r="W220" s="66"/>
      <c r="X220" s="66"/>
      <c r="Y220" s="66"/>
      <c r="Z220" s="66"/>
      <c r="AA220" s="66"/>
    </row>
    <row r="221" ht="15.75" customHeight="1">
      <c r="A221" s="66"/>
      <c r="B221" s="66"/>
      <c r="C221" s="66"/>
      <c r="D221" s="66"/>
      <c r="E221" s="66"/>
      <c r="F221" s="68" t="str">
        <f t="array" ref="F221">IF(INDEX('Binder Data'!$A$752:$A$1001,ROW()-1)="","",IF(INDEX('Binder Data'!$D$752:$D$1001,ROW()-1)="Needed",INDEX('Binder Data'!$B$752:$B$1001,ROW()-1),INDEX('Binder Data'!$D$752:$D$1001,ROW()-1)))</f>
        <v/>
      </c>
      <c r="G221" s="66"/>
      <c r="H221" s="66"/>
      <c r="I221" s="66"/>
      <c r="J221" s="66"/>
      <c r="K221" s="66"/>
      <c r="L221" s="66"/>
      <c r="M221" s="66"/>
      <c r="N221" s="66"/>
      <c r="O221" s="66"/>
      <c r="P221" s="66"/>
      <c r="Q221" s="66"/>
      <c r="R221" s="66"/>
      <c r="S221" s="66"/>
      <c r="T221" s="66"/>
      <c r="U221" s="66"/>
      <c r="V221" s="66"/>
      <c r="W221" s="66"/>
      <c r="X221" s="66"/>
      <c r="Y221" s="66"/>
      <c r="Z221" s="66"/>
      <c r="AA221" s="66"/>
    </row>
    <row r="222" ht="15.75" customHeight="1">
      <c r="A222" s="66"/>
      <c r="B222" s="66"/>
      <c r="C222" s="66"/>
      <c r="D222" s="66"/>
      <c r="E222" s="66"/>
      <c r="F222" s="68" t="str">
        <f t="array" ref="F222">IF(INDEX('Binder Data'!$A$752:$A$1001,ROW()-1)="","",IF(INDEX('Binder Data'!$D$752:$D$1001,ROW()-1)="Needed",INDEX('Binder Data'!$B$752:$B$1001,ROW()-1),INDEX('Binder Data'!$D$752:$D$1001,ROW()-1)))</f>
        <v/>
      </c>
      <c r="G222" s="66"/>
      <c r="H222" s="66"/>
      <c r="I222" s="66"/>
      <c r="J222" s="66"/>
      <c r="K222" s="66"/>
      <c r="L222" s="66"/>
      <c r="M222" s="66"/>
      <c r="N222" s="66"/>
      <c r="O222" s="66"/>
      <c r="P222" s="66"/>
      <c r="Q222" s="66"/>
      <c r="R222" s="66"/>
      <c r="S222" s="66"/>
      <c r="T222" s="66"/>
      <c r="U222" s="66"/>
      <c r="V222" s="66"/>
      <c r="W222" s="66"/>
      <c r="X222" s="66"/>
      <c r="Y222" s="66"/>
      <c r="Z222" s="66"/>
      <c r="AA222" s="66"/>
    </row>
    <row r="223" ht="15.75" customHeight="1">
      <c r="A223" s="66"/>
      <c r="B223" s="66"/>
      <c r="C223" s="66"/>
      <c r="D223" s="66"/>
      <c r="E223" s="66"/>
      <c r="F223" s="68" t="str">
        <f t="array" ref="F223">IF(INDEX('Binder Data'!$A$752:$A$1001,ROW()-1)="","",IF(INDEX('Binder Data'!$D$752:$D$1001,ROW()-1)="Needed",INDEX('Binder Data'!$B$752:$B$1001,ROW()-1),INDEX('Binder Data'!$D$752:$D$1001,ROW()-1)))</f>
        <v/>
      </c>
      <c r="G223" s="66"/>
      <c r="H223" s="66"/>
      <c r="I223" s="66"/>
      <c r="J223" s="66"/>
      <c r="K223" s="66"/>
      <c r="L223" s="66"/>
      <c r="M223" s="66"/>
      <c r="N223" s="66"/>
      <c r="O223" s="66"/>
      <c r="P223" s="66"/>
      <c r="Q223" s="66"/>
      <c r="R223" s="66"/>
      <c r="S223" s="66"/>
      <c r="T223" s="66"/>
      <c r="U223" s="66"/>
      <c r="V223" s="66"/>
      <c r="W223" s="66"/>
      <c r="X223" s="66"/>
      <c r="Y223" s="66"/>
      <c r="Z223" s="66"/>
      <c r="AA223" s="66"/>
    </row>
    <row r="224" ht="15.75" customHeight="1">
      <c r="A224" s="66"/>
      <c r="B224" s="66"/>
      <c r="C224" s="66"/>
      <c r="D224" s="66"/>
      <c r="E224" s="66"/>
      <c r="F224" s="68" t="str">
        <f t="array" ref="F224">IF(INDEX('Binder Data'!$A$752:$A$1001,ROW()-1)="","",IF(INDEX('Binder Data'!$D$752:$D$1001,ROW()-1)="Needed",INDEX('Binder Data'!$B$752:$B$1001,ROW()-1),INDEX('Binder Data'!$D$752:$D$1001,ROW()-1)))</f>
        <v/>
      </c>
      <c r="G224" s="66"/>
      <c r="H224" s="66"/>
      <c r="I224" s="66"/>
      <c r="J224" s="66"/>
      <c r="K224" s="66"/>
      <c r="L224" s="66"/>
      <c r="M224" s="66"/>
      <c r="N224" s="66"/>
      <c r="O224" s="66"/>
      <c r="P224" s="66"/>
      <c r="Q224" s="66"/>
      <c r="R224" s="66"/>
      <c r="S224" s="66"/>
      <c r="T224" s="66"/>
      <c r="U224" s="66"/>
      <c r="V224" s="66"/>
      <c r="W224" s="66"/>
      <c r="X224" s="66"/>
      <c r="Y224" s="66"/>
      <c r="Z224" s="66"/>
      <c r="AA224" s="66"/>
    </row>
    <row r="225" ht="15.75" customHeight="1">
      <c r="A225" s="66"/>
      <c r="B225" s="66"/>
      <c r="C225" s="66"/>
      <c r="D225" s="66"/>
      <c r="E225" s="66"/>
      <c r="F225" s="68" t="str">
        <f t="array" ref="F225">IF(INDEX('Binder Data'!$A$752:$A$1001,ROW()-1)="","",IF(INDEX('Binder Data'!$D$752:$D$1001,ROW()-1)="Needed",INDEX('Binder Data'!$B$752:$B$1001,ROW()-1),INDEX('Binder Data'!$D$752:$D$1001,ROW()-1)))</f>
        <v/>
      </c>
      <c r="G225" s="66"/>
      <c r="H225" s="66"/>
      <c r="I225" s="66"/>
      <c r="J225" s="66"/>
      <c r="K225" s="66"/>
      <c r="L225" s="66"/>
      <c r="M225" s="66"/>
      <c r="N225" s="66"/>
      <c r="O225" s="66"/>
      <c r="P225" s="66"/>
      <c r="Q225" s="66"/>
      <c r="R225" s="66"/>
      <c r="S225" s="66"/>
      <c r="T225" s="66"/>
      <c r="U225" s="66"/>
      <c r="V225" s="66"/>
      <c r="W225" s="66"/>
      <c r="X225" s="66"/>
      <c r="Y225" s="66"/>
      <c r="Z225" s="66"/>
      <c r="AA225" s="66"/>
    </row>
    <row r="226" ht="15.75" customHeight="1">
      <c r="A226" s="66"/>
      <c r="B226" s="66"/>
      <c r="C226" s="66"/>
      <c r="D226" s="66"/>
      <c r="E226" s="66"/>
      <c r="F226" s="68" t="str">
        <f t="array" ref="F226">IF(INDEX('Binder Data'!$A$752:$A$1001,ROW()-1)="","",IF(INDEX('Binder Data'!$D$752:$D$1001,ROW()-1)="Needed",INDEX('Binder Data'!$B$752:$B$1001,ROW()-1),INDEX('Binder Data'!$D$752:$D$1001,ROW()-1)))</f>
        <v/>
      </c>
      <c r="G226" s="66"/>
      <c r="H226" s="66"/>
      <c r="I226" s="66"/>
      <c r="J226" s="66"/>
      <c r="K226" s="66"/>
      <c r="L226" s="66"/>
      <c r="M226" s="66"/>
      <c r="N226" s="66"/>
      <c r="O226" s="66"/>
      <c r="P226" s="66"/>
      <c r="Q226" s="66"/>
      <c r="R226" s="66"/>
      <c r="S226" s="66"/>
      <c r="T226" s="66"/>
      <c r="U226" s="66"/>
      <c r="V226" s="66"/>
      <c r="W226" s="66"/>
      <c r="X226" s="66"/>
      <c r="Y226" s="66"/>
      <c r="Z226" s="66"/>
      <c r="AA226" s="66"/>
    </row>
    <row r="227" ht="15.75" customHeight="1">
      <c r="A227" s="66"/>
      <c r="B227" s="66"/>
      <c r="C227" s="66"/>
      <c r="D227" s="66"/>
      <c r="E227" s="66"/>
      <c r="F227" s="68" t="str">
        <f t="array" ref="F227">IF(INDEX('Binder Data'!$A$752:$A$1001,ROW()-1)="","",IF(INDEX('Binder Data'!$D$752:$D$1001,ROW()-1)="Needed",INDEX('Binder Data'!$B$752:$B$1001,ROW()-1),INDEX('Binder Data'!$D$752:$D$1001,ROW()-1)))</f>
        <v/>
      </c>
      <c r="G227" s="66"/>
      <c r="H227" s="66"/>
      <c r="I227" s="66"/>
      <c r="J227" s="66"/>
      <c r="K227" s="66"/>
      <c r="L227" s="66"/>
      <c r="M227" s="66"/>
      <c r="N227" s="66"/>
      <c r="O227" s="66"/>
      <c r="P227" s="66"/>
      <c r="Q227" s="66"/>
      <c r="R227" s="66"/>
      <c r="S227" s="66"/>
      <c r="T227" s="66"/>
      <c r="U227" s="66"/>
      <c r="V227" s="66"/>
      <c r="W227" s="66"/>
      <c r="X227" s="66"/>
      <c r="Y227" s="66"/>
      <c r="Z227" s="66"/>
      <c r="AA227" s="66"/>
    </row>
    <row r="228" ht="15.75" customHeight="1">
      <c r="A228" s="66"/>
      <c r="B228" s="66"/>
      <c r="C228" s="66"/>
      <c r="D228" s="66"/>
      <c r="E228" s="66"/>
      <c r="F228" s="68" t="str">
        <f t="array" ref="F228">IF(INDEX('Binder Data'!$A$752:$A$1001,ROW()-1)="","",IF(INDEX('Binder Data'!$D$752:$D$1001,ROW()-1)="Needed",INDEX('Binder Data'!$B$752:$B$1001,ROW()-1),INDEX('Binder Data'!$D$752:$D$1001,ROW()-1)))</f>
        <v/>
      </c>
      <c r="G228" s="66"/>
      <c r="H228" s="66"/>
      <c r="I228" s="66"/>
      <c r="J228" s="66"/>
      <c r="K228" s="66"/>
      <c r="L228" s="66"/>
      <c r="M228" s="66"/>
      <c r="N228" s="66"/>
      <c r="O228" s="66"/>
      <c r="P228" s="66"/>
      <c r="Q228" s="66"/>
      <c r="R228" s="66"/>
      <c r="S228" s="66"/>
      <c r="T228" s="66"/>
      <c r="U228" s="66"/>
      <c r="V228" s="66"/>
      <c r="W228" s="66"/>
      <c r="X228" s="66"/>
      <c r="Y228" s="66"/>
      <c r="Z228" s="66"/>
      <c r="AA228" s="66"/>
    </row>
    <row r="229" ht="15.75" customHeight="1">
      <c r="A229" s="66"/>
      <c r="B229" s="66"/>
      <c r="C229" s="66"/>
      <c r="D229" s="66"/>
      <c r="E229" s="66"/>
      <c r="F229" s="68" t="str">
        <f t="array" ref="F229">IF(INDEX('Binder Data'!$A$752:$A$1001,ROW()-1)="","",IF(INDEX('Binder Data'!$D$752:$D$1001,ROW()-1)="Needed",INDEX('Binder Data'!$B$752:$B$1001,ROW()-1),INDEX('Binder Data'!$D$752:$D$1001,ROW()-1)))</f>
        <v/>
      </c>
      <c r="G229" s="66"/>
      <c r="H229" s="66"/>
      <c r="I229" s="66"/>
      <c r="J229" s="66"/>
      <c r="K229" s="66"/>
      <c r="L229" s="66"/>
      <c r="M229" s="66"/>
      <c r="N229" s="66"/>
      <c r="O229" s="66"/>
      <c r="P229" s="66"/>
      <c r="Q229" s="66"/>
      <c r="R229" s="66"/>
      <c r="S229" s="66"/>
      <c r="T229" s="66"/>
      <c r="U229" s="66"/>
      <c r="V229" s="66"/>
      <c r="W229" s="66"/>
      <c r="X229" s="66"/>
      <c r="Y229" s="66"/>
      <c r="Z229" s="66"/>
      <c r="AA229" s="66"/>
    </row>
    <row r="230" ht="15.75" customHeight="1">
      <c r="A230" s="66"/>
      <c r="B230" s="66"/>
      <c r="C230" s="66"/>
      <c r="D230" s="66"/>
      <c r="E230" s="66"/>
      <c r="F230" s="68" t="str">
        <f t="array" ref="F230">IF(INDEX('Binder Data'!$A$752:$A$1001,ROW()-1)="","",IF(INDEX('Binder Data'!$D$752:$D$1001,ROW()-1)="Needed",INDEX('Binder Data'!$B$752:$B$1001,ROW()-1),INDEX('Binder Data'!$D$752:$D$1001,ROW()-1)))</f>
        <v/>
      </c>
      <c r="G230" s="66"/>
      <c r="H230" s="66"/>
      <c r="I230" s="66"/>
      <c r="J230" s="66"/>
      <c r="K230" s="66"/>
      <c r="L230" s="66"/>
      <c r="M230" s="66"/>
      <c r="N230" s="66"/>
      <c r="O230" s="66"/>
      <c r="P230" s="66"/>
      <c r="Q230" s="66"/>
      <c r="R230" s="66"/>
      <c r="S230" s="66"/>
      <c r="T230" s="66"/>
      <c r="U230" s="66"/>
      <c r="V230" s="66"/>
      <c r="W230" s="66"/>
      <c r="X230" s="66"/>
      <c r="Y230" s="66"/>
      <c r="Z230" s="66"/>
      <c r="AA230" s="66"/>
    </row>
    <row r="231" ht="15.75" customHeight="1">
      <c r="A231" s="66"/>
      <c r="B231" s="66"/>
      <c r="C231" s="66"/>
      <c r="D231" s="66"/>
      <c r="E231" s="66"/>
      <c r="F231" s="68" t="str">
        <f t="array" ref="F231">IF(INDEX('Binder Data'!$A$752:$A$1001,ROW()-1)="","",IF(INDEX('Binder Data'!$D$752:$D$1001,ROW()-1)="Needed",INDEX('Binder Data'!$B$752:$B$1001,ROW()-1),INDEX('Binder Data'!$D$752:$D$1001,ROW()-1)))</f>
        <v/>
      </c>
      <c r="G231" s="66"/>
      <c r="H231" s="66"/>
      <c r="I231" s="66"/>
      <c r="J231" s="66"/>
      <c r="K231" s="66"/>
      <c r="L231" s="66"/>
      <c r="M231" s="66"/>
      <c r="N231" s="66"/>
      <c r="O231" s="66"/>
      <c r="P231" s="66"/>
      <c r="Q231" s="66"/>
      <c r="R231" s="66"/>
      <c r="S231" s="66"/>
      <c r="T231" s="66"/>
      <c r="U231" s="66"/>
      <c r="V231" s="66"/>
      <c r="W231" s="66"/>
      <c r="X231" s="66"/>
      <c r="Y231" s="66"/>
      <c r="Z231" s="66"/>
      <c r="AA231" s="66"/>
    </row>
    <row r="232" ht="15.75" customHeight="1">
      <c r="A232" s="66"/>
      <c r="B232" s="66"/>
      <c r="C232" s="66"/>
      <c r="D232" s="66"/>
      <c r="E232" s="66"/>
      <c r="F232" s="68" t="str">
        <f t="array" ref="F232">IF(INDEX('Binder Data'!$A$752:$A$1001,ROW()-1)="","",IF(INDEX('Binder Data'!$D$752:$D$1001,ROW()-1)="Needed",INDEX('Binder Data'!$B$752:$B$1001,ROW()-1),INDEX('Binder Data'!$D$752:$D$1001,ROW()-1)))</f>
        <v/>
      </c>
      <c r="G232" s="66"/>
      <c r="H232" s="66"/>
      <c r="I232" s="66"/>
      <c r="J232" s="66"/>
      <c r="K232" s="66"/>
      <c r="L232" s="66"/>
      <c r="M232" s="66"/>
      <c r="N232" s="66"/>
      <c r="O232" s="66"/>
      <c r="P232" s="66"/>
      <c r="Q232" s="66"/>
      <c r="R232" s="66"/>
      <c r="S232" s="66"/>
      <c r="T232" s="66"/>
      <c r="U232" s="66"/>
      <c r="V232" s="66"/>
      <c r="W232" s="66"/>
      <c r="X232" s="66"/>
      <c r="Y232" s="66"/>
      <c r="Z232" s="66"/>
      <c r="AA232" s="66"/>
    </row>
    <row r="233" ht="15.75" customHeight="1">
      <c r="A233" s="66"/>
      <c r="B233" s="66"/>
      <c r="C233" s="66"/>
      <c r="D233" s="66"/>
      <c r="E233" s="66"/>
      <c r="F233" s="68" t="str">
        <f t="array" ref="F233">IF(INDEX('Binder Data'!$A$752:$A$1001,ROW()-1)="","",IF(INDEX('Binder Data'!$D$752:$D$1001,ROW()-1)="Needed",INDEX('Binder Data'!$B$752:$B$1001,ROW()-1),INDEX('Binder Data'!$D$752:$D$1001,ROW()-1)))</f>
        <v/>
      </c>
      <c r="G233" s="66"/>
      <c r="H233" s="66"/>
      <c r="I233" s="66"/>
      <c r="J233" s="66"/>
      <c r="K233" s="66"/>
      <c r="L233" s="66"/>
      <c r="M233" s="66"/>
      <c r="N233" s="66"/>
      <c r="O233" s="66"/>
      <c r="P233" s="66"/>
      <c r="Q233" s="66"/>
      <c r="R233" s="66"/>
      <c r="S233" s="66"/>
      <c r="T233" s="66"/>
      <c r="U233" s="66"/>
      <c r="V233" s="66"/>
      <c r="W233" s="66"/>
      <c r="X233" s="66"/>
      <c r="Y233" s="66"/>
      <c r="Z233" s="66"/>
      <c r="AA233" s="66"/>
    </row>
    <row r="234" ht="15.75" customHeight="1">
      <c r="A234" s="66"/>
      <c r="B234" s="66"/>
      <c r="C234" s="66"/>
      <c r="D234" s="66"/>
      <c r="E234" s="66"/>
      <c r="F234" s="68" t="str">
        <f t="array" ref="F234">IF(INDEX('Binder Data'!$A$752:$A$1001,ROW()-1)="","",IF(INDEX('Binder Data'!$D$752:$D$1001,ROW()-1)="Needed",INDEX('Binder Data'!$B$752:$B$1001,ROW()-1),INDEX('Binder Data'!$D$752:$D$1001,ROW()-1)))</f>
        <v/>
      </c>
      <c r="G234" s="66"/>
      <c r="H234" s="66"/>
      <c r="I234" s="66"/>
      <c r="J234" s="66"/>
      <c r="K234" s="66"/>
      <c r="L234" s="66"/>
      <c r="M234" s="66"/>
      <c r="N234" s="66"/>
      <c r="O234" s="66"/>
      <c r="P234" s="66"/>
      <c r="Q234" s="66"/>
      <c r="R234" s="66"/>
      <c r="S234" s="66"/>
      <c r="T234" s="66"/>
      <c r="U234" s="66"/>
      <c r="V234" s="66"/>
      <c r="W234" s="66"/>
      <c r="X234" s="66"/>
      <c r="Y234" s="66"/>
      <c r="Z234" s="66"/>
      <c r="AA234" s="66"/>
    </row>
    <row r="235" ht="15.75" customHeight="1">
      <c r="A235" s="66"/>
      <c r="B235" s="66"/>
      <c r="C235" s="66"/>
      <c r="D235" s="66"/>
      <c r="E235" s="66"/>
      <c r="F235" s="68" t="str">
        <f t="array" ref="F235">IF(INDEX('Binder Data'!$A$752:$A$1001,ROW()-1)="","",IF(INDEX('Binder Data'!$D$752:$D$1001,ROW()-1)="Needed",INDEX('Binder Data'!$B$752:$B$1001,ROW()-1),INDEX('Binder Data'!$D$752:$D$1001,ROW()-1)))</f>
        <v/>
      </c>
      <c r="G235" s="66"/>
      <c r="H235" s="66"/>
      <c r="I235" s="66"/>
      <c r="J235" s="66"/>
      <c r="K235" s="66"/>
      <c r="L235" s="66"/>
      <c r="M235" s="66"/>
      <c r="N235" s="66"/>
      <c r="O235" s="66"/>
      <c r="P235" s="66"/>
      <c r="Q235" s="66"/>
      <c r="R235" s="66"/>
      <c r="S235" s="66"/>
      <c r="T235" s="66"/>
      <c r="U235" s="66"/>
      <c r="V235" s="66"/>
      <c r="W235" s="66"/>
      <c r="X235" s="66"/>
      <c r="Y235" s="66"/>
      <c r="Z235" s="66"/>
      <c r="AA235" s="66"/>
    </row>
    <row r="236" ht="15.75" customHeight="1">
      <c r="A236" s="66"/>
      <c r="B236" s="66"/>
      <c r="C236" s="66"/>
      <c r="D236" s="66"/>
      <c r="E236" s="66"/>
      <c r="F236" s="68" t="str">
        <f t="array" ref="F236">IF(INDEX('Binder Data'!$A$752:$A$1001,ROW()-1)="","",IF(INDEX('Binder Data'!$D$752:$D$1001,ROW()-1)="Needed",INDEX('Binder Data'!$B$752:$B$1001,ROW()-1),INDEX('Binder Data'!$D$752:$D$1001,ROW()-1)))</f>
        <v/>
      </c>
      <c r="G236" s="66"/>
      <c r="H236" s="66"/>
      <c r="I236" s="66"/>
      <c r="J236" s="66"/>
      <c r="K236" s="66"/>
      <c r="L236" s="66"/>
      <c r="M236" s="66"/>
      <c r="N236" s="66"/>
      <c r="O236" s="66"/>
      <c r="P236" s="66"/>
      <c r="Q236" s="66"/>
      <c r="R236" s="66"/>
      <c r="S236" s="66"/>
      <c r="T236" s="66"/>
      <c r="U236" s="66"/>
      <c r="V236" s="66"/>
      <c r="W236" s="66"/>
      <c r="X236" s="66"/>
      <c r="Y236" s="66"/>
      <c r="Z236" s="66"/>
      <c r="AA236" s="66"/>
    </row>
    <row r="237" ht="15.75" customHeight="1">
      <c r="A237" s="66"/>
      <c r="B237" s="66"/>
      <c r="C237" s="66"/>
      <c r="D237" s="66"/>
      <c r="E237" s="66"/>
      <c r="F237" s="68" t="str">
        <f t="array" ref="F237">IF(INDEX('Binder Data'!$A$752:$A$1001,ROW()-1)="","",IF(INDEX('Binder Data'!$D$752:$D$1001,ROW()-1)="Needed",INDEX('Binder Data'!$B$752:$B$1001,ROW()-1),INDEX('Binder Data'!$D$752:$D$1001,ROW()-1)))</f>
        <v/>
      </c>
      <c r="G237" s="66"/>
      <c r="H237" s="66"/>
      <c r="I237" s="66"/>
      <c r="J237" s="66"/>
      <c r="K237" s="66"/>
      <c r="L237" s="66"/>
      <c r="M237" s="66"/>
      <c r="N237" s="66"/>
      <c r="O237" s="66"/>
      <c r="P237" s="66"/>
      <c r="Q237" s="66"/>
      <c r="R237" s="66"/>
      <c r="S237" s="66"/>
      <c r="T237" s="66"/>
      <c r="U237" s="66"/>
      <c r="V237" s="66"/>
      <c r="W237" s="66"/>
      <c r="X237" s="66"/>
      <c r="Y237" s="66"/>
      <c r="Z237" s="66"/>
      <c r="AA237" s="66"/>
    </row>
    <row r="238" ht="15.75" customHeight="1">
      <c r="A238" s="66"/>
      <c r="B238" s="66"/>
      <c r="C238" s="66"/>
      <c r="D238" s="66"/>
      <c r="E238" s="66"/>
      <c r="F238" s="68" t="str">
        <f t="array" ref="F238">IF(INDEX('Binder Data'!$A$752:$A$1001,ROW()-1)="","",IF(INDEX('Binder Data'!$D$752:$D$1001,ROW()-1)="Needed",INDEX('Binder Data'!$B$752:$B$1001,ROW()-1),INDEX('Binder Data'!$D$752:$D$1001,ROW()-1)))</f>
        <v/>
      </c>
      <c r="G238" s="66"/>
      <c r="H238" s="66"/>
      <c r="I238" s="66"/>
      <c r="J238" s="66"/>
      <c r="K238" s="66"/>
      <c r="L238" s="66"/>
      <c r="M238" s="66"/>
      <c r="N238" s="66"/>
      <c r="O238" s="66"/>
      <c r="P238" s="66"/>
      <c r="Q238" s="66"/>
      <c r="R238" s="66"/>
      <c r="S238" s="66"/>
      <c r="T238" s="66"/>
      <c r="U238" s="66"/>
      <c r="V238" s="66"/>
      <c r="W238" s="66"/>
      <c r="X238" s="66"/>
      <c r="Y238" s="66"/>
      <c r="Z238" s="66"/>
      <c r="AA238" s="66"/>
    </row>
    <row r="239" ht="15.75" customHeight="1">
      <c r="A239" s="66"/>
      <c r="B239" s="66"/>
      <c r="C239" s="66"/>
      <c r="D239" s="66"/>
      <c r="E239" s="66"/>
      <c r="F239" s="68" t="str">
        <f t="array" ref="F239">IF(INDEX('Binder Data'!$A$752:$A$1001,ROW()-1)="","",IF(INDEX('Binder Data'!$D$752:$D$1001,ROW()-1)="Needed",INDEX('Binder Data'!$B$752:$B$1001,ROW()-1),INDEX('Binder Data'!$D$752:$D$1001,ROW()-1)))</f>
        <v/>
      </c>
      <c r="G239" s="66"/>
      <c r="H239" s="66"/>
      <c r="I239" s="66"/>
      <c r="J239" s="66"/>
      <c r="K239" s="66"/>
      <c r="L239" s="66"/>
      <c r="M239" s="66"/>
      <c r="N239" s="66"/>
      <c r="O239" s="66"/>
      <c r="P239" s="66"/>
      <c r="Q239" s="66"/>
      <c r="R239" s="66"/>
      <c r="S239" s="66"/>
      <c r="T239" s="66"/>
      <c r="U239" s="66"/>
      <c r="V239" s="66"/>
      <c r="W239" s="66"/>
      <c r="X239" s="66"/>
      <c r="Y239" s="66"/>
      <c r="Z239" s="66"/>
      <c r="AA239" s="66"/>
    </row>
    <row r="240" ht="15.75" customHeight="1">
      <c r="A240" s="66"/>
      <c r="B240" s="66"/>
      <c r="C240" s="66"/>
      <c r="D240" s="66"/>
      <c r="E240" s="66"/>
      <c r="F240" s="68" t="str">
        <f t="array" ref="F240">IF(INDEX('Binder Data'!$A$752:$A$1001,ROW()-1)="","",IF(INDEX('Binder Data'!$D$752:$D$1001,ROW()-1)="Needed",INDEX('Binder Data'!$B$752:$B$1001,ROW()-1),INDEX('Binder Data'!$D$752:$D$1001,ROW()-1)))</f>
        <v/>
      </c>
      <c r="G240" s="66"/>
      <c r="H240" s="66"/>
      <c r="I240" s="66"/>
      <c r="J240" s="66"/>
      <c r="K240" s="66"/>
      <c r="L240" s="66"/>
      <c r="M240" s="66"/>
      <c r="N240" s="66"/>
      <c r="O240" s="66"/>
      <c r="P240" s="66"/>
      <c r="Q240" s="66"/>
      <c r="R240" s="66"/>
      <c r="S240" s="66"/>
      <c r="T240" s="66"/>
      <c r="U240" s="66"/>
      <c r="V240" s="66"/>
      <c r="W240" s="66"/>
      <c r="X240" s="66"/>
      <c r="Y240" s="66"/>
      <c r="Z240" s="66"/>
      <c r="AA240" s="66"/>
    </row>
    <row r="241" ht="15.75" customHeight="1">
      <c r="A241" s="66"/>
      <c r="B241" s="66"/>
      <c r="C241" s="66"/>
      <c r="D241" s="66"/>
      <c r="E241" s="66"/>
      <c r="F241" s="68" t="str">
        <f t="array" ref="F241">IF(INDEX('Binder Data'!$A$752:$A$1001,ROW()-1)="","",IF(INDEX('Binder Data'!$D$752:$D$1001,ROW()-1)="Needed",INDEX('Binder Data'!$B$752:$B$1001,ROW()-1),INDEX('Binder Data'!$D$752:$D$1001,ROW()-1)))</f>
        <v/>
      </c>
      <c r="G241" s="66"/>
      <c r="H241" s="66"/>
      <c r="I241" s="66"/>
      <c r="J241" s="66"/>
      <c r="K241" s="66"/>
      <c r="L241" s="66"/>
      <c r="M241" s="66"/>
      <c r="N241" s="66"/>
      <c r="O241" s="66"/>
      <c r="P241" s="66"/>
      <c r="Q241" s="66"/>
      <c r="R241" s="66"/>
      <c r="S241" s="66"/>
      <c r="T241" s="66"/>
      <c r="U241" s="66"/>
      <c r="V241" s="66"/>
      <c r="W241" s="66"/>
      <c r="X241" s="66"/>
      <c r="Y241" s="66"/>
      <c r="Z241" s="66"/>
      <c r="AA241" s="66"/>
    </row>
    <row r="242" ht="15.75" customHeight="1">
      <c r="A242" s="66"/>
      <c r="B242" s="66"/>
      <c r="C242" s="66"/>
      <c r="D242" s="66"/>
      <c r="E242" s="66"/>
      <c r="F242" s="68" t="str">
        <f t="array" ref="F242">IF(INDEX('Binder Data'!$A$752:$A$1001,ROW()-1)="","",IF(INDEX('Binder Data'!$D$752:$D$1001,ROW()-1)="Needed",INDEX('Binder Data'!$B$752:$B$1001,ROW()-1),INDEX('Binder Data'!$D$752:$D$1001,ROW()-1)))</f>
        <v/>
      </c>
      <c r="G242" s="66"/>
      <c r="H242" s="66"/>
      <c r="I242" s="66"/>
      <c r="J242" s="66"/>
      <c r="K242" s="66"/>
      <c r="L242" s="66"/>
      <c r="M242" s="66"/>
      <c r="N242" s="66"/>
      <c r="O242" s="66"/>
      <c r="P242" s="66"/>
      <c r="Q242" s="66"/>
      <c r="R242" s="66"/>
      <c r="S242" s="66"/>
      <c r="T242" s="66"/>
      <c r="U242" s="66"/>
      <c r="V242" s="66"/>
      <c r="W242" s="66"/>
      <c r="X242" s="66"/>
      <c r="Y242" s="66"/>
      <c r="Z242" s="66"/>
      <c r="AA242" s="66"/>
    </row>
    <row r="243" ht="15.75" customHeight="1">
      <c r="A243" s="66"/>
      <c r="B243" s="66"/>
      <c r="C243" s="66"/>
      <c r="D243" s="66"/>
      <c r="E243" s="66"/>
      <c r="F243" s="68" t="str">
        <f t="array" ref="F243">IF(INDEX('Binder Data'!$A$752:$A$1001,ROW()-1)="","",IF(INDEX('Binder Data'!$D$752:$D$1001,ROW()-1)="Needed",INDEX('Binder Data'!$B$752:$B$1001,ROW()-1),INDEX('Binder Data'!$D$752:$D$1001,ROW()-1)))</f>
        <v/>
      </c>
      <c r="G243" s="66"/>
      <c r="H243" s="66"/>
      <c r="I243" s="66"/>
      <c r="J243" s="66"/>
      <c r="K243" s="66"/>
      <c r="L243" s="66"/>
      <c r="M243" s="66"/>
      <c r="N243" s="66"/>
      <c r="O243" s="66"/>
      <c r="P243" s="66"/>
      <c r="Q243" s="66"/>
      <c r="R243" s="66"/>
      <c r="S243" s="66"/>
      <c r="T243" s="66"/>
      <c r="U243" s="66"/>
      <c r="V243" s="66"/>
      <c r="W243" s="66"/>
      <c r="X243" s="66"/>
      <c r="Y243" s="66"/>
      <c r="Z243" s="66"/>
      <c r="AA243" s="66"/>
    </row>
    <row r="244" ht="15.75" customHeight="1">
      <c r="A244" s="66"/>
      <c r="B244" s="66"/>
      <c r="C244" s="66"/>
      <c r="D244" s="66"/>
      <c r="E244" s="66"/>
      <c r="F244" s="68" t="str">
        <f t="array" ref="F244">IF(INDEX('Binder Data'!$A$752:$A$1001,ROW()-1)="","",IF(INDEX('Binder Data'!$D$752:$D$1001,ROW()-1)="Needed",INDEX('Binder Data'!$B$752:$B$1001,ROW()-1),INDEX('Binder Data'!$D$752:$D$1001,ROW()-1)))</f>
        <v/>
      </c>
      <c r="G244" s="66"/>
      <c r="H244" s="66"/>
      <c r="I244" s="66"/>
      <c r="J244" s="66"/>
      <c r="K244" s="66"/>
      <c r="L244" s="66"/>
      <c r="M244" s="66"/>
      <c r="N244" s="66"/>
      <c r="O244" s="66"/>
      <c r="P244" s="66"/>
      <c r="Q244" s="66"/>
      <c r="R244" s="66"/>
      <c r="S244" s="66"/>
      <c r="T244" s="66"/>
      <c r="U244" s="66"/>
      <c r="V244" s="66"/>
      <c r="W244" s="66"/>
      <c r="X244" s="66"/>
      <c r="Y244" s="66"/>
      <c r="Z244" s="66"/>
      <c r="AA244" s="66"/>
    </row>
    <row r="245" ht="15.75" customHeight="1">
      <c r="A245" s="66"/>
      <c r="B245" s="66"/>
      <c r="C245" s="66"/>
      <c r="D245" s="66"/>
      <c r="E245" s="66"/>
      <c r="F245" s="68" t="str">
        <f t="array" ref="F245">IF(INDEX('Binder Data'!$A$752:$A$1001,ROW()-1)="","",IF(INDEX('Binder Data'!$D$752:$D$1001,ROW()-1)="Needed",INDEX('Binder Data'!$B$752:$B$1001,ROW()-1),INDEX('Binder Data'!$D$752:$D$1001,ROW()-1)))</f>
        <v/>
      </c>
      <c r="G245" s="66"/>
      <c r="H245" s="66"/>
      <c r="I245" s="66"/>
      <c r="J245" s="66"/>
      <c r="K245" s="66"/>
      <c r="L245" s="66"/>
      <c r="M245" s="66"/>
      <c r="N245" s="66"/>
      <c r="O245" s="66"/>
      <c r="P245" s="66"/>
      <c r="Q245" s="66"/>
      <c r="R245" s="66"/>
      <c r="S245" s="66"/>
      <c r="T245" s="66"/>
      <c r="U245" s="66"/>
      <c r="V245" s="66"/>
      <c r="W245" s="66"/>
      <c r="X245" s="66"/>
      <c r="Y245" s="66"/>
      <c r="Z245" s="66"/>
      <c r="AA245" s="66"/>
    </row>
    <row r="246" ht="15.75" customHeight="1">
      <c r="A246" s="66"/>
      <c r="B246" s="66"/>
      <c r="C246" s="66"/>
      <c r="D246" s="66"/>
      <c r="E246" s="66"/>
      <c r="F246" s="68" t="str">
        <f t="array" ref="F246">IF(INDEX('Binder Data'!$A$752:$A$1001,ROW()-1)="","",IF(INDEX('Binder Data'!$D$752:$D$1001,ROW()-1)="Needed",INDEX('Binder Data'!$B$752:$B$1001,ROW()-1),INDEX('Binder Data'!$D$752:$D$1001,ROW()-1)))</f>
        <v/>
      </c>
      <c r="G246" s="66"/>
      <c r="H246" s="66"/>
      <c r="I246" s="66"/>
      <c r="J246" s="66"/>
      <c r="K246" s="66"/>
      <c r="L246" s="66"/>
      <c r="M246" s="66"/>
      <c r="N246" s="66"/>
      <c r="O246" s="66"/>
      <c r="P246" s="66"/>
      <c r="Q246" s="66"/>
      <c r="R246" s="66"/>
      <c r="S246" s="66"/>
      <c r="T246" s="66"/>
      <c r="U246" s="66"/>
      <c r="V246" s="66"/>
      <c r="W246" s="66"/>
      <c r="X246" s="66"/>
      <c r="Y246" s="66"/>
      <c r="Z246" s="66"/>
      <c r="AA246" s="66"/>
    </row>
    <row r="247" ht="15.75" customHeight="1">
      <c r="A247" s="66"/>
      <c r="B247" s="66"/>
      <c r="C247" s="66"/>
      <c r="D247" s="66"/>
      <c r="E247" s="66"/>
      <c r="F247" s="68" t="str">
        <f t="array" ref="F247">IF(INDEX('Binder Data'!$A$752:$A$1001,ROW()-1)="","",IF(INDEX('Binder Data'!$D$752:$D$1001,ROW()-1)="Needed",INDEX('Binder Data'!$B$752:$B$1001,ROW()-1),INDEX('Binder Data'!$D$752:$D$1001,ROW()-1)))</f>
        <v/>
      </c>
      <c r="G247" s="66"/>
      <c r="H247" s="66"/>
      <c r="I247" s="66"/>
      <c r="J247" s="66"/>
      <c r="K247" s="66"/>
      <c r="L247" s="66"/>
      <c r="M247" s="66"/>
      <c r="N247" s="66"/>
      <c r="O247" s="66"/>
      <c r="P247" s="66"/>
      <c r="Q247" s="66"/>
      <c r="R247" s="66"/>
      <c r="S247" s="66"/>
      <c r="T247" s="66"/>
      <c r="U247" s="66"/>
      <c r="V247" s="66"/>
      <c r="W247" s="66"/>
      <c r="X247" s="66"/>
      <c r="Y247" s="66"/>
      <c r="Z247" s="66"/>
      <c r="AA247" s="66"/>
    </row>
    <row r="248" ht="15.75" customHeight="1">
      <c r="A248" s="66"/>
      <c r="B248" s="66"/>
      <c r="C248" s="66"/>
      <c r="D248" s="66"/>
      <c r="E248" s="66"/>
      <c r="F248" s="68" t="str">
        <f t="array" ref="F248">IF(INDEX('Binder Data'!$A$752:$A$1001,ROW()-1)="","",IF(INDEX('Binder Data'!$D$752:$D$1001,ROW()-1)="Needed",INDEX('Binder Data'!$B$752:$B$1001,ROW()-1),INDEX('Binder Data'!$D$752:$D$1001,ROW()-1)))</f>
        <v/>
      </c>
      <c r="G248" s="66"/>
      <c r="H248" s="66"/>
      <c r="I248" s="66"/>
      <c r="J248" s="66"/>
      <c r="K248" s="66"/>
      <c r="L248" s="66"/>
      <c r="M248" s="66"/>
      <c r="N248" s="66"/>
      <c r="O248" s="66"/>
      <c r="P248" s="66"/>
      <c r="Q248" s="66"/>
      <c r="R248" s="66"/>
      <c r="S248" s="66"/>
      <c r="T248" s="66"/>
      <c r="U248" s="66"/>
      <c r="V248" s="66"/>
      <c r="W248" s="66"/>
      <c r="X248" s="66"/>
      <c r="Y248" s="66"/>
      <c r="Z248" s="66"/>
      <c r="AA248" s="66"/>
    </row>
    <row r="249" ht="15.75" customHeight="1">
      <c r="A249" s="66"/>
      <c r="B249" s="66"/>
      <c r="C249" s="66"/>
      <c r="D249" s="66"/>
      <c r="E249" s="66"/>
      <c r="F249" s="68" t="str">
        <f t="array" ref="F249">IF(INDEX('Binder Data'!$A$752:$A$1001,ROW()-1)="","",IF(INDEX('Binder Data'!$D$752:$D$1001,ROW()-1)="Needed",INDEX('Binder Data'!$B$752:$B$1001,ROW()-1),INDEX('Binder Data'!$D$752:$D$1001,ROW()-1)))</f>
        <v/>
      </c>
      <c r="G249" s="66"/>
      <c r="H249" s="66"/>
      <c r="I249" s="66"/>
      <c r="J249" s="66"/>
      <c r="K249" s="66"/>
      <c r="L249" s="66"/>
      <c r="M249" s="66"/>
      <c r="N249" s="66"/>
      <c r="O249" s="66"/>
      <c r="P249" s="66"/>
      <c r="Q249" s="66"/>
      <c r="R249" s="66"/>
      <c r="S249" s="66"/>
      <c r="T249" s="66"/>
      <c r="U249" s="66"/>
      <c r="V249" s="66"/>
      <c r="W249" s="66"/>
      <c r="X249" s="66"/>
      <c r="Y249" s="66"/>
      <c r="Z249" s="66"/>
      <c r="AA249" s="66"/>
    </row>
    <row r="250" ht="15.75" customHeight="1">
      <c r="A250" s="66"/>
      <c r="B250" s="66"/>
      <c r="C250" s="66"/>
      <c r="D250" s="66"/>
      <c r="E250" s="66"/>
      <c r="F250" s="68" t="str">
        <f t="array" ref="F250">IF(INDEX('Binder Data'!$A$752:$A$1001,ROW()-1)="","",IF(INDEX('Binder Data'!$D$752:$D$1001,ROW()-1)="Needed",INDEX('Binder Data'!$B$752:$B$1001,ROW()-1),INDEX('Binder Data'!$D$752:$D$1001,ROW()-1)))</f>
        <v/>
      </c>
      <c r="G250" s="66"/>
      <c r="H250" s="66"/>
      <c r="I250" s="66"/>
      <c r="J250" s="66"/>
      <c r="K250" s="66"/>
      <c r="L250" s="66"/>
      <c r="M250" s="66"/>
      <c r="N250" s="66"/>
      <c r="O250" s="66"/>
      <c r="P250" s="66"/>
      <c r="Q250" s="66"/>
      <c r="R250" s="66"/>
      <c r="S250" s="66"/>
      <c r="T250" s="66"/>
      <c r="U250" s="66"/>
      <c r="V250" s="66"/>
      <c r="W250" s="66"/>
      <c r="X250" s="66"/>
      <c r="Y250" s="66"/>
      <c r="Z250" s="66"/>
      <c r="AA250" s="66"/>
    </row>
    <row r="251" ht="15.75" customHeight="1">
      <c r="A251" s="66"/>
      <c r="B251" s="66"/>
      <c r="C251" s="66"/>
      <c r="D251" s="66"/>
      <c r="E251" s="66"/>
      <c r="F251" s="68" t="str">
        <f t="array" ref="F251">IF(INDEX('Binder Data'!$A$752:$A$1001,ROW()-1)="","",IF(INDEX('Binder Data'!$D$752:$D$1001,ROW()-1)="Needed",INDEX('Binder Data'!$B$752:$B$1001,ROW()-1),INDEX('Binder Data'!$D$752:$D$1001,ROW()-1)))</f>
        <v/>
      </c>
      <c r="G251" s="66"/>
      <c r="H251" s="66"/>
      <c r="I251" s="66"/>
      <c r="J251" s="66"/>
      <c r="K251" s="66"/>
      <c r="L251" s="66"/>
      <c r="M251" s="66"/>
      <c r="N251" s="66"/>
      <c r="O251" s="66"/>
      <c r="P251" s="66"/>
      <c r="Q251" s="66"/>
      <c r="R251" s="66"/>
      <c r="S251" s="66"/>
      <c r="T251" s="66"/>
      <c r="U251" s="66"/>
      <c r="V251" s="66"/>
      <c r="W251" s="66"/>
      <c r="X251" s="66"/>
      <c r="Y251" s="66"/>
      <c r="Z251" s="66"/>
      <c r="AA251" s="66"/>
    </row>
    <row r="252" ht="15.7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c r="AA252" s="66"/>
    </row>
    <row r="253" ht="15.7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c r="AA253" s="66"/>
    </row>
    <row r="254" ht="15.7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c r="AA254" s="66"/>
    </row>
    <row r="255" ht="15.7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c r="AA255" s="66"/>
    </row>
    <row r="256" ht="15.7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c r="AA256" s="66"/>
    </row>
    <row r="257" ht="15.7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c r="AA257" s="66"/>
    </row>
    <row r="258" ht="15.7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c r="AA258" s="66"/>
    </row>
    <row r="259" ht="15.7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c r="AA259" s="66"/>
    </row>
    <row r="260" ht="15.7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c r="AA260" s="66"/>
    </row>
    <row r="261" ht="15.7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c r="AA261" s="66"/>
    </row>
    <row r="262" ht="15.7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c r="AA262" s="66"/>
    </row>
    <row r="263" ht="15.7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c r="AA263" s="66"/>
    </row>
    <row r="264" ht="15.7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c r="AA264" s="66"/>
    </row>
    <row r="265" ht="15.7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c r="AA265" s="66"/>
    </row>
    <row r="266" ht="15.7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c r="AA266" s="66"/>
    </row>
    <row r="267" ht="15.7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c r="AA267" s="66"/>
    </row>
    <row r="268" ht="15.7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c r="AA268" s="66"/>
    </row>
    <row r="269" ht="15.7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c r="AA269" s="66"/>
    </row>
    <row r="270" ht="15.7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c r="AA270" s="66"/>
    </row>
    <row r="271" ht="15.7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c r="AA271" s="66"/>
    </row>
    <row r="272" ht="15.7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c r="AA272" s="66"/>
    </row>
    <row r="273" ht="15.7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c r="AA273" s="66"/>
    </row>
    <row r="274" ht="15.7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c r="AA274" s="66"/>
    </row>
    <row r="275" ht="15.7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c r="AA275" s="66"/>
    </row>
    <row r="276" ht="15.7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c r="AA276" s="66"/>
    </row>
    <row r="277" ht="15.7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c r="AA277" s="66"/>
    </row>
    <row r="278" ht="15.7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c r="AA278" s="66"/>
    </row>
    <row r="279" ht="15.7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c r="AA279" s="66"/>
    </row>
    <row r="280" ht="15.7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c r="AA280" s="66"/>
    </row>
    <row r="281" ht="15.7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c r="AA281" s="66"/>
    </row>
    <row r="282" ht="15.7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c r="AA282" s="66"/>
    </row>
    <row r="283" ht="15.7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c r="AA283" s="66"/>
    </row>
    <row r="284" ht="15.7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c r="AA284" s="66"/>
    </row>
    <row r="285" ht="15.7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c r="AA285" s="66"/>
    </row>
    <row r="286" ht="15.7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c r="AA286" s="66"/>
    </row>
    <row r="287" ht="15.7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c r="AA287" s="66"/>
    </row>
    <row r="288" ht="15.7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c r="AA288" s="66"/>
    </row>
    <row r="289" ht="15.7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c r="AA289" s="66"/>
    </row>
    <row r="290" ht="15.7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c r="AA290" s="66"/>
    </row>
    <row r="291" ht="15.7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c r="AA291" s="66"/>
    </row>
    <row r="292" ht="15.7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c r="AA292" s="66"/>
    </row>
    <row r="293" ht="15.7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c r="AA293" s="66"/>
    </row>
    <row r="294" ht="15.7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c r="AA294" s="66"/>
    </row>
    <row r="295" ht="15.7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c r="AA295" s="66"/>
    </row>
    <row r="296" ht="15.7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c r="AA296" s="66"/>
    </row>
    <row r="297" ht="15.7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c r="AA297" s="66"/>
    </row>
    <row r="298" ht="15.7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c r="AA298" s="66"/>
    </row>
    <row r="299" ht="15.7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c r="AA299" s="66"/>
    </row>
    <row r="300" ht="15.7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c r="AA300" s="66"/>
    </row>
    <row r="301" ht="15.7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c r="AA301" s="66"/>
    </row>
    <row r="302" ht="15.7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c r="AA302" s="66"/>
    </row>
    <row r="303" ht="15.7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c r="AA303" s="66"/>
    </row>
    <row r="304" ht="15.7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c r="AA304" s="66"/>
    </row>
    <row r="305" ht="15.7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c r="AA305" s="66"/>
    </row>
    <row r="306" ht="15.7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c r="AA306" s="66"/>
    </row>
    <row r="307" ht="15.7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c r="AA307" s="66"/>
    </row>
    <row r="308" ht="15.7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c r="AA308" s="66"/>
    </row>
    <row r="309" ht="15.7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c r="AA309" s="66"/>
    </row>
    <row r="310" ht="15.7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c r="AA310" s="66"/>
    </row>
    <row r="311" ht="15.7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c r="AA311" s="66"/>
    </row>
    <row r="312" ht="15.7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c r="AA312" s="66"/>
    </row>
    <row r="313" ht="15.7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c r="AA313" s="66"/>
    </row>
    <row r="314" ht="15.7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c r="AA314" s="66"/>
    </row>
    <row r="315" ht="15.7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c r="AA315" s="66"/>
    </row>
    <row r="316" ht="15.7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c r="AA316" s="66"/>
    </row>
    <row r="317" ht="15.7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c r="AA317" s="66"/>
    </row>
    <row r="318" ht="15.7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c r="AA318" s="66"/>
    </row>
    <row r="319" ht="15.7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c r="AA319" s="66"/>
    </row>
    <row r="320" ht="15.7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c r="AA320" s="66"/>
    </row>
    <row r="321" ht="15.7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c r="AA321" s="66"/>
    </row>
    <row r="322" ht="15.7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c r="AA322" s="66"/>
    </row>
    <row r="323" ht="15.7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c r="AA323" s="66"/>
    </row>
    <row r="324" ht="15.7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c r="AA324" s="66"/>
    </row>
    <row r="325" ht="15.7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c r="AA325" s="66"/>
    </row>
    <row r="326" ht="15.7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c r="AA326" s="66"/>
    </row>
    <row r="327" ht="15.7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c r="AA327" s="66"/>
    </row>
    <row r="328" ht="15.7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c r="AA328" s="66"/>
    </row>
    <row r="329" ht="15.7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c r="AA329" s="66"/>
    </row>
    <row r="330" ht="15.7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c r="AA330" s="66"/>
    </row>
    <row r="331" ht="15.7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c r="AA331" s="66"/>
    </row>
    <row r="332" ht="15.7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c r="AA332" s="66"/>
    </row>
    <row r="333" ht="15.7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c r="AA333" s="66"/>
    </row>
    <row r="334" ht="15.7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c r="AA334" s="66"/>
    </row>
    <row r="335" ht="15.7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c r="AA335" s="66"/>
    </row>
    <row r="336" ht="15.7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c r="AA336" s="66"/>
    </row>
    <row r="337" ht="15.7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c r="AA337" s="66"/>
    </row>
    <row r="338" ht="15.7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c r="AA338" s="66"/>
    </row>
    <row r="339" ht="15.7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c r="AA339" s="66"/>
    </row>
    <row r="340" ht="15.7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c r="AA340" s="66"/>
    </row>
    <row r="341" ht="15.7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c r="AA341" s="66"/>
    </row>
    <row r="342" ht="15.7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c r="AA342" s="66"/>
    </row>
    <row r="343" ht="15.7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c r="AA343" s="66"/>
    </row>
    <row r="344" ht="15.7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c r="AA344" s="66"/>
    </row>
    <row r="345" ht="15.7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c r="AA345" s="66"/>
    </row>
    <row r="346" ht="15.7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c r="AA346" s="66"/>
    </row>
    <row r="347" ht="15.7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c r="AA347" s="66"/>
    </row>
    <row r="348" ht="15.7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c r="AA348" s="66"/>
    </row>
    <row r="349" ht="15.7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c r="AA349" s="66"/>
    </row>
    <row r="350" ht="15.7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c r="AA350" s="66"/>
    </row>
    <row r="351" ht="15.7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c r="AA351" s="66"/>
    </row>
    <row r="352" ht="15.7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c r="AA352" s="66"/>
    </row>
    <row r="353" ht="15.7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row>
    <row r="354" ht="15.7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c r="AA354" s="66"/>
    </row>
    <row r="355" ht="15.7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c r="AA355" s="66"/>
    </row>
    <row r="356" ht="15.7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c r="AA356" s="66"/>
    </row>
    <row r="357" ht="15.7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c r="AA357" s="66"/>
    </row>
    <row r="358" ht="15.7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c r="AA358" s="66"/>
    </row>
    <row r="359" ht="15.7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row>
    <row r="360" ht="15.7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c r="AA360" s="66"/>
    </row>
    <row r="361" ht="15.7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c r="AA361" s="66"/>
    </row>
    <row r="362" ht="15.7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row>
    <row r="363" ht="15.7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c r="AA363" s="66"/>
    </row>
    <row r="364" ht="15.7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c r="AA364" s="66"/>
    </row>
    <row r="365" ht="15.7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c r="AA365" s="66"/>
    </row>
    <row r="366" ht="15.7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c r="AA366" s="66"/>
    </row>
    <row r="367" ht="15.7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c r="AA367" s="66"/>
    </row>
    <row r="368" ht="15.7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c r="AA368" s="66"/>
    </row>
    <row r="369" ht="15.7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c r="AA369" s="66"/>
    </row>
    <row r="370" ht="15.7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c r="AA370" s="66"/>
    </row>
    <row r="371" ht="15.7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c r="AA371" s="66"/>
    </row>
    <row r="372" ht="15.7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c r="AA372" s="66"/>
    </row>
    <row r="373" ht="15.7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c r="AA373" s="66"/>
    </row>
    <row r="374" ht="15.7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c r="AA374" s="66"/>
    </row>
    <row r="375" ht="15.7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c r="AA375" s="66"/>
    </row>
    <row r="376" ht="15.7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c r="AA376" s="66"/>
    </row>
    <row r="377" ht="15.7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c r="AA377" s="66"/>
    </row>
    <row r="378" ht="15.7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c r="AA378" s="66"/>
    </row>
    <row r="379" ht="15.7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c r="AA379" s="66"/>
    </row>
    <row r="380" ht="15.7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c r="AA380" s="66"/>
    </row>
    <row r="381" ht="15.7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c r="AA381" s="66"/>
    </row>
    <row r="382" ht="15.7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c r="AA382" s="66"/>
    </row>
    <row r="383" ht="15.7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c r="AA383" s="66"/>
    </row>
    <row r="384" ht="15.7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c r="AA384" s="66"/>
    </row>
    <row r="385" ht="15.7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c r="AA385" s="66"/>
    </row>
    <row r="386" ht="15.7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c r="AA386" s="66"/>
    </row>
    <row r="387" ht="15.7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c r="AA387" s="66"/>
    </row>
    <row r="388" ht="15.7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c r="AA388" s="66"/>
    </row>
    <row r="389" ht="15.7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c r="AA389" s="66"/>
    </row>
    <row r="390" ht="15.7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c r="AA390" s="66"/>
    </row>
    <row r="391" ht="15.7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c r="AA391" s="66"/>
    </row>
    <row r="392" ht="15.7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c r="AA392" s="66"/>
    </row>
    <row r="393" ht="15.7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c r="AA393" s="66"/>
    </row>
    <row r="394" ht="15.7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c r="AA394" s="66"/>
    </row>
    <row r="395" ht="15.7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c r="AA395" s="66"/>
    </row>
    <row r="396" ht="15.7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c r="AA396" s="66"/>
    </row>
    <row r="397" ht="15.7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c r="AA397" s="66"/>
    </row>
    <row r="398" ht="15.7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c r="AA398" s="66"/>
    </row>
    <row r="399" ht="15.7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c r="AA399" s="66"/>
    </row>
    <row r="400" ht="15.7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c r="AA400" s="66"/>
    </row>
    <row r="401" ht="15.7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c r="AA401" s="66"/>
    </row>
    <row r="402" ht="15.7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c r="AA402" s="66"/>
    </row>
    <row r="403" ht="15.7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c r="AA403" s="66"/>
    </row>
    <row r="404" ht="15.7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c r="AA404" s="66"/>
    </row>
    <row r="405" ht="15.7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c r="AA405" s="66"/>
    </row>
    <row r="406" ht="15.7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c r="AA406" s="66"/>
    </row>
    <row r="407" ht="15.7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c r="AA407" s="66"/>
    </row>
    <row r="408" ht="15.7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c r="AA408" s="66"/>
    </row>
    <row r="409" ht="15.7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c r="AA409" s="66"/>
    </row>
    <row r="410" ht="15.7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c r="AA410" s="66"/>
    </row>
    <row r="411" ht="15.7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c r="AA411" s="66"/>
    </row>
    <row r="412" ht="15.7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c r="AA412" s="66"/>
    </row>
    <row r="413" ht="15.7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c r="AA413" s="66"/>
    </row>
    <row r="414" ht="15.7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c r="AA414" s="66"/>
    </row>
    <row r="415" ht="15.7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c r="AA415" s="66"/>
    </row>
    <row r="416" ht="15.7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c r="AA416" s="66"/>
    </row>
    <row r="417" ht="15.7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c r="AA417" s="66"/>
    </row>
    <row r="418" ht="15.7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c r="AA418" s="66"/>
    </row>
    <row r="419" ht="15.7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c r="AA419" s="66"/>
    </row>
    <row r="420" ht="15.7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c r="AA420" s="66"/>
    </row>
    <row r="421" ht="15.7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c r="AA421" s="66"/>
    </row>
    <row r="422" ht="15.7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c r="AA422" s="66"/>
    </row>
    <row r="423" ht="15.7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c r="AA423" s="66"/>
    </row>
    <row r="424" ht="15.7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c r="AA424" s="66"/>
    </row>
    <row r="425" ht="15.7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c r="AA425" s="66"/>
    </row>
    <row r="426" ht="15.7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c r="AA426" s="66"/>
    </row>
    <row r="427" ht="15.7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c r="AA427" s="66"/>
    </row>
    <row r="428" ht="15.7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c r="AA428" s="66"/>
    </row>
    <row r="429" ht="15.7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c r="AA429" s="66"/>
    </row>
    <row r="430" ht="15.7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c r="AA430" s="66"/>
    </row>
    <row r="431" ht="15.7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c r="AA431" s="66"/>
    </row>
    <row r="432" ht="15.7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c r="AA432" s="66"/>
    </row>
    <row r="433" ht="15.7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c r="AA433" s="66"/>
    </row>
    <row r="434" ht="15.7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c r="AA434" s="66"/>
    </row>
    <row r="435" ht="15.7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c r="AA435" s="66"/>
    </row>
    <row r="436" ht="15.7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c r="AA436" s="66"/>
    </row>
    <row r="437" ht="15.7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c r="AA437" s="66"/>
    </row>
    <row r="438" ht="15.7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c r="AA438" s="66"/>
    </row>
    <row r="439" ht="15.7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c r="AA439" s="66"/>
    </row>
    <row r="440" ht="15.7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c r="AA440" s="66"/>
    </row>
    <row r="441" ht="15.7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c r="AA441" s="66"/>
    </row>
    <row r="442" ht="15.7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c r="AA442" s="66"/>
    </row>
    <row r="443" ht="15.7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c r="AA443" s="66"/>
    </row>
    <row r="444" ht="15.7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c r="AA444" s="66"/>
    </row>
    <row r="445" ht="15.7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c r="AA445" s="66"/>
    </row>
    <row r="446" ht="15.7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c r="AA446" s="66"/>
    </row>
    <row r="447" ht="15.7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c r="AA447" s="66"/>
    </row>
    <row r="448" ht="15.7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c r="AA448" s="66"/>
    </row>
    <row r="449" ht="15.7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c r="AA449" s="66"/>
    </row>
    <row r="450" ht="15.7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c r="AA450" s="66"/>
    </row>
    <row r="451" ht="15.7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c r="AA451" s="66"/>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autoFilter ref="$A$1:$O$1000"/>
  <dataValidations>
    <dataValidation type="list" allowBlank="1" sqref="A2:A251">
      <formula1>"FALSE,TRUE,ORDERED,PROXY,OUT OF DECK"</formula1>
    </dataValidation>
  </dataValidations>
  <printOptions/>
  <pageMargins bottom="1.0" footer="0.0" header="0.0" left="0.75" right="0.75" top="1.0"/>
  <pageSetup paperSize="9" orientation="portrait"/>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38"/>
    <col customWidth="1" min="2" max="2" width="9.75"/>
    <col customWidth="1" min="3" max="3" width="27.0"/>
    <col customWidth="1" min="4" max="4" width="33.63"/>
    <col customWidth="1" min="5" max="5" width="12.25"/>
    <col customWidth="1" min="6" max="6" width="26.0"/>
    <col customWidth="1" hidden="1" min="7" max="7" width="30.0"/>
    <col customWidth="1" min="8" max="8" width="9.5"/>
    <col customWidth="1" min="9" max="9" width="9.25"/>
    <col customWidth="1" min="10" max="10" width="11.13"/>
    <col customWidth="1" min="11" max="11" width="9.0"/>
    <col customWidth="1" min="12" max="12" width="34.25"/>
    <col customWidth="1" min="13" max="13" width="60.0"/>
    <col customWidth="1" min="14" max="15" width="13.0"/>
    <col customWidth="1" min="16" max="16" width="35.63"/>
    <col customWidth="1" min="17" max="27" width="10.88"/>
  </cols>
  <sheetData>
    <row r="1" ht="26.25" customHeight="1">
      <c r="A1" s="65" t="s">
        <v>106</v>
      </c>
      <c r="B1" s="65" t="s">
        <v>107</v>
      </c>
      <c r="C1" s="65" t="s">
        <v>108</v>
      </c>
      <c r="D1" s="65" t="s">
        <v>109</v>
      </c>
      <c r="E1" s="65" t="s">
        <v>110</v>
      </c>
      <c r="F1" s="65" t="s">
        <v>111</v>
      </c>
      <c r="G1" s="65" t="s">
        <v>112</v>
      </c>
      <c r="H1" s="65" t="s">
        <v>113</v>
      </c>
      <c r="I1" s="65" t="s">
        <v>114</v>
      </c>
      <c r="J1" s="65" t="s">
        <v>115</v>
      </c>
      <c r="K1" s="65" t="s">
        <v>116</v>
      </c>
      <c r="L1" s="65" t="s">
        <v>117</v>
      </c>
      <c r="M1" s="65" t="s">
        <v>118</v>
      </c>
      <c r="N1" s="65" t="s">
        <v>119</v>
      </c>
      <c r="O1" s="65" t="s">
        <v>120</v>
      </c>
      <c r="P1" s="66"/>
      <c r="Q1" s="66"/>
      <c r="R1" s="66"/>
      <c r="S1" s="66"/>
      <c r="T1" s="66"/>
      <c r="U1" s="66"/>
      <c r="V1" s="66"/>
      <c r="W1" s="66"/>
      <c r="X1" s="66"/>
      <c r="Y1" s="66"/>
      <c r="Z1" s="66"/>
      <c r="AA1" s="66"/>
    </row>
    <row r="2" ht="15.0" customHeight="1">
      <c r="A2" s="67" t="b">
        <v>0</v>
      </c>
      <c r="B2" s="66"/>
      <c r="C2" s="66"/>
      <c r="D2" s="66"/>
      <c r="E2" s="66"/>
      <c r="F2" s="68" t="str">
        <f t="array" ref="F2">IF(INDEX('Binder Data'!$A$1002:$A$1251,ROW()-1)="","",IF(INDEX('Binder Data'!$D$1002:$D$1251,ROW()-1)="Needed",INDEX('Binder Data'!$B$1002:$B$1251,ROW()-1),INDEX('Binder Data'!$D$1002:$D$1251,ROW()-1)))</f>
        <v/>
      </c>
      <c r="G2" s="66"/>
      <c r="H2" s="66"/>
      <c r="I2" s="66"/>
      <c r="J2" s="69"/>
      <c r="K2" s="69"/>
      <c r="L2" s="69"/>
      <c r="M2" s="69"/>
      <c r="N2" s="66"/>
      <c r="O2" s="66"/>
      <c r="P2" s="66"/>
      <c r="Q2" s="66"/>
      <c r="R2" s="66"/>
      <c r="S2" s="66"/>
      <c r="T2" s="66"/>
      <c r="U2" s="66"/>
      <c r="V2" s="66"/>
      <c r="W2" s="66"/>
      <c r="X2" s="66"/>
      <c r="Y2" s="66"/>
      <c r="Z2" s="66"/>
      <c r="AA2" s="66"/>
    </row>
    <row r="3" ht="15.0" customHeight="1">
      <c r="A3" s="67" t="b">
        <v>0</v>
      </c>
      <c r="B3" s="66"/>
      <c r="C3" s="66"/>
      <c r="D3" s="66"/>
      <c r="E3" s="66"/>
      <c r="F3" s="68" t="str">
        <f t="array" ref="F3">IF(INDEX('Binder Data'!$A$1002:$A$1251,ROW()-1)="","",IF(INDEX('Binder Data'!$D$1002:$D$1251,ROW()-1)="Needed",INDEX('Binder Data'!$B$1002:$B$1251,ROW()-1),INDEX('Binder Data'!$D$1002:$D$1251,ROW()-1)))</f>
        <v/>
      </c>
      <c r="G3" s="66"/>
      <c r="H3" s="66"/>
      <c r="I3" s="66"/>
      <c r="J3" s="69"/>
      <c r="K3" s="69"/>
      <c r="L3" s="69"/>
      <c r="M3" s="69"/>
      <c r="N3" s="66"/>
      <c r="O3" s="66"/>
      <c r="P3" s="66"/>
      <c r="Q3" s="66"/>
      <c r="R3" s="66"/>
      <c r="S3" s="66"/>
      <c r="T3" s="66"/>
      <c r="U3" s="66"/>
      <c r="V3" s="66"/>
      <c r="W3" s="66"/>
      <c r="X3" s="66"/>
      <c r="Y3" s="66"/>
      <c r="Z3" s="66"/>
      <c r="AA3" s="66"/>
    </row>
    <row r="4" ht="15.0" customHeight="1">
      <c r="A4" s="67" t="b">
        <v>0</v>
      </c>
      <c r="B4" s="66"/>
      <c r="C4" s="66"/>
      <c r="D4" s="66"/>
      <c r="E4" s="66"/>
      <c r="F4" s="68" t="str">
        <f t="array" ref="F4">IF(INDEX('Binder Data'!$A$1002:$A$1251,ROW()-1)="","",IF(INDEX('Binder Data'!$D$1002:$D$1251,ROW()-1)="Needed",INDEX('Binder Data'!$B$1002:$B$1251,ROW()-1),INDEX('Binder Data'!$D$1002:$D$1251,ROW()-1)))</f>
        <v/>
      </c>
      <c r="G4" s="66"/>
      <c r="H4" s="66"/>
      <c r="I4" s="66"/>
      <c r="J4" s="69"/>
      <c r="K4" s="69"/>
      <c r="L4" s="69"/>
      <c r="M4" s="69"/>
      <c r="N4" s="66"/>
      <c r="O4" s="66"/>
      <c r="P4" s="66"/>
      <c r="Q4" s="66"/>
      <c r="R4" s="66"/>
      <c r="S4" s="66"/>
      <c r="T4" s="66"/>
      <c r="U4" s="66"/>
      <c r="V4" s="66"/>
      <c r="W4" s="66"/>
      <c r="X4" s="66"/>
      <c r="Y4" s="66"/>
      <c r="Z4" s="66"/>
      <c r="AA4" s="66"/>
    </row>
    <row r="5" ht="15.0" customHeight="1">
      <c r="A5" s="67" t="b">
        <v>0</v>
      </c>
      <c r="B5" s="66"/>
      <c r="C5" s="66"/>
      <c r="D5" s="66"/>
      <c r="E5" s="66"/>
      <c r="F5" s="68" t="str">
        <f t="array" ref="F5">IF(INDEX('Binder Data'!$A$1002:$A$1251,ROW()-1)="","",IF(INDEX('Binder Data'!$D$1002:$D$1251,ROW()-1)="Needed",INDEX('Binder Data'!$B$1002:$B$1251,ROW()-1),INDEX('Binder Data'!$D$1002:$D$1251,ROW()-1)))</f>
        <v/>
      </c>
      <c r="G5" s="66"/>
      <c r="H5" s="66"/>
      <c r="I5" s="66"/>
      <c r="J5" s="69"/>
      <c r="K5" s="69"/>
      <c r="L5" s="69"/>
      <c r="M5" s="69"/>
      <c r="N5" s="66"/>
      <c r="O5" s="66"/>
      <c r="P5" s="66"/>
      <c r="Q5" s="66"/>
      <c r="R5" s="66"/>
      <c r="S5" s="66"/>
      <c r="T5" s="66"/>
      <c r="U5" s="66"/>
      <c r="V5" s="66"/>
      <c r="W5" s="66"/>
      <c r="X5" s="66"/>
      <c r="Y5" s="66"/>
      <c r="Z5" s="66"/>
      <c r="AA5" s="66"/>
    </row>
    <row r="6" ht="15.0" customHeight="1">
      <c r="A6" s="67" t="b">
        <v>0</v>
      </c>
      <c r="B6" s="66"/>
      <c r="C6" s="66"/>
      <c r="D6" s="66"/>
      <c r="E6" s="66"/>
      <c r="F6" s="68" t="str">
        <f t="array" ref="F6">IF(INDEX('Binder Data'!$A$1002:$A$1251,ROW()-1)="","",IF(INDEX('Binder Data'!$D$1002:$D$1251,ROW()-1)="Needed",INDEX('Binder Data'!$B$1002:$B$1251,ROW()-1),INDEX('Binder Data'!$D$1002:$D$1251,ROW()-1)))</f>
        <v/>
      </c>
      <c r="G6" s="66"/>
      <c r="H6" s="66"/>
      <c r="I6" s="66"/>
      <c r="J6" s="69"/>
      <c r="K6" s="69"/>
      <c r="L6" s="69"/>
      <c r="M6" s="69"/>
      <c r="N6" s="66"/>
      <c r="O6" s="66"/>
      <c r="P6" s="66"/>
      <c r="Q6" s="66"/>
      <c r="R6" s="66"/>
      <c r="S6" s="66"/>
      <c r="T6" s="66"/>
      <c r="U6" s="66"/>
      <c r="V6" s="66"/>
      <c r="W6" s="66"/>
      <c r="X6" s="66"/>
      <c r="Y6" s="66"/>
      <c r="Z6" s="66"/>
      <c r="AA6" s="66"/>
    </row>
    <row r="7" ht="15.0" customHeight="1">
      <c r="A7" s="67" t="b">
        <v>0</v>
      </c>
      <c r="B7" s="66"/>
      <c r="C7" s="66"/>
      <c r="D7" s="66"/>
      <c r="E7" s="66"/>
      <c r="F7" s="68" t="str">
        <f t="array" ref="F7">IF(INDEX('Binder Data'!$A$1002:$A$1251,ROW()-1)="","",IF(INDEX('Binder Data'!$D$1002:$D$1251,ROW()-1)="Needed",INDEX('Binder Data'!$B$1002:$B$1251,ROW()-1),INDEX('Binder Data'!$D$1002:$D$1251,ROW()-1)))</f>
        <v/>
      </c>
      <c r="G7" s="66"/>
      <c r="H7" s="66"/>
      <c r="I7" s="66"/>
      <c r="J7" s="69"/>
      <c r="K7" s="69"/>
      <c r="L7" s="69"/>
      <c r="M7" s="69"/>
      <c r="N7" s="66"/>
      <c r="O7" s="66"/>
      <c r="P7" s="66"/>
      <c r="Q7" s="66"/>
      <c r="R7" s="66"/>
      <c r="S7" s="66"/>
      <c r="T7" s="66"/>
      <c r="U7" s="66"/>
      <c r="V7" s="66"/>
      <c r="W7" s="66"/>
      <c r="X7" s="66"/>
      <c r="Y7" s="66"/>
      <c r="Z7" s="66"/>
      <c r="AA7" s="66"/>
    </row>
    <row r="8" ht="15.0" customHeight="1">
      <c r="A8" s="67" t="b">
        <v>0</v>
      </c>
      <c r="B8" s="66"/>
      <c r="C8" s="66"/>
      <c r="D8" s="66"/>
      <c r="E8" s="66"/>
      <c r="F8" s="68" t="str">
        <f t="array" ref="F8">IF(INDEX('Binder Data'!$A$1002:$A$1251,ROW()-1)="","",IF(INDEX('Binder Data'!$D$1002:$D$1251,ROW()-1)="Needed",INDEX('Binder Data'!$B$1002:$B$1251,ROW()-1),INDEX('Binder Data'!$D$1002:$D$1251,ROW()-1)))</f>
        <v/>
      </c>
      <c r="G8" s="66"/>
      <c r="H8" s="66"/>
      <c r="I8" s="66"/>
      <c r="J8" s="69"/>
      <c r="K8" s="69"/>
      <c r="L8" s="69"/>
      <c r="M8" s="69"/>
      <c r="N8" s="66"/>
      <c r="O8" s="66"/>
      <c r="P8" s="66"/>
      <c r="Q8" s="66"/>
      <c r="R8" s="66"/>
      <c r="S8" s="66"/>
      <c r="T8" s="66"/>
      <c r="U8" s="66"/>
      <c r="V8" s="66"/>
      <c r="W8" s="66"/>
      <c r="X8" s="66"/>
      <c r="Y8" s="66"/>
      <c r="Z8" s="66"/>
      <c r="AA8" s="66"/>
    </row>
    <row r="9" ht="15.0" customHeight="1">
      <c r="A9" s="67" t="b">
        <v>0</v>
      </c>
      <c r="B9" s="66"/>
      <c r="C9" s="66"/>
      <c r="D9" s="66"/>
      <c r="E9" s="66"/>
      <c r="F9" s="68" t="str">
        <f t="array" ref="F9">IF(INDEX('Binder Data'!$A$1002:$A$1251,ROW()-1)="","",IF(INDEX('Binder Data'!$D$1002:$D$1251,ROW()-1)="Needed",INDEX('Binder Data'!$B$1002:$B$1251,ROW()-1),INDEX('Binder Data'!$D$1002:$D$1251,ROW()-1)))</f>
        <v/>
      </c>
      <c r="G9" s="66"/>
      <c r="H9" s="66"/>
      <c r="I9" s="66"/>
      <c r="J9" s="69"/>
      <c r="K9" s="69"/>
      <c r="L9" s="69"/>
      <c r="M9" s="69"/>
      <c r="N9" s="66"/>
      <c r="O9" s="66"/>
      <c r="P9" s="66"/>
      <c r="Q9" s="66"/>
      <c r="R9" s="66"/>
      <c r="S9" s="66"/>
      <c r="T9" s="66"/>
      <c r="U9" s="66"/>
      <c r="V9" s="66"/>
      <c r="W9" s="66"/>
      <c r="X9" s="66"/>
      <c r="Y9" s="66"/>
      <c r="Z9" s="66"/>
      <c r="AA9" s="66"/>
    </row>
    <row r="10" ht="15.0" customHeight="1">
      <c r="A10" s="67" t="b">
        <v>0</v>
      </c>
      <c r="B10" s="66"/>
      <c r="C10" s="66"/>
      <c r="D10" s="66"/>
      <c r="E10" s="66"/>
      <c r="F10" s="68" t="str">
        <f t="array" ref="F10">IF(INDEX('Binder Data'!$A$1002:$A$1251,ROW()-1)="","",IF(INDEX('Binder Data'!$D$1002:$D$1251,ROW()-1)="Needed",INDEX('Binder Data'!$B$1002:$B$1251,ROW()-1),INDEX('Binder Data'!$D$1002:$D$1251,ROW()-1)))</f>
        <v/>
      </c>
      <c r="G10" s="66"/>
      <c r="H10" s="66"/>
      <c r="I10" s="66"/>
      <c r="J10" s="69"/>
      <c r="K10" s="69"/>
      <c r="L10" s="69"/>
      <c r="M10" s="69"/>
      <c r="N10" s="66"/>
      <c r="O10" s="66"/>
      <c r="P10" s="66"/>
      <c r="Q10" s="66"/>
      <c r="R10" s="66"/>
      <c r="S10" s="66"/>
      <c r="T10" s="66"/>
      <c r="U10" s="66"/>
      <c r="V10" s="66"/>
      <c r="W10" s="66"/>
      <c r="X10" s="66"/>
      <c r="Y10" s="66"/>
      <c r="Z10" s="66"/>
      <c r="AA10" s="66"/>
    </row>
    <row r="11" ht="15.0" customHeight="1">
      <c r="A11" s="67" t="b">
        <v>0</v>
      </c>
      <c r="B11" s="66"/>
      <c r="C11" s="66"/>
      <c r="D11" s="66"/>
      <c r="E11" s="66"/>
      <c r="F11" s="68" t="str">
        <f t="array" ref="F11">IF(INDEX('Binder Data'!$A$1002:$A$1251,ROW()-1)="","",IF(INDEX('Binder Data'!$D$1002:$D$1251,ROW()-1)="Needed",INDEX('Binder Data'!$B$1002:$B$1251,ROW()-1),INDEX('Binder Data'!$D$1002:$D$1251,ROW()-1)))</f>
        <v/>
      </c>
      <c r="G11" s="66"/>
      <c r="H11" s="66"/>
      <c r="I11" s="66"/>
      <c r="J11" s="69"/>
      <c r="K11" s="69"/>
      <c r="L11" s="69"/>
      <c r="M11" s="69"/>
      <c r="N11" s="66"/>
      <c r="O11" s="66"/>
      <c r="P11" s="66"/>
      <c r="Q11" s="66"/>
      <c r="R11" s="66"/>
      <c r="S11" s="66"/>
      <c r="T11" s="66"/>
      <c r="U11" s="66"/>
      <c r="V11" s="66"/>
      <c r="W11" s="66"/>
      <c r="X11" s="66"/>
      <c r="Y11" s="66"/>
      <c r="Z11" s="66"/>
      <c r="AA11" s="66"/>
    </row>
    <row r="12" ht="15.0" customHeight="1">
      <c r="A12" s="67" t="b">
        <v>0</v>
      </c>
      <c r="B12" s="66"/>
      <c r="C12" s="66"/>
      <c r="D12" s="66"/>
      <c r="E12" s="66"/>
      <c r="F12" s="68" t="str">
        <f t="array" ref="F12">IF(INDEX('Binder Data'!$A$1002:$A$1251,ROW()-1)="","",IF(INDEX('Binder Data'!$D$1002:$D$1251,ROW()-1)="Needed",INDEX('Binder Data'!$B$1002:$B$1251,ROW()-1),INDEX('Binder Data'!$D$1002:$D$1251,ROW()-1)))</f>
        <v/>
      </c>
      <c r="G12" s="66"/>
      <c r="H12" s="66"/>
      <c r="I12" s="66"/>
      <c r="J12" s="69"/>
      <c r="K12" s="69"/>
      <c r="L12" s="69"/>
      <c r="M12" s="69"/>
      <c r="N12" s="66"/>
      <c r="O12" s="66"/>
      <c r="P12" s="66"/>
      <c r="Q12" s="66"/>
      <c r="R12" s="66"/>
      <c r="S12" s="66"/>
      <c r="T12" s="66"/>
      <c r="U12" s="66"/>
      <c r="V12" s="66"/>
      <c r="W12" s="66"/>
      <c r="X12" s="66"/>
      <c r="Y12" s="66"/>
      <c r="Z12" s="66"/>
      <c r="AA12" s="66"/>
    </row>
    <row r="13" ht="15.0" customHeight="1">
      <c r="A13" s="67" t="b">
        <v>0</v>
      </c>
      <c r="B13" s="66"/>
      <c r="C13" s="66"/>
      <c r="D13" s="66"/>
      <c r="E13" s="66"/>
      <c r="F13" s="68" t="str">
        <f t="array" ref="F13">IF(INDEX('Binder Data'!$A$1002:$A$1251,ROW()-1)="","",IF(INDEX('Binder Data'!$D$1002:$D$1251,ROW()-1)="Needed",INDEX('Binder Data'!$B$1002:$B$1251,ROW()-1),INDEX('Binder Data'!$D$1002:$D$1251,ROW()-1)))</f>
        <v/>
      </c>
      <c r="G13" s="66"/>
      <c r="H13" s="66"/>
      <c r="I13" s="66"/>
      <c r="J13" s="69"/>
      <c r="K13" s="69"/>
      <c r="L13" s="69"/>
      <c r="M13" s="69"/>
      <c r="N13" s="66"/>
      <c r="O13" s="66"/>
      <c r="P13" s="66"/>
      <c r="Q13" s="66"/>
      <c r="R13" s="66"/>
      <c r="S13" s="66"/>
      <c r="T13" s="66"/>
      <c r="U13" s="66"/>
      <c r="V13" s="66"/>
      <c r="W13" s="66"/>
      <c r="X13" s="66"/>
      <c r="Y13" s="66"/>
      <c r="Z13" s="66"/>
      <c r="AA13" s="66"/>
    </row>
    <row r="14" ht="15.0" customHeight="1">
      <c r="A14" s="67" t="b">
        <v>0</v>
      </c>
      <c r="B14" s="66"/>
      <c r="C14" s="66"/>
      <c r="D14" s="66"/>
      <c r="E14" s="66"/>
      <c r="F14" s="68" t="str">
        <f t="array" ref="F14">IF(INDEX('Binder Data'!$A$1002:$A$1251,ROW()-1)="","",IF(INDEX('Binder Data'!$D$1002:$D$1251,ROW()-1)="Needed",INDEX('Binder Data'!$B$1002:$B$1251,ROW()-1),INDEX('Binder Data'!$D$1002:$D$1251,ROW()-1)))</f>
        <v/>
      </c>
      <c r="G14" s="66"/>
      <c r="H14" s="66"/>
      <c r="I14" s="66"/>
      <c r="J14" s="69"/>
      <c r="K14" s="69"/>
      <c r="L14" s="69"/>
      <c r="M14" s="69"/>
      <c r="N14" s="66"/>
      <c r="O14" s="66"/>
      <c r="P14" s="66"/>
      <c r="Q14" s="66"/>
      <c r="R14" s="66"/>
      <c r="S14" s="66"/>
      <c r="T14" s="66"/>
      <c r="U14" s="66"/>
      <c r="V14" s="66"/>
      <c r="W14" s="66"/>
      <c r="X14" s="66"/>
      <c r="Y14" s="66"/>
      <c r="Z14" s="66"/>
      <c r="AA14" s="66"/>
    </row>
    <row r="15" ht="15.0" customHeight="1">
      <c r="A15" s="67" t="b">
        <v>0</v>
      </c>
      <c r="B15" s="66"/>
      <c r="C15" s="66"/>
      <c r="D15" s="66"/>
      <c r="E15" s="66"/>
      <c r="F15" s="68" t="str">
        <f t="array" ref="F15">IF(INDEX('Binder Data'!$A$1002:$A$1251,ROW()-1)="","",IF(INDEX('Binder Data'!$D$1002:$D$1251,ROW()-1)="Needed",INDEX('Binder Data'!$B$1002:$B$1251,ROW()-1),INDEX('Binder Data'!$D$1002:$D$1251,ROW()-1)))</f>
        <v/>
      </c>
      <c r="G15" s="66"/>
      <c r="H15" s="66"/>
      <c r="I15" s="66"/>
      <c r="J15" s="69"/>
      <c r="K15" s="69"/>
      <c r="L15" s="69"/>
      <c r="M15" s="69"/>
      <c r="N15" s="66"/>
      <c r="O15" s="66"/>
      <c r="P15" s="66"/>
      <c r="Q15" s="66"/>
      <c r="R15" s="66"/>
      <c r="S15" s="66"/>
      <c r="T15" s="66"/>
      <c r="U15" s="66"/>
      <c r="V15" s="66"/>
      <c r="W15" s="66"/>
      <c r="X15" s="66"/>
      <c r="Y15" s="66"/>
      <c r="Z15" s="66"/>
      <c r="AA15" s="66"/>
    </row>
    <row r="16" ht="15.0" customHeight="1">
      <c r="A16" s="67" t="b">
        <v>0</v>
      </c>
      <c r="B16" s="66"/>
      <c r="C16" s="66"/>
      <c r="D16" s="66"/>
      <c r="E16" s="66"/>
      <c r="F16" s="68" t="str">
        <f t="array" ref="F16">IF(INDEX('Binder Data'!$A$1002:$A$1251,ROW()-1)="","",IF(INDEX('Binder Data'!$D$1002:$D$1251,ROW()-1)="Needed",INDEX('Binder Data'!$B$1002:$B$1251,ROW()-1),INDEX('Binder Data'!$D$1002:$D$1251,ROW()-1)))</f>
        <v/>
      </c>
      <c r="G16" s="66"/>
      <c r="H16" s="66"/>
      <c r="I16" s="66"/>
      <c r="J16" s="69"/>
      <c r="K16" s="69"/>
      <c r="L16" s="69"/>
      <c r="M16" s="69"/>
      <c r="N16" s="66"/>
      <c r="O16" s="66"/>
      <c r="P16" s="66"/>
      <c r="Q16" s="66"/>
      <c r="R16" s="66"/>
      <c r="S16" s="66"/>
      <c r="T16" s="66"/>
      <c r="U16" s="66"/>
      <c r="V16" s="66"/>
      <c r="W16" s="66"/>
      <c r="X16" s="66"/>
      <c r="Y16" s="66"/>
      <c r="Z16" s="66"/>
      <c r="AA16" s="66"/>
    </row>
    <row r="17" ht="15.0" customHeight="1">
      <c r="A17" s="67" t="b">
        <v>0</v>
      </c>
      <c r="B17" s="66"/>
      <c r="C17" s="66"/>
      <c r="D17" s="66"/>
      <c r="E17" s="66"/>
      <c r="F17" s="68" t="str">
        <f t="array" ref="F17">IF(INDEX('Binder Data'!$A$1002:$A$1251,ROW()-1)="","",IF(INDEX('Binder Data'!$D$1002:$D$1251,ROW()-1)="Needed",INDEX('Binder Data'!$B$1002:$B$1251,ROW()-1),INDEX('Binder Data'!$D$1002:$D$1251,ROW()-1)))</f>
        <v/>
      </c>
      <c r="G17" s="66"/>
      <c r="H17" s="66"/>
      <c r="I17" s="66"/>
      <c r="J17" s="69"/>
      <c r="K17" s="69"/>
      <c r="L17" s="69"/>
      <c r="M17" s="69"/>
      <c r="N17" s="66"/>
      <c r="O17" s="66"/>
      <c r="P17" s="66"/>
      <c r="Q17" s="66"/>
      <c r="R17" s="66"/>
      <c r="S17" s="66"/>
      <c r="T17" s="66"/>
      <c r="U17" s="66"/>
      <c r="V17" s="66"/>
      <c r="W17" s="66"/>
      <c r="X17" s="66"/>
      <c r="Y17" s="66"/>
      <c r="Z17" s="66"/>
      <c r="AA17" s="66"/>
    </row>
    <row r="18" ht="15.0" customHeight="1">
      <c r="A18" s="67" t="b">
        <v>0</v>
      </c>
      <c r="B18" s="66"/>
      <c r="C18" s="66"/>
      <c r="D18" s="66"/>
      <c r="E18" s="66"/>
      <c r="F18" s="68" t="str">
        <f t="array" ref="F18">IF(INDEX('Binder Data'!$A$1002:$A$1251,ROW()-1)="","",IF(INDEX('Binder Data'!$D$1002:$D$1251,ROW()-1)="Needed",INDEX('Binder Data'!$B$1002:$B$1251,ROW()-1),INDEX('Binder Data'!$D$1002:$D$1251,ROW()-1)))</f>
        <v/>
      </c>
      <c r="G18" s="66"/>
      <c r="H18" s="66"/>
      <c r="I18" s="66"/>
      <c r="J18" s="69"/>
      <c r="K18" s="69"/>
      <c r="L18" s="69"/>
      <c r="M18" s="69"/>
      <c r="N18" s="66"/>
      <c r="O18" s="66"/>
      <c r="P18" s="66"/>
      <c r="Q18" s="66"/>
      <c r="R18" s="66"/>
      <c r="S18" s="66"/>
      <c r="T18" s="66"/>
      <c r="U18" s="66"/>
      <c r="V18" s="66"/>
      <c r="W18" s="66"/>
      <c r="X18" s="66"/>
      <c r="Y18" s="66"/>
      <c r="Z18" s="66"/>
      <c r="AA18" s="66"/>
    </row>
    <row r="19" ht="15.0" customHeight="1">
      <c r="A19" s="67" t="b">
        <v>0</v>
      </c>
      <c r="B19" s="66"/>
      <c r="C19" s="66"/>
      <c r="D19" s="66"/>
      <c r="E19" s="66"/>
      <c r="F19" s="68" t="str">
        <f t="array" ref="F19">IF(INDEX('Binder Data'!$A$1002:$A$1251,ROW()-1)="","",IF(INDEX('Binder Data'!$D$1002:$D$1251,ROW()-1)="Needed",INDEX('Binder Data'!$B$1002:$B$1251,ROW()-1),INDEX('Binder Data'!$D$1002:$D$1251,ROW()-1)))</f>
        <v/>
      </c>
      <c r="G19" s="66"/>
      <c r="H19" s="66"/>
      <c r="I19" s="66"/>
      <c r="J19" s="69"/>
      <c r="K19" s="69"/>
      <c r="L19" s="69"/>
      <c r="M19" s="69"/>
      <c r="N19" s="66"/>
      <c r="O19" s="66"/>
      <c r="P19" s="66"/>
      <c r="Q19" s="66"/>
      <c r="R19" s="66"/>
      <c r="S19" s="66"/>
      <c r="T19" s="66"/>
      <c r="U19" s="66"/>
      <c r="V19" s="66"/>
      <c r="W19" s="66"/>
      <c r="X19" s="66"/>
      <c r="Y19" s="66"/>
      <c r="Z19" s="66"/>
      <c r="AA19" s="66"/>
    </row>
    <row r="20" ht="15.0" customHeight="1">
      <c r="A20" s="67" t="b">
        <v>0</v>
      </c>
      <c r="B20" s="66"/>
      <c r="C20" s="66"/>
      <c r="D20" s="66"/>
      <c r="E20" s="66"/>
      <c r="F20" s="68" t="str">
        <f t="array" ref="F20">IF(INDEX('Binder Data'!$A$1002:$A$1251,ROW()-1)="","",IF(INDEX('Binder Data'!$D$1002:$D$1251,ROW()-1)="Needed",INDEX('Binder Data'!$B$1002:$B$1251,ROW()-1),INDEX('Binder Data'!$D$1002:$D$1251,ROW()-1)))</f>
        <v/>
      </c>
      <c r="G20" s="66"/>
      <c r="H20" s="66"/>
      <c r="I20" s="66"/>
      <c r="J20" s="69"/>
      <c r="K20" s="69"/>
      <c r="L20" s="69"/>
      <c r="M20" s="69"/>
      <c r="N20" s="66"/>
      <c r="O20" s="66"/>
      <c r="P20" s="66"/>
      <c r="Q20" s="66"/>
      <c r="R20" s="66"/>
      <c r="S20" s="66"/>
      <c r="T20" s="66"/>
      <c r="U20" s="66"/>
      <c r="V20" s="66"/>
      <c r="W20" s="66"/>
      <c r="X20" s="66"/>
      <c r="Y20" s="66"/>
      <c r="Z20" s="66"/>
      <c r="AA20" s="66"/>
    </row>
    <row r="21" ht="15.75" customHeight="1">
      <c r="A21" s="67" t="b">
        <v>0</v>
      </c>
      <c r="B21" s="66"/>
      <c r="C21" s="66"/>
      <c r="D21" s="66"/>
      <c r="E21" s="66"/>
      <c r="F21" s="68" t="str">
        <f t="array" ref="F21">IF(INDEX('Binder Data'!$A$1002:$A$1251,ROW()-1)="","",IF(INDEX('Binder Data'!$D$1002:$D$1251,ROW()-1)="Needed",INDEX('Binder Data'!$B$1002:$B$1251,ROW()-1),INDEX('Binder Data'!$D$1002:$D$1251,ROW()-1)))</f>
        <v/>
      </c>
      <c r="G21" s="66"/>
      <c r="H21" s="66"/>
      <c r="I21" s="66"/>
      <c r="J21" s="69"/>
      <c r="K21" s="69"/>
      <c r="L21" s="69"/>
      <c r="M21" s="69"/>
      <c r="N21" s="66"/>
      <c r="O21" s="66"/>
      <c r="P21" s="66"/>
      <c r="Q21" s="66"/>
      <c r="R21" s="66"/>
      <c r="S21" s="66"/>
      <c r="T21" s="66"/>
      <c r="U21" s="66"/>
      <c r="V21" s="66"/>
      <c r="W21" s="66"/>
      <c r="X21" s="66"/>
      <c r="Y21" s="66"/>
      <c r="Z21" s="66"/>
      <c r="AA21" s="66"/>
    </row>
    <row r="22" ht="15.75" customHeight="1">
      <c r="A22" s="67" t="b">
        <v>0</v>
      </c>
      <c r="B22" s="66"/>
      <c r="C22" s="66"/>
      <c r="D22" s="66"/>
      <c r="E22" s="66"/>
      <c r="F22" s="68" t="str">
        <f t="array" ref="F22">IF(INDEX('Binder Data'!$A$1002:$A$1251,ROW()-1)="","",IF(INDEX('Binder Data'!$D$1002:$D$1251,ROW()-1)="Needed",INDEX('Binder Data'!$B$1002:$B$1251,ROW()-1),INDEX('Binder Data'!$D$1002:$D$1251,ROW()-1)))</f>
        <v/>
      </c>
      <c r="G22" s="66"/>
      <c r="H22" s="66"/>
      <c r="I22" s="66"/>
      <c r="J22" s="69"/>
      <c r="K22" s="69"/>
      <c r="L22" s="69"/>
      <c r="M22" s="69"/>
      <c r="N22" s="66"/>
      <c r="O22" s="66"/>
      <c r="P22" s="66"/>
      <c r="Q22" s="66"/>
      <c r="R22" s="66"/>
      <c r="S22" s="66"/>
      <c r="T22" s="66"/>
      <c r="U22" s="66"/>
      <c r="V22" s="66"/>
      <c r="W22" s="66"/>
      <c r="X22" s="66"/>
      <c r="Y22" s="66"/>
      <c r="Z22" s="66"/>
      <c r="AA22" s="66"/>
    </row>
    <row r="23" ht="15.75" customHeight="1">
      <c r="A23" s="67" t="b">
        <v>0</v>
      </c>
      <c r="B23" s="66"/>
      <c r="C23" s="66"/>
      <c r="D23" s="66"/>
      <c r="E23" s="66"/>
      <c r="F23" s="68" t="str">
        <f t="array" ref="F23">IF(INDEX('Binder Data'!$A$1002:$A$1251,ROW()-1)="","",IF(INDEX('Binder Data'!$D$1002:$D$1251,ROW()-1)="Needed",INDEX('Binder Data'!$B$1002:$B$1251,ROW()-1),INDEX('Binder Data'!$D$1002:$D$1251,ROW()-1)))</f>
        <v/>
      </c>
      <c r="G23" s="66"/>
      <c r="H23" s="66"/>
      <c r="I23" s="66"/>
      <c r="J23" s="69"/>
      <c r="K23" s="69"/>
      <c r="L23" s="69"/>
      <c r="M23" s="69"/>
      <c r="N23" s="66"/>
      <c r="O23" s="66"/>
      <c r="P23" s="66"/>
      <c r="Q23" s="66"/>
      <c r="R23" s="66"/>
      <c r="S23" s="66"/>
      <c r="T23" s="66"/>
      <c r="U23" s="66"/>
      <c r="V23" s="66"/>
      <c r="W23" s="66"/>
      <c r="X23" s="66"/>
      <c r="Y23" s="66"/>
      <c r="Z23" s="66"/>
      <c r="AA23" s="66"/>
    </row>
    <row r="24" ht="15.75" customHeight="1">
      <c r="A24" s="67" t="b">
        <v>0</v>
      </c>
      <c r="B24" s="66"/>
      <c r="C24" s="66"/>
      <c r="D24" s="66"/>
      <c r="E24" s="66"/>
      <c r="F24" s="68" t="str">
        <f t="array" ref="F24">IF(INDEX('Binder Data'!$A$1002:$A$1251,ROW()-1)="","",IF(INDEX('Binder Data'!$D$1002:$D$1251,ROW()-1)="Needed",INDEX('Binder Data'!$B$1002:$B$1251,ROW()-1),INDEX('Binder Data'!$D$1002:$D$1251,ROW()-1)))</f>
        <v/>
      </c>
      <c r="G24" s="66"/>
      <c r="H24" s="66"/>
      <c r="I24" s="66"/>
      <c r="J24" s="69"/>
      <c r="K24" s="69"/>
      <c r="L24" s="69"/>
      <c r="M24" s="69"/>
      <c r="N24" s="66"/>
      <c r="O24" s="66"/>
      <c r="P24" s="66"/>
      <c r="Q24" s="66"/>
      <c r="R24" s="66"/>
      <c r="S24" s="66"/>
      <c r="T24" s="66"/>
      <c r="U24" s="66"/>
      <c r="V24" s="66"/>
      <c r="W24" s="66"/>
      <c r="X24" s="66"/>
      <c r="Y24" s="66"/>
      <c r="Z24" s="66"/>
      <c r="AA24" s="66"/>
    </row>
    <row r="25" ht="15.75" customHeight="1">
      <c r="A25" s="67" t="b">
        <v>0</v>
      </c>
      <c r="B25" s="66"/>
      <c r="C25" s="66"/>
      <c r="D25" s="66"/>
      <c r="E25" s="66"/>
      <c r="F25" s="68" t="str">
        <f t="array" ref="F25">IF(INDEX('Binder Data'!$A$1002:$A$1251,ROW()-1)="","",IF(INDEX('Binder Data'!$D$1002:$D$1251,ROW()-1)="Needed",INDEX('Binder Data'!$B$1002:$B$1251,ROW()-1),INDEX('Binder Data'!$D$1002:$D$1251,ROW()-1)))</f>
        <v/>
      </c>
      <c r="G25" s="66"/>
      <c r="H25" s="66"/>
      <c r="I25" s="66"/>
      <c r="J25" s="69"/>
      <c r="K25" s="69"/>
      <c r="L25" s="69"/>
      <c r="M25" s="69"/>
      <c r="N25" s="66"/>
      <c r="O25" s="66"/>
      <c r="P25" s="66"/>
      <c r="Q25" s="66"/>
      <c r="R25" s="66"/>
      <c r="S25" s="66"/>
      <c r="T25" s="66"/>
      <c r="U25" s="66"/>
      <c r="V25" s="66"/>
      <c r="W25" s="66"/>
      <c r="X25" s="66"/>
      <c r="Y25" s="66"/>
      <c r="Z25" s="66"/>
      <c r="AA25" s="66"/>
    </row>
    <row r="26" ht="15.75" customHeight="1">
      <c r="A26" s="67" t="b">
        <v>0</v>
      </c>
      <c r="B26" s="66"/>
      <c r="C26" s="66"/>
      <c r="D26" s="66"/>
      <c r="E26" s="66"/>
      <c r="F26" s="68" t="str">
        <f t="array" ref="F26">IF(INDEX('Binder Data'!$A$1002:$A$1251,ROW()-1)="","",IF(INDEX('Binder Data'!$D$1002:$D$1251,ROW()-1)="Needed",INDEX('Binder Data'!$B$1002:$B$1251,ROW()-1),INDEX('Binder Data'!$D$1002:$D$1251,ROW()-1)))</f>
        <v/>
      </c>
      <c r="G26" s="66"/>
      <c r="H26" s="66"/>
      <c r="I26" s="66"/>
      <c r="J26" s="69"/>
      <c r="K26" s="69"/>
      <c r="L26" s="69"/>
      <c r="M26" s="69"/>
      <c r="N26" s="66"/>
      <c r="O26" s="66"/>
      <c r="P26" s="66"/>
      <c r="Q26" s="66"/>
      <c r="R26" s="66"/>
      <c r="S26" s="66"/>
      <c r="T26" s="66"/>
      <c r="U26" s="66"/>
      <c r="V26" s="66"/>
      <c r="W26" s="66"/>
      <c r="X26" s="66"/>
      <c r="Y26" s="66"/>
      <c r="Z26" s="66"/>
      <c r="AA26" s="66"/>
    </row>
    <row r="27" ht="15.75" customHeight="1">
      <c r="A27" s="67" t="b">
        <v>0</v>
      </c>
      <c r="B27" s="66"/>
      <c r="C27" s="66"/>
      <c r="D27" s="66"/>
      <c r="E27" s="66"/>
      <c r="F27" s="68" t="str">
        <f t="array" ref="F27">IF(INDEX('Binder Data'!$A$1002:$A$1251,ROW()-1)="","",IF(INDEX('Binder Data'!$D$1002:$D$1251,ROW()-1)="Needed",INDEX('Binder Data'!$B$1002:$B$1251,ROW()-1),INDEX('Binder Data'!$D$1002:$D$1251,ROW()-1)))</f>
        <v/>
      </c>
      <c r="G27" s="66"/>
      <c r="H27" s="66"/>
      <c r="I27" s="66"/>
      <c r="J27" s="69"/>
      <c r="K27" s="69"/>
      <c r="L27" s="69"/>
      <c r="M27" s="69"/>
      <c r="N27" s="66"/>
      <c r="O27" s="66"/>
      <c r="P27" s="66"/>
      <c r="Q27" s="66"/>
      <c r="R27" s="66"/>
      <c r="S27" s="66"/>
      <c r="T27" s="66"/>
      <c r="U27" s="66"/>
      <c r="V27" s="66"/>
      <c r="W27" s="66"/>
      <c r="X27" s="66"/>
      <c r="Y27" s="66"/>
      <c r="Z27" s="66"/>
      <c r="AA27" s="66"/>
    </row>
    <row r="28" ht="15.75" customHeight="1">
      <c r="A28" s="67" t="b">
        <v>0</v>
      </c>
      <c r="B28" s="66"/>
      <c r="C28" s="66"/>
      <c r="D28" s="66"/>
      <c r="E28" s="66"/>
      <c r="F28" s="68" t="str">
        <f t="array" ref="F28">IF(INDEX('Binder Data'!$A$1002:$A$1251,ROW()-1)="","",IF(INDEX('Binder Data'!$D$1002:$D$1251,ROW()-1)="Needed",INDEX('Binder Data'!$B$1002:$B$1251,ROW()-1),INDEX('Binder Data'!$D$1002:$D$1251,ROW()-1)))</f>
        <v/>
      </c>
      <c r="G28" s="66"/>
      <c r="H28" s="66"/>
      <c r="I28" s="66"/>
      <c r="J28" s="69"/>
      <c r="K28" s="69"/>
      <c r="L28" s="69"/>
      <c r="M28" s="69"/>
      <c r="N28" s="66"/>
      <c r="O28" s="66"/>
      <c r="P28" s="66"/>
      <c r="Q28" s="66"/>
      <c r="R28" s="66"/>
      <c r="S28" s="66"/>
      <c r="T28" s="66"/>
      <c r="U28" s="66"/>
      <c r="V28" s="66"/>
      <c r="W28" s="66"/>
      <c r="X28" s="66"/>
      <c r="Y28" s="66"/>
      <c r="Z28" s="66"/>
      <c r="AA28" s="66"/>
    </row>
    <row r="29" ht="15.75" customHeight="1">
      <c r="A29" s="67" t="b">
        <v>0</v>
      </c>
      <c r="B29" s="66"/>
      <c r="C29" s="66"/>
      <c r="D29" s="66"/>
      <c r="E29" s="66"/>
      <c r="F29" s="68" t="str">
        <f t="array" ref="F29">IF(INDEX('Binder Data'!$A$1002:$A$1251,ROW()-1)="","",IF(INDEX('Binder Data'!$D$1002:$D$1251,ROW()-1)="Needed",INDEX('Binder Data'!$B$1002:$B$1251,ROW()-1),INDEX('Binder Data'!$D$1002:$D$1251,ROW()-1)))</f>
        <v/>
      </c>
      <c r="G29" s="66"/>
      <c r="H29" s="66"/>
      <c r="I29" s="66"/>
      <c r="J29" s="69"/>
      <c r="K29" s="69"/>
      <c r="L29" s="69"/>
      <c r="M29" s="69"/>
      <c r="N29" s="66"/>
      <c r="O29" s="66"/>
      <c r="P29" s="66"/>
      <c r="Q29" s="66"/>
      <c r="R29" s="66"/>
      <c r="S29" s="66"/>
      <c r="T29" s="66"/>
      <c r="U29" s="66"/>
      <c r="V29" s="66"/>
      <c r="W29" s="66"/>
      <c r="X29" s="66"/>
      <c r="Y29" s="66"/>
      <c r="Z29" s="66"/>
      <c r="AA29" s="66"/>
    </row>
    <row r="30" ht="15.75" customHeight="1">
      <c r="A30" s="67" t="b">
        <v>0</v>
      </c>
      <c r="B30" s="66"/>
      <c r="C30" s="66"/>
      <c r="D30" s="66"/>
      <c r="E30" s="66"/>
      <c r="F30" s="68" t="str">
        <f t="array" ref="F30">IF(INDEX('Binder Data'!$A$1002:$A$1251,ROW()-1)="","",IF(INDEX('Binder Data'!$D$1002:$D$1251,ROW()-1)="Needed",INDEX('Binder Data'!$B$1002:$B$1251,ROW()-1),INDEX('Binder Data'!$D$1002:$D$1251,ROW()-1)))</f>
        <v/>
      </c>
      <c r="G30" s="66"/>
      <c r="H30" s="66"/>
      <c r="I30" s="66"/>
      <c r="J30" s="69"/>
      <c r="K30" s="69"/>
      <c r="L30" s="69"/>
      <c r="M30" s="69"/>
      <c r="N30" s="66"/>
      <c r="O30" s="66"/>
      <c r="P30" s="66"/>
      <c r="Q30" s="66"/>
      <c r="R30" s="66"/>
      <c r="S30" s="66"/>
      <c r="T30" s="66"/>
      <c r="U30" s="66"/>
      <c r="V30" s="66"/>
      <c r="W30" s="66"/>
      <c r="X30" s="66"/>
      <c r="Y30" s="66"/>
      <c r="Z30" s="66"/>
      <c r="AA30" s="66"/>
    </row>
    <row r="31" ht="15.75" customHeight="1">
      <c r="A31" s="67" t="b">
        <v>0</v>
      </c>
      <c r="B31" s="66"/>
      <c r="C31" s="66"/>
      <c r="D31" s="66"/>
      <c r="E31" s="66"/>
      <c r="F31" s="68" t="str">
        <f t="array" ref="F31">IF(INDEX('Binder Data'!$A$1002:$A$1251,ROW()-1)="","",IF(INDEX('Binder Data'!$D$1002:$D$1251,ROW()-1)="Needed",INDEX('Binder Data'!$B$1002:$B$1251,ROW()-1),INDEX('Binder Data'!$D$1002:$D$1251,ROW()-1)))</f>
        <v/>
      </c>
      <c r="G31" s="66"/>
      <c r="H31" s="66"/>
      <c r="I31" s="66"/>
      <c r="J31" s="69"/>
      <c r="K31" s="69"/>
      <c r="L31" s="69"/>
      <c r="M31" s="69"/>
      <c r="N31" s="66"/>
      <c r="O31" s="66"/>
      <c r="P31" s="66"/>
      <c r="Q31" s="66"/>
      <c r="R31" s="66"/>
      <c r="S31" s="66"/>
      <c r="T31" s="66"/>
      <c r="U31" s="66"/>
      <c r="V31" s="66"/>
      <c r="W31" s="66"/>
      <c r="X31" s="66"/>
      <c r="Y31" s="66"/>
      <c r="Z31" s="66"/>
      <c r="AA31" s="66"/>
    </row>
    <row r="32" ht="15.75" customHeight="1">
      <c r="A32" s="67" t="b">
        <v>0</v>
      </c>
      <c r="B32" s="66"/>
      <c r="C32" s="66"/>
      <c r="D32" s="66"/>
      <c r="E32" s="66"/>
      <c r="F32" s="68" t="str">
        <f t="array" ref="F32">IF(INDEX('Binder Data'!$A$1002:$A$1251,ROW()-1)="","",IF(INDEX('Binder Data'!$D$1002:$D$1251,ROW()-1)="Needed",INDEX('Binder Data'!$B$1002:$B$1251,ROW()-1),INDEX('Binder Data'!$D$1002:$D$1251,ROW()-1)))</f>
        <v/>
      </c>
      <c r="G32" s="66"/>
      <c r="H32" s="66"/>
      <c r="I32" s="66"/>
      <c r="J32" s="69"/>
      <c r="K32" s="69"/>
      <c r="L32" s="69"/>
      <c r="M32" s="69"/>
      <c r="N32" s="66"/>
      <c r="O32" s="66"/>
      <c r="P32" s="66"/>
      <c r="Q32" s="66"/>
      <c r="R32" s="66"/>
      <c r="S32" s="66"/>
      <c r="T32" s="66"/>
      <c r="U32" s="66"/>
      <c r="V32" s="66"/>
      <c r="W32" s="66"/>
      <c r="X32" s="66"/>
      <c r="Y32" s="66"/>
      <c r="Z32" s="66"/>
      <c r="AA32" s="66"/>
    </row>
    <row r="33" ht="15.75" customHeight="1">
      <c r="A33" s="67" t="b">
        <v>0</v>
      </c>
      <c r="B33" s="66"/>
      <c r="C33" s="66"/>
      <c r="D33" s="66"/>
      <c r="E33" s="66"/>
      <c r="F33" s="68" t="str">
        <f t="array" ref="F33">IF(INDEX('Binder Data'!$A$1002:$A$1251,ROW()-1)="","",IF(INDEX('Binder Data'!$D$1002:$D$1251,ROW()-1)="Needed",INDEX('Binder Data'!$B$1002:$B$1251,ROW()-1),INDEX('Binder Data'!$D$1002:$D$1251,ROW()-1)))</f>
        <v/>
      </c>
      <c r="G33" s="66"/>
      <c r="H33" s="66"/>
      <c r="I33" s="66"/>
      <c r="J33" s="69"/>
      <c r="K33" s="69"/>
      <c r="L33" s="69"/>
      <c r="M33" s="69"/>
      <c r="N33" s="66"/>
      <c r="O33" s="66"/>
      <c r="P33" s="66"/>
      <c r="Q33" s="66"/>
      <c r="R33" s="66"/>
      <c r="S33" s="66"/>
      <c r="T33" s="66"/>
      <c r="U33" s="66"/>
      <c r="V33" s="66"/>
      <c r="W33" s="66"/>
      <c r="X33" s="66"/>
      <c r="Y33" s="66"/>
      <c r="Z33" s="66"/>
      <c r="AA33" s="66"/>
    </row>
    <row r="34" ht="15.75" customHeight="1">
      <c r="A34" s="67" t="b">
        <v>0</v>
      </c>
      <c r="B34" s="66"/>
      <c r="C34" s="66"/>
      <c r="D34" s="66"/>
      <c r="E34" s="66"/>
      <c r="F34" s="68" t="str">
        <f t="array" ref="F34">IF(INDEX('Binder Data'!$A$1002:$A$1251,ROW()-1)="","",IF(INDEX('Binder Data'!$D$1002:$D$1251,ROW()-1)="Needed",INDEX('Binder Data'!$B$1002:$B$1251,ROW()-1),INDEX('Binder Data'!$D$1002:$D$1251,ROW()-1)))</f>
        <v/>
      </c>
      <c r="G34" s="66"/>
      <c r="H34" s="66"/>
      <c r="I34" s="66"/>
      <c r="J34" s="69"/>
      <c r="K34" s="69"/>
      <c r="L34" s="69"/>
      <c r="M34" s="69"/>
      <c r="N34" s="66"/>
      <c r="O34" s="66"/>
      <c r="P34" s="66"/>
      <c r="Q34" s="66"/>
      <c r="R34" s="66"/>
      <c r="S34" s="66"/>
      <c r="T34" s="66"/>
      <c r="U34" s="66"/>
      <c r="V34" s="66"/>
      <c r="W34" s="66"/>
      <c r="X34" s="66"/>
      <c r="Y34" s="66"/>
      <c r="Z34" s="66"/>
      <c r="AA34" s="66"/>
    </row>
    <row r="35" ht="15.75" customHeight="1">
      <c r="A35" s="67" t="b">
        <v>0</v>
      </c>
      <c r="B35" s="66"/>
      <c r="C35" s="66"/>
      <c r="D35" s="66"/>
      <c r="E35" s="66"/>
      <c r="F35" s="68" t="str">
        <f t="array" ref="F35">IF(INDEX('Binder Data'!$A$1002:$A$1251,ROW()-1)="","",IF(INDEX('Binder Data'!$D$1002:$D$1251,ROW()-1)="Needed",INDEX('Binder Data'!$B$1002:$B$1251,ROW()-1),INDEX('Binder Data'!$D$1002:$D$1251,ROW()-1)))</f>
        <v/>
      </c>
      <c r="G35" s="66"/>
      <c r="H35" s="66"/>
      <c r="I35" s="66"/>
      <c r="J35" s="69"/>
      <c r="K35" s="69"/>
      <c r="L35" s="69"/>
      <c r="M35" s="69"/>
      <c r="N35" s="66"/>
      <c r="O35" s="66"/>
      <c r="P35" s="66"/>
      <c r="Q35" s="66"/>
      <c r="R35" s="66"/>
      <c r="S35" s="66"/>
      <c r="T35" s="66"/>
      <c r="U35" s="66"/>
      <c r="V35" s="66"/>
      <c r="W35" s="66"/>
      <c r="X35" s="66"/>
      <c r="Y35" s="66"/>
      <c r="Z35" s="66"/>
      <c r="AA35" s="66"/>
    </row>
    <row r="36" ht="15.75" customHeight="1">
      <c r="A36" s="67" t="b">
        <v>0</v>
      </c>
      <c r="B36" s="66"/>
      <c r="C36" s="66"/>
      <c r="D36" s="66"/>
      <c r="E36" s="66"/>
      <c r="F36" s="68" t="str">
        <f t="array" ref="F36">IF(INDEX('Binder Data'!$A$1002:$A$1251,ROW()-1)="","",IF(INDEX('Binder Data'!$D$1002:$D$1251,ROW()-1)="Needed",INDEX('Binder Data'!$B$1002:$B$1251,ROW()-1),INDEX('Binder Data'!$D$1002:$D$1251,ROW()-1)))</f>
        <v/>
      </c>
      <c r="G36" s="66"/>
      <c r="H36" s="66"/>
      <c r="I36" s="66"/>
      <c r="J36" s="69"/>
      <c r="K36" s="69"/>
      <c r="L36" s="69"/>
      <c r="M36" s="69"/>
      <c r="N36" s="66"/>
      <c r="O36" s="66"/>
      <c r="P36" s="66"/>
      <c r="Q36" s="66"/>
      <c r="R36" s="66"/>
      <c r="S36" s="66"/>
      <c r="T36" s="66"/>
      <c r="U36" s="66"/>
      <c r="V36" s="66"/>
      <c r="W36" s="66"/>
      <c r="X36" s="66"/>
      <c r="Y36" s="66"/>
      <c r="Z36" s="66"/>
      <c r="AA36" s="66"/>
    </row>
    <row r="37" ht="15.75" customHeight="1">
      <c r="A37" s="67" t="b">
        <v>0</v>
      </c>
      <c r="B37" s="66"/>
      <c r="C37" s="66"/>
      <c r="D37" s="66"/>
      <c r="E37" s="66"/>
      <c r="F37" s="68" t="str">
        <f t="array" ref="F37">IF(INDEX('Binder Data'!$A$1002:$A$1251,ROW()-1)="","",IF(INDEX('Binder Data'!$D$1002:$D$1251,ROW()-1)="Needed",INDEX('Binder Data'!$B$1002:$B$1251,ROW()-1),INDEX('Binder Data'!$D$1002:$D$1251,ROW()-1)))</f>
        <v/>
      </c>
      <c r="G37" s="66"/>
      <c r="H37" s="66"/>
      <c r="I37" s="66"/>
      <c r="J37" s="69"/>
      <c r="K37" s="69"/>
      <c r="L37" s="69"/>
      <c r="M37" s="69"/>
      <c r="N37" s="66"/>
      <c r="O37" s="66"/>
      <c r="P37" s="66"/>
      <c r="Q37" s="66"/>
      <c r="R37" s="66"/>
      <c r="S37" s="66"/>
      <c r="T37" s="66"/>
      <c r="U37" s="66"/>
      <c r="V37" s="66"/>
      <c r="W37" s="66"/>
      <c r="X37" s="66"/>
      <c r="Y37" s="66"/>
      <c r="Z37" s="66"/>
      <c r="AA37" s="66"/>
    </row>
    <row r="38" ht="15.75" customHeight="1">
      <c r="A38" s="67" t="b">
        <v>0</v>
      </c>
      <c r="B38" s="66"/>
      <c r="C38" s="66"/>
      <c r="D38" s="66"/>
      <c r="E38" s="66"/>
      <c r="F38" s="68" t="str">
        <f t="array" ref="F38">IF(INDEX('Binder Data'!$A$1002:$A$1251,ROW()-1)="","",IF(INDEX('Binder Data'!$D$1002:$D$1251,ROW()-1)="Needed",INDEX('Binder Data'!$B$1002:$B$1251,ROW()-1),INDEX('Binder Data'!$D$1002:$D$1251,ROW()-1)))</f>
        <v/>
      </c>
      <c r="G38" s="66"/>
      <c r="H38" s="66"/>
      <c r="I38" s="66"/>
      <c r="J38" s="69"/>
      <c r="K38" s="69"/>
      <c r="L38" s="69"/>
      <c r="M38" s="69"/>
      <c r="N38" s="66"/>
      <c r="O38" s="66"/>
      <c r="P38" s="66"/>
      <c r="Q38" s="66"/>
      <c r="R38" s="66"/>
      <c r="S38" s="66"/>
      <c r="T38" s="66"/>
      <c r="U38" s="66"/>
      <c r="V38" s="66"/>
      <c r="W38" s="66"/>
      <c r="X38" s="66"/>
      <c r="Y38" s="66"/>
      <c r="Z38" s="66"/>
      <c r="AA38" s="66"/>
    </row>
    <row r="39" ht="15.75" customHeight="1">
      <c r="A39" s="67" t="b">
        <v>0</v>
      </c>
      <c r="B39" s="66"/>
      <c r="C39" s="66"/>
      <c r="D39" s="66"/>
      <c r="E39" s="66"/>
      <c r="F39" s="68" t="str">
        <f t="array" ref="F39">IF(INDEX('Binder Data'!$A$1002:$A$1251,ROW()-1)="","",IF(INDEX('Binder Data'!$D$1002:$D$1251,ROW()-1)="Needed",INDEX('Binder Data'!$B$1002:$B$1251,ROW()-1),INDEX('Binder Data'!$D$1002:$D$1251,ROW()-1)))</f>
        <v/>
      </c>
      <c r="G39" s="66"/>
      <c r="H39" s="66"/>
      <c r="I39" s="66"/>
      <c r="J39" s="69"/>
      <c r="K39" s="69"/>
      <c r="L39" s="69"/>
      <c r="M39" s="69"/>
      <c r="N39" s="66"/>
      <c r="O39" s="66"/>
      <c r="P39" s="66"/>
      <c r="Q39" s="66"/>
      <c r="R39" s="66"/>
      <c r="S39" s="66"/>
      <c r="T39" s="66"/>
      <c r="U39" s="66"/>
      <c r="V39" s="66"/>
      <c r="W39" s="66"/>
      <c r="X39" s="66"/>
      <c r="Y39" s="66"/>
      <c r="Z39" s="66"/>
      <c r="AA39" s="66"/>
    </row>
    <row r="40" ht="15.75" customHeight="1">
      <c r="A40" s="67" t="b">
        <v>0</v>
      </c>
      <c r="B40" s="66"/>
      <c r="C40" s="66"/>
      <c r="D40" s="66"/>
      <c r="E40" s="66"/>
      <c r="F40" s="68" t="str">
        <f t="array" ref="F40">IF(INDEX('Binder Data'!$A$1002:$A$1251,ROW()-1)="","",IF(INDEX('Binder Data'!$D$1002:$D$1251,ROW()-1)="Needed",INDEX('Binder Data'!$B$1002:$B$1251,ROW()-1),INDEX('Binder Data'!$D$1002:$D$1251,ROW()-1)))</f>
        <v/>
      </c>
      <c r="G40" s="66"/>
      <c r="H40" s="66"/>
      <c r="I40" s="66"/>
      <c r="J40" s="69"/>
      <c r="K40" s="69"/>
      <c r="L40" s="69"/>
      <c r="M40" s="69"/>
      <c r="N40" s="66"/>
      <c r="O40" s="66"/>
      <c r="P40" s="66"/>
      <c r="Q40" s="66"/>
      <c r="R40" s="66"/>
      <c r="S40" s="66"/>
      <c r="T40" s="66"/>
      <c r="U40" s="66"/>
      <c r="V40" s="66"/>
      <c r="W40" s="66"/>
      <c r="X40" s="66"/>
      <c r="Y40" s="66"/>
      <c r="Z40" s="66"/>
      <c r="AA40" s="66"/>
    </row>
    <row r="41" ht="15.75" customHeight="1">
      <c r="A41" s="67" t="b">
        <v>0</v>
      </c>
      <c r="B41" s="66"/>
      <c r="C41" s="66"/>
      <c r="D41" s="66"/>
      <c r="E41" s="66"/>
      <c r="F41" s="68" t="str">
        <f t="array" ref="F41">IF(INDEX('Binder Data'!$A$1002:$A$1251,ROW()-1)="","",IF(INDEX('Binder Data'!$D$1002:$D$1251,ROW()-1)="Needed",INDEX('Binder Data'!$B$1002:$B$1251,ROW()-1),INDEX('Binder Data'!$D$1002:$D$1251,ROW()-1)))</f>
        <v/>
      </c>
      <c r="G41" s="66"/>
      <c r="H41" s="66"/>
      <c r="I41" s="66"/>
      <c r="J41" s="69"/>
      <c r="K41" s="69"/>
      <c r="L41" s="69"/>
      <c r="M41" s="69"/>
      <c r="N41" s="66"/>
      <c r="O41" s="66"/>
      <c r="P41" s="66"/>
      <c r="Q41" s="66"/>
      <c r="R41" s="66"/>
      <c r="S41" s="66"/>
      <c r="T41" s="66"/>
      <c r="U41" s="66"/>
      <c r="V41" s="66"/>
      <c r="W41" s="66"/>
      <c r="X41" s="66"/>
      <c r="Y41" s="66"/>
      <c r="Z41" s="66"/>
      <c r="AA41" s="66"/>
    </row>
    <row r="42" ht="15.75" customHeight="1">
      <c r="A42" s="67" t="b">
        <v>0</v>
      </c>
      <c r="B42" s="66"/>
      <c r="C42" s="66"/>
      <c r="D42" s="66"/>
      <c r="E42" s="66"/>
      <c r="F42" s="68" t="str">
        <f t="array" ref="F42">IF(INDEX('Binder Data'!$A$1002:$A$1251,ROW()-1)="","",IF(INDEX('Binder Data'!$D$1002:$D$1251,ROW()-1)="Needed",INDEX('Binder Data'!$B$1002:$B$1251,ROW()-1),INDEX('Binder Data'!$D$1002:$D$1251,ROW()-1)))</f>
        <v/>
      </c>
      <c r="G42" s="66"/>
      <c r="H42" s="66"/>
      <c r="I42" s="66"/>
      <c r="J42" s="69"/>
      <c r="K42" s="69"/>
      <c r="L42" s="69"/>
      <c r="M42" s="69"/>
      <c r="N42" s="66"/>
      <c r="O42" s="66"/>
      <c r="P42" s="66"/>
      <c r="Q42" s="66"/>
      <c r="R42" s="66"/>
      <c r="S42" s="66"/>
      <c r="T42" s="66"/>
      <c r="U42" s="66"/>
      <c r="V42" s="66"/>
      <c r="W42" s="66"/>
      <c r="X42" s="66"/>
      <c r="Y42" s="66"/>
      <c r="Z42" s="66"/>
      <c r="AA42" s="66"/>
    </row>
    <row r="43" ht="15.75" customHeight="1">
      <c r="A43" s="67" t="b">
        <v>0</v>
      </c>
      <c r="B43" s="66"/>
      <c r="C43" s="66"/>
      <c r="D43" s="66"/>
      <c r="E43" s="66"/>
      <c r="F43" s="68" t="str">
        <f t="array" ref="F43">IF(INDEX('Binder Data'!$A$1002:$A$1251,ROW()-1)="","",IF(INDEX('Binder Data'!$D$1002:$D$1251,ROW()-1)="Needed",INDEX('Binder Data'!$B$1002:$B$1251,ROW()-1),INDEX('Binder Data'!$D$1002:$D$1251,ROW()-1)))</f>
        <v/>
      </c>
      <c r="G43" s="66"/>
      <c r="H43" s="66"/>
      <c r="I43" s="66"/>
      <c r="J43" s="69"/>
      <c r="K43" s="69"/>
      <c r="L43" s="69"/>
      <c r="M43" s="69"/>
      <c r="N43" s="66"/>
      <c r="O43" s="66"/>
      <c r="P43" s="66"/>
      <c r="Q43" s="66"/>
      <c r="R43" s="66"/>
      <c r="S43" s="66"/>
      <c r="T43" s="66"/>
      <c r="U43" s="66"/>
      <c r="V43" s="66"/>
      <c r="W43" s="66"/>
      <c r="X43" s="66"/>
      <c r="Y43" s="66"/>
      <c r="Z43" s="66"/>
      <c r="AA43" s="66"/>
    </row>
    <row r="44" ht="15.75" customHeight="1">
      <c r="A44" s="67" t="b">
        <v>0</v>
      </c>
      <c r="B44" s="66"/>
      <c r="C44" s="66"/>
      <c r="D44" s="66"/>
      <c r="E44" s="66"/>
      <c r="F44" s="68" t="str">
        <f t="array" ref="F44">IF(INDEX('Binder Data'!$A$1002:$A$1251,ROW()-1)="","",IF(INDEX('Binder Data'!$D$1002:$D$1251,ROW()-1)="Needed",INDEX('Binder Data'!$B$1002:$B$1251,ROW()-1),INDEX('Binder Data'!$D$1002:$D$1251,ROW()-1)))</f>
        <v/>
      </c>
      <c r="G44" s="66"/>
      <c r="H44" s="66"/>
      <c r="I44" s="66"/>
      <c r="J44" s="69"/>
      <c r="K44" s="69"/>
      <c r="L44" s="69"/>
      <c r="M44" s="69"/>
      <c r="N44" s="66"/>
      <c r="O44" s="66"/>
      <c r="P44" s="66"/>
      <c r="Q44" s="66"/>
      <c r="R44" s="66"/>
      <c r="S44" s="66"/>
      <c r="T44" s="66"/>
      <c r="U44" s="66"/>
      <c r="V44" s="66"/>
      <c r="W44" s="66"/>
      <c r="X44" s="66"/>
      <c r="Y44" s="66"/>
      <c r="Z44" s="66"/>
      <c r="AA44" s="66"/>
    </row>
    <row r="45" ht="15.75" customHeight="1">
      <c r="A45" s="67" t="b">
        <v>0</v>
      </c>
      <c r="B45" s="66"/>
      <c r="C45" s="66"/>
      <c r="D45" s="66"/>
      <c r="E45" s="66"/>
      <c r="F45" s="68" t="str">
        <f t="array" ref="F45">IF(INDEX('Binder Data'!$A$1002:$A$1251,ROW()-1)="","",IF(INDEX('Binder Data'!$D$1002:$D$1251,ROW()-1)="Needed",INDEX('Binder Data'!$B$1002:$B$1251,ROW()-1),INDEX('Binder Data'!$D$1002:$D$1251,ROW()-1)))</f>
        <v/>
      </c>
      <c r="G45" s="66"/>
      <c r="H45" s="66"/>
      <c r="I45" s="66"/>
      <c r="J45" s="69"/>
      <c r="K45" s="69"/>
      <c r="L45" s="69"/>
      <c r="M45" s="69"/>
      <c r="N45" s="66"/>
      <c r="O45" s="66"/>
      <c r="P45" s="66"/>
      <c r="Q45" s="66"/>
      <c r="R45" s="66"/>
      <c r="S45" s="66"/>
      <c r="T45" s="66"/>
      <c r="U45" s="66"/>
      <c r="V45" s="66"/>
      <c r="W45" s="66"/>
      <c r="X45" s="66"/>
      <c r="Y45" s="66"/>
      <c r="Z45" s="66"/>
      <c r="AA45" s="66"/>
    </row>
    <row r="46" ht="15.75" customHeight="1">
      <c r="A46" s="67" t="b">
        <v>0</v>
      </c>
      <c r="B46" s="66"/>
      <c r="C46" s="66"/>
      <c r="D46" s="66"/>
      <c r="E46" s="66"/>
      <c r="F46" s="68" t="str">
        <f t="array" ref="F46">IF(INDEX('Binder Data'!$A$1002:$A$1251,ROW()-1)="","",IF(INDEX('Binder Data'!$D$1002:$D$1251,ROW()-1)="Needed",INDEX('Binder Data'!$B$1002:$B$1251,ROW()-1),INDEX('Binder Data'!$D$1002:$D$1251,ROW()-1)))</f>
        <v/>
      </c>
      <c r="G46" s="66"/>
      <c r="H46" s="66"/>
      <c r="I46" s="66"/>
      <c r="J46" s="69"/>
      <c r="K46" s="69"/>
      <c r="L46" s="69"/>
      <c r="M46" s="69"/>
      <c r="N46" s="66"/>
      <c r="O46" s="66"/>
      <c r="P46" s="66"/>
      <c r="Q46" s="66"/>
      <c r="R46" s="66"/>
      <c r="S46" s="66"/>
      <c r="T46" s="66"/>
      <c r="U46" s="66"/>
      <c r="V46" s="66"/>
      <c r="W46" s="66"/>
      <c r="X46" s="66"/>
      <c r="Y46" s="66"/>
      <c r="Z46" s="66"/>
      <c r="AA46" s="66"/>
    </row>
    <row r="47" ht="15.75" customHeight="1">
      <c r="A47" s="67" t="b">
        <v>0</v>
      </c>
      <c r="B47" s="66"/>
      <c r="C47" s="66"/>
      <c r="D47" s="66"/>
      <c r="E47" s="66"/>
      <c r="F47" s="68" t="str">
        <f t="array" ref="F47">IF(INDEX('Binder Data'!$A$1002:$A$1251,ROW()-1)="","",IF(INDEX('Binder Data'!$D$1002:$D$1251,ROW()-1)="Needed",INDEX('Binder Data'!$B$1002:$B$1251,ROW()-1),INDEX('Binder Data'!$D$1002:$D$1251,ROW()-1)))</f>
        <v/>
      </c>
      <c r="G47" s="66"/>
      <c r="H47" s="66"/>
      <c r="I47" s="66"/>
      <c r="J47" s="69"/>
      <c r="K47" s="69"/>
      <c r="L47" s="69"/>
      <c r="M47" s="69"/>
      <c r="N47" s="66"/>
      <c r="O47" s="66"/>
      <c r="P47" s="66"/>
      <c r="Q47" s="66"/>
      <c r="R47" s="66"/>
      <c r="S47" s="66"/>
      <c r="T47" s="66"/>
      <c r="U47" s="66"/>
      <c r="V47" s="66"/>
      <c r="W47" s="66"/>
      <c r="X47" s="66"/>
      <c r="Y47" s="66"/>
      <c r="Z47" s="66"/>
      <c r="AA47" s="66"/>
    </row>
    <row r="48" ht="15.75" customHeight="1">
      <c r="A48" s="67" t="b">
        <v>0</v>
      </c>
      <c r="B48" s="66"/>
      <c r="C48" s="66"/>
      <c r="D48" s="66"/>
      <c r="E48" s="66"/>
      <c r="F48" s="68" t="str">
        <f t="array" ref="F48">IF(INDEX('Binder Data'!$A$1002:$A$1251,ROW()-1)="","",IF(INDEX('Binder Data'!$D$1002:$D$1251,ROW()-1)="Needed",INDEX('Binder Data'!$B$1002:$B$1251,ROW()-1),INDEX('Binder Data'!$D$1002:$D$1251,ROW()-1)))</f>
        <v/>
      </c>
      <c r="G48" s="66"/>
      <c r="H48" s="66"/>
      <c r="I48" s="66"/>
      <c r="J48" s="69"/>
      <c r="K48" s="69"/>
      <c r="L48" s="69"/>
      <c r="M48" s="69"/>
      <c r="N48" s="66"/>
      <c r="O48" s="66"/>
      <c r="P48" s="66"/>
      <c r="Q48" s="66"/>
      <c r="R48" s="66"/>
      <c r="S48" s="66"/>
      <c r="T48" s="66"/>
      <c r="U48" s="66"/>
      <c r="V48" s="66"/>
      <c r="W48" s="66"/>
      <c r="X48" s="66"/>
      <c r="Y48" s="66"/>
      <c r="Z48" s="66"/>
      <c r="AA48" s="66"/>
    </row>
    <row r="49" ht="15.75" customHeight="1">
      <c r="A49" s="67" t="b">
        <v>0</v>
      </c>
      <c r="B49" s="66"/>
      <c r="C49" s="66"/>
      <c r="D49" s="66"/>
      <c r="E49" s="66"/>
      <c r="F49" s="68" t="str">
        <f t="array" ref="F49">IF(INDEX('Binder Data'!$A$1002:$A$1251,ROW()-1)="","",IF(INDEX('Binder Data'!$D$1002:$D$1251,ROW()-1)="Needed",INDEX('Binder Data'!$B$1002:$B$1251,ROW()-1),INDEX('Binder Data'!$D$1002:$D$1251,ROW()-1)))</f>
        <v/>
      </c>
      <c r="G49" s="66"/>
      <c r="H49" s="66"/>
      <c r="I49" s="66"/>
      <c r="J49" s="69"/>
      <c r="K49" s="69"/>
      <c r="L49" s="69"/>
      <c r="M49" s="69"/>
      <c r="N49" s="66"/>
      <c r="O49" s="66"/>
      <c r="P49" s="66"/>
      <c r="Q49" s="66"/>
      <c r="R49" s="66"/>
      <c r="S49" s="66"/>
      <c r="T49" s="66"/>
      <c r="U49" s="66"/>
      <c r="V49" s="66"/>
      <c r="W49" s="66"/>
      <c r="X49" s="66"/>
      <c r="Y49" s="66"/>
      <c r="Z49" s="66"/>
      <c r="AA49" s="66"/>
    </row>
    <row r="50" ht="15.75" customHeight="1">
      <c r="A50" s="67" t="b">
        <v>0</v>
      </c>
      <c r="B50" s="66"/>
      <c r="C50" s="66"/>
      <c r="D50" s="66"/>
      <c r="E50" s="66"/>
      <c r="F50" s="68" t="str">
        <f t="array" ref="F50">IF(INDEX('Binder Data'!$A$1002:$A$1251,ROW()-1)="","",IF(INDEX('Binder Data'!$D$1002:$D$1251,ROW()-1)="Needed",INDEX('Binder Data'!$B$1002:$B$1251,ROW()-1),INDEX('Binder Data'!$D$1002:$D$1251,ROW()-1)))</f>
        <v/>
      </c>
      <c r="G50" s="66"/>
      <c r="H50" s="66"/>
      <c r="I50" s="66"/>
      <c r="J50" s="69"/>
      <c r="K50" s="69"/>
      <c r="L50" s="69"/>
      <c r="M50" s="69"/>
      <c r="N50" s="66"/>
      <c r="O50" s="66"/>
      <c r="P50" s="66"/>
      <c r="Q50" s="66"/>
      <c r="R50" s="66"/>
      <c r="S50" s="66"/>
      <c r="T50" s="66"/>
      <c r="U50" s="66"/>
      <c r="V50" s="66"/>
      <c r="W50" s="66"/>
      <c r="X50" s="66"/>
      <c r="Y50" s="66"/>
      <c r="Z50" s="66"/>
      <c r="AA50" s="66"/>
    </row>
    <row r="51" ht="15.75" customHeight="1">
      <c r="A51" s="67" t="b">
        <v>0</v>
      </c>
      <c r="B51" s="66"/>
      <c r="C51" s="66"/>
      <c r="D51" s="66"/>
      <c r="E51" s="66"/>
      <c r="F51" s="68" t="str">
        <f t="array" ref="F51">IF(INDEX('Binder Data'!$A$1002:$A$1251,ROW()-1)="","",IF(INDEX('Binder Data'!$D$1002:$D$1251,ROW()-1)="Needed",INDEX('Binder Data'!$B$1002:$B$1251,ROW()-1),INDEX('Binder Data'!$D$1002:$D$1251,ROW()-1)))</f>
        <v/>
      </c>
      <c r="G51" s="66"/>
      <c r="H51" s="66"/>
      <c r="I51" s="66"/>
      <c r="J51" s="69"/>
      <c r="K51" s="69"/>
      <c r="L51" s="69"/>
      <c r="M51" s="69"/>
      <c r="N51" s="66"/>
      <c r="O51" s="66"/>
      <c r="P51" s="66"/>
      <c r="Q51" s="66"/>
      <c r="R51" s="66"/>
      <c r="S51" s="66"/>
      <c r="T51" s="66"/>
      <c r="U51" s="66"/>
      <c r="V51" s="66"/>
      <c r="W51" s="66"/>
      <c r="X51" s="66"/>
      <c r="Y51" s="66"/>
      <c r="Z51" s="66"/>
      <c r="AA51" s="66"/>
    </row>
    <row r="52" ht="15.75" customHeight="1">
      <c r="A52" s="67" t="b">
        <v>0</v>
      </c>
      <c r="B52" s="66"/>
      <c r="C52" s="66"/>
      <c r="D52" s="66"/>
      <c r="E52" s="66"/>
      <c r="F52" s="68" t="str">
        <f t="array" ref="F52">IF(INDEX('Binder Data'!$A$1002:$A$1251,ROW()-1)="","",IF(INDEX('Binder Data'!$D$1002:$D$1251,ROW()-1)="Needed",INDEX('Binder Data'!$B$1002:$B$1251,ROW()-1),INDEX('Binder Data'!$D$1002:$D$1251,ROW()-1)))</f>
        <v/>
      </c>
      <c r="G52" s="66"/>
      <c r="H52" s="66"/>
      <c r="I52" s="66"/>
      <c r="J52" s="69"/>
      <c r="K52" s="69"/>
      <c r="L52" s="69"/>
      <c r="M52" s="69"/>
      <c r="N52" s="66"/>
      <c r="O52" s="66"/>
      <c r="P52" s="66"/>
      <c r="Q52" s="66"/>
      <c r="R52" s="66"/>
      <c r="S52" s="66"/>
      <c r="T52" s="66"/>
      <c r="U52" s="66"/>
      <c r="V52" s="66"/>
      <c r="W52" s="66"/>
      <c r="X52" s="66"/>
      <c r="Y52" s="66"/>
      <c r="Z52" s="66"/>
      <c r="AA52" s="66"/>
    </row>
    <row r="53" ht="15.75" customHeight="1">
      <c r="A53" s="67" t="b">
        <v>0</v>
      </c>
      <c r="B53" s="66"/>
      <c r="C53" s="66"/>
      <c r="D53" s="66"/>
      <c r="E53" s="66"/>
      <c r="F53" s="68" t="str">
        <f t="array" ref="F53">IF(INDEX('Binder Data'!$A$1002:$A$1251,ROW()-1)="","",IF(INDEX('Binder Data'!$D$1002:$D$1251,ROW()-1)="Needed",INDEX('Binder Data'!$B$1002:$B$1251,ROW()-1),INDEX('Binder Data'!$D$1002:$D$1251,ROW()-1)))</f>
        <v/>
      </c>
      <c r="G53" s="66"/>
      <c r="H53" s="66"/>
      <c r="I53" s="66"/>
      <c r="J53" s="69"/>
      <c r="K53" s="69"/>
      <c r="L53" s="69"/>
      <c r="M53" s="69"/>
      <c r="N53" s="66"/>
      <c r="O53" s="66"/>
      <c r="P53" s="66"/>
      <c r="Q53" s="66"/>
      <c r="R53" s="66"/>
      <c r="S53" s="66"/>
      <c r="T53" s="66"/>
      <c r="U53" s="66"/>
      <c r="V53" s="66"/>
      <c r="W53" s="66"/>
      <c r="X53" s="66"/>
      <c r="Y53" s="66"/>
      <c r="Z53" s="66"/>
      <c r="AA53" s="66"/>
    </row>
    <row r="54" ht="15.75" customHeight="1">
      <c r="A54" s="67" t="b">
        <v>0</v>
      </c>
      <c r="B54" s="66"/>
      <c r="C54" s="66"/>
      <c r="D54" s="66"/>
      <c r="E54" s="66"/>
      <c r="F54" s="68" t="str">
        <f t="array" ref="F54">IF(INDEX('Binder Data'!$A$1002:$A$1251,ROW()-1)="","",IF(INDEX('Binder Data'!$D$1002:$D$1251,ROW()-1)="Needed",INDEX('Binder Data'!$B$1002:$B$1251,ROW()-1),INDEX('Binder Data'!$D$1002:$D$1251,ROW()-1)))</f>
        <v/>
      </c>
      <c r="G54" s="66"/>
      <c r="H54" s="66"/>
      <c r="I54" s="66"/>
      <c r="J54" s="69"/>
      <c r="K54" s="69"/>
      <c r="L54" s="69"/>
      <c r="M54" s="69"/>
      <c r="N54" s="66"/>
      <c r="O54" s="66"/>
      <c r="P54" s="66"/>
      <c r="Q54" s="66"/>
      <c r="R54" s="66"/>
      <c r="S54" s="66"/>
      <c r="T54" s="66"/>
      <c r="U54" s="66"/>
      <c r="V54" s="66"/>
      <c r="W54" s="66"/>
      <c r="X54" s="66"/>
      <c r="Y54" s="66"/>
      <c r="Z54" s="66"/>
      <c r="AA54" s="66"/>
    </row>
    <row r="55" ht="15.75" customHeight="1">
      <c r="A55" s="67" t="b">
        <v>0</v>
      </c>
      <c r="B55" s="66"/>
      <c r="C55" s="66"/>
      <c r="D55" s="66"/>
      <c r="E55" s="66"/>
      <c r="F55" s="68" t="str">
        <f t="array" ref="F55">IF(INDEX('Binder Data'!$A$1002:$A$1251,ROW()-1)="","",IF(INDEX('Binder Data'!$D$1002:$D$1251,ROW()-1)="Needed",INDEX('Binder Data'!$B$1002:$B$1251,ROW()-1),INDEX('Binder Data'!$D$1002:$D$1251,ROW()-1)))</f>
        <v/>
      </c>
      <c r="G55" s="66"/>
      <c r="H55" s="66"/>
      <c r="I55" s="66"/>
      <c r="J55" s="69"/>
      <c r="K55" s="69"/>
      <c r="L55" s="69"/>
      <c r="M55" s="69"/>
      <c r="N55" s="66"/>
      <c r="O55" s="66"/>
      <c r="P55" s="66"/>
      <c r="Q55" s="66"/>
      <c r="R55" s="66"/>
      <c r="S55" s="66"/>
      <c r="T55" s="66"/>
      <c r="U55" s="66"/>
      <c r="V55" s="66"/>
      <c r="W55" s="66"/>
      <c r="X55" s="66"/>
      <c r="Y55" s="66"/>
      <c r="Z55" s="66"/>
      <c r="AA55" s="66"/>
    </row>
    <row r="56" ht="15.75" customHeight="1">
      <c r="A56" s="67" t="b">
        <v>0</v>
      </c>
      <c r="B56" s="66"/>
      <c r="C56" s="66"/>
      <c r="D56" s="66"/>
      <c r="E56" s="66"/>
      <c r="F56" s="68" t="str">
        <f t="array" ref="F56">IF(INDEX('Binder Data'!$A$1002:$A$1251,ROW()-1)="","",IF(INDEX('Binder Data'!$D$1002:$D$1251,ROW()-1)="Needed",INDEX('Binder Data'!$B$1002:$B$1251,ROW()-1),INDEX('Binder Data'!$D$1002:$D$1251,ROW()-1)))</f>
        <v/>
      </c>
      <c r="G56" s="66"/>
      <c r="H56" s="66"/>
      <c r="I56" s="66"/>
      <c r="J56" s="69"/>
      <c r="K56" s="69"/>
      <c r="L56" s="69"/>
      <c r="M56" s="69"/>
      <c r="N56" s="66"/>
      <c r="O56" s="66"/>
      <c r="P56" s="66"/>
      <c r="Q56" s="66"/>
      <c r="R56" s="66"/>
      <c r="S56" s="66"/>
      <c r="T56" s="66"/>
      <c r="U56" s="66"/>
      <c r="V56" s="66"/>
      <c r="W56" s="66"/>
      <c r="X56" s="66"/>
      <c r="Y56" s="66"/>
      <c r="Z56" s="66"/>
      <c r="AA56" s="66"/>
    </row>
    <row r="57" ht="15.75" customHeight="1">
      <c r="A57" s="67" t="b">
        <v>0</v>
      </c>
      <c r="B57" s="66"/>
      <c r="C57" s="66"/>
      <c r="D57" s="66"/>
      <c r="E57" s="66"/>
      <c r="F57" s="68" t="str">
        <f t="array" ref="F57">IF(INDEX('Binder Data'!$A$1002:$A$1251,ROW()-1)="","",IF(INDEX('Binder Data'!$D$1002:$D$1251,ROW()-1)="Needed",INDEX('Binder Data'!$B$1002:$B$1251,ROW()-1),INDEX('Binder Data'!$D$1002:$D$1251,ROW()-1)))</f>
        <v/>
      </c>
      <c r="G57" s="66"/>
      <c r="H57" s="66"/>
      <c r="I57" s="66"/>
      <c r="J57" s="69"/>
      <c r="K57" s="69"/>
      <c r="L57" s="69"/>
      <c r="M57" s="69"/>
      <c r="N57" s="66"/>
      <c r="O57" s="66"/>
      <c r="P57" s="66"/>
      <c r="Q57" s="66"/>
      <c r="R57" s="66"/>
      <c r="S57" s="66"/>
      <c r="T57" s="66"/>
      <c r="U57" s="66"/>
      <c r="V57" s="66"/>
      <c r="W57" s="66"/>
      <c r="X57" s="66"/>
      <c r="Y57" s="66"/>
      <c r="Z57" s="66"/>
      <c r="AA57" s="66"/>
    </row>
    <row r="58" ht="15.75" customHeight="1">
      <c r="A58" s="67" t="b">
        <v>0</v>
      </c>
      <c r="B58" s="66"/>
      <c r="C58" s="66"/>
      <c r="D58" s="66"/>
      <c r="E58" s="66"/>
      <c r="F58" s="68" t="str">
        <f t="array" ref="F58">IF(INDEX('Binder Data'!$A$1002:$A$1251,ROW()-1)="","",IF(INDEX('Binder Data'!$D$1002:$D$1251,ROW()-1)="Needed",INDEX('Binder Data'!$B$1002:$B$1251,ROW()-1),INDEX('Binder Data'!$D$1002:$D$1251,ROW()-1)))</f>
        <v/>
      </c>
      <c r="G58" s="66"/>
      <c r="H58" s="66"/>
      <c r="I58" s="66"/>
      <c r="J58" s="69"/>
      <c r="K58" s="69"/>
      <c r="L58" s="69"/>
      <c r="M58" s="69"/>
      <c r="N58" s="66"/>
      <c r="O58" s="66"/>
      <c r="P58" s="66"/>
      <c r="Q58" s="66"/>
      <c r="R58" s="66"/>
      <c r="S58" s="66"/>
      <c r="T58" s="66"/>
      <c r="U58" s="66"/>
      <c r="V58" s="66"/>
      <c r="W58" s="66"/>
      <c r="X58" s="66"/>
      <c r="Y58" s="66"/>
      <c r="Z58" s="66"/>
      <c r="AA58" s="66"/>
    </row>
    <row r="59" ht="15.75" customHeight="1">
      <c r="A59" s="67" t="b">
        <v>0</v>
      </c>
      <c r="B59" s="66"/>
      <c r="C59" s="66"/>
      <c r="D59" s="66"/>
      <c r="E59" s="66"/>
      <c r="F59" s="68" t="str">
        <f t="array" ref="F59">IF(INDEX('Binder Data'!$A$1002:$A$1251,ROW()-1)="","",IF(INDEX('Binder Data'!$D$1002:$D$1251,ROW()-1)="Needed",INDEX('Binder Data'!$B$1002:$B$1251,ROW()-1),INDEX('Binder Data'!$D$1002:$D$1251,ROW()-1)))</f>
        <v/>
      </c>
      <c r="G59" s="66"/>
      <c r="H59" s="66"/>
      <c r="I59" s="66"/>
      <c r="J59" s="69"/>
      <c r="K59" s="69"/>
      <c r="L59" s="69"/>
      <c r="M59" s="69"/>
      <c r="N59" s="66"/>
      <c r="O59" s="66"/>
      <c r="P59" s="66"/>
      <c r="Q59" s="66"/>
      <c r="R59" s="66"/>
      <c r="S59" s="66"/>
      <c r="T59" s="66"/>
      <c r="U59" s="66"/>
      <c r="V59" s="66"/>
      <c r="W59" s="66"/>
      <c r="X59" s="66"/>
      <c r="Y59" s="66"/>
      <c r="Z59" s="66"/>
      <c r="AA59" s="66"/>
    </row>
    <row r="60" ht="15.75" customHeight="1">
      <c r="A60" s="67" t="b">
        <v>0</v>
      </c>
      <c r="B60" s="66"/>
      <c r="C60" s="66"/>
      <c r="D60" s="66"/>
      <c r="E60" s="66"/>
      <c r="F60" s="68" t="str">
        <f t="array" ref="F60">IF(INDEX('Binder Data'!$A$1002:$A$1251,ROW()-1)="","",IF(INDEX('Binder Data'!$D$1002:$D$1251,ROW()-1)="Needed",INDEX('Binder Data'!$B$1002:$B$1251,ROW()-1),INDEX('Binder Data'!$D$1002:$D$1251,ROW()-1)))</f>
        <v/>
      </c>
      <c r="G60" s="66"/>
      <c r="H60" s="66"/>
      <c r="I60" s="66"/>
      <c r="J60" s="69"/>
      <c r="K60" s="69"/>
      <c r="L60" s="69"/>
      <c r="M60" s="69"/>
      <c r="N60" s="66"/>
      <c r="O60" s="66"/>
      <c r="P60" s="66"/>
      <c r="Q60" s="66"/>
      <c r="R60" s="66"/>
      <c r="S60" s="66"/>
      <c r="T60" s="66"/>
      <c r="U60" s="66"/>
      <c r="V60" s="66"/>
      <c r="W60" s="66"/>
      <c r="X60" s="66"/>
      <c r="Y60" s="66"/>
      <c r="Z60" s="66"/>
      <c r="AA60" s="66"/>
    </row>
    <row r="61" ht="15.75" customHeight="1">
      <c r="A61" s="67" t="b">
        <v>0</v>
      </c>
      <c r="B61" s="66"/>
      <c r="C61" s="66"/>
      <c r="D61" s="66"/>
      <c r="E61" s="66"/>
      <c r="F61" s="68" t="str">
        <f t="array" ref="F61">IF(INDEX('Binder Data'!$A$1002:$A$1251,ROW()-1)="","",IF(INDEX('Binder Data'!$D$1002:$D$1251,ROW()-1)="Needed",INDEX('Binder Data'!$B$1002:$B$1251,ROW()-1),INDEX('Binder Data'!$D$1002:$D$1251,ROW()-1)))</f>
        <v/>
      </c>
      <c r="G61" s="66"/>
      <c r="H61" s="66"/>
      <c r="I61" s="66"/>
      <c r="J61" s="69"/>
      <c r="K61" s="69"/>
      <c r="L61" s="69"/>
      <c r="M61" s="69"/>
      <c r="N61" s="66"/>
      <c r="O61" s="66"/>
      <c r="P61" s="66"/>
      <c r="Q61" s="66"/>
      <c r="R61" s="66"/>
      <c r="S61" s="66"/>
      <c r="T61" s="66"/>
      <c r="U61" s="66"/>
      <c r="V61" s="66"/>
      <c r="W61" s="66"/>
      <c r="X61" s="66"/>
      <c r="Y61" s="66"/>
      <c r="Z61" s="66"/>
      <c r="AA61" s="66"/>
    </row>
    <row r="62" ht="15.75" customHeight="1">
      <c r="A62" s="67" t="b">
        <v>0</v>
      </c>
      <c r="B62" s="66"/>
      <c r="C62" s="66"/>
      <c r="D62" s="66"/>
      <c r="E62" s="66"/>
      <c r="F62" s="68" t="str">
        <f t="array" ref="F62">IF(INDEX('Binder Data'!$A$1002:$A$1251,ROW()-1)="","",IF(INDEX('Binder Data'!$D$1002:$D$1251,ROW()-1)="Needed",INDEX('Binder Data'!$B$1002:$B$1251,ROW()-1),INDEX('Binder Data'!$D$1002:$D$1251,ROW()-1)))</f>
        <v/>
      </c>
      <c r="G62" s="66"/>
      <c r="H62" s="66"/>
      <c r="I62" s="66"/>
      <c r="J62" s="69"/>
      <c r="K62" s="69"/>
      <c r="L62" s="69"/>
      <c r="M62" s="69"/>
      <c r="N62" s="66"/>
      <c r="O62" s="66"/>
      <c r="P62" s="66"/>
      <c r="Q62" s="66"/>
      <c r="R62" s="66"/>
      <c r="S62" s="66"/>
      <c r="T62" s="66"/>
      <c r="U62" s="66"/>
      <c r="V62" s="66"/>
      <c r="W62" s="66"/>
      <c r="X62" s="66"/>
      <c r="Y62" s="66"/>
      <c r="Z62" s="66"/>
      <c r="AA62" s="66"/>
    </row>
    <row r="63" ht="15.75" customHeight="1">
      <c r="A63" s="67" t="b">
        <v>0</v>
      </c>
      <c r="B63" s="66"/>
      <c r="C63" s="66"/>
      <c r="D63" s="66"/>
      <c r="E63" s="66"/>
      <c r="F63" s="68" t="str">
        <f t="array" ref="F63">IF(INDEX('Binder Data'!$A$1002:$A$1251,ROW()-1)="","",IF(INDEX('Binder Data'!$D$1002:$D$1251,ROW()-1)="Needed",INDEX('Binder Data'!$B$1002:$B$1251,ROW()-1),INDEX('Binder Data'!$D$1002:$D$1251,ROW()-1)))</f>
        <v/>
      </c>
      <c r="G63" s="66"/>
      <c r="H63" s="66"/>
      <c r="I63" s="66"/>
      <c r="J63" s="69"/>
      <c r="K63" s="69"/>
      <c r="L63" s="69"/>
      <c r="M63" s="69"/>
      <c r="N63" s="66"/>
      <c r="O63" s="66"/>
      <c r="P63" s="66"/>
      <c r="Q63" s="66"/>
      <c r="R63" s="66"/>
      <c r="S63" s="66"/>
      <c r="T63" s="66"/>
      <c r="U63" s="66"/>
      <c r="V63" s="66"/>
      <c r="W63" s="66"/>
      <c r="X63" s="66"/>
      <c r="Y63" s="66"/>
      <c r="Z63" s="66"/>
      <c r="AA63" s="66"/>
    </row>
    <row r="64" ht="15.75" customHeight="1">
      <c r="A64" s="67" t="b">
        <v>0</v>
      </c>
      <c r="B64" s="66"/>
      <c r="C64" s="66"/>
      <c r="D64" s="66"/>
      <c r="E64" s="66"/>
      <c r="F64" s="68" t="str">
        <f t="array" ref="F64">IF(INDEX('Binder Data'!$A$1002:$A$1251,ROW()-1)="","",IF(INDEX('Binder Data'!$D$1002:$D$1251,ROW()-1)="Needed",INDEX('Binder Data'!$B$1002:$B$1251,ROW()-1),INDEX('Binder Data'!$D$1002:$D$1251,ROW()-1)))</f>
        <v/>
      </c>
      <c r="G64" s="66"/>
      <c r="H64" s="66"/>
      <c r="I64" s="66"/>
      <c r="J64" s="69"/>
      <c r="K64" s="69"/>
      <c r="L64" s="69"/>
      <c r="M64" s="69"/>
      <c r="N64" s="66"/>
      <c r="O64" s="66"/>
      <c r="P64" s="66"/>
      <c r="Q64" s="66"/>
      <c r="R64" s="66"/>
      <c r="S64" s="66"/>
      <c r="T64" s="66"/>
      <c r="U64" s="66"/>
      <c r="V64" s="66"/>
      <c r="W64" s="66"/>
      <c r="X64" s="66"/>
      <c r="Y64" s="66"/>
      <c r="Z64" s="66"/>
      <c r="AA64" s="66"/>
    </row>
    <row r="65" ht="15.75" customHeight="1">
      <c r="A65" s="67" t="b">
        <v>0</v>
      </c>
      <c r="B65" s="66"/>
      <c r="C65" s="66"/>
      <c r="D65" s="66"/>
      <c r="E65" s="66"/>
      <c r="F65" s="68" t="str">
        <f t="array" ref="F65">IF(INDEX('Binder Data'!$A$1002:$A$1251,ROW()-1)="","",IF(INDEX('Binder Data'!$D$1002:$D$1251,ROW()-1)="Needed",INDEX('Binder Data'!$B$1002:$B$1251,ROW()-1),INDEX('Binder Data'!$D$1002:$D$1251,ROW()-1)))</f>
        <v/>
      </c>
      <c r="G65" s="66"/>
      <c r="H65" s="66"/>
      <c r="I65" s="66"/>
      <c r="J65" s="69"/>
      <c r="K65" s="69"/>
      <c r="L65" s="69"/>
      <c r="M65" s="69"/>
      <c r="N65" s="66"/>
      <c r="O65" s="66"/>
      <c r="P65" s="66"/>
      <c r="Q65" s="66"/>
      <c r="R65" s="66"/>
      <c r="S65" s="66"/>
      <c r="T65" s="66"/>
      <c r="U65" s="66"/>
      <c r="V65" s="66"/>
      <c r="W65" s="66"/>
      <c r="X65" s="66"/>
      <c r="Y65" s="66"/>
      <c r="Z65" s="66"/>
      <c r="AA65" s="66"/>
    </row>
    <row r="66" ht="15.75" customHeight="1">
      <c r="A66" s="67" t="b">
        <v>0</v>
      </c>
      <c r="B66" s="66"/>
      <c r="C66" s="66"/>
      <c r="D66" s="66"/>
      <c r="E66" s="66"/>
      <c r="F66" s="68" t="str">
        <f t="array" ref="F66">IF(INDEX('Binder Data'!$A$1002:$A$1251,ROW()-1)="","",IF(INDEX('Binder Data'!$D$1002:$D$1251,ROW()-1)="Needed",INDEX('Binder Data'!$B$1002:$B$1251,ROW()-1),INDEX('Binder Data'!$D$1002:$D$1251,ROW()-1)))</f>
        <v/>
      </c>
      <c r="G66" s="66"/>
      <c r="H66" s="66"/>
      <c r="I66" s="66"/>
      <c r="J66" s="69"/>
      <c r="K66" s="69"/>
      <c r="L66" s="69"/>
      <c r="M66" s="69"/>
      <c r="N66" s="66"/>
      <c r="O66" s="66"/>
      <c r="P66" s="66"/>
      <c r="Q66" s="66"/>
      <c r="R66" s="66"/>
      <c r="S66" s="66"/>
      <c r="T66" s="66"/>
      <c r="U66" s="66"/>
      <c r="V66" s="66"/>
      <c r="W66" s="66"/>
      <c r="X66" s="66"/>
      <c r="Y66" s="66"/>
      <c r="Z66" s="66"/>
      <c r="AA66" s="66"/>
    </row>
    <row r="67" ht="15.75" customHeight="1">
      <c r="A67" s="67" t="b">
        <v>0</v>
      </c>
      <c r="B67" s="66"/>
      <c r="C67" s="66"/>
      <c r="D67" s="66"/>
      <c r="E67" s="66"/>
      <c r="F67" s="68" t="str">
        <f t="array" ref="F67">IF(INDEX('Binder Data'!$A$1002:$A$1251,ROW()-1)="","",IF(INDEX('Binder Data'!$D$1002:$D$1251,ROW()-1)="Needed",INDEX('Binder Data'!$B$1002:$B$1251,ROW()-1),INDEX('Binder Data'!$D$1002:$D$1251,ROW()-1)))</f>
        <v/>
      </c>
      <c r="G67" s="66"/>
      <c r="H67" s="66"/>
      <c r="I67" s="66"/>
      <c r="J67" s="69"/>
      <c r="K67" s="69"/>
      <c r="L67" s="69"/>
      <c r="M67" s="69"/>
      <c r="N67" s="66"/>
      <c r="O67" s="66"/>
      <c r="P67" s="66"/>
      <c r="Q67" s="66"/>
      <c r="R67" s="66"/>
      <c r="S67" s="66"/>
      <c r="T67" s="66"/>
      <c r="U67" s="66"/>
      <c r="V67" s="66"/>
      <c r="W67" s="66"/>
      <c r="X67" s="66"/>
      <c r="Y67" s="66"/>
      <c r="Z67" s="66"/>
      <c r="AA67" s="66"/>
    </row>
    <row r="68" ht="15.75" customHeight="1">
      <c r="A68" s="67" t="b">
        <v>0</v>
      </c>
      <c r="B68" s="66"/>
      <c r="C68" s="66"/>
      <c r="D68" s="66"/>
      <c r="E68" s="66"/>
      <c r="F68" s="68" t="str">
        <f t="array" ref="F68">IF(INDEX('Binder Data'!$A$1002:$A$1251,ROW()-1)="","",IF(INDEX('Binder Data'!$D$1002:$D$1251,ROW()-1)="Needed",INDEX('Binder Data'!$B$1002:$B$1251,ROW()-1),INDEX('Binder Data'!$D$1002:$D$1251,ROW()-1)))</f>
        <v/>
      </c>
      <c r="G68" s="66"/>
      <c r="H68" s="66"/>
      <c r="I68" s="66"/>
      <c r="J68" s="69"/>
      <c r="K68" s="69"/>
      <c r="L68" s="69"/>
      <c r="M68" s="69"/>
      <c r="N68" s="66"/>
      <c r="O68" s="66"/>
      <c r="P68" s="66"/>
      <c r="Q68" s="66"/>
      <c r="R68" s="66"/>
      <c r="S68" s="66"/>
      <c r="T68" s="66"/>
      <c r="U68" s="66"/>
      <c r="V68" s="66"/>
      <c r="W68" s="66"/>
      <c r="X68" s="66"/>
      <c r="Y68" s="66"/>
      <c r="Z68" s="66"/>
      <c r="AA68" s="66"/>
    </row>
    <row r="69" ht="15.75" customHeight="1">
      <c r="A69" s="67" t="b">
        <v>0</v>
      </c>
      <c r="B69" s="66"/>
      <c r="C69" s="66"/>
      <c r="D69" s="66"/>
      <c r="E69" s="66"/>
      <c r="F69" s="68" t="str">
        <f t="array" ref="F69">IF(INDEX('Binder Data'!$A$1002:$A$1251,ROW()-1)="","",IF(INDEX('Binder Data'!$D$1002:$D$1251,ROW()-1)="Needed",INDEX('Binder Data'!$B$1002:$B$1251,ROW()-1),INDEX('Binder Data'!$D$1002:$D$1251,ROW()-1)))</f>
        <v/>
      </c>
      <c r="G69" s="66"/>
      <c r="H69" s="66"/>
      <c r="I69" s="66"/>
      <c r="J69" s="69"/>
      <c r="K69" s="69"/>
      <c r="L69" s="69"/>
      <c r="M69" s="69"/>
      <c r="N69" s="66"/>
      <c r="O69" s="66"/>
      <c r="P69" s="66"/>
      <c r="Q69" s="66"/>
      <c r="R69" s="66"/>
      <c r="S69" s="66"/>
      <c r="T69" s="66"/>
      <c r="U69" s="66"/>
      <c r="V69" s="66"/>
      <c r="W69" s="66"/>
      <c r="X69" s="66"/>
      <c r="Y69" s="66"/>
      <c r="Z69" s="66"/>
      <c r="AA69" s="66"/>
    </row>
    <row r="70" ht="15.75" customHeight="1">
      <c r="A70" s="67" t="b">
        <v>0</v>
      </c>
      <c r="B70" s="66"/>
      <c r="C70" s="66"/>
      <c r="D70" s="66"/>
      <c r="E70" s="66"/>
      <c r="F70" s="68" t="str">
        <f t="array" ref="F70">IF(INDEX('Binder Data'!$A$1002:$A$1251,ROW()-1)="","",IF(INDEX('Binder Data'!$D$1002:$D$1251,ROW()-1)="Needed",INDEX('Binder Data'!$B$1002:$B$1251,ROW()-1),INDEX('Binder Data'!$D$1002:$D$1251,ROW()-1)))</f>
        <v/>
      </c>
      <c r="G70" s="66"/>
      <c r="H70" s="66"/>
      <c r="I70" s="66"/>
      <c r="J70" s="69"/>
      <c r="K70" s="69"/>
      <c r="L70" s="69"/>
      <c r="M70" s="69"/>
      <c r="N70" s="66"/>
      <c r="O70" s="66"/>
      <c r="P70" s="66"/>
      <c r="Q70" s="66"/>
      <c r="R70" s="66"/>
      <c r="S70" s="66"/>
      <c r="T70" s="66"/>
      <c r="U70" s="66"/>
      <c r="V70" s="66"/>
      <c r="W70" s="66"/>
      <c r="X70" s="66"/>
      <c r="Y70" s="66"/>
      <c r="Z70" s="66"/>
      <c r="AA70" s="66"/>
    </row>
    <row r="71" ht="15.75" customHeight="1">
      <c r="A71" s="67" t="b">
        <v>0</v>
      </c>
      <c r="B71" s="66"/>
      <c r="C71" s="66"/>
      <c r="D71" s="66"/>
      <c r="E71" s="66"/>
      <c r="F71" s="68" t="str">
        <f t="array" ref="F71">IF(INDEX('Binder Data'!$A$1002:$A$1251,ROW()-1)="","",IF(INDEX('Binder Data'!$D$1002:$D$1251,ROW()-1)="Needed",INDEX('Binder Data'!$B$1002:$B$1251,ROW()-1),INDEX('Binder Data'!$D$1002:$D$1251,ROW()-1)))</f>
        <v/>
      </c>
      <c r="G71" s="66"/>
      <c r="H71" s="66"/>
      <c r="I71" s="66"/>
      <c r="J71" s="69"/>
      <c r="K71" s="69"/>
      <c r="L71" s="69"/>
      <c r="M71" s="69"/>
      <c r="N71" s="66"/>
      <c r="O71" s="66"/>
      <c r="P71" s="66"/>
      <c r="Q71" s="66"/>
      <c r="R71" s="66"/>
      <c r="S71" s="66"/>
      <c r="T71" s="66"/>
      <c r="U71" s="66"/>
      <c r="V71" s="66"/>
      <c r="W71" s="66"/>
      <c r="X71" s="66"/>
      <c r="Y71" s="66"/>
      <c r="Z71" s="66"/>
      <c r="AA71" s="66"/>
    </row>
    <row r="72" ht="15.75" customHeight="1">
      <c r="A72" s="67" t="b">
        <v>0</v>
      </c>
      <c r="B72" s="66"/>
      <c r="C72" s="66"/>
      <c r="D72" s="66"/>
      <c r="E72" s="66"/>
      <c r="F72" s="68" t="str">
        <f t="array" ref="F72">IF(INDEX('Binder Data'!$A$1002:$A$1251,ROW()-1)="","",IF(INDEX('Binder Data'!$D$1002:$D$1251,ROW()-1)="Needed",INDEX('Binder Data'!$B$1002:$B$1251,ROW()-1),INDEX('Binder Data'!$D$1002:$D$1251,ROW()-1)))</f>
        <v/>
      </c>
      <c r="G72" s="66"/>
      <c r="H72" s="66"/>
      <c r="I72" s="66"/>
      <c r="J72" s="69"/>
      <c r="K72" s="69"/>
      <c r="L72" s="69"/>
      <c r="M72" s="69"/>
      <c r="N72" s="66"/>
      <c r="O72" s="66"/>
      <c r="P72" s="66"/>
      <c r="Q72" s="66"/>
      <c r="R72" s="66"/>
      <c r="S72" s="66"/>
      <c r="T72" s="66"/>
      <c r="U72" s="66"/>
      <c r="V72" s="66"/>
      <c r="W72" s="66"/>
      <c r="X72" s="66"/>
      <c r="Y72" s="66"/>
      <c r="Z72" s="66"/>
      <c r="AA72" s="66"/>
    </row>
    <row r="73" ht="15.75" customHeight="1">
      <c r="A73" s="67" t="b">
        <v>0</v>
      </c>
      <c r="B73" s="66"/>
      <c r="C73" s="66"/>
      <c r="D73" s="66"/>
      <c r="E73" s="66"/>
      <c r="F73" s="68" t="str">
        <f t="array" ref="F73">IF(INDEX('Binder Data'!$A$1002:$A$1251,ROW()-1)="","",IF(INDEX('Binder Data'!$D$1002:$D$1251,ROW()-1)="Needed",INDEX('Binder Data'!$B$1002:$B$1251,ROW()-1),INDEX('Binder Data'!$D$1002:$D$1251,ROW()-1)))</f>
        <v/>
      </c>
      <c r="G73" s="66"/>
      <c r="H73" s="66"/>
      <c r="I73" s="66"/>
      <c r="J73" s="69"/>
      <c r="K73" s="69"/>
      <c r="L73" s="69"/>
      <c r="M73" s="69"/>
      <c r="N73" s="66"/>
      <c r="O73" s="66"/>
      <c r="P73" s="66"/>
      <c r="Q73" s="66"/>
      <c r="R73" s="66"/>
      <c r="S73" s="66"/>
      <c r="T73" s="66"/>
      <c r="U73" s="66"/>
      <c r="V73" s="66"/>
      <c r="W73" s="66"/>
      <c r="X73" s="66"/>
      <c r="Y73" s="66"/>
      <c r="Z73" s="66"/>
      <c r="AA73" s="66"/>
    </row>
    <row r="74" ht="15.75" customHeight="1">
      <c r="A74" s="67" t="b">
        <v>0</v>
      </c>
      <c r="B74" s="66"/>
      <c r="C74" s="66"/>
      <c r="D74" s="66"/>
      <c r="E74" s="66"/>
      <c r="F74" s="68" t="str">
        <f t="array" ref="F74">IF(INDEX('Binder Data'!$A$1002:$A$1251,ROW()-1)="","",IF(INDEX('Binder Data'!$D$1002:$D$1251,ROW()-1)="Needed",INDEX('Binder Data'!$B$1002:$B$1251,ROW()-1),INDEX('Binder Data'!$D$1002:$D$1251,ROW()-1)))</f>
        <v/>
      </c>
      <c r="G74" s="66"/>
      <c r="H74" s="66"/>
      <c r="I74" s="66"/>
      <c r="J74" s="69"/>
      <c r="K74" s="69"/>
      <c r="L74" s="69"/>
      <c r="M74" s="69"/>
      <c r="N74" s="66"/>
      <c r="O74" s="66"/>
      <c r="P74" s="66"/>
      <c r="Q74" s="66"/>
      <c r="R74" s="66"/>
      <c r="S74" s="66"/>
      <c r="T74" s="66"/>
      <c r="U74" s="66"/>
      <c r="V74" s="66"/>
      <c r="W74" s="66"/>
      <c r="X74" s="66"/>
      <c r="Y74" s="66"/>
      <c r="Z74" s="66"/>
      <c r="AA74" s="66"/>
    </row>
    <row r="75" ht="15.75" customHeight="1">
      <c r="A75" s="67" t="b">
        <v>0</v>
      </c>
      <c r="B75" s="66"/>
      <c r="C75" s="66"/>
      <c r="D75" s="66"/>
      <c r="E75" s="66"/>
      <c r="F75" s="68" t="str">
        <f t="array" ref="F75">IF(INDEX('Binder Data'!$A$1002:$A$1251,ROW()-1)="","",IF(INDEX('Binder Data'!$D$1002:$D$1251,ROW()-1)="Needed",INDEX('Binder Data'!$B$1002:$B$1251,ROW()-1),INDEX('Binder Data'!$D$1002:$D$1251,ROW()-1)))</f>
        <v/>
      </c>
      <c r="G75" s="66"/>
      <c r="H75" s="66"/>
      <c r="I75" s="66"/>
      <c r="J75" s="69"/>
      <c r="K75" s="69"/>
      <c r="L75" s="69"/>
      <c r="M75" s="69"/>
      <c r="N75" s="66"/>
      <c r="O75" s="66"/>
      <c r="P75" s="66"/>
      <c r="Q75" s="66"/>
      <c r="R75" s="66"/>
      <c r="S75" s="66"/>
      <c r="T75" s="66"/>
      <c r="U75" s="66"/>
      <c r="V75" s="66"/>
      <c r="W75" s="66"/>
      <c r="X75" s="66"/>
      <c r="Y75" s="66"/>
      <c r="Z75" s="66"/>
      <c r="AA75" s="66"/>
    </row>
    <row r="76" ht="15.75" customHeight="1">
      <c r="A76" s="67" t="b">
        <v>0</v>
      </c>
      <c r="B76" s="66"/>
      <c r="C76" s="66"/>
      <c r="D76" s="66"/>
      <c r="E76" s="66"/>
      <c r="F76" s="68" t="str">
        <f t="array" ref="F76">IF(INDEX('Binder Data'!$A$1002:$A$1251,ROW()-1)="","",IF(INDEX('Binder Data'!$D$1002:$D$1251,ROW()-1)="Needed",INDEX('Binder Data'!$B$1002:$B$1251,ROW()-1),INDEX('Binder Data'!$D$1002:$D$1251,ROW()-1)))</f>
        <v/>
      </c>
      <c r="G76" s="66"/>
      <c r="H76" s="66"/>
      <c r="I76" s="66"/>
      <c r="J76" s="69"/>
      <c r="K76" s="69"/>
      <c r="L76" s="69"/>
      <c r="M76" s="69"/>
      <c r="N76" s="66"/>
      <c r="O76" s="66"/>
      <c r="P76" s="66"/>
      <c r="Q76" s="66"/>
      <c r="R76" s="66"/>
      <c r="S76" s="66"/>
      <c r="T76" s="66"/>
      <c r="U76" s="66"/>
      <c r="V76" s="66"/>
      <c r="W76" s="66"/>
      <c r="X76" s="66"/>
      <c r="Y76" s="66"/>
      <c r="Z76" s="66"/>
      <c r="AA76" s="66"/>
    </row>
    <row r="77" ht="15.75" customHeight="1">
      <c r="A77" s="67" t="b">
        <v>0</v>
      </c>
      <c r="B77" s="66"/>
      <c r="C77" s="66"/>
      <c r="D77" s="66"/>
      <c r="E77" s="66"/>
      <c r="F77" s="68" t="str">
        <f t="array" ref="F77">IF(INDEX('Binder Data'!$A$1002:$A$1251,ROW()-1)="","",IF(INDEX('Binder Data'!$D$1002:$D$1251,ROW()-1)="Needed",INDEX('Binder Data'!$B$1002:$B$1251,ROW()-1),INDEX('Binder Data'!$D$1002:$D$1251,ROW()-1)))</f>
        <v/>
      </c>
      <c r="G77" s="66"/>
      <c r="H77" s="66"/>
      <c r="I77" s="66"/>
      <c r="J77" s="69"/>
      <c r="K77" s="69"/>
      <c r="L77" s="69"/>
      <c r="M77" s="69"/>
      <c r="N77" s="66"/>
      <c r="O77" s="66"/>
      <c r="P77" s="66"/>
      <c r="Q77" s="66"/>
      <c r="R77" s="66"/>
      <c r="S77" s="66"/>
      <c r="T77" s="66"/>
      <c r="U77" s="66"/>
      <c r="V77" s="66"/>
      <c r="W77" s="66"/>
      <c r="X77" s="66"/>
      <c r="Y77" s="66"/>
      <c r="Z77" s="66"/>
      <c r="AA77" s="66"/>
    </row>
    <row r="78" ht="15.75" customHeight="1">
      <c r="A78" s="67" t="b">
        <v>0</v>
      </c>
      <c r="B78" s="66"/>
      <c r="C78" s="66"/>
      <c r="D78" s="66"/>
      <c r="E78" s="66"/>
      <c r="F78" s="68" t="str">
        <f t="array" ref="F78">IF(INDEX('Binder Data'!$A$1002:$A$1251,ROW()-1)="","",IF(INDEX('Binder Data'!$D$1002:$D$1251,ROW()-1)="Needed",INDEX('Binder Data'!$B$1002:$B$1251,ROW()-1),INDEX('Binder Data'!$D$1002:$D$1251,ROW()-1)))</f>
        <v/>
      </c>
      <c r="G78" s="66"/>
      <c r="H78" s="66"/>
      <c r="I78" s="66"/>
      <c r="J78" s="69"/>
      <c r="K78" s="69"/>
      <c r="L78" s="69"/>
      <c r="M78" s="69"/>
      <c r="N78" s="66"/>
      <c r="O78" s="66"/>
      <c r="P78" s="66"/>
      <c r="Q78" s="66"/>
      <c r="R78" s="66"/>
      <c r="S78" s="66"/>
      <c r="T78" s="66"/>
      <c r="U78" s="66"/>
      <c r="V78" s="66"/>
      <c r="W78" s="66"/>
      <c r="X78" s="66"/>
      <c r="Y78" s="66"/>
      <c r="Z78" s="66"/>
      <c r="AA78" s="66"/>
    </row>
    <row r="79" ht="15.75" customHeight="1">
      <c r="A79" s="67" t="b">
        <v>0</v>
      </c>
      <c r="B79" s="66"/>
      <c r="C79" s="66"/>
      <c r="D79" s="66"/>
      <c r="E79" s="66"/>
      <c r="F79" s="68" t="str">
        <f t="array" ref="F79">IF(INDEX('Binder Data'!$A$1002:$A$1251,ROW()-1)="","",IF(INDEX('Binder Data'!$D$1002:$D$1251,ROW()-1)="Needed",INDEX('Binder Data'!$B$1002:$B$1251,ROW()-1),INDEX('Binder Data'!$D$1002:$D$1251,ROW()-1)))</f>
        <v/>
      </c>
      <c r="G79" s="66"/>
      <c r="H79" s="66"/>
      <c r="I79" s="66"/>
      <c r="J79" s="69"/>
      <c r="K79" s="69"/>
      <c r="L79" s="69"/>
      <c r="M79" s="69"/>
      <c r="N79" s="66"/>
      <c r="O79" s="66"/>
      <c r="P79" s="66"/>
      <c r="Q79" s="66"/>
      <c r="R79" s="66"/>
      <c r="S79" s="66"/>
      <c r="T79" s="66"/>
      <c r="U79" s="66"/>
      <c r="V79" s="66"/>
      <c r="W79" s="66"/>
      <c r="X79" s="66"/>
      <c r="Y79" s="66"/>
      <c r="Z79" s="66"/>
      <c r="AA79" s="66"/>
    </row>
    <row r="80" ht="15.75" customHeight="1">
      <c r="A80" s="67" t="b">
        <v>0</v>
      </c>
      <c r="B80" s="66"/>
      <c r="C80" s="66"/>
      <c r="D80" s="66"/>
      <c r="E80" s="66"/>
      <c r="F80" s="68" t="str">
        <f t="array" ref="F80">IF(INDEX('Binder Data'!$A$1002:$A$1251,ROW()-1)="","",IF(INDEX('Binder Data'!$D$1002:$D$1251,ROW()-1)="Needed",INDEX('Binder Data'!$B$1002:$B$1251,ROW()-1),INDEX('Binder Data'!$D$1002:$D$1251,ROW()-1)))</f>
        <v/>
      </c>
      <c r="G80" s="66"/>
      <c r="H80" s="66"/>
      <c r="I80" s="66"/>
      <c r="J80" s="69"/>
      <c r="K80" s="69"/>
      <c r="L80" s="69"/>
      <c r="M80" s="69"/>
      <c r="N80" s="66"/>
      <c r="O80" s="66"/>
      <c r="P80" s="66"/>
      <c r="Q80" s="66"/>
      <c r="R80" s="66"/>
      <c r="S80" s="66"/>
      <c r="T80" s="66"/>
      <c r="U80" s="66"/>
      <c r="V80" s="66"/>
      <c r="W80" s="66"/>
      <c r="X80" s="66"/>
      <c r="Y80" s="66"/>
      <c r="Z80" s="66"/>
      <c r="AA80" s="66"/>
    </row>
    <row r="81" ht="15.75" customHeight="1">
      <c r="A81" s="67" t="b">
        <v>0</v>
      </c>
      <c r="B81" s="66"/>
      <c r="C81" s="66"/>
      <c r="D81" s="66"/>
      <c r="E81" s="66"/>
      <c r="F81" s="68" t="str">
        <f t="array" ref="F81">IF(INDEX('Binder Data'!$A$1002:$A$1251,ROW()-1)="","",IF(INDEX('Binder Data'!$D$1002:$D$1251,ROW()-1)="Needed",INDEX('Binder Data'!$B$1002:$B$1251,ROW()-1),INDEX('Binder Data'!$D$1002:$D$1251,ROW()-1)))</f>
        <v/>
      </c>
      <c r="G81" s="66"/>
      <c r="H81" s="66"/>
      <c r="I81" s="66"/>
      <c r="J81" s="69"/>
      <c r="K81" s="69"/>
      <c r="L81" s="69"/>
      <c r="M81" s="69"/>
      <c r="N81" s="66"/>
      <c r="O81" s="66"/>
      <c r="P81" s="66"/>
      <c r="Q81" s="66"/>
      <c r="R81" s="66"/>
      <c r="S81" s="66"/>
      <c r="T81" s="66"/>
      <c r="U81" s="66"/>
      <c r="V81" s="66"/>
      <c r="W81" s="66"/>
      <c r="X81" s="66"/>
      <c r="Y81" s="66"/>
      <c r="Z81" s="66"/>
      <c r="AA81" s="66"/>
    </row>
    <row r="82" ht="15.75" customHeight="1">
      <c r="A82" s="67" t="b">
        <v>0</v>
      </c>
      <c r="B82" s="66"/>
      <c r="C82" s="66"/>
      <c r="D82" s="66"/>
      <c r="E82" s="66"/>
      <c r="F82" s="68" t="str">
        <f t="array" ref="F82">IF(INDEX('Binder Data'!$A$1002:$A$1251,ROW()-1)="","",IF(INDEX('Binder Data'!$D$1002:$D$1251,ROW()-1)="Needed",INDEX('Binder Data'!$B$1002:$B$1251,ROW()-1),INDEX('Binder Data'!$D$1002:$D$1251,ROW()-1)))</f>
        <v/>
      </c>
      <c r="G82" s="66"/>
      <c r="H82" s="66"/>
      <c r="I82" s="66"/>
      <c r="J82" s="69"/>
      <c r="K82" s="69"/>
      <c r="L82" s="69"/>
      <c r="M82" s="69"/>
      <c r="N82" s="66"/>
      <c r="O82" s="66"/>
      <c r="P82" s="66"/>
      <c r="Q82" s="66"/>
      <c r="R82" s="66"/>
      <c r="S82" s="66"/>
      <c r="T82" s="66"/>
      <c r="U82" s="66"/>
      <c r="V82" s="66"/>
      <c r="W82" s="66"/>
      <c r="X82" s="66"/>
      <c r="Y82" s="66"/>
      <c r="Z82" s="66"/>
      <c r="AA82" s="66"/>
    </row>
    <row r="83" ht="15.75" customHeight="1">
      <c r="A83" s="67" t="b">
        <v>0</v>
      </c>
      <c r="B83" s="66"/>
      <c r="C83" s="66"/>
      <c r="D83" s="66"/>
      <c r="E83" s="66"/>
      <c r="F83" s="68" t="str">
        <f t="array" ref="F83">IF(INDEX('Binder Data'!$A$1002:$A$1251,ROW()-1)="","",IF(INDEX('Binder Data'!$D$1002:$D$1251,ROW()-1)="Needed",INDEX('Binder Data'!$B$1002:$B$1251,ROW()-1),INDEX('Binder Data'!$D$1002:$D$1251,ROW()-1)))</f>
        <v/>
      </c>
      <c r="G83" s="66"/>
      <c r="H83" s="66"/>
      <c r="I83" s="66"/>
      <c r="J83" s="69"/>
      <c r="K83" s="69"/>
      <c r="L83" s="69"/>
      <c r="M83" s="69"/>
      <c r="N83" s="66"/>
      <c r="O83" s="66"/>
      <c r="P83" s="66"/>
      <c r="Q83" s="66"/>
      <c r="R83" s="66"/>
      <c r="S83" s="66"/>
      <c r="T83" s="66"/>
      <c r="U83" s="66"/>
      <c r="V83" s="66"/>
      <c r="W83" s="66"/>
      <c r="X83" s="66"/>
      <c r="Y83" s="66"/>
      <c r="Z83" s="66"/>
      <c r="AA83" s="66"/>
    </row>
    <row r="84" ht="15.75" customHeight="1">
      <c r="A84" s="67" t="b">
        <v>0</v>
      </c>
      <c r="B84" s="66"/>
      <c r="C84" s="66"/>
      <c r="D84" s="66"/>
      <c r="E84" s="66"/>
      <c r="F84" s="68" t="str">
        <f t="array" ref="F84">IF(INDEX('Binder Data'!$A$1002:$A$1251,ROW()-1)="","",IF(INDEX('Binder Data'!$D$1002:$D$1251,ROW()-1)="Needed",INDEX('Binder Data'!$B$1002:$B$1251,ROW()-1),INDEX('Binder Data'!$D$1002:$D$1251,ROW()-1)))</f>
        <v/>
      </c>
      <c r="G84" s="66"/>
      <c r="H84" s="66"/>
      <c r="I84" s="66"/>
      <c r="J84" s="69"/>
      <c r="K84" s="69"/>
      <c r="L84" s="69"/>
      <c r="M84" s="69"/>
      <c r="N84" s="66"/>
      <c r="O84" s="66"/>
      <c r="P84" s="66"/>
      <c r="Q84" s="66"/>
      <c r="R84" s="66"/>
      <c r="S84" s="66"/>
      <c r="T84" s="66"/>
      <c r="U84" s="66"/>
      <c r="V84" s="66"/>
      <c r="W84" s="66"/>
      <c r="X84" s="66"/>
      <c r="Y84" s="66"/>
      <c r="Z84" s="66"/>
      <c r="AA84" s="66"/>
    </row>
    <row r="85" ht="15.75" customHeight="1">
      <c r="A85" s="67" t="b">
        <v>0</v>
      </c>
      <c r="B85" s="66"/>
      <c r="C85" s="66"/>
      <c r="D85" s="66"/>
      <c r="E85" s="66"/>
      <c r="F85" s="68" t="str">
        <f t="array" ref="F85">IF(INDEX('Binder Data'!$A$1002:$A$1251,ROW()-1)="","",IF(INDEX('Binder Data'!$D$1002:$D$1251,ROW()-1)="Needed",INDEX('Binder Data'!$B$1002:$B$1251,ROW()-1),INDEX('Binder Data'!$D$1002:$D$1251,ROW()-1)))</f>
        <v/>
      </c>
      <c r="G85" s="66"/>
      <c r="H85" s="66"/>
      <c r="I85" s="66"/>
      <c r="J85" s="69"/>
      <c r="K85" s="69"/>
      <c r="L85" s="69"/>
      <c r="M85" s="69"/>
      <c r="N85" s="66"/>
      <c r="O85" s="66"/>
      <c r="P85" s="66"/>
      <c r="Q85" s="66"/>
      <c r="R85" s="66"/>
      <c r="S85" s="66"/>
      <c r="T85" s="66"/>
      <c r="U85" s="66"/>
      <c r="V85" s="66"/>
      <c r="W85" s="66"/>
      <c r="X85" s="66"/>
      <c r="Y85" s="66"/>
      <c r="Z85" s="66"/>
      <c r="AA85" s="66"/>
    </row>
    <row r="86" ht="15.75" customHeight="1">
      <c r="A86" s="67" t="b">
        <v>0</v>
      </c>
      <c r="B86" s="66"/>
      <c r="C86" s="66"/>
      <c r="D86" s="66"/>
      <c r="E86" s="66"/>
      <c r="F86" s="68" t="str">
        <f t="array" ref="F86">IF(INDEX('Binder Data'!$A$1002:$A$1251,ROW()-1)="","",IF(INDEX('Binder Data'!$D$1002:$D$1251,ROW()-1)="Needed",INDEX('Binder Data'!$B$1002:$B$1251,ROW()-1),INDEX('Binder Data'!$D$1002:$D$1251,ROW()-1)))</f>
        <v/>
      </c>
      <c r="G86" s="66"/>
      <c r="H86" s="66"/>
      <c r="I86" s="66"/>
      <c r="J86" s="69"/>
      <c r="K86" s="69"/>
      <c r="L86" s="69"/>
      <c r="M86" s="69"/>
      <c r="N86" s="66"/>
      <c r="O86" s="66"/>
      <c r="P86" s="66"/>
      <c r="Q86" s="66"/>
      <c r="R86" s="66"/>
      <c r="S86" s="66"/>
      <c r="T86" s="66"/>
      <c r="U86" s="66"/>
      <c r="V86" s="66"/>
      <c r="W86" s="66"/>
      <c r="X86" s="66"/>
      <c r="Y86" s="66"/>
      <c r="Z86" s="66"/>
      <c r="AA86" s="66"/>
    </row>
    <row r="87" ht="15.75" customHeight="1">
      <c r="A87" s="67" t="b">
        <v>0</v>
      </c>
      <c r="B87" s="66"/>
      <c r="C87" s="66"/>
      <c r="D87" s="66"/>
      <c r="E87" s="66"/>
      <c r="F87" s="68" t="str">
        <f t="array" ref="F87">IF(INDEX('Binder Data'!$A$1002:$A$1251,ROW()-1)="","",IF(INDEX('Binder Data'!$D$1002:$D$1251,ROW()-1)="Needed",INDEX('Binder Data'!$B$1002:$B$1251,ROW()-1),INDEX('Binder Data'!$D$1002:$D$1251,ROW()-1)))</f>
        <v/>
      </c>
      <c r="G87" s="66"/>
      <c r="H87" s="66"/>
      <c r="I87" s="66"/>
      <c r="J87" s="69"/>
      <c r="K87" s="69"/>
      <c r="L87" s="69"/>
      <c r="M87" s="69"/>
      <c r="N87" s="66"/>
      <c r="O87" s="66"/>
      <c r="P87" s="66"/>
      <c r="Q87" s="66"/>
      <c r="R87" s="66"/>
      <c r="S87" s="66"/>
      <c r="T87" s="66"/>
      <c r="U87" s="66"/>
      <c r="V87" s="66"/>
      <c r="W87" s="66"/>
      <c r="X87" s="66"/>
      <c r="Y87" s="66"/>
      <c r="Z87" s="66"/>
      <c r="AA87" s="66"/>
    </row>
    <row r="88" ht="15.75" customHeight="1">
      <c r="A88" s="67" t="b">
        <v>0</v>
      </c>
      <c r="B88" s="66"/>
      <c r="C88" s="66"/>
      <c r="D88" s="66"/>
      <c r="E88" s="66"/>
      <c r="F88" s="68" t="str">
        <f t="array" ref="F88">IF(INDEX('Binder Data'!$A$1002:$A$1251,ROW()-1)="","",IF(INDEX('Binder Data'!$D$1002:$D$1251,ROW()-1)="Needed",INDEX('Binder Data'!$B$1002:$B$1251,ROW()-1),INDEX('Binder Data'!$D$1002:$D$1251,ROW()-1)))</f>
        <v/>
      </c>
      <c r="G88" s="66"/>
      <c r="H88" s="66"/>
      <c r="I88" s="66"/>
      <c r="J88" s="69"/>
      <c r="K88" s="69"/>
      <c r="L88" s="69"/>
      <c r="M88" s="69"/>
      <c r="N88" s="66"/>
      <c r="O88" s="66"/>
      <c r="P88" s="66"/>
      <c r="Q88" s="66"/>
      <c r="R88" s="66"/>
      <c r="S88" s="66"/>
      <c r="T88" s="66"/>
      <c r="U88" s="66"/>
      <c r="V88" s="66"/>
      <c r="W88" s="66"/>
      <c r="X88" s="66"/>
      <c r="Y88" s="66"/>
      <c r="Z88" s="66"/>
      <c r="AA88" s="66"/>
    </row>
    <row r="89" ht="15.75" customHeight="1">
      <c r="A89" s="67" t="b">
        <v>0</v>
      </c>
      <c r="B89" s="66"/>
      <c r="C89" s="66"/>
      <c r="D89" s="66"/>
      <c r="E89" s="66"/>
      <c r="F89" s="68" t="str">
        <f t="array" ref="F89">IF(INDEX('Binder Data'!$A$1002:$A$1251,ROW()-1)="","",IF(INDEX('Binder Data'!$D$1002:$D$1251,ROW()-1)="Needed",INDEX('Binder Data'!$B$1002:$B$1251,ROW()-1),INDEX('Binder Data'!$D$1002:$D$1251,ROW()-1)))</f>
        <v/>
      </c>
      <c r="G89" s="66"/>
      <c r="H89" s="66"/>
      <c r="I89" s="66"/>
      <c r="J89" s="69"/>
      <c r="K89" s="69"/>
      <c r="L89" s="69"/>
      <c r="M89" s="69"/>
      <c r="N89" s="66"/>
      <c r="O89" s="66"/>
      <c r="P89" s="66"/>
      <c r="Q89" s="66"/>
      <c r="R89" s="66"/>
      <c r="S89" s="66"/>
      <c r="T89" s="66"/>
      <c r="U89" s="66"/>
      <c r="V89" s="66"/>
      <c r="W89" s="66"/>
      <c r="X89" s="66"/>
      <c r="Y89" s="66"/>
      <c r="Z89" s="66"/>
      <c r="AA89" s="66"/>
    </row>
    <row r="90" ht="15.75" customHeight="1">
      <c r="A90" s="66"/>
      <c r="B90" s="66"/>
      <c r="C90" s="70"/>
      <c r="D90" s="66"/>
      <c r="E90" s="66"/>
      <c r="F90" s="68" t="str">
        <f t="array" ref="F90">IF(INDEX('Binder Data'!$A$1002:$A$1251,ROW()-1)="","",IF(INDEX('Binder Data'!$D$1002:$D$1251,ROW()-1)="Needed",INDEX('Binder Data'!$B$1002:$B$1251,ROW()-1),INDEX('Binder Data'!$D$1002:$D$1251,ROW()-1)))</f>
        <v/>
      </c>
      <c r="G90" s="66"/>
      <c r="H90" s="66"/>
      <c r="I90" s="66"/>
      <c r="J90" s="69"/>
      <c r="K90" s="69"/>
      <c r="L90" s="69"/>
      <c r="M90" s="69"/>
      <c r="N90" s="66"/>
      <c r="O90" s="66"/>
      <c r="P90" s="66"/>
      <c r="Q90" s="66"/>
      <c r="R90" s="66"/>
      <c r="S90" s="66"/>
      <c r="T90" s="66"/>
      <c r="U90" s="66"/>
      <c r="V90" s="66"/>
      <c r="W90" s="66"/>
      <c r="X90" s="66"/>
      <c r="Y90" s="66"/>
      <c r="Z90" s="66"/>
      <c r="AA90" s="66"/>
    </row>
    <row r="91" ht="15.75" customHeight="1">
      <c r="A91" s="66"/>
      <c r="B91" s="66"/>
      <c r="C91" s="70"/>
      <c r="D91" s="66"/>
      <c r="E91" s="66"/>
      <c r="F91" s="68" t="str">
        <f t="array" ref="F91">IF(INDEX('Binder Data'!$A$1002:$A$1251,ROW()-1)="","",IF(INDEX('Binder Data'!$D$1002:$D$1251,ROW()-1)="Needed",INDEX('Binder Data'!$B$1002:$B$1251,ROW()-1),INDEX('Binder Data'!$D$1002:$D$1251,ROW()-1)))</f>
        <v/>
      </c>
      <c r="G91" s="66"/>
      <c r="H91" s="66"/>
      <c r="I91" s="66"/>
      <c r="J91" s="69"/>
      <c r="K91" s="69"/>
      <c r="L91" s="69"/>
      <c r="M91" s="69"/>
      <c r="N91" s="66"/>
      <c r="O91" s="66"/>
      <c r="P91" s="66"/>
      <c r="Q91" s="66"/>
      <c r="R91" s="66"/>
      <c r="S91" s="66"/>
      <c r="T91" s="66"/>
      <c r="U91" s="66"/>
      <c r="V91" s="66"/>
      <c r="W91" s="66"/>
      <c r="X91" s="66"/>
      <c r="Y91" s="66"/>
      <c r="Z91" s="66"/>
      <c r="AA91" s="66"/>
    </row>
    <row r="92" ht="15.75" customHeight="1">
      <c r="A92" s="66"/>
      <c r="B92" s="66"/>
      <c r="C92" s="70"/>
      <c r="D92" s="66"/>
      <c r="E92" s="66"/>
      <c r="F92" s="68" t="str">
        <f t="array" ref="F92">IF(INDEX('Binder Data'!$A$1002:$A$1251,ROW()-1)="","",IF(INDEX('Binder Data'!$D$1002:$D$1251,ROW()-1)="Needed",INDEX('Binder Data'!$B$1002:$B$1251,ROW()-1),INDEX('Binder Data'!$D$1002:$D$1251,ROW()-1)))</f>
        <v/>
      </c>
      <c r="G92" s="66"/>
      <c r="H92" s="66"/>
      <c r="I92" s="66"/>
      <c r="J92" s="69"/>
      <c r="K92" s="69"/>
      <c r="L92" s="69"/>
      <c r="M92" s="69"/>
      <c r="N92" s="66"/>
      <c r="O92" s="66"/>
      <c r="P92" s="66"/>
      <c r="Q92" s="66"/>
      <c r="R92" s="66"/>
      <c r="S92" s="66"/>
      <c r="T92" s="66"/>
      <c r="U92" s="66"/>
      <c r="V92" s="66"/>
      <c r="W92" s="66"/>
      <c r="X92" s="66"/>
      <c r="Y92" s="66"/>
      <c r="Z92" s="66"/>
      <c r="AA92" s="66"/>
    </row>
    <row r="93" ht="15.75" customHeight="1">
      <c r="A93" s="66"/>
      <c r="B93" s="66"/>
      <c r="C93" s="70"/>
      <c r="D93" s="66"/>
      <c r="E93" s="66"/>
      <c r="F93" s="68" t="str">
        <f t="array" ref="F93">IF(INDEX('Binder Data'!$A$1002:$A$1251,ROW()-1)="","",IF(INDEX('Binder Data'!$D$1002:$D$1251,ROW()-1)="Needed",INDEX('Binder Data'!$B$1002:$B$1251,ROW()-1),INDEX('Binder Data'!$D$1002:$D$1251,ROW()-1)))</f>
        <v/>
      </c>
      <c r="G93" s="66"/>
      <c r="H93" s="66"/>
      <c r="I93" s="66"/>
      <c r="J93" s="69"/>
      <c r="K93" s="69"/>
      <c r="L93" s="69"/>
      <c r="M93" s="69"/>
      <c r="N93" s="66"/>
      <c r="O93" s="66"/>
      <c r="P93" s="66"/>
      <c r="Q93" s="66"/>
      <c r="R93" s="66"/>
      <c r="S93" s="66"/>
      <c r="T93" s="66"/>
      <c r="U93" s="66"/>
      <c r="V93" s="66"/>
      <c r="W93" s="66"/>
      <c r="X93" s="66"/>
      <c r="Y93" s="66"/>
      <c r="Z93" s="66"/>
      <c r="AA93" s="66"/>
    </row>
    <row r="94" ht="15.75" customHeight="1">
      <c r="A94" s="66"/>
      <c r="B94" s="66"/>
      <c r="C94" s="70"/>
      <c r="D94" s="66"/>
      <c r="E94" s="66"/>
      <c r="F94" s="68" t="str">
        <f t="array" ref="F94">IF(INDEX('Binder Data'!$A$1002:$A$1251,ROW()-1)="","",IF(INDEX('Binder Data'!$D$1002:$D$1251,ROW()-1)="Needed",INDEX('Binder Data'!$B$1002:$B$1251,ROW()-1),INDEX('Binder Data'!$D$1002:$D$1251,ROW()-1)))</f>
        <v/>
      </c>
      <c r="G94" s="66"/>
      <c r="H94" s="66"/>
      <c r="I94" s="66"/>
      <c r="J94" s="69"/>
      <c r="K94" s="69"/>
      <c r="L94" s="69"/>
      <c r="M94" s="69"/>
      <c r="N94" s="66"/>
      <c r="O94" s="66"/>
      <c r="P94" s="66"/>
      <c r="Q94" s="66"/>
      <c r="R94" s="66"/>
      <c r="S94" s="66"/>
      <c r="T94" s="66"/>
      <c r="U94" s="66"/>
      <c r="V94" s="66"/>
      <c r="W94" s="66"/>
      <c r="X94" s="66"/>
      <c r="Y94" s="66"/>
      <c r="Z94" s="66"/>
      <c r="AA94" s="66"/>
    </row>
    <row r="95" ht="15.75" customHeight="1">
      <c r="A95" s="66"/>
      <c r="B95" s="66"/>
      <c r="C95" s="70"/>
      <c r="D95" s="66"/>
      <c r="E95" s="66"/>
      <c r="F95" s="68" t="str">
        <f t="array" ref="F95">IF(INDEX('Binder Data'!$A$1002:$A$1251,ROW()-1)="","",IF(INDEX('Binder Data'!$D$1002:$D$1251,ROW()-1)="Needed",INDEX('Binder Data'!$B$1002:$B$1251,ROW()-1),INDEX('Binder Data'!$D$1002:$D$1251,ROW()-1)))</f>
        <v/>
      </c>
      <c r="G95" s="66"/>
      <c r="H95" s="66"/>
      <c r="I95" s="66"/>
      <c r="J95" s="69"/>
      <c r="K95" s="69"/>
      <c r="L95" s="69"/>
      <c r="M95" s="69"/>
      <c r="N95" s="66"/>
      <c r="O95" s="71"/>
      <c r="P95" s="66"/>
      <c r="Q95" s="66"/>
      <c r="R95" s="66"/>
      <c r="S95" s="66"/>
      <c r="T95" s="66"/>
      <c r="U95" s="66"/>
      <c r="V95" s="66"/>
      <c r="W95" s="66"/>
      <c r="X95" s="66"/>
      <c r="Y95" s="66"/>
      <c r="Z95" s="66"/>
      <c r="AA95" s="66"/>
    </row>
    <row r="96" ht="15.75" customHeight="1">
      <c r="A96" s="66"/>
      <c r="B96" s="66"/>
      <c r="C96" s="70"/>
      <c r="D96" s="66"/>
      <c r="E96" s="66"/>
      <c r="F96" s="68" t="str">
        <f t="array" ref="F96">IF(INDEX('Binder Data'!$A$1002:$A$1251,ROW()-1)="","",IF(INDEX('Binder Data'!$D$1002:$D$1251,ROW()-1)="Needed",INDEX('Binder Data'!$B$1002:$B$1251,ROW()-1),INDEX('Binder Data'!$D$1002:$D$1251,ROW()-1)))</f>
        <v/>
      </c>
      <c r="G96" s="66"/>
      <c r="H96" s="66"/>
      <c r="I96" s="66"/>
      <c r="J96" s="69"/>
      <c r="K96" s="69"/>
      <c r="L96" s="69"/>
      <c r="M96" s="69"/>
      <c r="N96" s="66"/>
      <c r="O96" s="71"/>
      <c r="P96" s="66"/>
      <c r="Q96" s="66"/>
      <c r="R96" s="66"/>
      <c r="S96" s="66"/>
      <c r="T96" s="66"/>
      <c r="U96" s="66"/>
      <c r="V96" s="66"/>
      <c r="W96" s="66"/>
      <c r="X96" s="66"/>
      <c r="Y96" s="66"/>
      <c r="Z96" s="66"/>
      <c r="AA96" s="66"/>
    </row>
    <row r="97" ht="15.75" customHeight="1">
      <c r="A97" s="66"/>
      <c r="B97" s="66"/>
      <c r="C97" s="70"/>
      <c r="D97" s="66"/>
      <c r="E97" s="66"/>
      <c r="F97" s="68" t="str">
        <f t="array" ref="F97">IF(INDEX('Binder Data'!$A$1002:$A$1251,ROW()-1)="","",IF(INDEX('Binder Data'!$D$1002:$D$1251,ROW()-1)="Needed",INDEX('Binder Data'!$B$1002:$B$1251,ROW()-1),INDEX('Binder Data'!$D$1002:$D$1251,ROW()-1)))</f>
        <v/>
      </c>
      <c r="G97" s="66"/>
      <c r="H97" s="66"/>
      <c r="I97" s="66"/>
      <c r="J97" s="66"/>
      <c r="K97" s="66"/>
      <c r="L97" s="66"/>
      <c r="M97" s="66"/>
      <c r="N97" s="66"/>
      <c r="O97" s="66"/>
      <c r="P97" s="66"/>
      <c r="Q97" s="66"/>
      <c r="R97" s="66"/>
      <c r="S97" s="66"/>
      <c r="T97" s="66"/>
      <c r="U97" s="66"/>
      <c r="V97" s="66"/>
      <c r="W97" s="66"/>
      <c r="X97" s="66"/>
      <c r="Y97" s="66"/>
      <c r="Z97" s="66"/>
      <c r="AA97" s="66"/>
    </row>
    <row r="98" ht="15.75" customHeight="1">
      <c r="A98" s="66"/>
      <c r="B98" s="66"/>
      <c r="C98" s="70"/>
      <c r="D98" s="66"/>
      <c r="E98" s="66"/>
      <c r="F98" s="68" t="str">
        <f t="array" ref="F98">IF(INDEX('Binder Data'!$A$1002:$A$1251,ROW()-1)="","",IF(INDEX('Binder Data'!$D$1002:$D$1251,ROW()-1)="Needed",INDEX('Binder Data'!$B$1002:$B$1251,ROW()-1),INDEX('Binder Data'!$D$1002:$D$1251,ROW()-1)))</f>
        <v/>
      </c>
      <c r="G98" s="66"/>
      <c r="H98" s="66"/>
      <c r="I98" s="66"/>
      <c r="J98" s="66"/>
      <c r="K98" s="66"/>
      <c r="L98" s="66"/>
      <c r="M98" s="66"/>
      <c r="N98" s="66"/>
      <c r="O98" s="71"/>
      <c r="P98" s="66"/>
      <c r="Q98" s="66"/>
      <c r="R98" s="66"/>
      <c r="S98" s="66"/>
      <c r="T98" s="66"/>
      <c r="U98" s="66"/>
      <c r="V98" s="66"/>
      <c r="W98" s="66"/>
      <c r="X98" s="66"/>
      <c r="Y98" s="66"/>
      <c r="Z98" s="66"/>
      <c r="AA98" s="66"/>
    </row>
    <row r="99" ht="15.75" customHeight="1">
      <c r="A99" s="66"/>
      <c r="B99" s="66"/>
      <c r="C99" s="70"/>
      <c r="D99" s="66"/>
      <c r="E99" s="66"/>
      <c r="F99" s="68" t="str">
        <f t="array" ref="F99">IF(INDEX('Binder Data'!$A$1002:$A$1251,ROW()-1)="","",IF(INDEX('Binder Data'!$D$1002:$D$1251,ROW()-1)="Needed",INDEX('Binder Data'!$B$1002:$B$1251,ROW()-1),INDEX('Binder Data'!$D$1002:$D$1251,ROW()-1)))</f>
        <v/>
      </c>
      <c r="G99" s="66"/>
      <c r="H99" s="66"/>
      <c r="I99" s="66"/>
      <c r="J99" s="66"/>
      <c r="K99" s="66"/>
      <c r="L99" s="66"/>
      <c r="M99" s="66"/>
      <c r="N99" s="66"/>
      <c r="O99" s="71"/>
      <c r="P99" s="66"/>
      <c r="Q99" s="66"/>
      <c r="R99" s="66"/>
      <c r="S99" s="66"/>
      <c r="T99" s="66"/>
      <c r="U99" s="66"/>
      <c r="V99" s="66"/>
      <c r="W99" s="66"/>
      <c r="X99" s="66"/>
      <c r="Y99" s="66"/>
      <c r="Z99" s="66"/>
      <c r="AA99" s="66"/>
    </row>
    <row r="100" ht="15.75" customHeight="1">
      <c r="A100" s="66"/>
      <c r="B100" s="66"/>
      <c r="C100" s="70"/>
      <c r="D100" s="66"/>
      <c r="E100" s="66"/>
      <c r="F100" s="68" t="str">
        <f t="array" ref="F100">IF(INDEX('Binder Data'!$A$1002:$A$1251,ROW()-1)="","",IF(INDEX('Binder Data'!$D$1002:$D$1251,ROW()-1)="Needed",INDEX('Binder Data'!$B$1002:$B$1251,ROW()-1),INDEX('Binder Data'!$D$1002:$D$1251,ROW()-1)))</f>
        <v/>
      </c>
      <c r="G100" s="66"/>
      <c r="H100" s="66"/>
      <c r="I100" s="66"/>
      <c r="J100" s="66"/>
      <c r="K100" s="66"/>
      <c r="L100" s="66"/>
      <c r="M100" s="66"/>
      <c r="N100" s="66"/>
      <c r="O100" s="71"/>
      <c r="P100" s="66"/>
      <c r="Q100" s="66"/>
      <c r="R100" s="66"/>
      <c r="S100" s="66"/>
      <c r="T100" s="66"/>
      <c r="U100" s="66"/>
      <c r="V100" s="66"/>
      <c r="W100" s="66"/>
      <c r="X100" s="66"/>
      <c r="Y100" s="66"/>
      <c r="Z100" s="66"/>
      <c r="AA100" s="66"/>
    </row>
    <row r="101" ht="15.75" customHeight="1">
      <c r="A101" s="66"/>
      <c r="B101" s="66"/>
      <c r="C101" s="70"/>
      <c r="D101" s="66"/>
      <c r="E101" s="66"/>
      <c r="F101" s="68" t="str">
        <f t="array" ref="F101">IF(INDEX('Binder Data'!$A$1002:$A$1251,ROW()-1)="","",IF(INDEX('Binder Data'!$D$1002:$D$1251,ROW()-1)="Needed",INDEX('Binder Data'!$B$1002:$B$1251,ROW()-1),INDEX('Binder Data'!$D$1002:$D$1251,ROW()-1)))</f>
        <v/>
      </c>
      <c r="G101" s="66"/>
      <c r="H101" s="66"/>
      <c r="I101" s="66"/>
      <c r="J101" s="66"/>
      <c r="K101" s="66"/>
      <c r="L101" s="66"/>
      <c r="M101" s="66"/>
      <c r="N101" s="66"/>
      <c r="O101" s="71"/>
      <c r="P101" s="66"/>
      <c r="Q101" s="66"/>
      <c r="R101" s="66"/>
      <c r="S101" s="66"/>
      <c r="T101" s="66"/>
      <c r="U101" s="66"/>
      <c r="V101" s="66"/>
      <c r="W101" s="66"/>
      <c r="X101" s="66"/>
      <c r="Y101" s="66"/>
      <c r="Z101" s="66"/>
      <c r="AA101" s="66"/>
    </row>
    <row r="102" ht="15.75" customHeight="1">
      <c r="A102" s="66"/>
      <c r="B102" s="66"/>
      <c r="C102" s="70"/>
      <c r="D102" s="66"/>
      <c r="E102" s="66"/>
      <c r="F102" s="68" t="str">
        <f t="array" ref="F102">IF(INDEX('Binder Data'!$A$1002:$A$1251,ROW()-1)="","",IF(INDEX('Binder Data'!$D$1002:$D$1251,ROW()-1)="Needed",INDEX('Binder Data'!$B$1002:$B$1251,ROW()-1),INDEX('Binder Data'!$D$1002:$D$1251,ROW()-1)))</f>
        <v/>
      </c>
      <c r="G102" s="66"/>
      <c r="H102" s="66"/>
      <c r="I102" s="66"/>
      <c r="J102" s="66"/>
      <c r="K102" s="66"/>
      <c r="L102" s="66"/>
      <c r="M102" s="66"/>
      <c r="N102" s="66"/>
      <c r="O102" s="71"/>
      <c r="P102" s="66"/>
      <c r="Q102" s="66"/>
      <c r="R102" s="66"/>
      <c r="S102" s="66"/>
      <c r="T102" s="66"/>
      <c r="U102" s="66"/>
      <c r="V102" s="66"/>
      <c r="W102" s="66"/>
      <c r="X102" s="66"/>
      <c r="Y102" s="66"/>
      <c r="Z102" s="66"/>
      <c r="AA102" s="66"/>
    </row>
    <row r="103" ht="15.75" customHeight="1">
      <c r="A103" s="66"/>
      <c r="B103" s="66"/>
      <c r="C103" s="70"/>
      <c r="D103" s="66"/>
      <c r="E103" s="66"/>
      <c r="F103" s="68" t="str">
        <f t="array" ref="F103">IF(INDEX('Binder Data'!$A$1002:$A$1251,ROW()-1)="","",IF(INDEX('Binder Data'!$D$1002:$D$1251,ROW()-1)="Needed",INDEX('Binder Data'!$B$1002:$B$1251,ROW()-1),INDEX('Binder Data'!$D$1002:$D$1251,ROW()-1)))</f>
        <v/>
      </c>
      <c r="G103" s="66"/>
      <c r="H103" s="66"/>
      <c r="I103" s="66"/>
      <c r="J103" s="66"/>
      <c r="K103" s="66"/>
      <c r="L103" s="66"/>
      <c r="M103" s="66"/>
      <c r="N103" s="66"/>
      <c r="O103" s="71"/>
      <c r="P103" s="66"/>
      <c r="Q103" s="66"/>
      <c r="R103" s="66"/>
      <c r="S103" s="66"/>
      <c r="T103" s="66"/>
      <c r="U103" s="66"/>
      <c r="V103" s="66"/>
      <c r="W103" s="66"/>
      <c r="X103" s="66"/>
      <c r="Y103" s="66"/>
      <c r="Z103" s="66"/>
      <c r="AA103" s="66"/>
    </row>
    <row r="104" ht="15.75" customHeight="1">
      <c r="A104" s="66"/>
      <c r="B104" s="66"/>
      <c r="C104" s="70"/>
      <c r="D104" s="66"/>
      <c r="E104" s="66"/>
      <c r="F104" s="68" t="str">
        <f t="array" ref="F104">IF(INDEX('Binder Data'!$A$1002:$A$1251,ROW()-1)="","",IF(INDEX('Binder Data'!$D$1002:$D$1251,ROW()-1)="Needed",INDEX('Binder Data'!$B$1002:$B$1251,ROW()-1),INDEX('Binder Data'!$D$1002:$D$1251,ROW()-1)))</f>
        <v/>
      </c>
      <c r="G104" s="66"/>
      <c r="H104" s="66"/>
      <c r="I104" s="66"/>
      <c r="J104" s="66"/>
      <c r="K104" s="66"/>
      <c r="L104" s="66"/>
      <c r="M104" s="66"/>
      <c r="N104" s="66"/>
      <c r="O104" s="71"/>
      <c r="P104" s="66"/>
      <c r="Q104" s="66"/>
      <c r="R104" s="66"/>
      <c r="S104" s="66"/>
      <c r="T104" s="66"/>
      <c r="U104" s="66"/>
      <c r="V104" s="66"/>
      <c r="W104" s="66"/>
      <c r="X104" s="66"/>
      <c r="Y104" s="66"/>
      <c r="Z104" s="66"/>
      <c r="AA104" s="66"/>
    </row>
    <row r="105" ht="15.75" customHeight="1">
      <c r="A105" s="66"/>
      <c r="B105" s="66"/>
      <c r="C105" s="70"/>
      <c r="D105" s="66"/>
      <c r="E105" s="66"/>
      <c r="F105" s="68" t="str">
        <f t="array" ref="F105">IF(INDEX('Binder Data'!$A$1002:$A$1251,ROW()-1)="","",IF(INDEX('Binder Data'!$D$1002:$D$1251,ROW()-1)="Needed",INDEX('Binder Data'!$B$1002:$B$1251,ROW()-1),INDEX('Binder Data'!$D$1002:$D$1251,ROW()-1)))</f>
        <v/>
      </c>
      <c r="G105" s="66"/>
      <c r="H105" s="66"/>
      <c r="I105" s="66"/>
      <c r="J105" s="66"/>
      <c r="K105" s="66"/>
      <c r="L105" s="66"/>
      <c r="M105" s="66"/>
      <c r="N105" s="66"/>
      <c r="O105" s="71"/>
      <c r="P105" s="66"/>
      <c r="Q105" s="66"/>
      <c r="R105" s="66"/>
      <c r="S105" s="66"/>
      <c r="T105" s="66"/>
      <c r="U105" s="66"/>
      <c r="V105" s="66"/>
      <c r="W105" s="66"/>
      <c r="X105" s="66"/>
      <c r="Y105" s="66"/>
      <c r="Z105" s="66"/>
      <c r="AA105" s="66"/>
    </row>
    <row r="106" ht="15.75" customHeight="1">
      <c r="A106" s="66"/>
      <c r="B106" s="66"/>
      <c r="C106" s="70"/>
      <c r="D106" s="66"/>
      <c r="E106" s="66"/>
      <c r="F106" s="68" t="str">
        <f t="array" ref="F106">IF(INDEX('Binder Data'!$A$1002:$A$1251,ROW()-1)="","",IF(INDEX('Binder Data'!$D$1002:$D$1251,ROW()-1)="Needed",INDEX('Binder Data'!$B$1002:$B$1251,ROW()-1),INDEX('Binder Data'!$D$1002:$D$1251,ROW()-1)))</f>
        <v/>
      </c>
      <c r="G106" s="66"/>
      <c r="H106" s="66"/>
      <c r="I106" s="66"/>
      <c r="J106" s="66"/>
      <c r="K106" s="66"/>
      <c r="L106" s="66"/>
      <c r="M106" s="66"/>
      <c r="N106" s="66"/>
      <c r="O106" s="66"/>
      <c r="P106" s="66"/>
      <c r="Q106" s="66"/>
      <c r="R106" s="66"/>
      <c r="S106" s="66"/>
      <c r="T106" s="66"/>
      <c r="U106" s="66"/>
      <c r="V106" s="66"/>
      <c r="W106" s="66"/>
      <c r="X106" s="66"/>
      <c r="Y106" s="66"/>
      <c r="Z106" s="66"/>
      <c r="AA106" s="66"/>
    </row>
    <row r="107" ht="15.75" customHeight="1">
      <c r="A107" s="66"/>
      <c r="B107" s="66"/>
      <c r="C107" s="70"/>
      <c r="D107" s="66"/>
      <c r="E107" s="66"/>
      <c r="F107" s="68" t="str">
        <f t="array" ref="F107">IF(INDEX('Binder Data'!$A$1002:$A$1251,ROW()-1)="","",IF(INDEX('Binder Data'!$D$1002:$D$1251,ROW()-1)="Needed",INDEX('Binder Data'!$B$1002:$B$1251,ROW()-1),INDEX('Binder Data'!$D$1002:$D$1251,ROW()-1)))</f>
        <v/>
      </c>
      <c r="G107" s="66"/>
      <c r="H107" s="66"/>
      <c r="I107" s="66"/>
      <c r="J107" s="66"/>
      <c r="K107" s="66"/>
      <c r="L107" s="66"/>
      <c r="M107" s="66"/>
      <c r="N107" s="66"/>
      <c r="O107" s="66"/>
      <c r="P107" s="66"/>
      <c r="Q107" s="66"/>
      <c r="R107" s="66"/>
      <c r="S107" s="66"/>
      <c r="T107" s="66"/>
      <c r="U107" s="66"/>
      <c r="V107" s="66"/>
      <c r="W107" s="66"/>
      <c r="X107" s="66"/>
      <c r="Y107" s="66"/>
      <c r="Z107" s="66"/>
      <c r="AA107" s="66"/>
    </row>
    <row r="108" ht="15.75" customHeight="1">
      <c r="A108" s="66"/>
      <c r="B108" s="66"/>
      <c r="C108" s="70"/>
      <c r="D108" s="66"/>
      <c r="E108" s="66"/>
      <c r="F108" s="68" t="str">
        <f t="array" ref="F108">IF(INDEX('Binder Data'!$A$1002:$A$1251,ROW()-1)="","",IF(INDEX('Binder Data'!$D$1002:$D$1251,ROW()-1)="Needed",INDEX('Binder Data'!$B$1002:$B$1251,ROW()-1),INDEX('Binder Data'!$D$1002:$D$1251,ROW()-1)))</f>
        <v/>
      </c>
      <c r="G108" s="66"/>
      <c r="H108" s="66"/>
      <c r="I108" s="66"/>
      <c r="J108" s="66"/>
      <c r="K108" s="66"/>
      <c r="L108" s="66"/>
      <c r="M108" s="66"/>
      <c r="N108" s="66"/>
      <c r="O108" s="66"/>
      <c r="P108" s="66"/>
      <c r="Q108" s="66"/>
      <c r="R108" s="66"/>
      <c r="S108" s="66"/>
      <c r="T108" s="66"/>
      <c r="U108" s="66"/>
      <c r="V108" s="66"/>
      <c r="W108" s="66"/>
      <c r="X108" s="66"/>
      <c r="Y108" s="66"/>
      <c r="Z108" s="66"/>
      <c r="AA108" s="66"/>
    </row>
    <row r="109" ht="15.75" customHeight="1">
      <c r="A109" s="66"/>
      <c r="B109" s="66"/>
      <c r="C109" s="70"/>
      <c r="D109" s="66"/>
      <c r="E109" s="66"/>
      <c r="F109" s="68" t="str">
        <f t="array" ref="F109">IF(INDEX('Binder Data'!$A$1002:$A$1251,ROW()-1)="","",IF(INDEX('Binder Data'!$D$1002:$D$1251,ROW()-1)="Needed",INDEX('Binder Data'!$B$1002:$B$1251,ROW()-1),INDEX('Binder Data'!$D$1002:$D$1251,ROW()-1)))</f>
        <v/>
      </c>
      <c r="G109" s="66"/>
      <c r="H109" s="66"/>
      <c r="I109" s="66"/>
      <c r="J109" s="66"/>
      <c r="K109" s="66"/>
      <c r="L109" s="66"/>
      <c r="M109" s="66"/>
      <c r="N109" s="66"/>
      <c r="O109" s="66"/>
      <c r="P109" s="66"/>
      <c r="Q109" s="66"/>
      <c r="R109" s="66"/>
      <c r="S109" s="66"/>
      <c r="T109" s="66"/>
      <c r="U109" s="66"/>
      <c r="V109" s="66"/>
      <c r="W109" s="66"/>
      <c r="X109" s="66"/>
      <c r="Y109" s="66"/>
      <c r="Z109" s="66"/>
      <c r="AA109" s="66"/>
    </row>
    <row r="110" ht="15.75" customHeight="1">
      <c r="A110" s="66"/>
      <c r="B110" s="66"/>
      <c r="C110" s="70"/>
      <c r="D110" s="66"/>
      <c r="E110" s="66"/>
      <c r="F110" s="68" t="str">
        <f t="array" ref="F110">IF(INDEX('Binder Data'!$A$1002:$A$1251,ROW()-1)="","",IF(INDEX('Binder Data'!$D$1002:$D$1251,ROW()-1)="Needed",INDEX('Binder Data'!$B$1002:$B$1251,ROW()-1),INDEX('Binder Data'!$D$1002:$D$1251,ROW()-1)))</f>
        <v/>
      </c>
      <c r="G110" s="66"/>
      <c r="H110" s="66"/>
      <c r="I110" s="66"/>
      <c r="J110" s="66"/>
      <c r="K110" s="66"/>
      <c r="L110" s="66"/>
      <c r="M110" s="66"/>
      <c r="N110" s="66"/>
      <c r="O110" s="66"/>
      <c r="P110" s="66"/>
      <c r="Q110" s="66"/>
      <c r="R110" s="66"/>
      <c r="S110" s="66"/>
      <c r="T110" s="66"/>
      <c r="U110" s="66"/>
      <c r="V110" s="66"/>
      <c r="W110" s="66"/>
      <c r="X110" s="66"/>
      <c r="Y110" s="66"/>
      <c r="Z110" s="66"/>
      <c r="AA110" s="66"/>
    </row>
    <row r="111" ht="15.75" customHeight="1">
      <c r="A111" s="66"/>
      <c r="B111" s="66"/>
      <c r="C111" s="70"/>
      <c r="D111" s="66"/>
      <c r="E111" s="66"/>
      <c r="F111" s="68" t="str">
        <f t="array" ref="F111">IF(INDEX('Binder Data'!$A$1002:$A$1251,ROW()-1)="","",IF(INDEX('Binder Data'!$D$1002:$D$1251,ROW()-1)="Needed",INDEX('Binder Data'!$B$1002:$B$1251,ROW()-1),INDEX('Binder Data'!$D$1002:$D$1251,ROW()-1)))</f>
        <v/>
      </c>
      <c r="G111" s="66"/>
      <c r="H111" s="66"/>
      <c r="I111" s="66"/>
      <c r="J111" s="66"/>
      <c r="K111" s="66"/>
      <c r="L111" s="66"/>
      <c r="M111" s="66"/>
      <c r="N111" s="66"/>
      <c r="O111" s="66"/>
      <c r="P111" s="66"/>
      <c r="Q111" s="66"/>
      <c r="R111" s="66"/>
      <c r="S111" s="66"/>
      <c r="T111" s="66"/>
      <c r="U111" s="66"/>
      <c r="V111" s="66"/>
      <c r="W111" s="66"/>
      <c r="X111" s="66"/>
      <c r="Y111" s="66"/>
      <c r="Z111" s="66"/>
      <c r="AA111" s="66"/>
    </row>
    <row r="112" ht="15.75" customHeight="1">
      <c r="A112" s="66"/>
      <c r="B112" s="66"/>
      <c r="C112" s="70"/>
      <c r="D112" s="66"/>
      <c r="E112" s="66"/>
      <c r="F112" s="68" t="str">
        <f t="array" ref="F112">IF(INDEX('Binder Data'!$A$1002:$A$1251,ROW()-1)="","",IF(INDEX('Binder Data'!$D$1002:$D$1251,ROW()-1)="Needed",INDEX('Binder Data'!$B$1002:$B$1251,ROW()-1),INDEX('Binder Data'!$D$1002:$D$1251,ROW()-1)))</f>
        <v/>
      </c>
      <c r="G112" s="66"/>
      <c r="H112" s="66"/>
      <c r="I112" s="66"/>
      <c r="J112" s="66"/>
      <c r="K112" s="66"/>
      <c r="L112" s="66"/>
      <c r="M112" s="66"/>
      <c r="N112" s="66"/>
      <c r="O112" s="66"/>
      <c r="P112" s="66"/>
      <c r="Q112" s="66"/>
      <c r="R112" s="66"/>
      <c r="S112" s="66"/>
      <c r="T112" s="66"/>
      <c r="U112" s="66"/>
      <c r="V112" s="66"/>
      <c r="W112" s="66"/>
      <c r="X112" s="66"/>
      <c r="Y112" s="66"/>
      <c r="Z112" s="66"/>
      <c r="AA112" s="66"/>
    </row>
    <row r="113" ht="15.75" customHeight="1">
      <c r="A113" s="66"/>
      <c r="B113" s="66"/>
      <c r="C113" s="70"/>
      <c r="D113" s="66"/>
      <c r="E113" s="66"/>
      <c r="F113" s="68" t="str">
        <f t="array" ref="F113">IF(INDEX('Binder Data'!$A$1002:$A$1251,ROW()-1)="","",IF(INDEX('Binder Data'!$D$1002:$D$1251,ROW()-1)="Needed",INDEX('Binder Data'!$B$1002:$B$1251,ROW()-1),INDEX('Binder Data'!$D$1002:$D$1251,ROW()-1)))</f>
        <v/>
      </c>
      <c r="G113" s="66"/>
      <c r="H113" s="66"/>
      <c r="I113" s="66"/>
      <c r="J113" s="66"/>
      <c r="K113" s="66"/>
      <c r="L113" s="66"/>
      <c r="M113" s="66"/>
      <c r="N113" s="66"/>
      <c r="O113" s="66"/>
      <c r="P113" s="66"/>
      <c r="Q113" s="66"/>
      <c r="R113" s="66"/>
      <c r="S113" s="66"/>
      <c r="T113" s="66"/>
      <c r="U113" s="66"/>
      <c r="V113" s="66"/>
      <c r="W113" s="66"/>
      <c r="X113" s="66"/>
      <c r="Y113" s="66"/>
      <c r="Z113" s="66"/>
      <c r="AA113" s="66"/>
    </row>
    <row r="114" ht="15.75" customHeight="1">
      <c r="A114" s="66"/>
      <c r="B114" s="66"/>
      <c r="C114" s="70"/>
      <c r="D114" s="66"/>
      <c r="E114" s="66"/>
      <c r="F114" s="68" t="str">
        <f t="array" ref="F114">IF(INDEX('Binder Data'!$A$1002:$A$1251,ROW()-1)="","",IF(INDEX('Binder Data'!$D$1002:$D$1251,ROW()-1)="Needed",INDEX('Binder Data'!$B$1002:$B$1251,ROW()-1),INDEX('Binder Data'!$D$1002:$D$1251,ROW()-1)))</f>
        <v/>
      </c>
      <c r="G114" s="66"/>
      <c r="H114" s="66"/>
      <c r="I114" s="66"/>
      <c r="J114" s="66"/>
      <c r="K114" s="66"/>
      <c r="L114" s="66"/>
      <c r="M114" s="66"/>
      <c r="N114" s="66"/>
      <c r="O114" s="66"/>
      <c r="P114" s="66"/>
      <c r="Q114" s="66"/>
      <c r="R114" s="66"/>
      <c r="S114" s="66"/>
      <c r="T114" s="66"/>
      <c r="U114" s="66"/>
      <c r="V114" s="66"/>
      <c r="W114" s="66"/>
      <c r="X114" s="66"/>
      <c r="Y114" s="66"/>
      <c r="Z114" s="66"/>
      <c r="AA114" s="66"/>
    </row>
    <row r="115" ht="15.75" customHeight="1">
      <c r="A115" s="66"/>
      <c r="B115" s="66"/>
      <c r="C115" s="70"/>
      <c r="D115" s="66"/>
      <c r="E115" s="66"/>
      <c r="F115" s="68" t="str">
        <f t="array" ref="F115">IF(INDEX('Binder Data'!$A$1002:$A$1251,ROW()-1)="","",IF(INDEX('Binder Data'!$D$1002:$D$1251,ROW()-1)="Needed",INDEX('Binder Data'!$B$1002:$B$1251,ROW()-1),INDEX('Binder Data'!$D$1002:$D$1251,ROW()-1)))</f>
        <v/>
      </c>
      <c r="G115" s="66"/>
      <c r="H115" s="66"/>
      <c r="I115" s="66"/>
      <c r="J115" s="66"/>
      <c r="K115" s="66"/>
      <c r="L115" s="66"/>
      <c r="M115" s="66"/>
      <c r="N115" s="66"/>
      <c r="O115" s="66"/>
      <c r="P115" s="66"/>
      <c r="Q115" s="66"/>
      <c r="R115" s="66"/>
      <c r="S115" s="66"/>
      <c r="T115" s="66"/>
      <c r="U115" s="66"/>
      <c r="V115" s="66"/>
      <c r="W115" s="66"/>
      <c r="X115" s="66"/>
      <c r="Y115" s="66"/>
      <c r="Z115" s="66"/>
      <c r="AA115" s="66"/>
    </row>
    <row r="116" ht="15.75" customHeight="1">
      <c r="A116" s="66"/>
      <c r="B116" s="66"/>
      <c r="C116" s="70"/>
      <c r="D116" s="66"/>
      <c r="E116" s="66"/>
      <c r="F116" s="68" t="str">
        <f t="array" ref="F116">IF(INDEX('Binder Data'!$A$1002:$A$1251,ROW()-1)="","",IF(INDEX('Binder Data'!$D$1002:$D$1251,ROW()-1)="Needed",INDEX('Binder Data'!$B$1002:$B$1251,ROW()-1),INDEX('Binder Data'!$D$1002:$D$1251,ROW()-1)))</f>
        <v/>
      </c>
      <c r="G116" s="66"/>
      <c r="H116" s="66"/>
      <c r="I116" s="66"/>
      <c r="J116" s="66"/>
      <c r="K116" s="66"/>
      <c r="L116" s="66"/>
      <c r="M116" s="66"/>
      <c r="N116" s="66"/>
      <c r="O116" s="66"/>
      <c r="P116" s="66"/>
      <c r="Q116" s="66"/>
      <c r="R116" s="66"/>
      <c r="S116" s="66"/>
      <c r="T116" s="66"/>
      <c r="U116" s="66"/>
      <c r="V116" s="66"/>
      <c r="W116" s="66"/>
      <c r="X116" s="66"/>
      <c r="Y116" s="66"/>
      <c r="Z116" s="66"/>
      <c r="AA116" s="66"/>
    </row>
    <row r="117" ht="15.75" customHeight="1">
      <c r="A117" s="66"/>
      <c r="B117" s="66"/>
      <c r="C117" s="70"/>
      <c r="D117" s="66"/>
      <c r="E117" s="66"/>
      <c r="F117" s="68" t="str">
        <f t="array" ref="F117">IF(INDEX('Binder Data'!$A$1002:$A$1251,ROW()-1)="","",IF(INDEX('Binder Data'!$D$1002:$D$1251,ROW()-1)="Needed",INDEX('Binder Data'!$B$1002:$B$1251,ROW()-1),INDEX('Binder Data'!$D$1002:$D$1251,ROW()-1)))</f>
        <v/>
      </c>
      <c r="G117" s="66"/>
      <c r="H117" s="66"/>
      <c r="I117" s="66"/>
      <c r="J117" s="66"/>
      <c r="K117" s="66"/>
      <c r="L117" s="66"/>
      <c r="M117" s="66"/>
      <c r="N117" s="66"/>
      <c r="O117" s="66"/>
      <c r="P117" s="66"/>
      <c r="Q117" s="66"/>
      <c r="R117" s="66"/>
      <c r="S117" s="66"/>
      <c r="T117" s="66"/>
      <c r="U117" s="66"/>
      <c r="V117" s="66"/>
      <c r="W117" s="66"/>
      <c r="X117" s="66"/>
      <c r="Y117" s="66"/>
      <c r="Z117" s="66"/>
      <c r="AA117" s="66"/>
    </row>
    <row r="118" ht="15.75" customHeight="1">
      <c r="A118" s="66"/>
      <c r="B118" s="66"/>
      <c r="C118" s="70"/>
      <c r="D118" s="66"/>
      <c r="E118" s="66"/>
      <c r="F118" s="68" t="str">
        <f t="array" ref="F118">IF(INDEX('Binder Data'!$A$1002:$A$1251,ROW()-1)="","",IF(INDEX('Binder Data'!$D$1002:$D$1251,ROW()-1)="Needed",INDEX('Binder Data'!$B$1002:$B$1251,ROW()-1),INDEX('Binder Data'!$D$1002:$D$1251,ROW()-1)))</f>
        <v/>
      </c>
      <c r="G118" s="66"/>
      <c r="H118" s="66"/>
      <c r="I118" s="66"/>
      <c r="J118" s="66"/>
      <c r="K118" s="66"/>
      <c r="L118" s="66"/>
      <c r="M118" s="66"/>
      <c r="N118" s="66"/>
      <c r="O118" s="66"/>
      <c r="P118" s="66"/>
      <c r="Q118" s="66"/>
      <c r="R118" s="66"/>
      <c r="S118" s="66"/>
      <c r="T118" s="66"/>
      <c r="U118" s="66"/>
      <c r="V118" s="66"/>
      <c r="W118" s="66"/>
      <c r="X118" s="66"/>
      <c r="Y118" s="66"/>
      <c r="Z118" s="66"/>
      <c r="AA118" s="66"/>
    </row>
    <row r="119" ht="15.75" customHeight="1">
      <c r="A119" s="66"/>
      <c r="B119" s="66"/>
      <c r="C119" s="70"/>
      <c r="D119" s="66"/>
      <c r="E119" s="66"/>
      <c r="F119" s="68" t="str">
        <f t="array" ref="F119">IF(INDEX('Binder Data'!$A$1002:$A$1251,ROW()-1)="","",IF(INDEX('Binder Data'!$D$1002:$D$1251,ROW()-1)="Needed",INDEX('Binder Data'!$B$1002:$B$1251,ROW()-1),INDEX('Binder Data'!$D$1002:$D$1251,ROW()-1)))</f>
        <v/>
      </c>
      <c r="G119" s="66"/>
      <c r="H119" s="66"/>
      <c r="I119" s="66"/>
      <c r="J119" s="66"/>
      <c r="K119" s="66"/>
      <c r="L119" s="66"/>
      <c r="M119" s="66"/>
      <c r="N119" s="66"/>
      <c r="O119" s="66"/>
      <c r="P119" s="66"/>
      <c r="Q119" s="66"/>
      <c r="R119" s="66"/>
      <c r="S119" s="66"/>
      <c r="T119" s="66"/>
      <c r="U119" s="66"/>
      <c r="V119" s="66"/>
      <c r="W119" s="66"/>
      <c r="X119" s="66"/>
      <c r="Y119" s="66"/>
      <c r="Z119" s="66"/>
      <c r="AA119" s="66"/>
    </row>
    <row r="120" ht="15.75" customHeight="1">
      <c r="A120" s="66"/>
      <c r="B120" s="66"/>
      <c r="C120" s="70"/>
      <c r="D120" s="66"/>
      <c r="E120" s="66"/>
      <c r="F120" s="68" t="str">
        <f t="array" ref="F120">IF(INDEX('Binder Data'!$A$1002:$A$1251,ROW()-1)="","",IF(INDEX('Binder Data'!$D$1002:$D$1251,ROW()-1)="Needed",INDEX('Binder Data'!$B$1002:$B$1251,ROW()-1),INDEX('Binder Data'!$D$1002:$D$1251,ROW()-1)))</f>
        <v/>
      </c>
      <c r="G120" s="66"/>
      <c r="H120" s="66"/>
      <c r="I120" s="66"/>
      <c r="J120" s="66"/>
      <c r="K120" s="66"/>
      <c r="L120" s="66"/>
      <c r="M120" s="66"/>
      <c r="N120" s="66"/>
      <c r="O120" s="66"/>
      <c r="P120" s="66"/>
      <c r="Q120" s="66"/>
      <c r="R120" s="66"/>
      <c r="S120" s="66"/>
      <c r="T120" s="66"/>
      <c r="U120" s="66"/>
      <c r="V120" s="66"/>
      <c r="W120" s="66"/>
      <c r="X120" s="66"/>
      <c r="Y120" s="66"/>
      <c r="Z120" s="66"/>
      <c r="AA120" s="66"/>
    </row>
    <row r="121" ht="15.75" customHeight="1">
      <c r="A121" s="66"/>
      <c r="B121" s="66"/>
      <c r="C121" s="70"/>
      <c r="D121" s="66"/>
      <c r="E121" s="66"/>
      <c r="F121" s="68" t="str">
        <f t="array" ref="F121">IF(INDEX('Binder Data'!$A$1002:$A$1251,ROW()-1)="","",IF(INDEX('Binder Data'!$D$1002:$D$1251,ROW()-1)="Needed",INDEX('Binder Data'!$B$1002:$B$1251,ROW()-1),INDEX('Binder Data'!$D$1002:$D$1251,ROW()-1)))</f>
        <v/>
      </c>
      <c r="G121" s="66"/>
      <c r="H121" s="66"/>
      <c r="I121" s="66"/>
      <c r="J121" s="66"/>
      <c r="K121" s="66"/>
      <c r="L121" s="66"/>
      <c r="M121" s="66"/>
      <c r="N121" s="66"/>
      <c r="O121" s="66"/>
      <c r="P121" s="66"/>
      <c r="Q121" s="66"/>
      <c r="R121" s="66"/>
      <c r="S121" s="66"/>
      <c r="T121" s="66"/>
      <c r="U121" s="66"/>
      <c r="V121" s="66"/>
      <c r="W121" s="66"/>
      <c r="X121" s="66"/>
      <c r="Y121" s="66"/>
      <c r="Z121" s="66"/>
      <c r="AA121" s="66"/>
    </row>
    <row r="122" ht="15.75" customHeight="1">
      <c r="A122" s="66"/>
      <c r="B122" s="66"/>
      <c r="C122" s="70"/>
      <c r="D122" s="66"/>
      <c r="E122" s="66"/>
      <c r="F122" s="68" t="str">
        <f t="array" ref="F122">IF(INDEX('Binder Data'!$A$1002:$A$1251,ROW()-1)="","",IF(INDEX('Binder Data'!$D$1002:$D$1251,ROW()-1)="Needed",INDEX('Binder Data'!$B$1002:$B$1251,ROW()-1),INDEX('Binder Data'!$D$1002:$D$1251,ROW()-1)))</f>
        <v/>
      </c>
      <c r="G122" s="66"/>
      <c r="H122" s="66"/>
      <c r="I122" s="66"/>
      <c r="J122" s="66"/>
      <c r="K122" s="66"/>
      <c r="L122" s="66"/>
      <c r="M122" s="66"/>
      <c r="N122" s="66"/>
      <c r="O122" s="66"/>
      <c r="P122" s="66"/>
      <c r="Q122" s="66"/>
      <c r="R122" s="66"/>
      <c r="S122" s="66"/>
      <c r="T122" s="66"/>
      <c r="U122" s="66"/>
      <c r="V122" s="66"/>
      <c r="W122" s="66"/>
      <c r="X122" s="66"/>
      <c r="Y122" s="66"/>
      <c r="Z122" s="66"/>
      <c r="AA122" s="66"/>
    </row>
    <row r="123" ht="15.75" customHeight="1">
      <c r="A123" s="66"/>
      <c r="B123" s="66"/>
      <c r="C123" s="70"/>
      <c r="D123" s="66"/>
      <c r="E123" s="66"/>
      <c r="F123" s="68" t="str">
        <f t="array" ref="F123">IF(INDEX('Binder Data'!$A$1002:$A$1251,ROW()-1)="","",IF(INDEX('Binder Data'!$D$1002:$D$1251,ROW()-1)="Needed",INDEX('Binder Data'!$B$1002:$B$1251,ROW()-1),INDEX('Binder Data'!$D$1002:$D$1251,ROW()-1)))</f>
        <v/>
      </c>
      <c r="G123" s="66"/>
      <c r="H123" s="66"/>
      <c r="I123" s="66"/>
      <c r="J123" s="66"/>
      <c r="K123" s="66"/>
      <c r="L123" s="66"/>
      <c r="M123" s="66"/>
      <c r="N123" s="66"/>
      <c r="O123" s="66"/>
      <c r="P123" s="66"/>
      <c r="Q123" s="66"/>
      <c r="R123" s="66"/>
      <c r="S123" s="66"/>
      <c r="T123" s="66"/>
      <c r="U123" s="66"/>
      <c r="V123" s="66"/>
      <c r="W123" s="66"/>
      <c r="X123" s="66"/>
      <c r="Y123" s="66"/>
      <c r="Z123" s="66"/>
      <c r="AA123" s="66"/>
    </row>
    <row r="124" ht="15.75" customHeight="1">
      <c r="A124" s="66"/>
      <c r="B124" s="66"/>
      <c r="C124" s="70"/>
      <c r="D124" s="66"/>
      <c r="E124" s="66"/>
      <c r="F124" s="68" t="str">
        <f t="array" ref="F124">IF(INDEX('Binder Data'!$A$1002:$A$1251,ROW()-1)="","",IF(INDEX('Binder Data'!$D$1002:$D$1251,ROW()-1)="Needed",INDEX('Binder Data'!$B$1002:$B$1251,ROW()-1),INDEX('Binder Data'!$D$1002:$D$1251,ROW()-1)))</f>
        <v/>
      </c>
      <c r="G124" s="66"/>
      <c r="H124" s="66"/>
      <c r="I124" s="66"/>
      <c r="J124" s="66"/>
      <c r="K124" s="66"/>
      <c r="L124" s="66"/>
      <c r="M124" s="66"/>
      <c r="N124" s="66"/>
      <c r="O124" s="66"/>
      <c r="P124" s="66"/>
      <c r="Q124" s="66"/>
      <c r="R124" s="66"/>
      <c r="S124" s="66"/>
      <c r="T124" s="66"/>
      <c r="U124" s="66"/>
      <c r="V124" s="66"/>
      <c r="W124" s="66"/>
      <c r="X124" s="66"/>
      <c r="Y124" s="66"/>
      <c r="Z124" s="66"/>
      <c r="AA124" s="66"/>
    </row>
    <row r="125" ht="15.75" customHeight="1">
      <c r="A125" s="66"/>
      <c r="B125" s="66"/>
      <c r="C125" s="70"/>
      <c r="D125" s="66"/>
      <c r="E125" s="66"/>
      <c r="F125" s="68" t="str">
        <f t="array" ref="F125">IF(INDEX('Binder Data'!$A$1002:$A$1251,ROW()-1)="","",IF(INDEX('Binder Data'!$D$1002:$D$1251,ROW()-1)="Needed",INDEX('Binder Data'!$B$1002:$B$1251,ROW()-1),INDEX('Binder Data'!$D$1002:$D$1251,ROW()-1)))</f>
        <v/>
      </c>
      <c r="G125" s="66"/>
      <c r="H125" s="66"/>
      <c r="I125" s="66"/>
      <c r="J125" s="66"/>
      <c r="K125" s="66"/>
      <c r="L125" s="66"/>
      <c r="M125" s="66"/>
      <c r="N125" s="66"/>
      <c r="O125" s="66"/>
      <c r="P125" s="66"/>
      <c r="Q125" s="66"/>
      <c r="R125" s="66"/>
      <c r="S125" s="66"/>
      <c r="T125" s="66"/>
      <c r="U125" s="66"/>
      <c r="V125" s="66"/>
      <c r="W125" s="66"/>
      <c r="X125" s="66"/>
      <c r="Y125" s="66"/>
      <c r="Z125" s="66"/>
      <c r="AA125" s="66"/>
    </row>
    <row r="126" ht="15.75" customHeight="1">
      <c r="A126" s="66"/>
      <c r="B126" s="66"/>
      <c r="C126" s="70"/>
      <c r="D126" s="66"/>
      <c r="E126" s="66"/>
      <c r="F126" s="68" t="str">
        <f t="array" ref="F126">IF(INDEX('Binder Data'!$A$1002:$A$1251,ROW()-1)="","",IF(INDEX('Binder Data'!$D$1002:$D$1251,ROW()-1)="Needed",INDEX('Binder Data'!$B$1002:$B$1251,ROW()-1),INDEX('Binder Data'!$D$1002:$D$1251,ROW()-1)))</f>
        <v/>
      </c>
      <c r="G126" s="66"/>
      <c r="H126" s="66"/>
      <c r="I126" s="66"/>
      <c r="J126" s="66"/>
      <c r="K126" s="66"/>
      <c r="L126" s="66"/>
      <c r="M126" s="66"/>
      <c r="N126" s="66"/>
      <c r="O126" s="66"/>
      <c r="P126" s="66"/>
      <c r="Q126" s="66"/>
      <c r="R126" s="66"/>
      <c r="S126" s="66"/>
      <c r="T126" s="66"/>
      <c r="U126" s="66"/>
      <c r="V126" s="66"/>
      <c r="W126" s="66"/>
      <c r="X126" s="66"/>
      <c r="Y126" s="66"/>
      <c r="Z126" s="66"/>
      <c r="AA126" s="66"/>
    </row>
    <row r="127" ht="15.75" customHeight="1">
      <c r="A127" s="66"/>
      <c r="B127" s="66"/>
      <c r="C127" s="70"/>
      <c r="D127" s="66"/>
      <c r="E127" s="66"/>
      <c r="F127" s="68" t="str">
        <f t="array" ref="F127">IF(INDEX('Binder Data'!$A$1002:$A$1251,ROW()-1)="","",IF(INDEX('Binder Data'!$D$1002:$D$1251,ROW()-1)="Needed",INDEX('Binder Data'!$B$1002:$B$1251,ROW()-1),INDEX('Binder Data'!$D$1002:$D$1251,ROW()-1)))</f>
        <v/>
      </c>
      <c r="G127" s="66"/>
      <c r="H127" s="66"/>
      <c r="I127" s="66"/>
      <c r="J127" s="66"/>
      <c r="K127" s="66"/>
      <c r="L127" s="66"/>
      <c r="M127" s="66"/>
      <c r="N127" s="66"/>
      <c r="O127" s="66"/>
      <c r="P127" s="66"/>
      <c r="Q127" s="66"/>
      <c r="R127" s="66"/>
      <c r="S127" s="66"/>
      <c r="T127" s="66"/>
      <c r="U127" s="66"/>
      <c r="V127" s="66"/>
      <c r="W127" s="66"/>
      <c r="X127" s="66"/>
      <c r="Y127" s="66"/>
      <c r="Z127" s="66"/>
      <c r="AA127" s="66"/>
    </row>
    <row r="128" ht="15.75" customHeight="1">
      <c r="A128" s="66"/>
      <c r="B128" s="66"/>
      <c r="C128" s="70"/>
      <c r="D128" s="66"/>
      <c r="E128" s="66"/>
      <c r="F128" s="68" t="str">
        <f t="array" ref="F128">IF(INDEX('Binder Data'!$A$1002:$A$1251,ROW()-1)="","",IF(INDEX('Binder Data'!$D$1002:$D$1251,ROW()-1)="Needed",INDEX('Binder Data'!$B$1002:$B$1251,ROW()-1),INDEX('Binder Data'!$D$1002:$D$1251,ROW()-1)))</f>
        <v/>
      </c>
      <c r="G128" s="66"/>
      <c r="H128" s="66"/>
      <c r="I128" s="66"/>
      <c r="J128" s="66"/>
      <c r="K128" s="66"/>
      <c r="L128" s="66"/>
      <c r="M128" s="66"/>
      <c r="N128" s="66"/>
      <c r="O128" s="66"/>
      <c r="P128" s="66"/>
      <c r="Q128" s="66"/>
      <c r="R128" s="66"/>
      <c r="S128" s="66"/>
      <c r="T128" s="66"/>
      <c r="U128" s="66"/>
      <c r="V128" s="66"/>
      <c r="W128" s="66"/>
      <c r="X128" s="66"/>
      <c r="Y128" s="66"/>
      <c r="Z128" s="66"/>
      <c r="AA128" s="66"/>
    </row>
    <row r="129" ht="15.75" customHeight="1">
      <c r="A129" s="66"/>
      <c r="B129" s="66"/>
      <c r="C129" s="70"/>
      <c r="D129" s="66"/>
      <c r="E129" s="66"/>
      <c r="F129" s="68" t="str">
        <f t="array" ref="F129">IF(INDEX('Binder Data'!$A$1002:$A$1251,ROW()-1)="","",IF(INDEX('Binder Data'!$D$1002:$D$1251,ROW()-1)="Needed",INDEX('Binder Data'!$B$1002:$B$1251,ROW()-1),INDEX('Binder Data'!$D$1002:$D$1251,ROW()-1)))</f>
        <v/>
      </c>
      <c r="G129" s="66"/>
      <c r="H129" s="66"/>
      <c r="I129" s="66"/>
      <c r="J129" s="66"/>
      <c r="K129" s="66"/>
      <c r="L129" s="66"/>
      <c r="M129" s="66"/>
      <c r="N129" s="66"/>
      <c r="O129" s="66"/>
      <c r="P129" s="66"/>
      <c r="Q129" s="66"/>
      <c r="R129" s="66"/>
      <c r="S129" s="66"/>
      <c r="T129" s="66"/>
      <c r="U129" s="66"/>
      <c r="V129" s="66"/>
      <c r="W129" s="66"/>
      <c r="X129" s="66"/>
      <c r="Y129" s="66"/>
      <c r="Z129" s="66"/>
      <c r="AA129" s="66"/>
    </row>
    <row r="130" ht="15.75" customHeight="1">
      <c r="A130" s="66"/>
      <c r="B130" s="66"/>
      <c r="C130" s="70"/>
      <c r="D130" s="66"/>
      <c r="E130" s="66"/>
      <c r="F130" s="68" t="str">
        <f t="array" ref="F130">IF(INDEX('Binder Data'!$A$1002:$A$1251,ROW()-1)="","",IF(INDEX('Binder Data'!$D$1002:$D$1251,ROW()-1)="Needed",INDEX('Binder Data'!$B$1002:$B$1251,ROW()-1),INDEX('Binder Data'!$D$1002:$D$1251,ROW()-1)))</f>
        <v/>
      </c>
      <c r="G130" s="66"/>
      <c r="H130" s="66"/>
      <c r="I130" s="66"/>
      <c r="J130" s="66"/>
      <c r="K130" s="66"/>
      <c r="L130" s="66"/>
      <c r="M130" s="66"/>
      <c r="N130" s="66"/>
      <c r="O130" s="66"/>
      <c r="P130" s="66"/>
      <c r="Q130" s="66"/>
      <c r="R130" s="66"/>
      <c r="S130" s="66"/>
      <c r="T130" s="66"/>
      <c r="U130" s="66"/>
      <c r="V130" s="66"/>
      <c r="W130" s="66"/>
      <c r="X130" s="66"/>
      <c r="Y130" s="66"/>
      <c r="Z130" s="66"/>
      <c r="AA130" s="66"/>
    </row>
    <row r="131" ht="15.75" customHeight="1">
      <c r="A131" s="66"/>
      <c r="B131" s="66"/>
      <c r="C131" s="70"/>
      <c r="D131" s="66"/>
      <c r="E131" s="66"/>
      <c r="F131" s="68" t="str">
        <f t="array" ref="F131">IF(INDEX('Binder Data'!$A$1002:$A$1251,ROW()-1)="","",IF(INDEX('Binder Data'!$D$1002:$D$1251,ROW()-1)="Needed",INDEX('Binder Data'!$B$1002:$B$1251,ROW()-1),INDEX('Binder Data'!$D$1002:$D$1251,ROW()-1)))</f>
        <v/>
      </c>
      <c r="G131" s="66"/>
      <c r="H131" s="66"/>
      <c r="I131" s="66"/>
      <c r="J131" s="66"/>
      <c r="K131" s="66"/>
      <c r="L131" s="66"/>
      <c r="M131" s="66"/>
      <c r="N131" s="66"/>
      <c r="O131" s="66"/>
      <c r="P131" s="66"/>
      <c r="Q131" s="66"/>
      <c r="R131" s="66"/>
      <c r="S131" s="66"/>
      <c r="T131" s="66"/>
      <c r="U131" s="66"/>
      <c r="V131" s="66"/>
      <c r="W131" s="66"/>
      <c r="X131" s="66"/>
      <c r="Y131" s="66"/>
      <c r="Z131" s="66"/>
      <c r="AA131" s="66"/>
    </row>
    <row r="132" ht="15.75" customHeight="1">
      <c r="A132" s="66"/>
      <c r="B132" s="66"/>
      <c r="C132" s="70"/>
      <c r="D132" s="66"/>
      <c r="E132" s="66"/>
      <c r="F132" s="68" t="str">
        <f t="array" ref="F132">IF(INDEX('Binder Data'!$A$1002:$A$1251,ROW()-1)="","",IF(INDEX('Binder Data'!$D$1002:$D$1251,ROW()-1)="Needed",INDEX('Binder Data'!$B$1002:$B$1251,ROW()-1),INDEX('Binder Data'!$D$1002:$D$1251,ROW()-1)))</f>
        <v/>
      </c>
      <c r="G132" s="66"/>
      <c r="H132" s="66"/>
      <c r="I132" s="66"/>
      <c r="J132" s="66"/>
      <c r="K132" s="66"/>
      <c r="L132" s="66"/>
      <c r="M132" s="66"/>
      <c r="N132" s="66"/>
      <c r="O132" s="66"/>
      <c r="P132" s="66"/>
      <c r="Q132" s="66"/>
      <c r="R132" s="66"/>
      <c r="S132" s="66"/>
      <c r="T132" s="66"/>
      <c r="U132" s="66"/>
      <c r="V132" s="66"/>
      <c r="W132" s="66"/>
      <c r="X132" s="66"/>
      <c r="Y132" s="66"/>
      <c r="Z132" s="66"/>
      <c r="AA132" s="66"/>
    </row>
    <row r="133" ht="15.75" customHeight="1">
      <c r="A133" s="66"/>
      <c r="B133" s="66"/>
      <c r="C133" s="70"/>
      <c r="D133" s="66"/>
      <c r="E133" s="66"/>
      <c r="F133" s="68" t="str">
        <f t="array" ref="F133">IF(INDEX('Binder Data'!$A$1002:$A$1251,ROW()-1)="","",IF(INDEX('Binder Data'!$D$1002:$D$1251,ROW()-1)="Needed",INDEX('Binder Data'!$B$1002:$B$1251,ROW()-1),INDEX('Binder Data'!$D$1002:$D$1251,ROW()-1)))</f>
        <v/>
      </c>
      <c r="G133" s="66"/>
      <c r="H133" s="66"/>
      <c r="I133" s="66"/>
      <c r="J133" s="66"/>
      <c r="K133" s="66"/>
      <c r="L133" s="66"/>
      <c r="M133" s="66"/>
      <c r="N133" s="66"/>
      <c r="O133" s="66"/>
      <c r="P133" s="66"/>
      <c r="Q133" s="66"/>
      <c r="R133" s="66"/>
      <c r="S133" s="66"/>
      <c r="T133" s="66"/>
      <c r="U133" s="66"/>
      <c r="V133" s="66"/>
      <c r="W133" s="66"/>
      <c r="X133" s="66"/>
      <c r="Y133" s="66"/>
      <c r="Z133" s="66"/>
      <c r="AA133" s="66"/>
    </row>
    <row r="134" ht="15.75" customHeight="1">
      <c r="A134" s="66"/>
      <c r="B134" s="66"/>
      <c r="C134" s="70"/>
      <c r="D134" s="66"/>
      <c r="E134" s="66"/>
      <c r="F134" s="68" t="str">
        <f t="array" ref="F134">IF(INDEX('Binder Data'!$A$1002:$A$1251,ROW()-1)="","",IF(INDEX('Binder Data'!$D$1002:$D$1251,ROW()-1)="Needed",INDEX('Binder Data'!$B$1002:$B$1251,ROW()-1),INDEX('Binder Data'!$D$1002:$D$1251,ROW()-1)))</f>
        <v/>
      </c>
      <c r="G134" s="66"/>
      <c r="H134" s="66"/>
      <c r="I134" s="66"/>
      <c r="J134" s="66"/>
      <c r="K134" s="66"/>
      <c r="L134" s="66"/>
      <c r="M134" s="66"/>
      <c r="N134" s="66"/>
      <c r="O134" s="66"/>
      <c r="P134" s="66"/>
      <c r="Q134" s="66"/>
      <c r="R134" s="66"/>
      <c r="S134" s="66"/>
      <c r="T134" s="66"/>
      <c r="U134" s="66"/>
      <c r="V134" s="66"/>
      <c r="W134" s="66"/>
      <c r="X134" s="66"/>
      <c r="Y134" s="66"/>
      <c r="Z134" s="66"/>
      <c r="AA134" s="66"/>
    </row>
    <row r="135" ht="15.75" customHeight="1">
      <c r="A135" s="66"/>
      <c r="B135" s="66"/>
      <c r="C135" s="70"/>
      <c r="D135" s="66"/>
      <c r="E135" s="66"/>
      <c r="F135" s="68" t="str">
        <f t="array" ref="F135">IF(INDEX('Binder Data'!$A$1002:$A$1251,ROW()-1)="","",IF(INDEX('Binder Data'!$D$1002:$D$1251,ROW()-1)="Needed",INDEX('Binder Data'!$B$1002:$B$1251,ROW()-1),INDEX('Binder Data'!$D$1002:$D$1251,ROW()-1)))</f>
        <v/>
      </c>
      <c r="G135" s="66"/>
      <c r="H135" s="66"/>
      <c r="I135" s="66"/>
      <c r="J135" s="66"/>
      <c r="K135" s="66"/>
      <c r="L135" s="66"/>
      <c r="M135" s="66"/>
      <c r="N135" s="66"/>
      <c r="O135" s="66"/>
      <c r="P135" s="66"/>
      <c r="Q135" s="66"/>
      <c r="R135" s="66"/>
      <c r="S135" s="66"/>
      <c r="T135" s="66"/>
      <c r="U135" s="66"/>
      <c r="V135" s="66"/>
      <c r="W135" s="66"/>
      <c r="X135" s="66"/>
      <c r="Y135" s="66"/>
      <c r="Z135" s="66"/>
      <c r="AA135" s="66"/>
    </row>
    <row r="136" ht="15.75" customHeight="1">
      <c r="A136" s="66"/>
      <c r="B136" s="66"/>
      <c r="C136" s="70"/>
      <c r="D136" s="66"/>
      <c r="E136" s="66"/>
      <c r="F136" s="68" t="str">
        <f t="array" ref="F136">IF(INDEX('Binder Data'!$A$1002:$A$1251,ROW()-1)="","",IF(INDEX('Binder Data'!$D$1002:$D$1251,ROW()-1)="Needed",INDEX('Binder Data'!$B$1002:$B$1251,ROW()-1),INDEX('Binder Data'!$D$1002:$D$1251,ROW()-1)))</f>
        <v/>
      </c>
      <c r="G136" s="66"/>
      <c r="H136" s="66"/>
      <c r="I136" s="66"/>
      <c r="J136" s="66"/>
      <c r="K136" s="66"/>
      <c r="L136" s="66"/>
      <c r="M136" s="66"/>
      <c r="N136" s="66"/>
      <c r="O136" s="66"/>
      <c r="P136" s="66"/>
      <c r="Q136" s="66"/>
      <c r="R136" s="66"/>
      <c r="S136" s="66"/>
      <c r="T136" s="66"/>
      <c r="U136" s="66"/>
      <c r="V136" s="66"/>
      <c r="W136" s="66"/>
      <c r="X136" s="66"/>
      <c r="Y136" s="66"/>
      <c r="Z136" s="66"/>
      <c r="AA136" s="66"/>
    </row>
    <row r="137" ht="15.75" customHeight="1">
      <c r="A137" s="66"/>
      <c r="B137" s="66"/>
      <c r="C137" s="70"/>
      <c r="D137" s="66"/>
      <c r="E137" s="66"/>
      <c r="F137" s="68" t="str">
        <f t="array" ref="F137">IF(INDEX('Binder Data'!$A$1002:$A$1251,ROW()-1)="","",IF(INDEX('Binder Data'!$D$1002:$D$1251,ROW()-1)="Needed",INDEX('Binder Data'!$B$1002:$B$1251,ROW()-1),INDEX('Binder Data'!$D$1002:$D$1251,ROW()-1)))</f>
        <v/>
      </c>
      <c r="G137" s="66"/>
      <c r="H137" s="66"/>
      <c r="I137" s="66"/>
      <c r="J137" s="66"/>
      <c r="K137" s="66"/>
      <c r="L137" s="66"/>
      <c r="M137" s="66"/>
      <c r="N137" s="66"/>
      <c r="O137" s="66"/>
      <c r="P137" s="66"/>
      <c r="Q137" s="66"/>
      <c r="R137" s="66"/>
      <c r="S137" s="66"/>
      <c r="T137" s="66"/>
      <c r="U137" s="66"/>
      <c r="V137" s="66"/>
      <c r="W137" s="66"/>
      <c r="X137" s="66"/>
      <c r="Y137" s="66"/>
      <c r="Z137" s="66"/>
      <c r="AA137" s="66"/>
    </row>
    <row r="138" ht="15.75" customHeight="1">
      <c r="A138" s="66"/>
      <c r="B138" s="66"/>
      <c r="C138" s="70"/>
      <c r="D138" s="66"/>
      <c r="E138" s="66"/>
      <c r="F138" s="68" t="str">
        <f t="array" ref="F138">IF(INDEX('Binder Data'!$A$1002:$A$1251,ROW()-1)="","",IF(INDEX('Binder Data'!$D$1002:$D$1251,ROW()-1)="Needed",INDEX('Binder Data'!$B$1002:$B$1251,ROW()-1),INDEX('Binder Data'!$D$1002:$D$1251,ROW()-1)))</f>
        <v/>
      </c>
      <c r="G138" s="66"/>
      <c r="H138" s="66"/>
      <c r="I138" s="66"/>
      <c r="J138" s="66"/>
      <c r="K138" s="66"/>
      <c r="L138" s="66"/>
      <c r="M138" s="66"/>
      <c r="N138" s="66"/>
      <c r="O138" s="66"/>
      <c r="P138" s="66"/>
      <c r="Q138" s="66"/>
      <c r="R138" s="66"/>
      <c r="S138" s="66"/>
      <c r="T138" s="66"/>
      <c r="U138" s="66"/>
      <c r="V138" s="66"/>
      <c r="W138" s="66"/>
      <c r="X138" s="66"/>
      <c r="Y138" s="66"/>
      <c r="Z138" s="66"/>
      <c r="AA138" s="66"/>
    </row>
    <row r="139" ht="15.75" customHeight="1">
      <c r="A139" s="66"/>
      <c r="B139" s="66"/>
      <c r="C139" s="70"/>
      <c r="D139" s="66"/>
      <c r="E139" s="66"/>
      <c r="F139" s="68" t="str">
        <f t="array" ref="F139">IF(INDEX('Binder Data'!$A$1002:$A$1251,ROW()-1)="","",IF(INDEX('Binder Data'!$D$1002:$D$1251,ROW()-1)="Needed",INDEX('Binder Data'!$B$1002:$B$1251,ROW()-1),INDEX('Binder Data'!$D$1002:$D$1251,ROW()-1)))</f>
        <v/>
      </c>
      <c r="G139" s="66"/>
      <c r="H139" s="66"/>
      <c r="I139" s="66"/>
      <c r="J139" s="66"/>
      <c r="K139" s="66"/>
      <c r="L139" s="66"/>
      <c r="M139" s="66"/>
      <c r="N139" s="66"/>
      <c r="O139" s="66"/>
      <c r="P139" s="66"/>
      <c r="Q139" s="66"/>
      <c r="R139" s="66"/>
      <c r="S139" s="66"/>
      <c r="T139" s="66"/>
      <c r="U139" s="66"/>
      <c r="V139" s="66"/>
      <c r="W139" s="66"/>
      <c r="X139" s="66"/>
      <c r="Y139" s="66"/>
      <c r="Z139" s="66"/>
      <c r="AA139" s="66"/>
    </row>
    <row r="140" ht="15.75" customHeight="1">
      <c r="A140" s="66"/>
      <c r="B140" s="66"/>
      <c r="C140" s="70"/>
      <c r="D140" s="66"/>
      <c r="E140" s="66"/>
      <c r="F140" s="68" t="str">
        <f t="array" ref="F140">IF(INDEX('Binder Data'!$A$1002:$A$1251,ROW()-1)="","",IF(INDEX('Binder Data'!$D$1002:$D$1251,ROW()-1)="Needed",INDEX('Binder Data'!$B$1002:$B$1251,ROW()-1),INDEX('Binder Data'!$D$1002:$D$1251,ROW()-1)))</f>
        <v/>
      </c>
      <c r="G140" s="66"/>
      <c r="H140" s="66"/>
      <c r="I140" s="66"/>
      <c r="J140" s="66"/>
      <c r="K140" s="66"/>
      <c r="L140" s="66"/>
      <c r="M140" s="66"/>
      <c r="N140" s="66"/>
      <c r="O140" s="66"/>
      <c r="P140" s="66"/>
      <c r="Q140" s="66"/>
      <c r="R140" s="66"/>
      <c r="S140" s="66"/>
      <c r="T140" s="66"/>
      <c r="U140" s="66"/>
      <c r="V140" s="66"/>
      <c r="W140" s="66"/>
      <c r="X140" s="66"/>
      <c r="Y140" s="66"/>
      <c r="Z140" s="66"/>
      <c r="AA140" s="66"/>
    </row>
    <row r="141" ht="15.75" customHeight="1">
      <c r="A141" s="66"/>
      <c r="B141" s="66"/>
      <c r="C141" s="70"/>
      <c r="D141" s="66"/>
      <c r="E141" s="66"/>
      <c r="F141" s="68" t="str">
        <f t="array" ref="F141">IF(INDEX('Binder Data'!$A$1002:$A$1251,ROW()-1)="","",IF(INDEX('Binder Data'!$D$1002:$D$1251,ROW()-1)="Needed",INDEX('Binder Data'!$B$1002:$B$1251,ROW()-1),INDEX('Binder Data'!$D$1002:$D$1251,ROW()-1)))</f>
        <v/>
      </c>
      <c r="G141" s="66"/>
      <c r="H141" s="66"/>
      <c r="I141" s="66"/>
      <c r="J141" s="66"/>
      <c r="K141" s="66"/>
      <c r="L141" s="66"/>
      <c r="M141" s="66"/>
      <c r="N141" s="66"/>
      <c r="O141" s="66"/>
      <c r="P141" s="66"/>
      <c r="Q141" s="66"/>
      <c r="R141" s="66"/>
      <c r="S141" s="66"/>
      <c r="T141" s="66"/>
      <c r="U141" s="66"/>
      <c r="V141" s="66"/>
      <c r="W141" s="66"/>
      <c r="X141" s="66"/>
      <c r="Y141" s="66"/>
      <c r="Z141" s="66"/>
      <c r="AA141" s="66"/>
    </row>
    <row r="142" ht="15.75" customHeight="1">
      <c r="A142" s="66"/>
      <c r="B142" s="66"/>
      <c r="C142" s="70"/>
      <c r="D142" s="66"/>
      <c r="E142" s="66"/>
      <c r="F142" s="68" t="str">
        <f t="array" ref="F142">IF(INDEX('Binder Data'!$A$1002:$A$1251,ROW()-1)="","",IF(INDEX('Binder Data'!$D$1002:$D$1251,ROW()-1)="Needed",INDEX('Binder Data'!$B$1002:$B$1251,ROW()-1),INDEX('Binder Data'!$D$1002:$D$1251,ROW()-1)))</f>
        <v/>
      </c>
      <c r="G142" s="66"/>
      <c r="H142" s="66"/>
      <c r="I142" s="66"/>
      <c r="J142" s="66"/>
      <c r="K142" s="66"/>
      <c r="L142" s="66"/>
      <c r="M142" s="66"/>
      <c r="N142" s="66"/>
      <c r="O142" s="66"/>
      <c r="P142" s="66"/>
      <c r="Q142" s="66"/>
      <c r="R142" s="66"/>
      <c r="S142" s="66"/>
      <c r="T142" s="66"/>
      <c r="U142" s="66"/>
      <c r="V142" s="66"/>
      <c r="W142" s="66"/>
      <c r="X142" s="66"/>
      <c r="Y142" s="66"/>
      <c r="Z142" s="66"/>
      <c r="AA142" s="66"/>
    </row>
    <row r="143" ht="15.75" customHeight="1">
      <c r="A143" s="66"/>
      <c r="B143" s="66"/>
      <c r="C143" s="70"/>
      <c r="D143" s="66"/>
      <c r="E143" s="66"/>
      <c r="F143" s="68" t="str">
        <f t="array" ref="F143">IF(INDEX('Binder Data'!$A$1002:$A$1251,ROW()-1)="","",IF(INDEX('Binder Data'!$D$1002:$D$1251,ROW()-1)="Needed",INDEX('Binder Data'!$B$1002:$B$1251,ROW()-1),INDEX('Binder Data'!$D$1002:$D$1251,ROW()-1)))</f>
        <v/>
      </c>
      <c r="G143" s="66"/>
      <c r="H143" s="66"/>
      <c r="I143" s="66"/>
      <c r="J143" s="66"/>
      <c r="K143" s="66"/>
      <c r="L143" s="66"/>
      <c r="M143" s="66"/>
      <c r="N143" s="66"/>
      <c r="O143" s="66"/>
      <c r="P143" s="66"/>
      <c r="Q143" s="66"/>
      <c r="R143" s="66"/>
      <c r="S143" s="66"/>
      <c r="T143" s="66"/>
      <c r="U143" s="66"/>
      <c r="V143" s="66"/>
      <c r="W143" s="66"/>
      <c r="X143" s="66"/>
      <c r="Y143" s="66"/>
      <c r="Z143" s="66"/>
      <c r="AA143" s="66"/>
    </row>
    <row r="144" ht="15.75" customHeight="1">
      <c r="A144" s="66"/>
      <c r="B144" s="66"/>
      <c r="C144" s="70"/>
      <c r="D144" s="66"/>
      <c r="E144" s="66"/>
      <c r="F144" s="68" t="str">
        <f t="array" ref="F144">IF(INDEX('Binder Data'!$A$1002:$A$1251,ROW()-1)="","",IF(INDEX('Binder Data'!$D$1002:$D$1251,ROW()-1)="Needed",INDEX('Binder Data'!$B$1002:$B$1251,ROW()-1),INDEX('Binder Data'!$D$1002:$D$1251,ROW()-1)))</f>
        <v/>
      </c>
      <c r="G144" s="66"/>
      <c r="H144" s="66"/>
      <c r="I144" s="66"/>
      <c r="J144" s="66"/>
      <c r="K144" s="66"/>
      <c r="L144" s="66"/>
      <c r="M144" s="66"/>
      <c r="N144" s="66"/>
      <c r="O144" s="66"/>
      <c r="P144" s="66"/>
      <c r="Q144" s="66"/>
      <c r="R144" s="66"/>
      <c r="S144" s="66"/>
      <c r="T144" s="66"/>
      <c r="U144" s="66"/>
      <c r="V144" s="66"/>
      <c r="W144" s="66"/>
      <c r="X144" s="66"/>
      <c r="Y144" s="66"/>
      <c r="Z144" s="66"/>
      <c r="AA144" s="66"/>
    </row>
    <row r="145" ht="15.75" customHeight="1">
      <c r="A145" s="66"/>
      <c r="B145" s="66"/>
      <c r="C145" s="70"/>
      <c r="D145" s="66"/>
      <c r="E145" s="66"/>
      <c r="F145" s="68" t="str">
        <f t="array" ref="F145">IF(INDEX('Binder Data'!$A$1002:$A$1251,ROW()-1)="","",IF(INDEX('Binder Data'!$D$1002:$D$1251,ROW()-1)="Needed",INDEX('Binder Data'!$B$1002:$B$1251,ROW()-1),INDEX('Binder Data'!$D$1002:$D$1251,ROW()-1)))</f>
        <v/>
      </c>
      <c r="G145" s="66"/>
      <c r="H145" s="66"/>
      <c r="I145" s="66"/>
      <c r="J145" s="66"/>
      <c r="K145" s="66"/>
      <c r="L145" s="66"/>
      <c r="M145" s="66"/>
      <c r="N145" s="66"/>
      <c r="O145" s="66"/>
      <c r="P145" s="66"/>
      <c r="Q145" s="66"/>
      <c r="R145" s="66"/>
      <c r="S145" s="66"/>
      <c r="T145" s="66"/>
      <c r="U145" s="66"/>
      <c r="V145" s="66"/>
      <c r="W145" s="66"/>
      <c r="X145" s="66"/>
      <c r="Y145" s="66"/>
      <c r="Z145" s="66"/>
      <c r="AA145" s="66"/>
    </row>
    <row r="146" ht="15.75" customHeight="1">
      <c r="A146" s="66"/>
      <c r="B146" s="66"/>
      <c r="C146" s="70"/>
      <c r="D146" s="66"/>
      <c r="E146" s="66"/>
      <c r="F146" s="68" t="str">
        <f t="array" ref="F146">IF(INDEX('Binder Data'!$A$1002:$A$1251,ROW()-1)="","",IF(INDEX('Binder Data'!$D$1002:$D$1251,ROW()-1)="Needed",INDEX('Binder Data'!$B$1002:$B$1251,ROW()-1),INDEX('Binder Data'!$D$1002:$D$1251,ROW()-1)))</f>
        <v/>
      </c>
      <c r="G146" s="66"/>
      <c r="H146" s="66"/>
      <c r="I146" s="66"/>
      <c r="J146" s="66"/>
      <c r="K146" s="66"/>
      <c r="L146" s="66"/>
      <c r="M146" s="66"/>
      <c r="N146" s="66"/>
      <c r="O146" s="66"/>
      <c r="P146" s="66"/>
      <c r="Q146" s="66"/>
      <c r="R146" s="66"/>
      <c r="S146" s="66"/>
      <c r="T146" s="66"/>
      <c r="U146" s="66"/>
      <c r="V146" s="66"/>
      <c r="W146" s="66"/>
      <c r="X146" s="66"/>
      <c r="Y146" s="66"/>
      <c r="Z146" s="66"/>
      <c r="AA146" s="66"/>
    </row>
    <row r="147" ht="15.75" customHeight="1">
      <c r="A147" s="66"/>
      <c r="B147" s="66"/>
      <c r="C147" s="70"/>
      <c r="D147" s="66"/>
      <c r="E147" s="66"/>
      <c r="F147" s="68" t="str">
        <f t="array" ref="F147">IF(INDEX('Binder Data'!$A$1002:$A$1251,ROW()-1)="","",IF(INDEX('Binder Data'!$D$1002:$D$1251,ROW()-1)="Needed",INDEX('Binder Data'!$B$1002:$B$1251,ROW()-1),INDEX('Binder Data'!$D$1002:$D$1251,ROW()-1)))</f>
        <v/>
      </c>
      <c r="G147" s="66"/>
      <c r="H147" s="66"/>
      <c r="I147" s="66"/>
      <c r="J147" s="66"/>
      <c r="K147" s="66"/>
      <c r="L147" s="66"/>
      <c r="M147" s="66"/>
      <c r="N147" s="66"/>
      <c r="O147" s="66"/>
      <c r="P147" s="66"/>
      <c r="Q147" s="66"/>
      <c r="R147" s="66"/>
      <c r="S147" s="66"/>
      <c r="T147" s="66"/>
      <c r="U147" s="66"/>
      <c r="V147" s="66"/>
      <c r="W147" s="66"/>
      <c r="X147" s="66"/>
      <c r="Y147" s="66"/>
      <c r="Z147" s="66"/>
      <c r="AA147" s="66"/>
    </row>
    <row r="148" ht="15.75" customHeight="1">
      <c r="A148" s="66"/>
      <c r="B148" s="66"/>
      <c r="C148" s="70"/>
      <c r="D148" s="66"/>
      <c r="E148" s="66"/>
      <c r="F148" s="68" t="str">
        <f t="array" ref="F148">IF(INDEX('Binder Data'!$A$1002:$A$1251,ROW()-1)="","",IF(INDEX('Binder Data'!$D$1002:$D$1251,ROW()-1)="Needed",INDEX('Binder Data'!$B$1002:$B$1251,ROW()-1),INDEX('Binder Data'!$D$1002:$D$1251,ROW()-1)))</f>
        <v/>
      </c>
      <c r="G148" s="66"/>
      <c r="H148" s="66"/>
      <c r="I148" s="66"/>
      <c r="J148" s="66"/>
      <c r="K148" s="66"/>
      <c r="L148" s="66"/>
      <c r="M148" s="66"/>
      <c r="N148" s="66"/>
      <c r="O148" s="66"/>
      <c r="P148" s="66"/>
      <c r="Q148" s="66"/>
      <c r="R148" s="66"/>
      <c r="S148" s="66"/>
      <c r="T148" s="66"/>
      <c r="U148" s="66"/>
      <c r="V148" s="66"/>
      <c r="W148" s="66"/>
      <c r="X148" s="66"/>
      <c r="Y148" s="66"/>
      <c r="Z148" s="66"/>
      <c r="AA148" s="66"/>
    </row>
    <row r="149" ht="15.75" customHeight="1">
      <c r="A149" s="66"/>
      <c r="B149" s="66"/>
      <c r="C149" s="70"/>
      <c r="D149" s="66"/>
      <c r="E149" s="66"/>
      <c r="F149" s="68" t="str">
        <f t="array" ref="F149">IF(INDEX('Binder Data'!$A$1002:$A$1251,ROW()-1)="","",IF(INDEX('Binder Data'!$D$1002:$D$1251,ROW()-1)="Needed",INDEX('Binder Data'!$B$1002:$B$1251,ROW()-1),INDEX('Binder Data'!$D$1002:$D$1251,ROW()-1)))</f>
        <v/>
      </c>
      <c r="G149" s="66"/>
      <c r="H149" s="66"/>
      <c r="I149" s="66"/>
      <c r="J149" s="66"/>
      <c r="K149" s="66"/>
      <c r="L149" s="66"/>
      <c r="M149" s="66"/>
      <c r="N149" s="66"/>
      <c r="O149" s="66"/>
      <c r="P149" s="66"/>
      <c r="Q149" s="66"/>
      <c r="R149" s="66"/>
      <c r="S149" s="66"/>
      <c r="T149" s="66"/>
      <c r="U149" s="66"/>
      <c r="V149" s="66"/>
      <c r="W149" s="66"/>
      <c r="X149" s="66"/>
      <c r="Y149" s="66"/>
      <c r="Z149" s="66"/>
      <c r="AA149" s="66"/>
    </row>
    <row r="150" ht="15.75" customHeight="1">
      <c r="A150" s="66"/>
      <c r="B150" s="66"/>
      <c r="C150" s="70"/>
      <c r="D150" s="66"/>
      <c r="E150" s="66"/>
      <c r="F150" s="68" t="str">
        <f t="array" ref="F150">IF(INDEX('Binder Data'!$A$1002:$A$1251,ROW()-1)="","",IF(INDEX('Binder Data'!$D$1002:$D$1251,ROW()-1)="Needed",INDEX('Binder Data'!$B$1002:$B$1251,ROW()-1),INDEX('Binder Data'!$D$1002:$D$1251,ROW()-1)))</f>
        <v/>
      </c>
      <c r="G150" s="66"/>
      <c r="H150" s="66"/>
      <c r="I150" s="66"/>
      <c r="J150" s="66"/>
      <c r="K150" s="66"/>
      <c r="L150" s="66"/>
      <c r="M150" s="66"/>
      <c r="N150" s="66"/>
      <c r="O150" s="66"/>
      <c r="P150" s="66"/>
      <c r="Q150" s="66"/>
      <c r="R150" s="66"/>
      <c r="S150" s="66"/>
      <c r="T150" s="66"/>
      <c r="U150" s="66"/>
      <c r="V150" s="66"/>
      <c r="W150" s="66"/>
      <c r="X150" s="66"/>
      <c r="Y150" s="66"/>
      <c r="Z150" s="66"/>
      <c r="AA150" s="66"/>
    </row>
    <row r="151" ht="15.75" customHeight="1">
      <c r="A151" s="66"/>
      <c r="B151" s="66"/>
      <c r="C151" s="70"/>
      <c r="D151" s="66"/>
      <c r="E151" s="66"/>
      <c r="F151" s="68" t="str">
        <f t="array" ref="F151">IF(INDEX('Binder Data'!$A$1002:$A$1251,ROW()-1)="","",IF(INDEX('Binder Data'!$D$1002:$D$1251,ROW()-1)="Needed",INDEX('Binder Data'!$B$1002:$B$1251,ROW()-1),INDEX('Binder Data'!$D$1002:$D$1251,ROW()-1)))</f>
        <v/>
      </c>
      <c r="G151" s="66"/>
      <c r="H151" s="66"/>
      <c r="I151" s="66"/>
      <c r="J151" s="66"/>
      <c r="K151" s="66"/>
      <c r="L151" s="66"/>
      <c r="M151" s="66"/>
      <c r="N151" s="66"/>
      <c r="O151" s="66"/>
      <c r="P151" s="66"/>
      <c r="Q151" s="66"/>
      <c r="R151" s="66"/>
      <c r="S151" s="66"/>
      <c r="T151" s="66"/>
      <c r="U151" s="66"/>
      <c r="V151" s="66"/>
      <c r="W151" s="66"/>
      <c r="X151" s="66"/>
      <c r="Y151" s="66"/>
      <c r="Z151" s="66"/>
      <c r="AA151" s="66"/>
    </row>
    <row r="152" ht="15.75" customHeight="1">
      <c r="A152" s="66"/>
      <c r="B152" s="66"/>
      <c r="C152" s="66"/>
      <c r="D152" s="66"/>
      <c r="E152" s="66"/>
      <c r="F152" s="68" t="str">
        <f t="array" ref="F152">IF(INDEX('Binder Data'!$A$1002:$A$1251,ROW()-1)="","",IF(INDEX('Binder Data'!$D$1002:$D$1251,ROW()-1)="Needed",INDEX('Binder Data'!$B$1002:$B$1251,ROW()-1),INDEX('Binder Data'!$D$1002:$D$1251,ROW()-1)))</f>
        <v/>
      </c>
      <c r="G152" s="66"/>
      <c r="H152" s="66"/>
      <c r="I152" s="66"/>
      <c r="J152" s="66"/>
      <c r="K152" s="66"/>
      <c r="L152" s="66"/>
      <c r="M152" s="66"/>
      <c r="N152" s="66"/>
      <c r="O152" s="66"/>
      <c r="P152" s="66"/>
      <c r="Q152" s="66"/>
      <c r="R152" s="66"/>
      <c r="S152" s="66"/>
      <c r="T152" s="66"/>
      <c r="U152" s="66"/>
      <c r="V152" s="66"/>
      <c r="W152" s="66"/>
      <c r="X152" s="66"/>
      <c r="Y152" s="66"/>
      <c r="Z152" s="66"/>
      <c r="AA152" s="66"/>
    </row>
    <row r="153" ht="15.75" customHeight="1">
      <c r="A153" s="66"/>
      <c r="B153" s="66"/>
      <c r="C153" s="66"/>
      <c r="D153" s="66"/>
      <c r="E153" s="66"/>
      <c r="F153" s="68" t="str">
        <f t="array" ref="F153">IF(INDEX('Binder Data'!$A$1002:$A$1251,ROW()-1)="","",IF(INDEX('Binder Data'!$D$1002:$D$1251,ROW()-1)="Needed",INDEX('Binder Data'!$B$1002:$B$1251,ROW()-1),INDEX('Binder Data'!$D$1002:$D$1251,ROW()-1)))</f>
        <v/>
      </c>
      <c r="G153" s="66"/>
      <c r="H153" s="66"/>
      <c r="I153" s="66"/>
      <c r="J153" s="66"/>
      <c r="K153" s="66"/>
      <c r="L153" s="66"/>
      <c r="M153" s="66"/>
      <c r="N153" s="66"/>
      <c r="O153" s="66"/>
      <c r="P153" s="66"/>
      <c r="Q153" s="66"/>
      <c r="R153" s="66"/>
      <c r="S153" s="66"/>
      <c r="T153" s="66"/>
      <c r="U153" s="66"/>
      <c r="V153" s="66"/>
      <c r="W153" s="66"/>
      <c r="X153" s="66"/>
      <c r="Y153" s="66"/>
      <c r="Z153" s="66"/>
      <c r="AA153" s="66"/>
    </row>
    <row r="154" ht="15.75" customHeight="1">
      <c r="A154" s="66"/>
      <c r="B154" s="66"/>
      <c r="C154" s="66"/>
      <c r="D154" s="66"/>
      <c r="E154" s="66"/>
      <c r="F154" s="68" t="str">
        <f t="array" ref="F154">IF(INDEX('Binder Data'!$A$1002:$A$1251,ROW()-1)="","",IF(INDEX('Binder Data'!$D$1002:$D$1251,ROW()-1)="Needed",INDEX('Binder Data'!$B$1002:$B$1251,ROW()-1),INDEX('Binder Data'!$D$1002:$D$1251,ROW()-1)))</f>
        <v/>
      </c>
      <c r="G154" s="66"/>
      <c r="H154" s="66"/>
      <c r="I154" s="66"/>
      <c r="J154" s="66"/>
      <c r="K154" s="66"/>
      <c r="L154" s="66"/>
      <c r="M154" s="66"/>
      <c r="N154" s="66"/>
      <c r="O154" s="66"/>
      <c r="P154" s="66"/>
      <c r="Q154" s="66"/>
      <c r="R154" s="66"/>
      <c r="S154" s="66"/>
      <c r="T154" s="66"/>
      <c r="U154" s="66"/>
      <c r="V154" s="66"/>
      <c r="W154" s="66"/>
      <c r="X154" s="66"/>
      <c r="Y154" s="66"/>
      <c r="Z154" s="66"/>
      <c r="AA154" s="66"/>
    </row>
    <row r="155" ht="15.75" customHeight="1">
      <c r="A155" s="66"/>
      <c r="B155" s="66"/>
      <c r="C155" s="66"/>
      <c r="D155" s="66"/>
      <c r="E155" s="66"/>
      <c r="F155" s="68" t="str">
        <f t="array" ref="F155">IF(INDEX('Binder Data'!$A$1002:$A$1251,ROW()-1)="","",IF(INDEX('Binder Data'!$D$1002:$D$1251,ROW()-1)="Needed",INDEX('Binder Data'!$B$1002:$B$1251,ROW()-1),INDEX('Binder Data'!$D$1002:$D$1251,ROW()-1)))</f>
        <v/>
      </c>
      <c r="G155" s="66"/>
      <c r="H155" s="66"/>
      <c r="I155" s="66"/>
      <c r="J155" s="66"/>
      <c r="K155" s="66"/>
      <c r="L155" s="66"/>
      <c r="M155" s="66"/>
      <c r="N155" s="66"/>
      <c r="O155" s="66"/>
      <c r="P155" s="66"/>
      <c r="Q155" s="66"/>
      <c r="R155" s="66"/>
      <c r="S155" s="66"/>
      <c r="T155" s="66"/>
      <c r="U155" s="66"/>
      <c r="V155" s="66"/>
      <c r="W155" s="66"/>
      <c r="X155" s="66"/>
      <c r="Y155" s="66"/>
      <c r="Z155" s="66"/>
      <c r="AA155" s="66"/>
    </row>
    <row r="156" ht="15.75" customHeight="1">
      <c r="A156" s="66"/>
      <c r="B156" s="66"/>
      <c r="C156" s="66"/>
      <c r="D156" s="66"/>
      <c r="E156" s="66"/>
      <c r="F156" s="68" t="str">
        <f t="array" ref="F156">IF(INDEX('Binder Data'!$A$1002:$A$1251,ROW()-1)="","",IF(INDEX('Binder Data'!$D$1002:$D$1251,ROW()-1)="Needed",INDEX('Binder Data'!$B$1002:$B$1251,ROW()-1),INDEX('Binder Data'!$D$1002:$D$1251,ROW()-1)))</f>
        <v/>
      </c>
      <c r="G156" s="66"/>
      <c r="H156" s="66"/>
      <c r="I156" s="66"/>
      <c r="J156" s="66"/>
      <c r="K156" s="66"/>
      <c r="L156" s="66"/>
      <c r="M156" s="66"/>
      <c r="N156" s="66"/>
      <c r="O156" s="66"/>
      <c r="P156" s="66"/>
      <c r="Q156" s="66"/>
      <c r="R156" s="66"/>
      <c r="S156" s="66"/>
      <c r="T156" s="66"/>
      <c r="U156" s="66"/>
      <c r="V156" s="66"/>
      <c r="W156" s="66"/>
      <c r="X156" s="66"/>
      <c r="Y156" s="66"/>
      <c r="Z156" s="66"/>
      <c r="AA156" s="66"/>
    </row>
    <row r="157" ht="15.75" customHeight="1">
      <c r="A157" s="66"/>
      <c r="B157" s="66"/>
      <c r="C157" s="66"/>
      <c r="D157" s="66"/>
      <c r="E157" s="66"/>
      <c r="F157" s="68" t="str">
        <f t="array" ref="F157">IF(INDEX('Binder Data'!$A$1002:$A$1251,ROW()-1)="","",IF(INDEX('Binder Data'!$D$1002:$D$1251,ROW()-1)="Needed",INDEX('Binder Data'!$B$1002:$B$1251,ROW()-1),INDEX('Binder Data'!$D$1002:$D$1251,ROW()-1)))</f>
        <v/>
      </c>
      <c r="G157" s="66"/>
      <c r="H157" s="66"/>
      <c r="I157" s="66"/>
      <c r="J157" s="66"/>
      <c r="K157" s="66"/>
      <c r="L157" s="66"/>
      <c r="M157" s="66"/>
      <c r="N157" s="66"/>
      <c r="O157" s="66"/>
      <c r="P157" s="66"/>
      <c r="Q157" s="66"/>
      <c r="R157" s="66"/>
      <c r="S157" s="66"/>
      <c r="T157" s="66"/>
      <c r="U157" s="66"/>
      <c r="V157" s="66"/>
      <c r="W157" s="66"/>
      <c r="X157" s="66"/>
      <c r="Y157" s="66"/>
      <c r="Z157" s="66"/>
      <c r="AA157" s="66"/>
    </row>
    <row r="158" ht="15.75" customHeight="1">
      <c r="A158" s="66"/>
      <c r="B158" s="66"/>
      <c r="C158" s="66"/>
      <c r="D158" s="66"/>
      <c r="E158" s="66"/>
      <c r="F158" s="68" t="str">
        <f t="array" ref="F158">IF(INDEX('Binder Data'!$A$1002:$A$1251,ROW()-1)="","",IF(INDEX('Binder Data'!$D$1002:$D$1251,ROW()-1)="Needed",INDEX('Binder Data'!$B$1002:$B$1251,ROW()-1),INDEX('Binder Data'!$D$1002:$D$1251,ROW()-1)))</f>
        <v/>
      </c>
      <c r="G158" s="66"/>
      <c r="H158" s="66"/>
      <c r="I158" s="66"/>
      <c r="J158" s="66"/>
      <c r="K158" s="66"/>
      <c r="L158" s="66"/>
      <c r="M158" s="66"/>
      <c r="N158" s="66"/>
      <c r="O158" s="66"/>
      <c r="P158" s="66"/>
      <c r="Q158" s="66"/>
      <c r="R158" s="66"/>
      <c r="S158" s="66"/>
      <c r="T158" s="66"/>
      <c r="U158" s="66"/>
      <c r="V158" s="66"/>
      <c r="W158" s="66"/>
      <c r="X158" s="66"/>
      <c r="Y158" s="66"/>
      <c r="Z158" s="66"/>
      <c r="AA158" s="66"/>
    </row>
    <row r="159" ht="15.75" customHeight="1">
      <c r="A159" s="66"/>
      <c r="B159" s="66"/>
      <c r="C159" s="66"/>
      <c r="D159" s="66"/>
      <c r="E159" s="66"/>
      <c r="F159" s="68" t="str">
        <f t="array" ref="F159">IF(INDEX('Binder Data'!$A$1002:$A$1251,ROW()-1)="","",IF(INDEX('Binder Data'!$D$1002:$D$1251,ROW()-1)="Needed",INDEX('Binder Data'!$B$1002:$B$1251,ROW()-1),INDEX('Binder Data'!$D$1002:$D$1251,ROW()-1)))</f>
        <v/>
      </c>
      <c r="G159" s="66"/>
      <c r="H159" s="66"/>
      <c r="I159" s="66"/>
      <c r="J159" s="66"/>
      <c r="K159" s="66"/>
      <c r="L159" s="66"/>
      <c r="M159" s="66"/>
      <c r="N159" s="66"/>
      <c r="O159" s="66"/>
      <c r="P159" s="66"/>
      <c r="Q159" s="66"/>
      <c r="R159" s="66"/>
      <c r="S159" s="66"/>
      <c r="T159" s="66"/>
      <c r="U159" s="66"/>
      <c r="V159" s="66"/>
      <c r="W159" s="66"/>
      <c r="X159" s="66"/>
      <c r="Y159" s="66"/>
      <c r="Z159" s="66"/>
      <c r="AA159" s="66"/>
    </row>
    <row r="160" ht="15.75" customHeight="1">
      <c r="A160" s="66"/>
      <c r="B160" s="66"/>
      <c r="C160" s="66"/>
      <c r="D160" s="66"/>
      <c r="E160" s="66"/>
      <c r="F160" s="68" t="str">
        <f t="array" ref="F160">IF(INDEX('Binder Data'!$A$1002:$A$1251,ROW()-1)="","",IF(INDEX('Binder Data'!$D$1002:$D$1251,ROW()-1)="Needed",INDEX('Binder Data'!$B$1002:$B$1251,ROW()-1),INDEX('Binder Data'!$D$1002:$D$1251,ROW()-1)))</f>
        <v/>
      </c>
      <c r="G160" s="66"/>
      <c r="H160" s="66"/>
      <c r="I160" s="66"/>
      <c r="J160" s="66"/>
      <c r="K160" s="66"/>
      <c r="L160" s="66"/>
      <c r="M160" s="66"/>
      <c r="N160" s="66"/>
      <c r="O160" s="66"/>
      <c r="P160" s="66"/>
      <c r="Q160" s="66"/>
      <c r="R160" s="66"/>
      <c r="S160" s="66"/>
      <c r="T160" s="66"/>
      <c r="U160" s="66"/>
      <c r="V160" s="66"/>
      <c r="W160" s="66"/>
      <c r="X160" s="66"/>
      <c r="Y160" s="66"/>
      <c r="Z160" s="66"/>
      <c r="AA160" s="66"/>
    </row>
    <row r="161" ht="15.75" customHeight="1">
      <c r="A161" s="66"/>
      <c r="B161" s="66"/>
      <c r="C161" s="66"/>
      <c r="D161" s="66"/>
      <c r="E161" s="66"/>
      <c r="F161" s="68" t="str">
        <f t="array" ref="F161">IF(INDEX('Binder Data'!$A$1002:$A$1251,ROW()-1)="","",IF(INDEX('Binder Data'!$D$1002:$D$1251,ROW()-1)="Needed",INDEX('Binder Data'!$B$1002:$B$1251,ROW()-1),INDEX('Binder Data'!$D$1002:$D$1251,ROW()-1)))</f>
        <v/>
      </c>
      <c r="G161" s="66"/>
      <c r="H161" s="66"/>
      <c r="I161" s="66"/>
      <c r="J161" s="66"/>
      <c r="K161" s="66"/>
      <c r="L161" s="66"/>
      <c r="M161" s="66"/>
      <c r="N161" s="66"/>
      <c r="O161" s="66"/>
      <c r="P161" s="66"/>
      <c r="Q161" s="66"/>
      <c r="R161" s="66"/>
      <c r="S161" s="66"/>
      <c r="T161" s="66"/>
      <c r="U161" s="66"/>
      <c r="V161" s="66"/>
      <c r="W161" s="66"/>
      <c r="X161" s="66"/>
      <c r="Y161" s="66"/>
      <c r="Z161" s="66"/>
      <c r="AA161" s="66"/>
    </row>
    <row r="162" ht="15.75" customHeight="1">
      <c r="A162" s="66"/>
      <c r="B162" s="66"/>
      <c r="C162" s="66"/>
      <c r="D162" s="66"/>
      <c r="E162" s="66"/>
      <c r="F162" s="68" t="str">
        <f t="array" ref="F162">IF(INDEX('Binder Data'!$A$1002:$A$1251,ROW()-1)="","",IF(INDEX('Binder Data'!$D$1002:$D$1251,ROW()-1)="Needed",INDEX('Binder Data'!$B$1002:$B$1251,ROW()-1),INDEX('Binder Data'!$D$1002:$D$1251,ROW()-1)))</f>
        <v/>
      </c>
      <c r="G162" s="66"/>
      <c r="H162" s="66"/>
      <c r="I162" s="66"/>
      <c r="J162" s="66"/>
      <c r="K162" s="66"/>
      <c r="L162" s="66"/>
      <c r="M162" s="66"/>
      <c r="N162" s="66"/>
      <c r="O162" s="66"/>
      <c r="P162" s="66"/>
      <c r="Q162" s="66"/>
      <c r="R162" s="66"/>
      <c r="S162" s="66"/>
      <c r="T162" s="66"/>
      <c r="U162" s="66"/>
      <c r="V162" s="66"/>
      <c r="W162" s="66"/>
      <c r="X162" s="66"/>
      <c r="Y162" s="66"/>
      <c r="Z162" s="66"/>
      <c r="AA162" s="66"/>
    </row>
    <row r="163" ht="15.75" customHeight="1">
      <c r="A163" s="66"/>
      <c r="B163" s="66"/>
      <c r="C163" s="66"/>
      <c r="D163" s="66"/>
      <c r="E163" s="66"/>
      <c r="F163" s="68" t="str">
        <f t="array" ref="F163">IF(INDEX('Binder Data'!$A$1002:$A$1251,ROW()-1)="","",IF(INDEX('Binder Data'!$D$1002:$D$1251,ROW()-1)="Needed",INDEX('Binder Data'!$B$1002:$B$1251,ROW()-1),INDEX('Binder Data'!$D$1002:$D$1251,ROW()-1)))</f>
        <v/>
      </c>
      <c r="G163" s="66"/>
      <c r="H163" s="66"/>
      <c r="I163" s="66"/>
      <c r="J163" s="66"/>
      <c r="K163" s="66"/>
      <c r="L163" s="66"/>
      <c r="M163" s="66"/>
      <c r="N163" s="66"/>
      <c r="O163" s="66"/>
      <c r="P163" s="66"/>
      <c r="Q163" s="66"/>
      <c r="R163" s="66"/>
      <c r="S163" s="66"/>
      <c r="T163" s="66"/>
      <c r="U163" s="66"/>
      <c r="V163" s="66"/>
      <c r="W163" s="66"/>
      <c r="X163" s="66"/>
      <c r="Y163" s="66"/>
      <c r="Z163" s="66"/>
      <c r="AA163" s="66"/>
    </row>
    <row r="164" ht="15.75" customHeight="1">
      <c r="A164" s="66"/>
      <c r="B164" s="66"/>
      <c r="C164" s="66"/>
      <c r="D164" s="66"/>
      <c r="E164" s="66"/>
      <c r="F164" s="68" t="str">
        <f t="array" ref="F164">IF(INDEX('Binder Data'!$A$1002:$A$1251,ROW()-1)="","",IF(INDEX('Binder Data'!$D$1002:$D$1251,ROW()-1)="Needed",INDEX('Binder Data'!$B$1002:$B$1251,ROW()-1),INDEX('Binder Data'!$D$1002:$D$1251,ROW()-1)))</f>
        <v/>
      </c>
      <c r="G164" s="66"/>
      <c r="H164" s="66"/>
      <c r="I164" s="66"/>
      <c r="J164" s="66"/>
      <c r="K164" s="66"/>
      <c r="L164" s="66"/>
      <c r="M164" s="66"/>
      <c r="N164" s="66"/>
      <c r="O164" s="66"/>
      <c r="P164" s="66"/>
      <c r="Q164" s="66"/>
      <c r="R164" s="66"/>
      <c r="S164" s="66"/>
      <c r="T164" s="66"/>
      <c r="U164" s="66"/>
      <c r="V164" s="66"/>
      <c r="W164" s="66"/>
      <c r="X164" s="66"/>
      <c r="Y164" s="66"/>
      <c r="Z164" s="66"/>
      <c r="AA164" s="66"/>
    </row>
    <row r="165" ht="15.75" customHeight="1">
      <c r="A165" s="66"/>
      <c r="B165" s="66"/>
      <c r="C165" s="66"/>
      <c r="D165" s="66"/>
      <c r="E165" s="66"/>
      <c r="F165" s="68" t="str">
        <f t="array" ref="F165">IF(INDEX('Binder Data'!$A$1002:$A$1251,ROW()-1)="","",IF(INDEX('Binder Data'!$D$1002:$D$1251,ROW()-1)="Needed",INDEX('Binder Data'!$B$1002:$B$1251,ROW()-1),INDEX('Binder Data'!$D$1002:$D$1251,ROW()-1)))</f>
        <v/>
      </c>
      <c r="G165" s="66"/>
      <c r="H165" s="66"/>
      <c r="I165" s="66"/>
      <c r="J165" s="66"/>
      <c r="K165" s="66"/>
      <c r="L165" s="66"/>
      <c r="M165" s="66"/>
      <c r="N165" s="66"/>
      <c r="O165" s="66"/>
      <c r="P165" s="66"/>
      <c r="Q165" s="66"/>
      <c r="R165" s="66"/>
      <c r="S165" s="66"/>
      <c r="T165" s="66"/>
      <c r="U165" s="66"/>
      <c r="V165" s="66"/>
      <c r="W165" s="66"/>
      <c r="X165" s="66"/>
      <c r="Y165" s="66"/>
      <c r="Z165" s="66"/>
      <c r="AA165" s="66"/>
    </row>
    <row r="166" ht="15.75" customHeight="1">
      <c r="A166" s="66"/>
      <c r="B166" s="66"/>
      <c r="C166" s="66"/>
      <c r="D166" s="66"/>
      <c r="E166" s="66"/>
      <c r="F166" s="68" t="str">
        <f t="array" ref="F166">IF(INDEX('Binder Data'!$A$1002:$A$1251,ROW()-1)="","",IF(INDEX('Binder Data'!$D$1002:$D$1251,ROW()-1)="Needed",INDEX('Binder Data'!$B$1002:$B$1251,ROW()-1),INDEX('Binder Data'!$D$1002:$D$1251,ROW()-1)))</f>
        <v/>
      </c>
      <c r="G166" s="66"/>
      <c r="H166" s="66"/>
      <c r="I166" s="66"/>
      <c r="J166" s="66"/>
      <c r="K166" s="66"/>
      <c r="L166" s="66"/>
      <c r="M166" s="66"/>
      <c r="N166" s="66"/>
      <c r="O166" s="66"/>
      <c r="P166" s="66"/>
      <c r="Q166" s="66"/>
      <c r="R166" s="66"/>
      <c r="S166" s="66"/>
      <c r="T166" s="66"/>
      <c r="U166" s="66"/>
      <c r="V166" s="66"/>
      <c r="W166" s="66"/>
      <c r="X166" s="66"/>
      <c r="Y166" s="66"/>
      <c r="Z166" s="66"/>
      <c r="AA166" s="66"/>
    </row>
    <row r="167" ht="15.75" customHeight="1">
      <c r="A167" s="66"/>
      <c r="B167" s="66"/>
      <c r="C167" s="66"/>
      <c r="D167" s="66"/>
      <c r="E167" s="66"/>
      <c r="F167" s="68" t="str">
        <f t="array" ref="F167">IF(INDEX('Binder Data'!$A$1002:$A$1251,ROW()-1)="","",IF(INDEX('Binder Data'!$D$1002:$D$1251,ROW()-1)="Needed",INDEX('Binder Data'!$B$1002:$B$1251,ROW()-1),INDEX('Binder Data'!$D$1002:$D$1251,ROW()-1)))</f>
        <v/>
      </c>
      <c r="G167" s="66"/>
      <c r="H167" s="66"/>
      <c r="I167" s="66"/>
      <c r="J167" s="66"/>
      <c r="K167" s="66"/>
      <c r="L167" s="66"/>
      <c r="M167" s="66"/>
      <c r="N167" s="66"/>
      <c r="O167" s="66"/>
      <c r="P167" s="66"/>
      <c r="Q167" s="66"/>
      <c r="R167" s="66"/>
      <c r="S167" s="66"/>
      <c r="T167" s="66"/>
      <c r="U167" s="66"/>
      <c r="V167" s="66"/>
      <c r="W167" s="66"/>
      <c r="X167" s="66"/>
      <c r="Y167" s="66"/>
      <c r="Z167" s="66"/>
      <c r="AA167" s="66"/>
    </row>
    <row r="168" ht="15.75" customHeight="1">
      <c r="A168" s="66"/>
      <c r="B168" s="66"/>
      <c r="C168" s="66"/>
      <c r="D168" s="66"/>
      <c r="E168" s="66"/>
      <c r="F168" s="68" t="str">
        <f t="array" ref="F168">IF(INDEX('Binder Data'!$A$1002:$A$1251,ROW()-1)="","",IF(INDEX('Binder Data'!$D$1002:$D$1251,ROW()-1)="Needed",INDEX('Binder Data'!$B$1002:$B$1251,ROW()-1),INDEX('Binder Data'!$D$1002:$D$1251,ROW()-1)))</f>
        <v/>
      </c>
      <c r="G168" s="66"/>
      <c r="H168" s="66"/>
      <c r="I168" s="66"/>
      <c r="J168" s="66"/>
      <c r="K168" s="66"/>
      <c r="L168" s="66"/>
      <c r="M168" s="66"/>
      <c r="N168" s="66"/>
      <c r="O168" s="66"/>
      <c r="P168" s="66"/>
      <c r="Q168" s="66"/>
      <c r="R168" s="66"/>
      <c r="S168" s="66"/>
      <c r="T168" s="66"/>
      <c r="U168" s="66"/>
      <c r="V168" s="66"/>
      <c r="W168" s="66"/>
      <c r="X168" s="66"/>
      <c r="Y168" s="66"/>
      <c r="Z168" s="66"/>
      <c r="AA168" s="66"/>
    </row>
    <row r="169" ht="15.75" customHeight="1">
      <c r="A169" s="66"/>
      <c r="B169" s="66"/>
      <c r="C169" s="66"/>
      <c r="D169" s="66"/>
      <c r="E169" s="66"/>
      <c r="F169" s="68" t="str">
        <f t="array" ref="F169">IF(INDEX('Binder Data'!$A$1002:$A$1251,ROW()-1)="","",IF(INDEX('Binder Data'!$D$1002:$D$1251,ROW()-1)="Needed",INDEX('Binder Data'!$B$1002:$B$1251,ROW()-1),INDEX('Binder Data'!$D$1002:$D$1251,ROW()-1)))</f>
        <v/>
      </c>
      <c r="G169" s="66"/>
      <c r="H169" s="66"/>
      <c r="I169" s="66"/>
      <c r="J169" s="66"/>
      <c r="K169" s="66"/>
      <c r="L169" s="66"/>
      <c r="M169" s="66"/>
      <c r="N169" s="66"/>
      <c r="O169" s="66"/>
      <c r="P169" s="66"/>
      <c r="Q169" s="66"/>
      <c r="R169" s="66"/>
      <c r="S169" s="66"/>
      <c r="T169" s="66"/>
      <c r="U169" s="66"/>
      <c r="V169" s="66"/>
      <c r="W169" s="66"/>
      <c r="X169" s="66"/>
      <c r="Y169" s="66"/>
      <c r="Z169" s="66"/>
      <c r="AA169" s="66"/>
    </row>
    <row r="170" ht="15.75" customHeight="1">
      <c r="A170" s="66"/>
      <c r="B170" s="66"/>
      <c r="C170" s="66"/>
      <c r="D170" s="66"/>
      <c r="E170" s="66"/>
      <c r="F170" s="68" t="str">
        <f t="array" ref="F170">IF(INDEX('Binder Data'!$A$1002:$A$1251,ROW()-1)="","",IF(INDEX('Binder Data'!$D$1002:$D$1251,ROW()-1)="Needed",INDEX('Binder Data'!$B$1002:$B$1251,ROW()-1),INDEX('Binder Data'!$D$1002:$D$1251,ROW()-1)))</f>
        <v/>
      </c>
      <c r="G170" s="66"/>
      <c r="H170" s="66"/>
      <c r="I170" s="66"/>
      <c r="J170" s="66"/>
      <c r="K170" s="66"/>
      <c r="L170" s="66"/>
      <c r="M170" s="66"/>
      <c r="N170" s="66"/>
      <c r="O170" s="66"/>
      <c r="P170" s="66"/>
      <c r="Q170" s="66"/>
      <c r="R170" s="66"/>
      <c r="S170" s="66"/>
      <c r="T170" s="66"/>
      <c r="U170" s="66"/>
      <c r="V170" s="66"/>
      <c r="W170" s="66"/>
      <c r="X170" s="66"/>
      <c r="Y170" s="66"/>
      <c r="Z170" s="66"/>
      <c r="AA170" s="66"/>
    </row>
    <row r="171" ht="15.75" customHeight="1">
      <c r="A171" s="66"/>
      <c r="B171" s="66"/>
      <c r="C171" s="66"/>
      <c r="D171" s="66"/>
      <c r="E171" s="66"/>
      <c r="F171" s="68" t="str">
        <f t="array" ref="F171">IF(INDEX('Binder Data'!$A$1002:$A$1251,ROW()-1)="","",IF(INDEX('Binder Data'!$D$1002:$D$1251,ROW()-1)="Needed",INDEX('Binder Data'!$B$1002:$B$1251,ROW()-1),INDEX('Binder Data'!$D$1002:$D$1251,ROW()-1)))</f>
        <v/>
      </c>
      <c r="G171" s="66"/>
      <c r="H171" s="66"/>
      <c r="I171" s="66"/>
      <c r="J171" s="66"/>
      <c r="K171" s="66"/>
      <c r="L171" s="66"/>
      <c r="M171" s="66"/>
      <c r="N171" s="66"/>
      <c r="O171" s="66"/>
      <c r="P171" s="66"/>
      <c r="Q171" s="66"/>
      <c r="R171" s="66"/>
      <c r="S171" s="66"/>
      <c r="T171" s="66"/>
      <c r="U171" s="66"/>
      <c r="V171" s="66"/>
      <c r="W171" s="66"/>
      <c r="X171" s="66"/>
      <c r="Y171" s="66"/>
      <c r="Z171" s="66"/>
      <c r="AA171" s="66"/>
    </row>
    <row r="172" ht="15.75" customHeight="1">
      <c r="A172" s="66"/>
      <c r="B172" s="66"/>
      <c r="C172" s="66"/>
      <c r="D172" s="66"/>
      <c r="E172" s="66"/>
      <c r="F172" s="68" t="str">
        <f t="array" ref="F172">IF(INDEX('Binder Data'!$A$1002:$A$1251,ROW()-1)="","",IF(INDEX('Binder Data'!$D$1002:$D$1251,ROW()-1)="Needed",INDEX('Binder Data'!$B$1002:$B$1251,ROW()-1),INDEX('Binder Data'!$D$1002:$D$1251,ROW()-1)))</f>
        <v/>
      </c>
      <c r="G172" s="66"/>
      <c r="H172" s="66"/>
      <c r="I172" s="66"/>
      <c r="J172" s="66"/>
      <c r="K172" s="66"/>
      <c r="L172" s="66"/>
      <c r="M172" s="66"/>
      <c r="N172" s="66"/>
      <c r="O172" s="66"/>
      <c r="P172" s="66"/>
      <c r="Q172" s="66"/>
      <c r="R172" s="66"/>
      <c r="S172" s="66"/>
      <c r="T172" s="66"/>
      <c r="U172" s="66"/>
      <c r="V172" s="66"/>
      <c r="W172" s="66"/>
      <c r="X172" s="66"/>
      <c r="Y172" s="66"/>
      <c r="Z172" s="66"/>
      <c r="AA172" s="66"/>
    </row>
    <row r="173" ht="15.75" customHeight="1">
      <c r="A173" s="66"/>
      <c r="B173" s="66"/>
      <c r="C173" s="66"/>
      <c r="D173" s="66"/>
      <c r="E173" s="66"/>
      <c r="F173" s="68" t="str">
        <f t="array" ref="F173">IF(INDEX('Binder Data'!$A$1002:$A$1251,ROW()-1)="","",IF(INDEX('Binder Data'!$D$1002:$D$1251,ROW()-1)="Needed",INDEX('Binder Data'!$B$1002:$B$1251,ROW()-1),INDEX('Binder Data'!$D$1002:$D$1251,ROW()-1)))</f>
        <v/>
      </c>
      <c r="G173" s="66"/>
      <c r="H173" s="66"/>
      <c r="I173" s="66"/>
      <c r="J173" s="66"/>
      <c r="K173" s="66"/>
      <c r="L173" s="66"/>
      <c r="M173" s="66"/>
      <c r="N173" s="66"/>
      <c r="O173" s="66"/>
      <c r="P173" s="66"/>
      <c r="Q173" s="66"/>
      <c r="R173" s="66"/>
      <c r="S173" s="66"/>
      <c r="T173" s="66"/>
      <c r="U173" s="66"/>
      <c r="V173" s="66"/>
      <c r="W173" s="66"/>
      <c r="X173" s="66"/>
      <c r="Y173" s="66"/>
      <c r="Z173" s="66"/>
      <c r="AA173" s="66"/>
    </row>
    <row r="174" ht="15.75" customHeight="1">
      <c r="A174" s="66"/>
      <c r="B174" s="66"/>
      <c r="C174" s="66"/>
      <c r="D174" s="66"/>
      <c r="E174" s="66"/>
      <c r="F174" s="68" t="str">
        <f t="array" ref="F174">IF(INDEX('Binder Data'!$A$1002:$A$1251,ROW()-1)="","",IF(INDEX('Binder Data'!$D$1002:$D$1251,ROW()-1)="Needed",INDEX('Binder Data'!$B$1002:$B$1251,ROW()-1),INDEX('Binder Data'!$D$1002:$D$1251,ROW()-1)))</f>
        <v/>
      </c>
      <c r="G174" s="66"/>
      <c r="H174" s="66"/>
      <c r="I174" s="66"/>
      <c r="J174" s="66"/>
      <c r="K174" s="66"/>
      <c r="L174" s="66"/>
      <c r="M174" s="66"/>
      <c r="N174" s="66"/>
      <c r="O174" s="66"/>
      <c r="P174" s="66"/>
      <c r="Q174" s="66"/>
      <c r="R174" s="66"/>
      <c r="S174" s="66"/>
      <c r="T174" s="66"/>
      <c r="U174" s="66"/>
      <c r="V174" s="66"/>
      <c r="W174" s="66"/>
      <c r="X174" s="66"/>
      <c r="Y174" s="66"/>
      <c r="Z174" s="66"/>
      <c r="AA174" s="66"/>
    </row>
    <row r="175" ht="15.75" customHeight="1">
      <c r="A175" s="66"/>
      <c r="B175" s="66"/>
      <c r="C175" s="66"/>
      <c r="D175" s="66"/>
      <c r="E175" s="66"/>
      <c r="F175" s="68" t="str">
        <f t="array" ref="F175">IF(INDEX('Binder Data'!$A$1002:$A$1251,ROW()-1)="","",IF(INDEX('Binder Data'!$D$1002:$D$1251,ROW()-1)="Needed",INDEX('Binder Data'!$B$1002:$B$1251,ROW()-1),INDEX('Binder Data'!$D$1002:$D$1251,ROW()-1)))</f>
        <v/>
      </c>
      <c r="G175" s="66"/>
      <c r="H175" s="66"/>
      <c r="I175" s="66"/>
      <c r="J175" s="66"/>
      <c r="K175" s="66"/>
      <c r="L175" s="66"/>
      <c r="M175" s="66"/>
      <c r="N175" s="66"/>
      <c r="O175" s="66"/>
      <c r="P175" s="66"/>
      <c r="Q175" s="66"/>
      <c r="R175" s="66"/>
      <c r="S175" s="66"/>
      <c r="T175" s="66"/>
      <c r="U175" s="66"/>
      <c r="V175" s="66"/>
      <c r="W175" s="66"/>
      <c r="X175" s="66"/>
      <c r="Y175" s="66"/>
      <c r="Z175" s="66"/>
      <c r="AA175" s="66"/>
    </row>
    <row r="176" ht="15.75" customHeight="1">
      <c r="A176" s="66"/>
      <c r="B176" s="66"/>
      <c r="C176" s="66"/>
      <c r="D176" s="66"/>
      <c r="E176" s="66"/>
      <c r="F176" s="68" t="str">
        <f t="array" ref="F176">IF(INDEX('Binder Data'!$A$1002:$A$1251,ROW()-1)="","",IF(INDEX('Binder Data'!$D$1002:$D$1251,ROW()-1)="Needed",INDEX('Binder Data'!$B$1002:$B$1251,ROW()-1),INDEX('Binder Data'!$D$1002:$D$1251,ROW()-1)))</f>
        <v/>
      </c>
      <c r="G176" s="66"/>
      <c r="H176" s="66"/>
      <c r="I176" s="66"/>
      <c r="J176" s="66"/>
      <c r="K176" s="66"/>
      <c r="L176" s="66"/>
      <c r="M176" s="66"/>
      <c r="N176" s="66"/>
      <c r="O176" s="66"/>
      <c r="P176" s="66"/>
      <c r="Q176" s="66"/>
      <c r="R176" s="66"/>
      <c r="S176" s="66"/>
      <c r="T176" s="66"/>
      <c r="U176" s="66"/>
      <c r="V176" s="66"/>
      <c r="W176" s="66"/>
      <c r="X176" s="66"/>
      <c r="Y176" s="66"/>
      <c r="Z176" s="66"/>
      <c r="AA176" s="66"/>
    </row>
    <row r="177" ht="15.75" customHeight="1">
      <c r="A177" s="66"/>
      <c r="B177" s="66"/>
      <c r="C177" s="66"/>
      <c r="D177" s="66"/>
      <c r="E177" s="66"/>
      <c r="F177" s="68" t="str">
        <f t="array" ref="F177">IF(INDEX('Binder Data'!$A$1002:$A$1251,ROW()-1)="","",IF(INDEX('Binder Data'!$D$1002:$D$1251,ROW()-1)="Needed",INDEX('Binder Data'!$B$1002:$B$1251,ROW()-1),INDEX('Binder Data'!$D$1002:$D$1251,ROW()-1)))</f>
        <v/>
      </c>
      <c r="G177" s="66"/>
      <c r="H177" s="66"/>
      <c r="I177" s="66"/>
      <c r="J177" s="66"/>
      <c r="K177" s="66"/>
      <c r="L177" s="66"/>
      <c r="M177" s="66"/>
      <c r="N177" s="66"/>
      <c r="O177" s="66"/>
      <c r="P177" s="66"/>
      <c r="Q177" s="66"/>
      <c r="R177" s="66"/>
      <c r="S177" s="66"/>
      <c r="T177" s="66"/>
      <c r="U177" s="66"/>
      <c r="V177" s="66"/>
      <c r="W177" s="66"/>
      <c r="X177" s="66"/>
      <c r="Y177" s="66"/>
      <c r="Z177" s="66"/>
      <c r="AA177" s="66"/>
    </row>
    <row r="178" ht="15.75" customHeight="1">
      <c r="A178" s="66"/>
      <c r="B178" s="66"/>
      <c r="C178" s="66"/>
      <c r="D178" s="66"/>
      <c r="E178" s="66"/>
      <c r="F178" s="68" t="str">
        <f t="array" ref="F178">IF(INDEX('Binder Data'!$A$1002:$A$1251,ROW()-1)="","",IF(INDEX('Binder Data'!$D$1002:$D$1251,ROW()-1)="Needed",INDEX('Binder Data'!$B$1002:$B$1251,ROW()-1),INDEX('Binder Data'!$D$1002:$D$1251,ROW()-1)))</f>
        <v/>
      </c>
      <c r="G178" s="66"/>
      <c r="H178" s="66"/>
      <c r="I178" s="66"/>
      <c r="J178" s="66"/>
      <c r="K178" s="66"/>
      <c r="L178" s="66"/>
      <c r="M178" s="66"/>
      <c r="N178" s="66"/>
      <c r="O178" s="66"/>
      <c r="P178" s="66"/>
      <c r="Q178" s="66"/>
      <c r="R178" s="66"/>
      <c r="S178" s="66"/>
      <c r="T178" s="66"/>
      <c r="U178" s="66"/>
      <c r="V178" s="66"/>
      <c r="W178" s="66"/>
      <c r="X178" s="66"/>
      <c r="Y178" s="66"/>
      <c r="Z178" s="66"/>
      <c r="AA178" s="66"/>
    </row>
    <row r="179" ht="15.75" customHeight="1">
      <c r="A179" s="66"/>
      <c r="B179" s="66"/>
      <c r="C179" s="66"/>
      <c r="D179" s="66"/>
      <c r="E179" s="66"/>
      <c r="F179" s="68" t="str">
        <f t="array" ref="F179">IF(INDEX('Binder Data'!$A$1002:$A$1251,ROW()-1)="","",IF(INDEX('Binder Data'!$D$1002:$D$1251,ROW()-1)="Needed",INDEX('Binder Data'!$B$1002:$B$1251,ROW()-1),INDEX('Binder Data'!$D$1002:$D$1251,ROW()-1)))</f>
        <v/>
      </c>
      <c r="G179" s="66"/>
      <c r="H179" s="66"/>
      <c r="I179" s="66"/>
      <c r="J179" s="66"/>
      <c r="K179" s="66"/>
      <c r="L179" s="66"/>
      <c r="M179" s="66"/>
      <c r="N179" s="66"/>
      <c r="O179" s="66"/>
      <c r="P179" s="66"/>
      <c r="Q179" s="66"/>
      <c r="R179" s="66"/>
      <c r="S179" s="66"/>
      <c r="T179" s="66"/>
      <c r="U179" s="66"/>
      <c r="V179" s="66"/>
      <c r="W179" s="66"/>
      <c r="X179" s="66"/>
      <c r="Y179" s="66"/>
      <c r="Z179" s="66"/>
      <c r="AA179" s="66"/>
    </row>
    <row r="180" ht="15.75" customHeight="1">
      <c r="A180" s="66"/>
      <c r="B180" s="66"/>
      <c r="C180" s="66"/>
      <c r="D180" s="66"/>
      <c r="E180" s="66"/>
      <c r="F180" s="68" t="str">
        <f t="array" ref="F180">IF(INDEX('Binder Data'!$A$1002:$A$1251,ROW()-1)="","",IF(INDEX('Binder Data'!$D$1002:$D$1251,ROW()-1)="Needed",INDEX('Binder Data'!$B$1002:$B$1251,ROW()-1),INDEX('Binder Data'!$D$1002:$D$1251,ROW()-1)))</f>
        <v/>
      </c>
      <c r="G180" s="66"/>
      <c r="H180" s="66"/>
      <c r="I180" s="66"/>
      <c r="J180" s="66"/>
      <c r="K180" s="66"/>
      <c r="L180" s="66"/>
      <c r="M180" s="66"/>
      <c r="N180" s="66"/>
      <c r="O180" s="66"/>
      <c r="P180" s="66"/>
      <c r="Q180" s="66"/>
      <c r="R180" s="66"/>
      <c r="S180" s="66"/>
      <c r="T180" s="66"/>
      <c r="U180" s="66"/>
      <c r="V180" s="66"/>
      <c r="W180" s="66"/>
      <c r="X180" s="66"/>
      <c r="Y180" s="66"/>
      <c r="Z180" s="66"/>
      <c r="AA180" s="66"/>
    </row>
    <row r="181" ht="15.75" customHeight="1">
      <c r="A181" s="66"/>
      <c r="B181" s="66"/>
      <c r="C181" s="66"/>
      <c r="D181" s="66"/>
      <c r="E181" s="66"/>
      <c r="F181" s="68" t="str">
        <f t="array" ref="F181">IF(INDEX('Binder Data'!$A$1002:$A$1251,ROW()-1)="","",IF(INDEX('Binder Data'!$D$1002:$D$1251,ROW()-1)="Needed",INDEX('Binder Data'!$B$1002:$B$1251,ROW()-1),INDEX('Binder Data'!$D$1002:$D$1251,ROW()-1)))</f>
        <v/>
      </c>
      <c r="G181" s="66"/>
      <c r="H181" s="66"/>
      <c r="I181" s="66"/>
      <c r="J181" s="66"/>
      <c r="K181" s="66"/>
      <c r="L181" s="66"/>
      <c r="M181" s="66"/>
      <c r="N181" s="66"/>
      <c r="O181" s="66"/>
      <c r="P181" s="66"/>
      <c r="Q181" s="66"/>
      <c r="R181" s="66"/>
      <c r="S181" s="66"/>
      <c r="T181" s="66"/>
      <c r="U181" s="66"/>
      <c r="V181" s="66"/>
      <c r="W181" s="66"/>
      <c r="X181" s="66"/>
      <c r="Y181" s="66"/>
      <c r="Z181" s="66"/>
      <c r="AA181" s="66"/>
    </row>
    <row r="182" ht="15.75" customHeight="1">
      <c r="A182" s="66"/>
      <c r="B182" s="66"/>
      <c r="C182" s="66"/>
      <c r="D182" s="66"/>
      <c r="E182" s="66"/>
      <c r="F182" s="68" t="str">
        <f t="array" ref="F182">IF(INDEX('Binder Data'!$A$1002:$A$1251,ROW()-1)="","",IF(INDEX('Binder Data'!$D$1002:$D$1251,ROW()-1)="Needed",INDEX('Binder Data'!$B$1002:$B$1251,ROW()-1),INDEX('Binder Data'!$D$1002:$D$1251,ROW()-1)))</f>
        <v/>
      </c>
      <c r="G182" s="66"/>
      <c r="H182" s="66"/>
      <c r="I182" s="66"/>
      <c r="J182" s="66"/>
      <c r="K182" s="66"/>
      <c r="L182" s="66"/>
      <c r="M182" s="66"/>
      <c r="N182" s="66"/>
      <c r="O182" s="66"/>
      <c r="P182" s="66"/>
      <c r="Q182" s="66"/>
      <c r="R182" s="66"/>
      <c r="S182" s="66"/>
      <c r="T182" s="66"/>
      <c r="U182" s="66"/>
      <c r="V182" s="66"/>
      <c r="W182" s="66"/>
      <c r="X182" s="66"/>
      <c r="Y182" s="66"/>
      <c r="Z182" s="66"/>
      <c r="AA182" s="66"/>
    </row>
    <row r="183" ht="15.75" customHeight="1">
      <c r="A183" s="66"/>
      <c r="B183" s="66"/>
      <c r="C183" s="66"/>
      <c r="D183" s="66"/>
      <c r="E183" s="66"/>
      <c r="F183" s="68" t="str">
        <f t="array" ref="F183">IF(INDEX('Binder Data'!$A$1002:$A$1251,ROW()-1)="","",IF(INDEX('Binder Data'!$D$1002:$D$1251,ROW()-1)="Needed",INDEX('Binder Data'!$B$1002:$B$1251,ROW()-1),INDEX('Binder Data'!$D$1002:$D$1251,ROW()-1)))</f>
        <v/>
      </c>
      <c r="G183" s="66"/>
      <c r="H183" s="66"/>
      <c r="I183" s="66"/>
      <c r="J183" s="66"/>
      <c r="K183" s="66"/>
      <c r="L183" s="66"/>
      <c r="M183" s="66"/>
      <c r="N183" s="66"/>
      <c r="O183" s="66"/>
      <c r="P183" s="66"/>
      <c r="Q183" s="66"/>
      <c r="R183" s="66"/>
      <c r="S183" s="66"/>
      <c r="T183" s="66"/>
      <c r="U183" s="66"/>
      <c r="V183" s="66"/>
      <c r="W183" s="66"/>
      <c r="X183" s="66"/>
      <c r="Y183" s="66"/>
      <c r="Z183" s="66"/>
      <c r="AA183" s="66"/>
    </row>
    <row r="184" ht="15.75" customHeight="1">
      <c r="A184" s="66"/>
      <c r="B184" s="66"/>
      <c r="C184" s="66"/>
      <c r="D184" s="66"/>
      <c r="E184" s="66"/>
      <c r="F184" s="68" t="str">
        <f t="array" ref="F184">IF(INDEX('Binder Data'!$A$1002:$A$1251,ROW()-1)="","",IF(INDEX('Binder Data'!$D$1002:$D$1251,ROW()-1)="Needed",INDEX('Binder Data'!$B$1002:$B$1251,ROW()-1),INDEX('Binder Data'!$D$1002:$D$1251,ROW()-1)))</f>
        <v/>
      </c>
      <c r="G184" s="66"/>
      <c r="H184" s="66"/>
      <c r="I184" s="66"/>
      <c r="J184" s="66"/>
      <c r="K184" s="66"/>
      <c r="L184" s="66"/>
      <c r="M184" s="66"/>
      <c r="N184" s="66"/>
      <c r="O184" s="66"/>
      <c r="P184" s="66"/>
      <c r="Q184" s="66"/>
      <c r="R184" s="66"/>
      <c r="S184" s="66"/>
      <c r="T184" s="66"/>
      <c r="U184" s="66"/>
      <c r="V184" s="66"/>
      <c r="W184" s="66"/>
      <c r="X184" s="66"/>
      <c r="Y184" s="66"/>
      <c r="Z184" s="66"/>
      <c r="AA184" s="66"/>
    </row>
    <row r="185" ht="15.75" customHeight="1">
      <c r="A185" s="66"/>
      <c r="B185" s="66"/>
      <c r="C185" s="66"/>
      <c r="D185" s="66"/>
      <c r="E185" s="66"/>
      <c r="F185" s="68" t="str">
        <f t="array" ref="F185">IF(INDEX('Binder Data'!$A$1002:$A$1251,ROW()-1)="","",IF(INDEX('Binder Data'!$D$1002:$D$1251,ROW()-1)="Needed",INDEX('Binder Data'!$B$1002:$B$1251,ROW()-1),INDEX('Binder Data'!$D$1002:$D$1251,ROW()-1)))</f>
        <v/>
      </c>
      <c r="G185" s="66"/>
      <c r="H185" s="66"/>
      <c r="I185" s="66"/>
      <c r="J185" s="66"/>
      <c r="K185" s="66"/>
      <c r="L185" s="66"/>
      <c r="M185" s="66"/>
      <c r="N185" s="66"/>
      <c r="O185" s="66"/>
      <c r="P185" s="66"/>
      <c r="Q185" s="66"/>
      <c r="R185" s="66"/>
      <c r="S185" s="66"/>
      <c r="T185" s="66"/>
      <c r="U185" s="66"/>
      <c r="V185" s="66"/>
      <c r="W185" s="66"/>
      <c r="X185" s="66"/>
      <c r="Y185" s="66"/>
      <c r="Z185" s="66"/>
      <c r="AA185" s="66"/>
    </row>
    <row r="186" ht="15.75" customHeight="1">
      <c r="A186" s="66"/>
      <c r="B186" s="66"/>
      <c r="C186" s="66"/>
      <c r="D186" s="66"/>
      <c r="E186" s="66"/>
      <c r="F186" s="68" t="str">
        <f t="array" ref="F186">IF(INDEX('Binder Data'!$A$1002:$A$1251,ROW()-1)="","",IF(INDEX('Binder Data'!$D$1002:$D$1251,ROW()-1)="Needed",INDEX('Binder Data'!$B$1002:$B$1251,ROW()-1),INDEX('Binder Data'!$D$1002:$D$1251,ROW()-1)))</f>
        <v/>
      </c>
      <c r="G186" s="66"/>
      <c r="H186" s="66"/>
      <c r="I186" s="66"/>
      <c r="J186" s="66"/>
      <c r="K186" s="66"/>
      <c r="L186" s="66"/>
      <c r="M186" s="66"/>
      <c r="N186" s="66"/>
      <c r="O186" s="66"/>
      <c r="P186" s="66"/>
      <c r="Q186" s="66"/>
      <c r="R186" s="66"/>
      <c r="S186" s="66"/>
      <c r="T186" s="66"/>
      <c r="U186" s="66"/>
      <c r="V186" s="66"/>
      <c r="W186" s="66"/>
      <c r="X186" s="66"/>
      <c r="Y186" s="66"/>
      <c r="Z186" s="66"/>
      <c r="AA186" s="66"/>
    </row>
    <row r="187" ht="15.75" customHeight="1">
      <c r="A187" s="66"/>
      <c r="B187" s="66"/>
      <c r="C187" s="66"/>
      <c r="D187" s="66"/>
      <c r="E187" s="66"/>
      <c r="F187" s="68" t="str">
        <f t="array" ref="F187">IF(INDEX('Binder Data'!$A$1002:$A$1251,ROW()-1)="","",IF(INDEX('Binder Data'!$D$1002:$D$1251,ROW()-1)="Needed",INDEX('Binder Data'!$B$1002:$B$1251,ROW()-1),INDEX('Binder Data'!$D$1002:$D$1251,ROW()-1)))</f>
        <v/>
      </c>
      <c r="G187" s="66"/>
      <c r="H187" s="66"/>
      <c r="I187" s="66"/>
      <c r="J187" s="66"/>
      <c r="K187" s="66"/>
      <c r="L187" s="66"/>
      <c r="M187" s="66"/>
      <c r="N187" s="66"/>
      <c r="O187" s="66"/>
      <c r="P187" s="66"/>
      <c r="Q187" s="66"/>
      <c r="R187" s="66"/>
      <c r="S187" s="66"/>
      <c r="T187" s="66"/>
      <c r="U187" s="66"/>
      <c r="V187" s="66"/>
      <c r="W187" s="66"/>
      <c r="X187" s="66"/>
      <c r="Y187" s="66"/>
      <c r="Z187" s="66"/>
      <c r="AA187" s="66"/>
    </row>
    <row r="188" ht="15.75" customHeight="1">
      <c r="A188" s="66"/>
      <c r="B188" s="66"/>
      <c r="C188" s="66"/>
      <c r="D188" s="66"/>
      <c r="E188" s="66"/>
      <c r="F188" s="68" t="str">
        <f t="array" ref="F188">IF(INDEX('Binder Data'!$A$1002:$A$1251,ROW()-1)="","",IF(INDEX('Binder Data'!$D$1002:$D$1251,ROW()-1)="Needed",INDEX('Binder Data'!$B$1002:$B$1251,ROW()-1),INDEX('Binder Data'!$D$1002:$D$1251,ROW()-1)))</f>
        <v/>
      </c>
      <c r="G188" s="66"/>
      <c r="H188" s="66"/>
      <c r="I188" s="66"/>
      <c r="J188" s="66"/>
      <c r="K188" s="66"/>
      <c r="L188" s="66"/>
      <c r="M188" s="66"/>
      <c r="N188" s="66"/>
      <c r="O188" s="66"/>
      <c r="P188" s="66"/>
      <c r="Q188" s="66"/>
      <c r="R188" s="66"/>
      <c r="S188" s="66"/>
      <c r="T188" s="66"/>
      <c r="U188" s="66"/>
      <c r="V188" s="66"/>
      <c r="W188" s="66"/>
      <c r="X188" s="66"/>
      <c r="Y188" s="66"/>
      <c r="Z188" s="66"/>
      <c r="AA188" s="66"/>
    </row>
    <row r="189" ht="15.75" customHeight="1">
      <c r="A189" s="66"/>
      <c r="B189" s="66"/>
      <c r="C189" s="66"/>
      <c r="D189" s="66"/>
      <c r="E189" s="66"/>
      <c r="F189" s="68" t="str">
        <f t="array" ref="F189">IF(INDEX('Binder Data'!$A$1002:$A$1251,ROW()-1)="","",IF(INDEX('Binder Data'!$D$1002:$D$1251,ROW()-1)="Needed",INDEX('Binder Data'!$B$1002:$B$1251,ROW()-1),INDEX('Binder Data'!$D$1002:$D$1251,ROW()-1)))</f>
        <v/>
      </c>
      <c r="G189" s="66"/>
      <c r="H189" s="66"/>
      <c r="I189" s="66"/>
      <c r="J189" s="66"/>
      <c r="K189" s="66"/>
      <c r="L189" s="66"/>
      <c r="M189" s="66"/>
      <c r="N189" s="66"/>
      <c r="O189" s="66"/>
      <c r="P189" s="66"/>
      <c r="Q189" s="66"/>
      <c r="R189" s="66"/>
      <c r="S189" s="66"/>
      <c r="T189" s="66"/>
      <c r="U189" s="66"/>
      <c r="V189" s="66"/>
      <c r="W189" s="66"/>
      <c r="X189" s="66"/>
      <c r="Y189" s="66"/>
      <c r="Z189" s="66"/>
      <c r="AA189" s="66"/>
    </row>
    <row r="190" ht="15.75" customHeight="1">
      <c r="A190" s="66"/>
      <c r="B190" s="66"/>
      <c r="C190" s="66"/>
      <c r="D190" s="66"/>
      <c r="E190" s="66"/>
      <c r="F190" s="68" t="str">
        <f t="array" ref="F190">IF(INDEX('Binder Data'!$A$1002:$A$1251,ROW()-1)="","",IF(INDEX('Binder Data'!$D$1002:$D$1251,ROW()-1)="Needed",INDEX('Binder Data'!$B$1002:$B$1251,ROW()-1),INDEX('Binder Data'!$D$1002:$D$1251,ROW()-1)))</f>
        <v/>
      </c>
      <c r="G190" s="66"/>
      <c r="H190" s="66"/>
      <c r="I190" s="66"/>
      <c r="J190" s="66"/>
      <c r="K190" s="66"/>
      <c r="L190" s="66"/>
      <c r="M190" s="66"/>
      <c r="N190" s="66"/>
      <c r="O190" s="66"/>
      <c r="P190" s="66"/>
      <c r="Q190" s="66"/>
      <c r="R190" s="66"/>
      <c r="S190" s="66"/>
      <c r="T190" s="66"/>
      <c r="U190" s="66"/>
      <c r="V190" s="66"/>
      <c r="W190" s="66"/>
      <c r="X190" s="66"/>
      <c r="Y190" s="66"/>
      <c r="Z190" s="66"/>
      <c r="AA190" s="66"/>
    </row>
    <row r="191" ht="15.75" customHeight="1">
      <c r="A191" s="66"/>
      <c r="B191" s="66"/>
      <c r="C191" s="66"/>
      <c r="D191" s="66"/>
      <c r="E191" s="66"/>
      <c r="F191" s="68" t="str">
        <f t="array" ref="F191">IF(INDEX('Binder Data'!$A$1002:$A$1251,ROW()-1)="","",IF(INDEX('Binder Data'!$D$1002:$D$1251,ROW()-1)="Needed",INDEX('Binder Data'!$B$1002:$B$1251,ROW()-1),INDEX('Binder Data'!$D$1002:$D$1251,ROW()-1)))</f>
        <v/>
      </c>
      <c r="G191" s="66"/>
      <c r="H191" s="66"/>
      <c r="I191" s="66"/>
      <c r="J191" s="66"/>
      <c r="K191" s="66"/>
      <c r="L191" s="66"/>
      <c r="M191" s="66"/>
      <c r="N191" s="66"/>
      <c r="O191" s="66"/>
      <c r="P191" s="66"/>
      <c r="Q191" s="66"/>
      <c r="R191" s="66"/>
      <c r="S191" s="66"/>
      <c r="T191" s="66"/>
      <c r="U191" s="66"/>
      <c r="V191" s="66"/>
      <c r="W191" s="66"/>
      <c r="X191" s="66"/>
      <c r="Y191" s="66"/>
      <c r="Z191" s="66"/>
      <c r="AA191" s="66"/>
    </row>
    <row r="192" ht="15.75" customHeight="1">
      <c r="A192" s="66"/>
      <c r="B192" s="66"/>
      <c r="C192" s="66"/>
      <c r="D192" s="66"/>
      <c r="E192" s="66"/>
      <c r="F192" s="68" t="str">
        <f t="array" ref="F192">IF(INDEX('Binder Data'!$A$1002:$A$1251,ROW()-1)="","",IF(INDEX('Binder Data'!$D$1002:$D$1251,ROW()-1)="Needed",INDEX('Binder Data'!$B$1002:$B$1251,ROW()-1),INDEX('Binder Data'!$D$1002:$D$1251,ROW()-1)))</f>
        <v/>
      </c>
      <c r="G192" s="66"/>
      <c r="H192" s="66"/>
      <c r="I192" s="66"/>
      <c r="J192" s="66"/>
      <c r="K192" s="66"/>
      <c r="L192" s="66"/>
      <c r="M192" s="66"/>
      <c r="N192" s="66"/>
      <c r="O192" s="66"/>
      <c r="P192" s="66"/>
      <c r="Q192" s="66"/>
      <c r="R192" s="66"/>
      <c r="S192" s="66"/>
      <c r="T192" s="66"/>
      <c r="U192" s="66"/>
      <c r="V192" s="66"/>
      <c r="W192" s="66"/>
      <c r="X192" s="66"/>
      <c r="Y192" s="66"/>
      <c r="Z192" s="66"/>
      <c r="AA192" s="66"/>
    </row>
    <row r="193" ht="15.75" customHeight="1">
      <c r="A193" s="66"/>
      <c r="B193" s="66"/>
      <c r="C193" s="66"/>
      <c r="D193" s="66"/>
      <c r="E193" s="66"/>
      <c r="F193" s="68" t="str">
        <f t="array" ref="F193">IF(INDEX('Binder Data'!$A$1002:$A$1251,ROW()-1)="","",IF(INDEX('Binder Data'!$D$1002:$D$1251,ROW()-1)="Needed",INDEX('Binder Data'!$B$1002:$B$1251,ROW()-1),INDEX('Binder Data'!$D$1002:$D$1251,ROW()-1)))</f>
        <v/>
      </c>
      <c r="G193" s="66"/>
      <c r="H193" s="66"/>
      <c r="I193" s="66"/>
      <c r="J193" s="66"/>
      <c r="K193" s="66"/>
      <c r="L193" s="66"/>
      <c r="M193" s="66"/>
      <c r="N193" s="66"/>
      <c r="O193" s="66"/>
      <c r="P193" s="66"/>
      <c r="Q193" s="66"/>
      <c r="R193" s="66"/>
      <c r="S193" s="66"/>
      <c r="T193" s="66"/>
      <c r="U193" s="66"/>
      <c r="V193" s="66"/>
      <c r="W193" s="66"/>
      <c r="X193" s="66"/>
      <c r="Y193" s="66"/>
      <c r="Z193" s="66"/>
      <c r="AA193" s="66"/>
    </row>
    <row r="194" ht="15.75" customHeight="1">
      <c r="A194" s="66"/>
      <c r="B194" s="66"/>
      <c r="C194" s="66"/>
      <c r="D194" s="66"/>
      <c r="E194" s="66"/>
      <c r="F194" s="68" t="str">
        <f t="array" ref="F194">IF(INDEX('Binder Data'!$A$1002:$A$1251,ROW()-1)="","",IF(INDEX('Binder Data'!$D$1002:$D$1251,ROW()-1)="Needed",INDEX('Binder Data'!$B$1002:$B$1251,ROW()-1),INDEX('Binder Data'!$D$1002:$D$1251,ROW()-1)))</f>
        <v/>
      </c>
      <c r="G194" s="66"/>
      <c r="H194" s="66"/>
      <c r="I194" s="66"/>
      <c r="J194" s="66"/>
      <c r="K194" s="66"/>
      <c r="L194" s="66"/>
      <c r="M194" s="66"/>
      <c r="N194" s="66"/>
      <c r="O194" s="66"/>
      <c r="P194" s="66"/>
      <c r="Q194" s="66"/>
      <c r="R194" s="66"/>
      <c r="S194" s="66"/>
      <c r="T194" s="66"/>
      <c r="U194" s="66"/>
      <c r="V194" s="66"/>
      <c r="W194" s="66"/>
      <c r="X194" s="66"/>
      <c r="Y194" s="66"/>
      <c r="Z194" s="66"/>
      <c r="AA194" s="66"/>
    </row>
    <row r="195" ht="15.75" customHeight="1">
      <c r="A195" s="66"/>
      <c r="B195" s="66"/>
      <c r="C195" s="66"/>
      <c r="D195" s="66"/>
      <c r="E195" s="66"/>
      <c r="F195" s="68" t="str">
        <f t="array" ref="F195">IF(INDEX('Binder Data'!$A$1002:$A$1251,ROW()-1)="","",IF(INDEX('Binder Data'!$D$1002:$D$1251,ROW()-1)="Needed",INDEX('Binder Data'!$B$1002:$B$1251,ROW()-1),INDEX('Binder Data'!$D$1002:$D$1251,ROW()-1)))</f>
        <v/>
      </c>
      <c r="G195" s="66"/>
      <c r="H195" s="66"/>
      <c r="I195" s="66"/>
      <c r="J195" s="66"/>
      <c r="K195" s="66"/>
      <c r="L195" s="66"/>
      <c r="M195" s="66"/>
      <c r="N195" s="66"/>
      <c r="O195" s="66"/>
      <c r="P195" s="66"/>
      <c r="Q195" s="66"/>
      <c r="R195" s="66"/>
      <c r="S195" s="66"/>
      <c r="T195" s="66"/>
      <c r="U195" s="66"/>
      <c r="V195" s="66"/>
      <c r="W195" s="66"/>
      <c r="X195" s="66"/>
      <c r="Y195" s="66"/>
      <c r="Z195" s="66"/>
      <c r="AA195" s="66"/>
    </row>
    <row r="196" ht="15.75" customHeight="1">
      <c r="A196" s="66"/>
      <c r="B196" s="66"/>
      <c r="C196" s="66"/>
      <c r="D196" s="66"/>
      <c r="E196" s="66"/>
      <c r="F196" s="68" t="str">
        <f t="array" ref="F196">IF(INDEX('Binder Data'!$A$1002:$A$1251,ROW()-1)="","",IF(INDEX('Binder Data'!$D$1002:$D$1251,ROW()-1)="Needed",INDEX('Binder Data'!$B$1002:$B$1251,ROW()-1),INDEX('Binder Data'!$D$1002:$D$1251,ROW()-1)))</f>
        <v/>
      </c>
      <c r="G196" s="66"/>
      <c r="H196" s="66"/>
      <c r="I196" s="66"/>
      <c r="J196" s="66"/>
      <c r="K196" s="66"/>
      <c r="L196" s="66"/>
      <c r="M196" s="66"/>
      <c r="N196" s="66"/>
      <c r="O196" s="66"/>
      <c r="P196" s="66"/>
      <c r="Q196" s="66"/>
      <c r="R196" s="66"/>
      <c r="S196" s="66"/>
      <c r="T196" s="66"/>
      <c r="U196" s="66"/>
      <c r="V196" s="66"/>
      <c r="W196" s="66"/>
      <c r="X196" s="66"/>
      <c r="Y196" s="66"/>
      <c r="Z196" s="66"/>
      <c r="AA196" s="66"/>
    </row>
    <row r="197" ht="15.75" customHeight="1">
      <c r="A197" s="66"/>
      <c r="B197" s="66"/>
      <c r="C197" s="66"/>
      <c r="D197" s="66"/>
      <c r="E197" s="66"/>
      <c r="F197" s="68" t="str">
        <f t="array" ref="F197">IF(INDEX('Binder Data'!$A$1002:$A$1251,ROW()-1)="","",IF(INDEX('Binder Data'!$D$1002:$D$1251,ROW()-1)="Needed",INDEX('Binder Data'!$B$1002:$B$1251,ROW()-1),INDEX('Binder Data'!$D$1002:$D$1251,ROW()-1)))</f>
        <v/>
      </c>
      <c r="G197" s="66"/>
      <c r="H197" s="66"/>
      <c r="I197" s="66"/>
      <c r="J197" s="66"/>
      <c r="K197" s="66"/>
      <c r="L197" s="66"/>
      <c r="M197" s="66"/>
      <c r="N197" s="66"/>
      <c r="O197" s="66"/>
      <c r="P197" s="66"/>
      <c r="Q197" s="66"/>
      <c r="R197" s="66"/>
      <c r="S197" s="66"/>
      <c r="T197" s="66"/>
      <c r="U197" s="66"/>
      <c r="V197" s="66"/>
      <c r="W197" s="66"/>
      <c r="X197" s="66"/>
      <c r="Y197" s="66"/>
      <c r="Z197" s="66"/>
      <c r="AA197" s="66"/>
    </row>
    <row r="198" ht="15.75" customHeight="1">
      <c r="A198" s="66"/>
      <c r="B198" s="66"/>
      <c r="C198" s="66"/>
      <c r="D198" s="66"/>
      <c r="E198" s="66"/>
      <c r="F198" s="68" t="str">
        <f t="array" ref="F198">IF(INDEX('Binder Data'!$A$1002:$A$1251,ROW()-1)="","",IF(INDEX('Binder Data'!$D$1002:$D$1251,ROW()-1)="Needed",INDEX('Binder Data'!$B$1002:$B$1251,ROW()-1),INDEX('Binder Data'!$D$1002:$D$1251,ROW()-1)))</f>
        <v/>
      </c>
      <c r="G198" s="66"/>
      <c r="H198" s="66"/>
      <c r="I198" s="66"/>
      <c r="J198" s="66"/>
      <c r="K198" s="66"/>
      <c r="L198" s="66"/>
      <c r="M198" s="66"/>
      <c r="N198" s="66"/>
      <c r="O198" s="66"/>
      <c r="P198" s="66"/>
      <c r="Q198" s="66"/>
      <c r="R198" s="66"/>
      <c r="S198" s="66"/>
      <c r="T198" s="66"/>
      <c r="U198" s="66"/>
      <c r="V198" s="66"/>
      <c r="W198" s="66"/>
      <c r="X198" s="66"/>
      <c r="Y198" s="66"/>
      <c r="Z198" s="66"/>
      <c r="AA198" s="66"/>
    </row>
    <row r="199" ht="15.75" customHeight="1">
      <c r="A199" s="66"/>
      <c r="B199" s="66"/>
      <c r="C199" s="66"/>
      <c r="D199" s="66"/>
      <c r="E199" s="66"/>
      <c r="F199" s="68" t="str">
        <f t="array" ref="F199">IF(INDEX('Binder Data'!$A$1002:$A$1251,ROW()-1)="","",IF(INDEX('Binder Data'!$D$1002:$D$1251,ROW()-1)="Needed",INDEX('Binder Data'!$B$1002:$B$1251,ROW()-1),INDEX('Binder Data'!$D$1002:$D$1251,ROW()-1)))</f>
        <v/>
      </c>
      <c r="G199" s="66"/>
      <c r="H199" s="66"/>
      <c r="I199" s="66"/>
      <c r="J199" s="66"/>
      <c r="K199" s="66"/>
      <c r="L199" s="66"/>
      <c r="M199" s="66"/>
      <c r="N199" s="66"/>
      <c r="O199" s="66"/>
      <c r="P199" s="66"/>
      <c r="Q199" s="66"/>
      <c r="R199" s="66"/>
      <c r="S199" s="66"/>
      <c r="T199" s="66"/>
      <c r="U199" s="66"/>
      <c r="V199" s="66"/>
      <c r="W199" s="66"/>
      <c r="X199" s="66"/>
      <c r="Y199" s="66"/>
      <c r="Z199" s="66"/>
      <c r="AA199" s="66"/>
    </row>
    <row r="200" ht="15.75" customHeight="1">
      <c r="A200" s="66"/>
      <c r="B200" s="66"/>
      <c r="C200" s="66"/>
      <c r="D200" s="66"/>
      <c r="E200" s="66"/>
      <c r="F200" s="68" t="str">
        <f t="array" ref="F200">IF(INDEX('Binder Data'!$A$1002:$A$1251,ROW()-1)="","",IF(INDEX('Binder Data'!$D$1002:$D$1251,ROW()-1)="Needed",INDEX('Binder Data'!$B$1002:$B$1251,ROW()-1),INDEX('Binder Data'!$D$1002:$D$1251,ROW()-1)))</f>
        <v/>
      </c>
      <c r="G200" s="66"/>
      <c r="H200" s="66"/>
      <c r="I200" s="66"/>
      <c r="J200" s="66"/>
      <c r="K200" s="66"/>
      <c r="L200" s="66"/>
      <c r="M200" s="66"/>
      <c r="N200" s="66"/>
      <c r="O200" s="66"/>
      <c r="P200" s="66"/>
      <c r="Q200" s="66"/>
      <c r="R200" s="66"/>
      <c r="S200" s="66"/>
      <c r="T200" s="66"/>
      <c r="U200" s="66"/>
      <c r="V200" s="66"/>
      <c r="W200" s="66"/>
      <c r="X200" s="66"/>
      <c r="Y200" s="66"/>
      <c r="Z200" s="66"/>
      <c r="AA200" s="66"/>
    </row>
    <row r="201" ht="15.75" customHeight="1">
      <c r="A201" s="66"/>
      <c r="B201" s="66"/>
      <c r="C201" s="66"/>
      <c r="D201" s="66"/>
      <c r="E201" s="66"/>
      <c r="F201" s="68" t="str">
        <f t="array" ref="F201">IF(INDEX('Binder Data'!$A$1002:$A$1251,ROW()-1)="","",IF(INDEX('Binder Data'!$D$1002:$D$1251,ROW()-1)="Needed",INDEX('Binder Data'!$B$1002:$B$1251,ROW()-1),INDEX('Binder Data'!$D$1002:$D$1251,ROW()-1)))</f>
        <v/>
      </c>
      <c r="G201" s="66"/>
      <c r="H201" s="66"/>
      <c r="I201" s="66"/>
      <c r="J201" s="66"/>
      <c r="K201" s="66"/>
      <c r="L201" s="66"/>
      <c r="M201" s="66"/>
      <c r="N201" s="66"/>
      <c r="O201" s="66"/>
      <c r="P201" s="66"/>
      <c r="Q201" s="66"/>
      <c r="R201" s="66"/>
      <c r="S201" s="66"/>
      <c r="T201" s="66"/>
      <c r="U201" s="66"/>
      <c r="V201" s="66"/>
      <c r="W201" s="66"/>
      <c r="X201" s="66"/>
      <c r="Y201" s="66"/>
      <c r="Z201" s="66"/>
      <c r="AA201" s="66"/>
    </row>
    <row r="202" ht="15.75" customHeight="1">
      <c r="A202" s="66"/>
      <c r="B202" s="66"/>
      <c r="C202" s="66"/>
      <c r="D202" s="66"/>
      <c r="E202" s="66"/>
      <c r="F202" s="68" t="str">
        <f t="array" ref="F202">IF(INDEX('Binder Data'!$A$1002:$A$1251,ROW()-1)="","",IF(INDEX('Binder Data'!$D$1002:$D$1251,ROW()-1)="Needed",INDEX('Binder Data'!$B$1002:$B$1251,ROW()-1),INDEX('Binder Data'!$D$1002:$D$1251,ROW()-1)))</f>
        <v/>
      </c>
      <c r="G202" s="66"/>
      <c r="H202" s="66"/>
      <c r="I202" s="66"/>
      <c r="J202" s="66"/>
      <c r="K202" s="66"/>
      <c r="L202" s="66"/>
      <c r="M202" s="66"/>
      <c r="N202" s="66"/>
      <c r="O202" s="66"/>
      <c r="P202" s="66"/>
      <c r="Q202" s="66"/>
      <c r="R202" s="66"/>
      <c r="S202" s="66"/>
      <c r="T202" s="66"/>
      <c r="U202" s="66"/>
      <c r="V202" s="66"/>
      <c r="W202" s="66"/>
      <c r="X202" s="66"/>
      <c r="Y202" s="66"/>
      <c r="Z202" s="66"/>
      <c r="AA202" s="66"/>
    </row>
    <row r="203" ht="15.75" customHeight="1">
      <c r="A203" s="66"/>
      <c r="B203" s="66"/>
      <c r="C203" s="66"/>
      <c r="D203" s="66"/>
      <c r="E203" s="66"/>
      <c r="F203" s="68" t="str">
        <f t="array" ref="F203">IF(INDEX('Binder Data'!$A$1002:$A$1251,ROW()-1)="","",IF(INDEX('Binder Data'!$D$1002:$D$1251,ROW()-1)="Needed",INDEX('Binder Data'!$B$1002:$B$1251,ROW()-1),INDEX('Binder Data'!$D$1002:$D$1251,ROW()-1)))</f>
        <v/>
      </c>
      <c r="G203" s="66"/>
      <c r="H203" s="66"/>
      <c r="I203" s="66"/>
      <c r="J203" s="66"/>
      <c r="K203" s="66"/>
      <c r="L203" s="66"/>
      <c r="M203" s="66"/>
      <c r="N203" s="66"/>
      <c r="O203" s="66"/>
      <c r="P203" s="66"/>
      <c r="Q203" s="66"/>
      <c r="R203" s="66"/>
      <c r="S203" s="66"/>
      <c r="T203" s="66"/>
      <c r="U203" s="66"/>
      <c r="V203" s="66"/>
      <c r="W203" s="66"/>
      <c r="X203" s="66"/>
      <c r="Y203" s="66"/>
      <c r="Z203" s="66"/>
      <c r="AA203" s="66"/>
    </row>
    <row r="204" ht="15.75" customHeight="1">
      <c r="A204" s="66"/>
      <c r="B204" s="66"/>
      <c r="C204" s="66"/>
      <c r="D204" s="66"/>
      <c r="E204" s="66"/>
      <c r="F204" s="68" t="str">
        <f t="array" ref="F204">IF(INDEX('Binder Data'!$A$1002:$A$1251,ROW()-1)="","",IF(INDEX('Binder Data'!$D$1002:$D$1251,ROW()-1)="Needed",INDEX('Binder Data'!$B$1002:$B$1251,ROW()-1),INDEX('Binder Data'!$D$1002:$D$1251,ROW()-1)))</f>
        <v/>
      </c>
      <c r="G204" s="66"/>
      <c r="H204" s="66"/>
      <c r="I204" s="66"/>
      <c r="J204" s="66"/>
      <c r="K204" s="66"/>
      <c r="L204" s="66"/>
      <c r="M204" s="66"/>
      <c r="N204" s="66"/>
      <c r="O204" s="66"/>
      <c r="P204" s="66"/>
      <c r="Q204" s="66"/>
      <c r="R204" s="66"/>
      <c r="S204" s="66"/>
      <c r="T204" s="66"/>
      <c r="U204" s="66"/>
      <c r="V204" s="66"/>
      <c r="W204" s="66"/>
      <c r="X204" s="66"/>
      <c r="Y204" s="66"/>
      <c r="Z204" s="66"/>
      <c r="AA204" s="66"/>
    </row>
    <row r="205" ht="15.75" customHeight="1">
      <c r="A205" s="66"/>
      <c r="B205" s="66"/>
      <c r="C205" s="66"/>
      <c r="D205" s="66"/>
      <c r="E205" s="66"/>
      <c r="F205" s="68" t="str">
        <f t="array" ref="F205">IF(INDEX('Binder Data'!$A$1002:$A$1251,ROW()-1)="","",IF(INDEX('Binder Data'!$D$1002:$D$1251,ROW()-1)="Needed",INDEX('Binder Data'!$B$1002:$B$1251,ROW()-1),INDEX('Binder Data'!$D$1002:$D$1251,ROW()-1)))</f>
        <v/>
      </c>
      <c r="G205" s="66"/>
      <c r="H205" s="66"/>
      <c r="I205" s="66"/>
      <c r="J205" s="66"/>
      <c r="K205" s="66"/>
      <c r="L205" s="66"/>
      <c r="M205" s="66"/>
      <c r="N205" s="66"/>
      <c r="O205" s="66"/>
      <c r="P205" s="66"/>
      <c r="Q205" s="66"/>
      <c r="R205" s="66"/>
      <c r="S205" s="66"/>
      <c r="T205" s="66"/>
      <c r="U205" s="66"/>
      <c r="V205" s="66"/>
      <c r="W205" s="66"/>
      <c r="X205" s="66"/>
      <c r="Y205" s="66"/>
      <c r="Z205" s="66"/>
      <c r="AA205" s="66"/>
    </row>
    <row r="206" ht="15.75" customHeight="1">
      <c r="A206" s="66"/>
      <c r="B206" s="66"/>
      <c r="C206" s="66"/>
      <c r="D206" s="66"/>
      <c r="E206" s="66"/>
      <c r="F206" s="68" t="str">
        <f t="array" ref="F206">IF(INDEX('Binder Data'!$A$1002:$A$1251,ROW()-1)="","",IF(INDEX('Binder Data'!$D$1002:$D$1251,ROW()-1)="Needed",INDEX('Binder Data'!$B$1002:$B$1251,ROW()-1),INDEX('Binder Data'!$D$1002:$D$1251,ROW()-1)))</f>
        <v/>
      </c>
      <c r="G206" s="66"/>
      <c r="H206" s="66"/>
      <c r="I206" s="66"/>
      <c r="J206" s="66"/>
      <c r="K206" s="66"/>
      <c r="L206" s="66"/>
      <c r="M206" s="66"/>
      <c r="N206" s="66"/>
      <c r="O206" s="66"/>
      <c r="P206" s="66"/>
      <c r="Q206" s="66"/>
      <c r="R206" s="66"/>
      <c r="S206" s="66"/>
      <c r="T206" s="66"/>
      <c r="U206" s="66"/>
      <c r="V206" s="66"/>
      <c r="W206" s="66"/>
      <c r="X206" s="66"/>
      <c r="Y206" s="66"/>
      <c r="Z206" s="66"/>
      <c r="AA206" s="66"/>
    </row>
    <row r="207" ht="15.75" customHeight="1">
      <c r="A207" s="66"/>
      <c r="B207" s="66"/>
      <c r="C207" s="66"/>
      <c r="D207" s="66"/>
      <c r="E207" s="66"/>
      <c r="F207" s="68" t="str">
        <f t="array" ref="F207">IF(INDEX('Binder Data'!$A$1002:$A$1251,ROW()-1)="","",IF(INDEX('Binder Data'!$D$1002:$D$1251,ROW()-1)="Needed",INDEX('Binder Data'!$B$1002:$B$1251,ROW()-1),INDEX('Binder Data'!$D$1002:$D$1251,ROW()-1)))</f>
        <v/>
      </c>
      <c r="G207" s="66"/>
      <c r="H207" s="66"/>
      <c r="I207" s="66"/>
      <c r="J207" s="66"/>
      <c r="K207" s="66"/>
      <c r="L207" s="66"/>
      <c r="M207" s="66"/>
      <c r="N207" s="66"/>
      <c r="O207" s="66"/>
      <c r="P207" s="66"/>
      <c r="Q207" s="66"/>
      <c r="R207" s="66"/>
      <c r="S207" s="66"/>
      <c r="T207" s="66"/>
      <c r="U207" s="66"/>
      <c r="V207" s="66"/>
      <c r="W207" s="66"/>
      <c r="X207" s="66"/>
      <c r="Y207" s="66"/>
      <c r="Z207" s="66"/>
      <c r="AA207" s="66"/>
    </row>
    <row r="208" ht="15.75" customHeight="1">
      <c r="A208" s="66"/>
      <c r="B208" s="66"/>
      <c r="C208" s="66"/>
      <c r="D208" s="66"/>
      <c r="E208" s="66"/>
      <c r="F208" s="68" t="str">
        <f t="array" ref="F208">IF(INDEX('Binder Data'!$A$1002:$A$1251,ROW()-1)="","",IF(INDEX('Binder Data'!$D$1002:$D$1251,ROW()-1)="Needed",INDEX('Binder Data'!$B$1002:$B$1251,ROW()-1),INDEX('Binder Data'!$D$1002:$D$1251,ROW()-1)))</f>
        <v/>
      </c>
      <c r="G208" s="66"/>
      <c r="H208" s="66"/>
      <c r="I208" s="66"/>
      <c r="J208" s="66"/>
      <c r="K208" s="66"/>
      <c r="L208" s="66"/>
      <c r="M208" s="66"/>
      <c r="N208" s="66"/>
      <c r="O208" s="66"/>
      <c r="P208" s="66"/>
      <c r="Q208" s="66"/>
      <c r="R208" s="66"/>
      <c r="S208" s="66"/>
      <c r="T208" s="66"/>
      <c r="U208" s="66"/>
      <c r="V208" s="66"/>
      <c r="W208" s="66"/>
      <c r="X208" s="66"/>
      <c r="Y208" s="66"/>
      <c r="Z208" s="66"/>
      <c r="AA208" s="66"/>
    </row>
    <row r="209" ht="15.75" customHeight="1">
      <c r="A209" s="66"/>
      <c r="B209" s="66"/>
      <c r="C209" s="66"/>
      <c r="D209" s="66"/>
      <c r="E209" s="66"/>
      <c r="F209" s="68" t="str">
        <f t="array" ref="F209">IF(INDEX('Binder Data'!$A$1002:$A$1251,ROW()-1)="","",IF(INDEX('Binder Data'!$D$1002:$D$1251,ROW()-1)="Needed",INDEX('Binder Data'!$B$1002:$B$1251,ROW()-1),INDEX('Binder Data'!$D$1002:$D$1251,ROW()-1)))</f>
        <v/>
      </c>
      <c r="G209" s="66"/>
      <c r="H209" s="66"/>
      <c r="I209" s="66"/>
      <c r="J209" s="66"/>
      <c r="K209" s="66"/>
      <c r="L209" s="66"/>
      <c r="M209" s="66"/>
      <c r="N209" s="66"/>
      <c r="O209" s="66"/>
      <c r="P209" s="66"/>
      <c r="Q209" s="66"/>
      <c r="R209" s="66"/>
      <c r="S209" s="66"/>
      <c r="T209" s="66"/>
      <c r="U209" s="66"/>
      <c r="V209" s="66"/>
      <c r="W209" s="66"/>
      <c r="X209" s="66"/>
      <c r="Y209" s="66"/>
      <c r="Z209" s="66"/>
      <c r="AA209" s="66"/>
    </row>
    <row r="210" ht="15.75" customHeight="1">
      <c r="A210" s="66"/>
      <c r="B210" s="66"/>
      <c r="C210" s="66"/>
      <c r="D210" s="66"/>
      <c r="E210" s="66"/>
      <c r="F210" s="68" t="str">
        <f t="array" ref="F210">IF(INDEX('Binder Data'!$A$1002:$A$1251,ROW()-1)="","",IF(INDEX('Binder Data'!$D$1002:$D$1251,ROW()-1)="Needed",INDEX('Binder Data'!$B$1002:$B$1251,ROW()-1),INDEX('Binder Data'!$D$1002:$D$1251,ROW()-1)))</f>
        <v/>
      </c>
      <c r="G210" s="66"/>
      <c r="H210" s="66"/>
      <c r="I210" s="66"/>
      <c r="J210" s="66"/>
      <c r="K210" s="66"/>
      <c r="L210" s="66"/>
      <c r="M210" s="66"/>
      <c r="N210" s="66"/>
      <c r="O210" s="66"/>
      <c r="P210" s="66"/>
      <c r="Q210" s="66"/>
      <c r="R210" s="66"/>
      <c r="S210" s="66"/>
      <c r="T210" s="66"/>
      <c r="U210" s="66"/>
      <c r="V210" s="66"/>
      <c r="W210" s="66"/>
      <c r="X210" s="66"/>
      <c r="Y210" s="66"/>
      <c r="Z210" s="66"/>
      <c r="AA210" s="66"/>
    </row>
    <row r="211" ht="15.75" customHeight="1">
      <c r="A211" s="66"/>
      <c r="B211" s="66"/>
      <c r="C211" s="66"/>
      <c r="D211" s="66"/>
      <c r="E211" s="66"/>
      <c r="F211" s="68" t="str">
        <f t="array" ref="F211">IF(INDEX('Binder Data'!$A$1002:$A$1251,ROW()-1)="","",IF(INDEX('Binder Data'!$D$1002:$D$1251,ROW()-1)="Needed",INDEX('Binder Data'!$B$1002:$B$1251,ROW()-1),INDEX('Binder Data'!$D$1002:$D$1251,ROW()-1)))</f>
        <v/>
      </c>
      <c r="G211" s="66"/>
      <c r="H211" s="66"/>
      <c r="I211" s="66"/>
      <c r="J211" s="66"/>
      <c r="K211" s="66"/>
      <c r="L211" s="66"/>
      <c r="M211" s="66"/>
      <c r="N211" s="66"/>
      <c r="O211" s="66"/>
      <c r="P211" s="66"/>
      <c r="Q211" s="66"/>
      <c r="R211" s="66"/>
      <c r="S211" s="66"/>
      <c r="T211" s="66"/>
      <c r="U211" s="66"/>
      <c r="V211" s="66"/>
      <c r="W211" s="66"/>
      <c r="X211" s="66"/>
      <c r="Y211" s="66"/>
      <c r="Z211" s="66"/>
      <c r="AA211" s="66"/>
    </row>
    <row r="212" ht="15.75" customHeight="1">
      <c r="A212" s="66"/>
      <c r="B212" s="66"/>
      <c r="C212" s="66"/>
      <c r="D212" s="66"/>
      <c r="E212" s="66"/>
      <c r="F212" s="68" t="str">
        <f t="array" ref="F212">IF(INDEX('Binder Data'!$A$1002:$A$1251,ROW()-1)="","",IF(INDEX('Binder Data'!$D$1002:$D$1251,ROW()-1)="Needed",INDEX('Binder Data'!$B$1002:$B$1251,ROW()-1),INDEX('Binder Data'!$D$1002:$D$1251,ROW()-1)))</f>
        <v/>
      </c>
      <c r="G212" s="66"/>
      <c r="H212" s="66"/>
      <c r="I212" s="66"/>
      <c r="J212" s="66"/>
      <c r="K212" s="66"/>
      <c r="L212" s="66"/>
      <c r="M212" s="66"/>
      <c r="N212" s="66"/>
      <c r="O212" s="66"/>
      <c r="P212" s="66"/>
      <c r="Q212" s="66"/>
      <c r="R212" s="66"/>
      <c r="S212" s="66"/>
      <c r="T212" s="66"/>
      <c r="U212" s="66"/>
      <c r="V212" s="66"/>
      <c r="W212" s="66"/>
      <c r="X212" s="66"/>
      <c r="Y212" s="66"/>
      <c r="Z212" s="66"/>
      <c r="AA212" s="66"/>
    </row>
    <row r="213" ht="15.75" customHeight="1">
      <c r="A213" s="66"/>
      <c r="B213" s="66"/>
      <c r="C213" s="66"/>
      <c r="D213" s="66"/>
      <c r="E213" s="66"/>
      <c r="F213" s="68" t="str">
        <f t="array" ref="F213">IF(INDEX('Binder Data'!$A$1002:$A$1251,ROW()-1)="","",IF(INDEX('Binder Data'!$D$1002:$D$1251,ROW()-1)="Needed",INDEX('Binder Data'!$B$1002:$B$1251,ROW()-1),INDEX('Binder Data'!$D$1002:$D$1251,ROW()-1)))</f>
        <v/>
      </c>
      <c r="G213" s="66"/>
      <c r="H213" s="66"/>
      <c r="I213" s="66"/>
      <c r="J213" s="66"/>
      <c r="K213" s="66"/>
      <c r="L213" s="66"/>
      <c r="M213" s="66"/>
      <c r="N213" s="66"/>
      <c r="O213" s="66"/>
      <c r="P213" s="66"/>
      <c r="Q213" s="66"/>
      <c r="R213" s="66"/>
      <c r="S213" s="66"/>
      <c r="T213" s="66"/>
      <c r="U213" s="66"/>
      <c r="V213" s="66"/>
      <c r="W213" s="66"/>
      <c r="X213" s="66"/>
      <c r="Y213" s="66"/>
      <c r="Z213" s="66"/>
      <c r="AA213" s="66"/>
    </row>
    <row r="214" ht="15.75" customHeight="1">
      <c r="A214" s="66"/>
      <c r="B214" s="66"/>
      <c r="C214" s="66"/>
      <c r="D214" s="66"/>
      <c r="E214" s="66"/>
      <c r="F214" s="68" t="str">
        <f t="array" ref="F214">IF(INDEX('Binder Data'!$A$1002:$A$1251,ROW()-1)="","",IF(INDEX('Binder Data'!$D$1002:$D$1251,ROW()-1)="Needed",INDEX('Binder Data'!$B$1002:$B$1251,ROW()-1),INDEX('Binder Data'!$D$1002:$D$1251,ROW()-1)))</f>
        <v/>
      </c>
      <c r="G214" s="66"/>
      <c r="H214" s="66"/>
      <c r="I214" s="66"/>
      <c r="J214" s="66"/>
      <c r="K214" s="66"/>
      <c r="L214" s="66"/>
      <c r="M214" s="66"/>
      <c r="N214" s="66"/>
      <c r="O214" s="66"/>
      <c r="P214" s="66"/>
      <c r="Q214" s="66"/>
      <c r="R214" s="66"/>
      <c r="S214" s="66"/>
      <c r="T214" s="66"/>
      <c r="U214" s="66"/>
      <c r="V214" s="66"/>
      <c r="W214" s="66"/>
      <c r="X214" s="66"/>
      <c r="Y214" s="66"/>
      <c r="Z214" s="66"/>
      <c r="AA214" s="66"/>
    </row>
    <row r="215" ht="15.75" customHeight="1">
      <c r="A215" s="66"/>
      <c r="B215" s="66"/>
      <c r="C215" s="66"/>
      <c r="D215" s="66"/>
      <c r="E215" s="66"/>
      <c r="F215" s="68" t="str">
        <f t="array" ref="F215">IF(INDEX('Binder Data'!$A$1002:$A$1251,ROW()-1)="","",IF(INDEX('Binder Data'!$D$1002:$D$1251,ROW()-1)="Needed",INDEX('Binder Data'!$B$1002:$B$1251,ROW()-1),INDEX('Binder Data'!$D$1002:$D$1251,ROW()-1)))</f>
        <v/>
      </c>
      <c r="G215" s="66"/>
      <c r="H215" s="66"/>
      <c r="I215" s="66"/>
      <c r="J215" s="66"/>
      <c r="K215" s="66"/>
      <c r="L215" s="66"/>
      <c r="M215" s="66"/>
      <c r="N215" s="66"/>
      <c r="O215" s="66"/>
      <c r="P215" s="66"/>
      <c r="Q215" s="66"/>
      <c r="R215" s="66"/>
      <c r="S215" s="66"/>
      <c r="T215" s="66"/>
      <c r="U215" s="66"/>
      <c r="V215" s="66"/>
      <c r="W215" s="66"/>
      <c r="X215" s="66"/>
      <c r="Y215" s="66"/>
      <c r="Z215" s="66"/>
      <c r="AA215" s="66"/>
    </row>
    <row r="216" ht="15.75" customHeight="1">
      <c r="A216" s="66"/>
      <c r="B216" s="66"/>
      <c r="C216" s="66"/>
      <c r="D216" s="66"/>
      <c r="E216" s="66"/>
      <c r="F216" s="68" t="str">
        <f t="array" ref="F216">IF(INDEX('Binder Data'!$A$1002:$A$1251,ROW()-1)="","",IF(INDEX('Binder Data'!$D$1002:$D$1251,ROW()-1)="Needed",INDEX('Binder Data'!$B$1002:$B$1251,ROW()-1),INDEX('Binder Data'!$D$1002:$D$1251,ROW()-1)))</f>
        <v/>
      </c>
      <c r="G216" s="66"/>
      <c r="H216" s="66"/>
      <c r="I216" s="66"/>
      <c r="J216" s="66"/>
      <c r="K216" s="66"/>
      <c r="L216" s="66"/>
      <c r="M216" s="66"/>
      <c r="N216" s="66"/>
      <c r="O216" s="66"/>
      <c r="P216" s="66"/>
      <c r="Q216" s="66"/>
      <c r="R216" s="66"/>
      <c r="S216" s="66"/>
      <c r="T216" s="66"/>
      <c r="U216" s="66"/>
      <c r="V216" s="66"/>
      <c r="W216" s="66"/>
      <c r="X216" s="66"/>
      <c r="Y216" s="66"/>
      <c r="Z216" s="66"/>
      <c r="AA216" s="66"/>
    </row>
    <row r="217" ht="15.75" customHeight="1">
      <c r="A217" s="66"/>
      <c r="B217" s="66"/>
      <c r="C217" s="66"/>
      <c r="D217" s="66"/>
      <c r="E217" s="66"/>
      <c r="F217" s="68" t="str">
        <f t="array" ref="F217">IF(INDEX('Binder Data'!$A$1002:$A$1251,ROW()-1)="","",IF(INDEX('Binder Data'!$D$1002:$D$1251,ROW()-1)="Needed",INDEX('Binder Data'!$B$1002:$B$1251,ROW()-1),INDEX('Binder Data'!$D$1002:$D$1251,ROW()-1)))</f>
        <v/>
      </c>
      <c r="G217" s="66"/>
      <c r="H217" s="66"/>
      <c r="I217" s="66"/>
      <c r="J217" s="66"/>
      <c r="K217" s="66"/>
      <c r="L217" s="66"/>
      <c r="M217" s="66"/>
      <c r="N217" s="66"/>
      <c r="O217" s="66"/>
      <c r="P217" s="66"/>
      <c r="Q217" s="66"/>
      <c r="R217" s="66"/>
      <c r="S217" s="66"/>
      <c r="T217" s="66"/>
      <c r="U217" s="66"/>
      <c r="V217" s="66"/>
      <c r="W217" s="66"/>
      <c r="X217" s="66"/>
      <c r="Y217" s="66"/>
      <c r="Z217" s="66"/>
      <c r="AA217" s="66"/>
    </row>
    <row r="218" ht="15.75" customHeight="1">
      <c r="A218" s="66"/>
      <c r="B218" s="66"/>
      <c r="C218" s="66"/>
      <c r="D218" s="66"/>
      <c r="E218" s="66"/>
      <c r="F218" s="68" t="str">
        <f t="array" ref="F218">IF(INDEX('Binder Data'!$A$1002:$A$1251,ROW()-1)="","",IF(INDEX('Binder Data'!$D$1002:$D$1251,ROW()-1)="Needed",INDEX('Binder Data'!$B$1002:$B$1251,ROW()-1),INDEX('Binder Data'!$D$1002:$D$1251,ROW()-1)))</f>
        <v/>
      </c>
      <c r="G218" s="66"/>
      <c r="H218" s="66"/>
      <c r="I218" s="66"/>
      <c r="J218" s="66"/>
      <c r="K218" s="66"/>
      <c r="L218" s="66"/>
      <c r="M218" s="66"/>
      <c r="N218" s="66"/>
      <c r="O218" s="66"/>
      <c r="P218" s="66"/>
      <c r="Q218" s="66"/>
      <c r="R218" s="66"/>
      <c r="S218" s="66"/>
      <c r="T218" s="66"/>
      <c r="U218" s="66"/>
      <c r="V218" s="66"/>
      <c r="W218" s="66"/>
      <c r="X218" s="66"/>
      <c r="Y218" s="66"/>
      <c r="Z218" s="66"/>
      <c r="AA218" s="66"/>
    </row>
    <row r="219" ht="15.75" customHeight="1">
      <c r="A219" s="66"/>
      <c r="B219" s="66"/>
      <c r="C219" s="66"/>
      <c r="D219" s="66"/>
      <c r="E219" s="66"/>
      <c r="F219" s="68" t="str">
        <f t="array" ref="F219">IF(INDEX('Binder Data'!$A$1002:$A$1251,ROW()-1)="","",IF(INDEX('Binder Data'!$D$1002:$D$1251,ROW()-1)="Needed",INDEX('Binder Data'!$B$1002:$B$1251,ROW()-1),INDEX('Binder Data'!$D$1002:$D$1251,ROW()-1)))</f>
        <v/>
      </c>
      <c r="G219" s="66"/>
      <c r="H219" s="66"/>
      <c r="I219" s="66"/>
      <c r="J219" s="66"/>
      <c r="K219" s="66"/>
      <c r="L219" s="66"/>
      <c r="M219" s="66"/>
      <c r="N219" s="66"/>
      <c r="O219" s="66"/>
      <c r="P219" s="66"/>
      <c r="Q219" s="66"/>
      <c r="R219" s="66"/>
      <c r="S219" s="66"/>
      <c r="T219" s="66"/>
      <c r="U219" s="66"/>
      <c r="V219" s="66"/>
      <c r="W219" s="66"/>
      <c r="X219" s="66"/>
      <c r="Y219" s="66"/>
      <c r="Z219" s="66"/>
      <c r="AA219" s="66"/>
    </row>
    <row r="220" ht="15.75" customHeight="1">
      <c r="A220" s="66"/>
      <c r="B220" s="66"/>
      <c r="C220" s="66"/>
      <c r="D220" s="66"/>
      <c r="E220" s="66"/>
      <c r="F220" s="68" t="str">
        <f t="array" ref="F220">IF(INDEX('Binder Data'!$A$1002:$A$1251,ROW()-1)="","",IF(INDEX('Binder Data'!$D$1002:$D$1251,ROW()-1)="Needed",INDEX('Binder Data'!$B$1002:$B$1251,ROW()-1),INDEX('Binder Data'!$D$1002:$D$1251,ROW()-1)))</f>
        <v/>
      </c>
      <c r="G220" s="66"/>
      <c r="H220" s="66"/>
      <c r="I220" s="66"/>
      <c r="J220" s="66"/>
      <c r="K220" s="66"/>
      <c r="L220" s="66"/>
      <c r="M220" s="66"/>
      <c r="N220" s="66"/>
      <c r="O220" s="66"/>
      <c r="P220" s="66"/>
      <c r="Q220" s="66"/>
      <c r="R220" s="66"/>
      <c r="S220" s="66"/>
      <c r="T220" s="66"/>
      <c r="U220" s="66"/>
      <c r="V220" s="66"/>
      <c r="W220" s="66"/>
      <c r="X220" s="66"/>
      <c r="Y220" s="66"/>
      <c r="Z220" s="66"/>
      <c r="AA220" s="66"/>
    </row>
    <row r="221" ht="15.75" customHeight="1">
      <c r="A221" s="66"/>
      <c r="B221" s="66"/>
      <c r="C221" s="66"/>
      <c r="D221" s="66"/>
      <c r="E221" s="66"/>
      <c r="F221" s="68" t="str">
        <f t="array" ref="F221">IF(INDEX('Binder Data'!$A$1002:$A$1251,ROW()-1)="","",IF(INDEX('Binder Data'!$D$1002:$D$1251,ROW()-1)="Needed",INDEX('Binder Data'!$B$1002:$B$1251,ROW()-1),INDEX('Binder Data'!$D$1002:$D$1251,ROW()-1)))</f>
        <v/>
      </c>
      <c r="G221" s="66"/>
      <c r="H221" s="66"/>
      <c r="I221" s="66"/>
      <c r="J221" s="66"/>
      <c r="K221" s="66"/>
      <c r="L221" s="66"/>
      <c r="M221" s="66"/>
      <c r="N221" s="66"/>
      <c r="O221" s="66"/>
      <c r="P221" s="66"/>
      <c r="Q221" s="66"/>
      <c r="R221" s="66"/>
      <c r="S221" s="66"/>
      <c r="T221" s="66"/>
      <c r="U221" s="66"/>
      <c r="V221" s="66"/>
      <c r="W221" s="66"/>
      <c r="X221" s="66"/>
      <c r="Y221" s="66"/>
      <c r="Z221" s="66"/>
      <c r="AA221" s="66"/>
    </row>
    <row r="222" ht="15.75" customHeight="1">
      <c r="A222" s="66"/>
      <c r="B222" s="66"/>
      <c r="C222" s="66"/>
      <c r="D222" s="66"/>
      <c r="E222" s="66"/>
      <c r="F222" s="68" t="str">
        <f t="array" ref="F222">IF(INDEX('Binder Data'!$A$1002:$A$1251,ROW()-1)="","",IF(INDEX('Binder Data'!$D$1002:$D$1251,ROW()-1)="Needed",INDEX('Binder Data'!$B$1002:$B$1251,ROW()-1),INDEX('Binder Data'!$D$1002:$D$1251,ROW()-1)))</f>
        <v/>
      </c>
      <c r="G222" s="66"/>
      <c r="H222" s="66"/>
      <c r="I222" s="66"/>
      <c r="J222" s="66"/>
      <c r="K222" s="66"/>
      <c r="L222" s="66"/>
      <c r="M222" s="66"/>
      <c r="N222" s="66"/>
      <c r="O222" s="66"/>
      <c r="P222" s="66"/>
      <c r="Q222" s="66"/>
      <c r="R222" s="66"/>
      <c r="S222" s="66"/>
      <c r="T222" s="66"/>
      <c r="U222" s="66"/>
      <c r="V222" s="66"/>
      <c r="W222" s="66"/>
      <c r="X222" s="66"/>
      <c r="Y222" s="66"/>
      <c r="Z222" s="66"/>
      <c r="AA222" s="66"/>
    </row>
    <row r="223" ht="15.75" customHeight="1">
      <c r="A223" s="66"/>
      <c r="B223" s="66"/>
      <c r="C223" s="66"/>
      <c r="D223" s="66"/>
      <c r="E223" s="66"/>
      <c r="F223" s="68" t="str">
        <f t="array" ref="F223">IF(INDEX('Binder Data'!$A$1002:$A$1251,ROW()-1)="","",IF(INDEX('Binder Data'!$D$1002:$D$1251,ROW()-1)="Needed",INDEX('Binder Data'!$B$1002:$B$1251,ROW()-1),INDEX('Binder Data'!$D$1002:$D$1251,ROW()-1)))</f>
        <v/>
      </c>
      <c r="G223" s="66"/>
      <c r="H223" s="66"/>
      <c r="I223" s="66"/>
      <c r="J223" s="66"/>
      <c r="K223" s="66"/>
      <c r="L223" s="66"/>
      <c r="M223" s="66"/>
      <c r="N223" s="66"/>
      <c r="O223" s="66"/>
      <c r="P223" s="66"/>
      <c r="Q223" s="66"/>
      <c r="R223" s="66"/>
      <c r="S223" s="66"/>
      <c r="T223" s="66"/>
      <c r="U223" s="66"/>
      <c r="V223" s="66"/>
      <c r="W223" s="66"/>
      <c r="X223" s="66"/>
      <c r="Y223" s="66"/>
      <c r="Z223" s="66"/>
      <c r="AA223" s="66"/>
    </row>
    <row r="224" ht="15.75" customHeight="1">
      <c r="A224" s="66"/>
      <c r="B224" s="66"/>
      <c r="C224" s="66"/>
      <c r="D224" s="66"/>
      <c r="E224" s="66"/>
      <c r="F224" s="68" t="str">
        <f t="array" ref="F224">IF(INDEX('Binder Data'!$A$1002:$A$1251,ROW()-1)="","",IF(INDEX('Binder Data'!$D$1002:$D$1251,ROW()-1)="Needed",INDEX('Binder Data'!$B$1002:$B$1251,ROW()-1),INDEX('Binder Data'!$D$1002:$D$1251,ROW()-1)))</f>
        <v/>
      </c>
      <c r="G224" s="66"/>
      <c r="H224" s="66"/>
      <c r="I224" s="66"/>
      <c r="J224" s="66"/>
      <c r="K224" s="66"/>
      <c r="L224" s="66"/>
      <c r="M224" s="66"/>
      <c r="N224" s="66"/>
      <c r="O224" s="66"/>
      <c r="P224" s="66"/>
      <c r="Q224" s="66"/>
      <c r="R224" s="66"/>
      <c r="S224" s="66"/>
      <c r="T224" s="66"/>
      <c r="U224" s="66"/>
      <c r="V224" s="66"/>
      <c r="W224" s="66"/>
      <c r="X224" s="66"/>
      <c r="Y224" s="66"/>
      <c r="Z224" s="66"/>
      <c r="AA224" s="66"/>
    </row>
    <row r="225" ht="15.75" customHeight="1">
      <c r="A225" s="66"/>
      <c r="B225" s="66"/>
      <c r="C225" s="66"/>
      <c r="D225" s="66"/>
      <c r="E225" s="66"/>
      <c r="F225" s="68" t="str">
        <f t="array" ref="F225">IF(INDEX('Binder Data'!$A$1002:$A$1251,ROW()-1)="","",IF(INDEX('Binder Data'!$D$1002:$D$1251,ROW()-1)="Needed",INDEX('Binder Data'!$B$1002:$B$1251,ROW()-1),INDEX('Binder Data'!$D$1002:$D$1251,ROW()-1)))</f>
        <v/>
      </c>
      <c r="G225" s="66"/>
      <c r="H225" s="66"/>
      <c r="I225" s="66"/>
      <c r="J225" s="66"/>
      <c r="K225" s="66"/>
      <c r="L225" s="66"/>
      <c r="M225" s="66"/>
      <c r="N225" s="66"/>
      <c r="O225" s="66"/>
      <c r="P225" s="66"/>
      <c r="Q225" s="66"/>
      <c r="R225" s="66"/>
      <c r="S225" s="66"/>
      <c r="T225" s="66"/>
      <c r="U225" s="66"/>
      <c r="V225" s="66"/>
      <c r="W225" s="66"/>
      <c r="X225" s="66"/>
      <c r="Y225" s="66"/>
      <c r="Z225" s="66"/>
      <c r="AA225" s="66"/>
    </row>
    <row r="226" ht="15.75" customHeight="1">
      <c r="A226" s="66"/>
      <c r="B226" s="66"/>
      <c r="C226" s="66"/>
      <c r="D226" s="66"/>
      <c r="E226" s="66"/>
      <c r="F226" s="68" t="str">
        <f t="array" ref="F226">IF(INDEX('Binder Data'!$A$1002:$A$1251,ROW()-1)="","",IF(INDEX('Binder Data'!$D$1002:$D$1251,ROW()-1)="Needed",INDEX('Binder Data'!$B$1002:$B$1251,ROW()-1),INDEX('Binder Data'!$D$1002:$D$1251,ROW()-1)))</f>
        <v/>
      </c>
      <c r="G226" s="66"/>
      <c r="H226" s="66"/>
      <c r="I226" s="66"/>
      <c r="J226" s="66"/>
      <c r="K226" s="66"/>
      <c r="L226" s="66"/>
      <c r="M226" s="66"/>
      <c r="N226" s="66"/>
      <c r="O226" s="66"/>
      <c r="P226" s="66"/>
      <c r="Q226" s="66"/>
      <c r="R226" s="66"/>
      <c r="S226" s="66"/>
      <c r="T226" s="66"/>
      <c r="U226" s="66"/>
      <c r="V226" s="66"/>
      <c r="W226" s="66"/>
      <c r="X226" s="66"/>
      <c r="Y226" s="66"/>
      <c r="Z226" s="66"/>
      <c r="AA226" s="66"/>
    </row>
    <row r="227" ht="15.75" customHeight="1">
      <c r="A227" s="66"/>
      <c r="B227" s="66"/>
      <c r="C227" s="66"/>
      <c r="D227" s="66"/>
      <c r="E227" s="66"/>
      <c r="F227" s="68" t="str">
        <f t="array" ref="F227">IF(INDEX('Binder Data'!$A$1002:$A$1251,ROW()-1)="","",IF(INDEX('Binder Data'!$D$1002:$D$1251,ROW()-1)="Needed",INDEX('Binder Data'!$B$1002:$B$1251,ROW()-1),INDEX('Binder Data'!$D$1002:$D$1251,ROW()-1)))</f>
        <v/>
      </c>
      <c r="G227" s="66"/>
      <c r="H227" s="66"/>
      <c r="I227" s="66"/>
      <c r="J227" s="66"/>
      <c r="K227" s="66"/>
      <c r="L227" s="66"/>
      <c r="M227" s="66"/>
      <c r="N227" s="66"/>
      <c r="O227" s="66"/>
      <c r="P227" s="66"/>
      <c r="Q227" s="66"/>
      <c r="R227" s="66"/>
      <c r="S227" s="66"/>
      <c r="T227" s="66"/>
      <c r="U227" s="66"/>
      <c r="V227" s="66"/>
      <c r="W227" s="66"/>
      <c r="X227" s="66"/>
      <c r="Y227" s="66"/>
      <c r="Z227" s="66"/>
      <c r="AA227" s="66"/>
    </row>
    <row r="228" ht="15.75" customHeight="1">
      <c r="A228" s="66"/>
      <c r="B228" s="66"/>
      <c r="C228" s="66"/>
      <c r="D228" s="66"/>
      <c r="E228" s="66"/>
      <c r="F228" s="68" t="str">
        <f t="array" ref="F228">IF(INDEX('Binder Data'!$A$1002:$A$1251,ROW()-1)="","",IF(INDEX('Binder Data'!$D$1002:$D$1251,ROW()-1)="Needed",INDEX('Binder Data'!$B$1002:$B$1251,ROW()-1),INDEX('Binder Data'!$D$1002:$D$1251,ROW()-1)))</f>
        <v/>
      </c>
      <c r="G228" s="66"/>
      <c r="H228" s="66"/>
      <c r="I228" s="66"/>
      <c r="J228" s="66"/>
      <c r="K228" s="66"/>
      <c r="L228" s="66"/>
      <c r="M228" s="66"/>
      <c r="N228" s="66"/>
      <c r="O228" s="66"/>
      <c r="P228" s="66"/>
      <c r="Q228" s="66"/>
      <c r="R228" s="66"/>
      <c r="S228" s="66"/>
      <c r="T228" s="66"/>
      <c r="U228" s="66"/>
      <c r="V228" s="66"/>
      <c r="W228" s="66"/>
      <c r="X228" s="66"/>
      <c r="Y228" s="66"/>
      <c r="Z228" s="66"/>
      <c r="AA228" s="66"/>
    </row>
    <row r="229" ht="15.75" customHeight="1">
      <c r="A229" s="66"/>
      <c r="B229" s="66"/>
      <c r="C229" s="66"/>
      <c r="D229" s="66"/>
      <c r="E229" s="66"/>
      <c r="F229" s="68" t="str">
        <f t="array" ref="F229">IF(INDEX('Binder Data'!$A$1002:$A$1251,ROW()-1)="","",IF(INDEX('Binder Data'!$D$1002:$D$1251,ROW()-1)="Needed",INDEX('Binder Data'!$B$1002:$B$1251,ROW()-1),INDEX('Binder Data'!$D$1002:$D$1251,ROW()-1)))</f>
        <v/>
      </c>
      <c r="G229" s="66"/>
      <c r="H229" s="66"/>
      <c r="I229" s="66"/>
      <c r="J229" s="66"/>
      <c r="K229" s="66"/>
      <c r="L229" s="66"/>
      <c r="M229" s="66"/>
      <c r="N229" s="66"/>
      <c r="O229" s="66"/>
      <c r="P229" s="66"/>
      <c r="Q229" s="66"/>
      <c r="R229" s="66"/>
      <c r="S229" s="66"/>
      <c r="T229" s="66"/>
      <c r="U229" s="66"/>
      <c r="V229" s="66"/>
      <c r="W229" s="66"/>
      <c r="X229" s="66"/>
      <c r="Y229" s="66"/>
      <c r="Z229" s="66"/>
      <c r="AA229" s="66"/>
    </row>
    <row r="230" ht="15.75" customHeight="1">
      <c r="A230" s="66"/>
      <c r="B230" s="66"/>
      <c r="C230" s="66"/>
      <c r="D230" s="66"/>
      <c r="E230" s="66"/>
      <c r="F230" s="68" t="str">
        <f t="array" ref="F230">IF(INDEX('Binder Data'!$A$1002:$A$1251,ROW()-1)="","",IF(INDEX('Binder Data'!$D$1002:$D$1251,ROW()-1)="Needed",INDEX('Binder Data'!$B$1002:$B$1251,ROW()-1),INDEX('Binder Data'!$D$1002:$D$1251,ROW()-1)))</f>
        <v/>
      </c>
      <c r="G230" s="66"/>
      <c r="H230" s="66"/>
      <c r="I230" s="66"/>
      <c r="J230" s="66"/>
      <c r="K230" s="66"/>
      <c r="L230" s="66"/>
      <c r="M230" s="66"/>
      <c r="N230" s="66"/>
      <c r="O230" s="66"/>
      <c r="P230" s="66"/>
      <c r="Q230" s="66"/>
      <c r="R230" s="66"/>
      <c r="S230" s="66"/>
      <c r="T230" s="66"/>
      <c r="U230" s="66"/>
      <c r="V230" s="66"/>
      <c r="W230" s="66"/>
      <c r="X230" s="66"/>
      <c r="Y230" s="66"/>
      <c r="Z230" s="66"/>
      <c r="AA230" s="66"/>
    </row>
    <row r="231" ht="15.75" customHeight="1">
      <c r="A231" s="66"/>
      <c r="B231" s="66"/>
      <c r="C231" s="66"/>
      <c r="D231" s="66"/>
      <c r="E231" s="66"/>
      <c r="F231" s="68" t="str">
        <f t="array" ref="F231">IF(INDEX('Binder Data'!$A$1002:$A$1251,ROW()-1)="","",IF(INDEX('Binder Data'!$D$1002:$D$1251,ROW()-1)="Needed",INDEX('Binder Data'!$B$1002:$B$1251,ROW()-1),INDEX('Binder Data'!$D$1002:$D$1251,ROW()-1)))</f>
        <v/>
      </c>
      <c r="G231" s="66"/>
      <c r="H231" s="66"/>
      <c r="I231" s="66"/>
      <c r="J231" s="66"/>
      <c r="K231" s="66"/>
      <c r="L231" s="66"/>
      <c r="M231" s="66"/>
      <c r="N231" s="66"/>
      <c r="O231" s="66"/>
      <c r="P231" s="66"/>
      <c r="Q231" s="66"/>
      <c r="R231" s="66"/>
      <c r="S231" s="66"/>
      <c r="T231" s="66"/>
      <c r="U231" s="66"/>
      <c r="V231" s="66"/>
      <c r="W231" s="66"/>
      <c r="X231" s="66"/>
      <c r="Y231" s="66"/>
      <c r="Z231" s="66"/>
      <c r="AA231" s="66"/>
    </row>
    <row r="232" ht="15.75" customHeight="1">
      <c r="A232" s="66"/>
      <c r="B232" s="66"/>
      <c r="C232" s="66"/>
      <c r="D232" s="66"/>
      <c r="E232" s="66"/>
      <c r="F232" s="68" t="str">
        <f t="array" ref="F232">IF(INDEX('Binder Data'!$A$1002:$A$1251,ROW()-1)="","",IF(INDEX('Binder Data'!$D$1002:$D$1251,ROW()-1)="Needed",INDEX('Binder Data'!$B$1002:$B$1251,ROW()-1),INDEX('Binder Data'!$D$1002:$D$1251,ROW()-1)))</f>
        <v/>
      </c>
      <c r="G232" s="66"/>
      <c r="H232" s="66"/>
      <c r="I232" s="66"/>
      <c r="J232" s="66"/>
      <c r="K232" s="66"/>
      <c r="L232" s="66"/>
      <c r="M232" s="66"/>
      <c r="N232" s="66"/>
      <c r="O232" s="66"/>
      <c r="P232" s="66"/>
      <c r="Q232" s="66"/>
      <c r="R232" s="66"/>
      <c r="S232" s="66"/>
      <c r="T232" s="66"/>
      <c r="U232" s="66"/>
      <c r="V232" s="66"/>
      <c r="W232" s="66"/>
      <c r="X232" s="66"/>
      <c r="Y232" s="66"/>
      <c r="Z232" s="66"/>
      <c r="AA232" s="66"/>
    </row>
    <row r="233" ht="15.75" customHeight="1">
      <c r="A233" s="66"/>
      <c r="B233" s="66"/>
      <c r="C233" s="66"/>
      <c r="D233" s="66"/>
      <c r="E233" s="66"/>
      <c r="F233" s="68" t="str">
        <f t="array" ref="F233">IF(INDEX('Binder Data'!$A$1002:$A$1251,ROW()-1)="","",IF(INDEX('Binder Data'!$D$1002:$D$1251,ROW()-1)="Needed",INDEX('Binder Data'!$B$1002:$B$1251,ROW()-1),INDEX('Binder Data'!$D$1002:$D$1251,ROW()-1)))</f>
        <v/>
      </c>
      <c r="G233" s="66"/>
      <c r="H233" s="66"/>
      <c r="I233" s="66"/>
      <c r="J233" s="66"/>
      <c r="K233" s="66"/>
      <c r="L233" s="66"/>
      <c r="M233" s="66"/>
      <c r="N233" s="66"/>
      <c r="O233" s="66"/>
      <c r="P233" s="66"/>
      <c r="Q233" s="66"/>
      <c r="R233" s="66"/>
      <c r="S233" s="66"/>
      <c r="T233" s="66"/>
      <c r="U233" s="66"/>
      <c r="V233" s="66"/>
      <c r="W233" s="66"/>
      <c r="X233" s="66"/>
      <c r="Y233" s="66"/>
      <c r="Z233" s="66"/>
      <c r="AA233" s="66"/>
    </row>
    <row r="234" ht="15.75" customHeight="1">
      <c r="A234" s="66"/>
      <c r="B234" s="66"/>
      <c r="C234" s="66"/>
      <c r="D234" s="66"/>
      <c r="E234" s="66"/>
      <c r="F234" s="68" t="str">
        <f t="array" ref="F234">IF(INDEX('Binder Data'!$A$1002:$A$1251,ROW()-1)="","",IF(INDEX('Binder Data'!$D$1002:$D$1251,ROW()-1)="Needed",INDEX('Binder Data'!$B$1002:$B$1251,ROW()-1),INDEX('Binder Data'!$D$1002:$D$1251,ROW()-1)))</f>
        <v/>
      </c>
      <c r="G234" s="66"/>
      <c r="H234" s="66"/>
      <c r="I234" s="66"/>
      <c r="J234" s="66"/>
      <c r="K234" s="66"/>
      <c r="L234" s="66"/>
      <c r="M234" s="66"/>
      <c r="N234" s="66"/>
      <c r="O234" s="66"/>
      <c r="P234" s="66"/>
      <c r="Q234" s="66"/>
      <c r="R234" s="66"/>
      <c r="S234" s="66"/>
      <c r="T234" s="66"/>
      <c r="U234" s="66"/>
      <c r="V234" s="66"/>
      <c r="W234" s="66"/>
      <c r="X234" s="66"/>
      <c r="Y234" s="66"/>
      <c r="Z234" s="66"/>
      <c r="AA234" s="66"/>
    </row>
    <row r="235" ht="15.75" customHeight="1">
      <c r="A235" s="66"/>
      <c r="B235" s="66"/>
      <c r="C235" s="66"/>
      <c r="D235" s="66"/>
      <c r="E235" s="66"/>
      <c r="F235" s="68" t="str">
        <f t="array" ref="F235">IF(INDEX('Binder Data'!$A$1002:$A$1251,ROW()-1)="","",IF(INDEX('Binder Data'!$D$1002:$D$1251,ROW()-1)="Needed",INDEX('Binder Data'!$B$1002:$B$1251,ROW()-1),INDEX('Binder Data'!$D$1002:$D$1251,ROW()-1)))</f>
        <v/>
      </c>
      <c r="G235" s="66"/>
      <c r="H235" s="66"/>
      <c r="I235" s="66"/>
      <c r="J235" s="66"/>
      <c r="K235" s="66"/>
      <c r="L235" s="66"/>
      <c r="M235" s="66"/>
      <c r="N235" s="66"/>
      <c r="O235" s="66"/>
      <c r="P235" s="66"/>
      <c r="Q235" s="66"/>
      <c r="R235" s="66"/>
      <c r="S235" s="66"/>
      <c r="T235" s="66"/>
      <c r="U235" s="66"/>
      <c r="V235" s="66"/>
      <c r="W235" s="66"/>
      <c r="X235" s="66"/>
      <c r="Y235" s="66"/>
      <c r="Z235" s="66"/>
      <c r="AA235" s="66"/>
    </row>
    <row r="236" ht="15.75" customHeight="1">
      <c r="A236" s="66"/>
      <c r="B236" s="66"/>
      <c r="C236" s="66"/>
      <c r="D236" s="66"/>
      <c r="E236" s="66"/>
      <c r="F236" s="68" t="str">
        <f t="array" ref="F236">IF(INDEX('Binder Data'!$A$1002:$A$1251,ROW()-1)="","",IF(INDEX('Binder Data'!$D$1002:$D$1251,ROW()-1)="Needed",INDEX('Binder Data'!$B$1002:$B$1251,ROW()-1),INDEX('Binder Data'!$D$1002:$D$1251,ROW()-1)))</f>
        <v/>
      </c>
      <c r="G236" s="66"/>
      <c r="H236" s="66"/>
      <c r="I236" s="66"/>
      <c r="J236" s="66"/>
      <c r="K236" s="66"/>
      <c r="L236" s="66"/>
      <c r="M236" s="66"/>
      <c r="N236" s="66"/>
      <c r="O236" s="66"/>
      <c r="P236" s="66"/>
      <c r="Q236" s="66"/>
      <c r="R236" s="66"/>
      <c r="S236" s="66"/>
      <c r="T236" s="66"/>
      <c r="U236" s="66"/>
      <c r="V236" s="66"/>
      <c r="W236" s="66"/>
      <c r="X236" s="66"/>
      <c r="Y236" s="66"/>
      <c r="Z236" s="66"/>
      <c r="AA236" s="66"/>
    </row>
    <row r="237" ht="15.75" customHeight="1">
      <c r="A237" s="66"/>
      <c r="B237" s="66"/>
      <c r="C237" s="66"/>
      <c r="D237" s="66"/>
      <c r="E237" s="66"/>
      <c r="F237" s="68" t="str">
        <f t="array" ref="F237">IF(INDEX('Binder Data'!$A$1002:$A$1251,ROW()-1)="","",IF(INDEX('Binder Data'!$D$1002:$D$1251,ROW()-1)="Needed",INDEX('Binder Data'!$B$1002:$B$1251,ROW()-1),INDEX('Binder Data'!$D$1002:$D$1251,ROW()-1)))</f>
        <v/>
      </c>
      <c r="G237" s="66"/>
      <c r="H237" s="66"/>
      <c r="I237" s="66"/>
      <c r="J237" s="66"/>
      <c r="K237" s="66"/>
      <c r="L237" s="66"/>
      <c r="M237" s="66"/>
      <c r="N237" s="66"/>
      <c r="O237" s="66"/>
      <c r="P237" s="66"/>
      <c r="Q237" s="66"/>
      <c r="R237" s="66"/>
      <c r="S237" s="66"/>
      <c r="T237" s="66"/>
      <c r="U237" s="66"/>
      <c r="V237" s="66"/>
      <c r="W237" s="66"/>
      <c r="X237" s="66"/>
      <c r="Y237" s="66"/>
      <c r="Z237" s="66"/>
      <c r="AA237" s="66"/>
    </row>
    <row r="238" ht="15.75" customHeight="1">
      <c r="A238" s="66"/>
      <c r="B238" s="66"/>
      <c r="C238" s="66"/>
      <c r="D238" s="66"/>
      <c r="E238" s="66"/>
      <c r="F238" s="68" t="str">
        <f t="array" ref="F238">IF(INDEX('Binder Data'!$A$1002:$A$1251,ROW()-1)="","",IF(INDEX('Binder Data'!$D$1002:$D$1251,ROW()-1)="Needed",INDEX('Binder Data'!$B$1002:$B$1251,ROW()-1),INDEX('Binder Data'!$D$1002:$D$1251,ROW()-1)))</f>
        <v/>
      </c>
      <c r="G238" s="66"/>
      <c r="H238" s="66"/>
      <c r="I238" s="66"/>
      <c r="J238" s="66"/>
      <c r="K238" s="66"/>
      <c r="L238" s="66"/>
      <c r="M238" s="66"/>
      <c r="N238" s="66"/>
      <c r="O238" s="66"/>
      <c r="P238" s="66"/>
      <c r="Q238" s="66"/>
      <c r="R238" s="66"/>
      <c r="S238" s="66"/>
      <c r="T238" s="66"/>
      <c r="U238" s="66"/>
      <c r="V238" s="66"/>
      <c r="W238" s="66"/>
      <c r="X238" s="66"/>
      <c r="Y238" s="66"/>
      <c r="Z238" s="66"/>
      <c r="AA238" s="66"/>
    </row>
    <row r="239" ht="15.75" customHeight="1">
      <c r="A239" s="66"/>
      <c r="B239" s="66"/>
      <c r="C239" s="66"/>
      <c r="D239" s="66"/>
      <c r="E239" s="66"/>
      <c r="F239" s="68" t="str">
        <f t="array" ref="F239">IF(INDEX('Binder Data'!$A$1002:$A$1251,ROW()-1)="","",IF(INDEX('Binder Data'!$D$1002:$D$1251,ROW()-1)="Needed",INDEX('Binder Data'!$B$1002:$B$1251,ROW()-1),INDEX('Binder Data'!$D$1002:$D$1251,ROW()-1)))</f>
        <v/>
      </c>
      <c r="G239" s="66"/>
      <c r="H239" s="66"/>
      <c r="I239" s="66"/>
      <c r="J239" s="66"/>
      <c r="K239" s="66"/>
      <c r="L239" s="66"/>
      <c r="M239" s="66"/>
      <c r="N239" s="66"/>
      <c r="O239" s="66"/>
      <c r="P239" s="66"/>
      <c r="Q239" s="66"/>
      <c r="R239" s="66"/>
      <c r="S239" s="66"/>
      <c r="T239" s="66"/>
      <c r="U239" s="66"/>
      <c r="V239" s="66"/>
      <c r="W239" s="66"/>
      <c r="X239" s="66"/>
      <c r="Y239" s="66"/>
      <c r="Z239" s="66"/>
      <c r="AA239" s="66"/>
    </row>
    <row r="240" ht="15.75" customHeight="1">
      <c r="A240" s="66"/>
      <c r="B240" s="66"/>
      <c r="C240" s="66"/>
      <c r="D240" s="66"/>
      <c r="E240" s="66"/>
      <c r="F240" s="68" t="str">
        <f t="array" ref="F240">IF(INDEX('Binder Data'!$A$1002:$A$1251,ROW()-1)="","",IF(INDEX('Binder Data'!$D$1002:$D$1251,ROW()-1)="Needed",INDEX('Binder Data'!$B$1002:$B$1251,ROW()-1),INDEX('Binder Data'!$D$1002:$D$1251,ROW()-1)))</f>
        <v/>
      </c>
      <c r="G240" s="66"/>
      <c r="H240" s="66"/>
      <c r="I240" s="66"/>
      <c r="J240" s="66"/>
      <c r="K240" s="66"/>
      <c r="L240" s="66"/>
      <c r="M240" s="66"/>
      <c r="N240" s="66"/>
      <c r="O240" s="66"/>
      <c r="P240" s="66"/>
      <c r="Q240" s="66"/>
      <c r="R240" s="66"/>
      <c r="S240" s="66"/>
      <c r="T240" s="66"/>
      <c r="U240" s="66"/>
      <c r="V240" s="66"/>
      <c r="W240" s="66"/>
      <c r="X240" s="66"/>
      <c r="Y240" s="66"/>
      <c r="Z240" s="66"/>
      <c r="AA240" s="66"/>
    </row>
    <row r="241" ht="15.75" customHeight="1">
      <c r="A241" s="66"/>
      <c r="B241" s="66"/>
      <c r="C241" s="66"/>
      <c r="D241" s="66"/>
      <c r="E241" s="66"/>
      <c r="F241" s="68" t="str">
        <f t="array" ref="F241">IF(INDEX('Binder Data'!$A$1002:$A$1251,ROW()-1)="","",IF(INDEX('Binder Data'!$D$1002:$D$1251,ROW()-1)="Needed",INDEX('Binder Data'!$B$1002:$B$1251,ROW()-1),INDEX('Binder Data'!$D$1002:$D$1251,ROW()-1)))</f>
        <v/>
      </c>
      <c r="G241" s="66"/>
      <c r="H241" s="66"/>
      <c r="I241" s="66"/>
      <c r="J241" s="66"/>
      <c r="K241" s="66"/>
      <c r="L241" s="66"/>
      <c r="M241" s="66"/>
      <c r="N241" s="66"/>
      <c r="O241" s="66"/>
      <c r="P241" s="66"/>
      <c r="Q241" s="66"/>
      <c r="R241" s="66"/>
      <c r="S241" s="66"/>
      <c r="T241" s="66"/>
      <c r="U241" s="66"/>
      <c r="V241" s="66"/>
      <c r="W241" s="66"/>
      <c r="X241" s="66"/>
      <c r="Y241" s="66"/>
      <c r="Z241" s="66"/>
      <c r="AA241" s="66"/>
    </row>
    <row r="242" ht="15.75" customHeight="1">
      <c r="A242" s="66"/>
      <c r="B242" s="66"/>
      <c r="C242" s="66"/>
      <c r="D242" s="66"/>
      <c r="E242" s="66"/>
      <c r="F242" s="68" t="str">
        <f t="array" ref="F242">IF(INDEX('Binder Data'!$A$1002:$A$1251,ROW()-1)="","",IF(INDEX('Binder Data'!$D$1002:$D$1251,ROW()-1)="Needed",INDEX('Binder Data'!$B$1002:$B$1251,ROW()-1),INDEX('Binder Data'!$D$1002:$D$1251,ROW()-1)))</f>
        <v/>
      </c>
      <c r="G242" s="66"/>
      <c r="H242" s="66"/>
      <c r="I242" s="66"/>
      <c r="J242" s="66"/>
      <c r="K242" s="66"/>
      <c r="L242" s="66"/>
      <c r="M242" s="66"/>
      <c r="N242" s="66"/>
      <c r="O242" s="66"/>
      <c r="P242" s="66"/>
      <c r="Q242" s="66"/>
      <c r="R242" s="66"/>
      <c r="S242" s="66"/>
      <c r="T242" s="66"/>
      <c r="U242" s="66"/>
      <c r="V242" s="66"/>
      <c r="W242" s="66"/>
      <c r="X242" s="66"/>
      <c r="Y242" s="66"/>
      <c r="Z242" s="66"/>
      <c r="AA242" s="66"/>
    </row>
    <row r="243" ht="15.75" customHeight="1">
      <c r="A243" s="66"/>
      <c r="B243" s="66"/>
      <c r="C243" s="66"/>
      <c r="D243" s="66"/>
      <c r="E243" s="66"/>
      <c r="F243" s="68" t="str">
        <f t="array" ref="F243">IF(INDEX('Binder Data'!$A$1002:$A$1251,ROW()-1)="","",IF(INDEX('Binder Data'!$D$1002:$D$1251,ROW()-1)="Needed",INDEX('Binder Data'!$B$1002:$B$1251,ROW()-1),INDEX('Binder Data'!$D$1002:$D$1251,ROW()-1)))</f>
        <v/>
      </c>
      <c r="G243" s="66"/>
      <c r="H243" s="66"/>
      <c r="I243" s="66"/>
      <c r="J243" s="66"/>
      <c r="K243" s="66"/>
      <c r="L243" s="66"/>
      <c r="M243" s="66"/>
      <c r="N243" s="66"/>
      <c r="O243" s="66"/>
      <c r="P243" s="66"/>
      <c r="Q243" s="66"/>
      <c r="R243" s="66"/>
      <c r="S243" s="66"/>
      <c r="T243" s="66"/>
      <c r="U243" s="66"/>
      <c r="V243" s="66"/>
      <c r="W243" s="66"/>
      <c r="X243" s="66"/>
      <c r="Y243" s="66"/>
      <c r="Z243" s="66"/>
      <c r="AA243" s="66"/>
    </row>
    <row r="244" ht="15.75" customHeight="1">
      <c r="A244" s="66"/>
      <c r="B244" s="66"/>
      <c r="C244" s="66"/>
      <c r="D244" s="66"/>
      <c r="E244" s="66"/>
      <c r="F244" s="68" t="str">
        <f t="array" ref="F244">IF(INDEX('Binder Data'!$A$1002:$A$1251,ROW()-1)="","",IF(INDEX('Binder Data'!$D$1002:$D$1251,ROW()-1)="Needed",INDEX('Binder Data'!$B$1002:$B$1251,ROW()-1),INDEX('Binder Data'!$D$1002:$D$1251,ROW()-1)))</f>
        <v/>
      </c>
      <c r="G244" s="66"/>
      <c r="H244" s="66"/>
      <c r="I244" s="66"/>
      <c r="J244" s="66"/>
      <c r="K244" s="66"/>
      <c r="L244" s="66"/>
      <c r="M244" s="66"/>
      <c r="N244" s="66"/>
      <c r="O244" s="66"/>
      <c r="P244" s="66"/>
      <c r="Q244" s="66"/>
      <c r="R244" s="66"/>
      <c r="S244" s="66"/>
      <c r="T244" s="66"/>
      <c r="U244" s="66"/>
      <c r="V244" s="66"/>
      <c r="W244" s="66"/>
      <c r="X244" s="66"/>
      <c r="Y244" s="66"/>
      <c r="Z244" s="66"/>
      <c r="AA244" s="66"/>
    </row>
    <row r="245" ht="15.75" customHeight="1">
      <c r="A245" s="66"/>
      <c r="B245" s="66"/>
      <c r="C245" s="66"/>
      <c r="D245" s="66"/>
      <c r="E245" s="66"/>
      <c r="F245" s="68" t="str">
        <f t="array" ref="F245">IF(INDEX('Binder Data'!$A$1002:$A$1251,ROW()-1)="","",IF(INDEX('Binder Data'!$D$1002:$D$1251,ROW()-1)="Needed",INDEX('Binder Data'!$B$1002:$B$1251,ROW()-1),INDEX('Binder Data'!$D$1002:$D$1251,ROW()-1)))</f>
        <v/>
      </c>
      <c r="G245" s="66"/>
      <c r="H245" s="66"/>
      <c r="I245" s="66"/>
      <c r="J245" s="66"/>
      <c r="K245" s="66"/>
      <c r="L245" s="66"/>
      <c r="M245" s="66"/>
      <c r="N245" s="66"/>
      <c r="O245" s="66"/>
      <c r="P245" s="66"/>
      <c r="Q245" s="66"/>
      <c r="R245" s="66"/>
      <c r="S245" s="66"/>
      <c r="T245" s="66"/>
      <c r="U245" s="66"/>
      <c r="V245" s="66"/>
      <c r="W245" s="66"/>
      <c r="X245" s="66"/>
      <c r="Y245" s="66"/>
      <c r="Z245" s="66"/>
      <c r="AA245" s="66"/>
    </row>
    <row r="246" ht="15.75" customHeight="1">
      <c r="A246" s="66"/>
      <c r="B246" s="66"/>
      <c r="C246" s="66"/>
      <c r="D246" s="66"/>
      <c r="E246" s="66"/>
      <c r="F246" s="68" t="str">
        <f t="array" ref="F246">IF(INDEX('Binder Data'!$A$1002:$A$1251,ROW()-1)="","",IF(INDEX('Binder Data'!$D$1002:$D$1251,ROW()-1)="Needed",INDEX('Binder Data'!$B$1002:$B$1251,ROW()-1),INDEX('Binder Data'!$D$1002:$D$1251,ROW()-1)))</f>
        <v/>
      </c>
      <c r="G246" s="66"/>
      <c r="H246" s="66"/>
      <c r="I246" s="66"/>
      <c r="J246" s="66"/>
      <c r="K246" s="66"/>
      <c r="L246" s="66"/>
      <c r="M246" s="66"/>
      <c r="N246" s="66"/>
      <c r="O246" s="66"/>
      <c r="P246" s="66"/>
      <c r="Q246" s="66"/>
      <c r="R246" s="66"/>
      <c r="S246" s="66"/>
      <c r="T246" s="66"/>
      <c r="U246" s="66"/>
      <c r="V246" s="66"/>
      <c r="W246" s="66"/>
      <c r="X246" s="66"/>
      <c r="Y246" s="66"/>
      <c r="Z246" s="66"/>
      <c r="AA246" s="66"/>
    </row>
    <row r="247" ht="15.75" customHeight="1">
      <c r="A247" s="66"/>
      <c r="B247" s="66"/>
      <c r="C247" s="66"/>
      <c r="D247" s="66"/>
      <c r="E247" s="66"/>
      <c r="F247" s="68" t="str">
        <f t="array" ref="F247">IF(INDEX('Binder Data'!$A$1002:$A$1251,ROW()-1)="","",IF(INDEX('Binder Data'!$D$1002:$D$1251,ROW()-1)="Needed",INDEX('Binder Data'!$B$1002:$B$1251,ROW()-1),INDEX('Binder Data'!$D$1002:$D$1251,ROW()-1)))</f>
        <v/>
      </c>
      <c r="G247" s="66"/>
      <c r="H247" s="66"/>
      <c r="I247" s="66"/>
      <c r="J247" s="66"/>
      <c r="K247" s="66"/>
      <c r="L247" s="66"/>
      <c r="M247" s="66"/>
      <c r="N247" s="66"/>
      <c r="O247" s="66"/>
      <c r="P247" s="66"/>
      <c r="Q247" s="66"/>
      <c r="R247" s="66"/>
      <c r="S247" s="66"/>
      <c r="T247" s="66"/>
      <c r="U247" s="66"/>
      <c r="V247" s="66"/>
      <c r="W247" s="66"/>
      <c r="X247" s="66"/>
      <c r="Y247" s="66"/>
      <c r="Z247" s="66"/>
      <c r="AA247" s="66"/>
    </row>
    <row r="248" ht="15.75" customHeight="1">
      <c r="A248" s="66"/>
      <c r="B248" s="66"/>
      <c r="C248" s="66"/>
      <c r="D248" s="66"/>
      <c r="E248" s="66"/>
      <c r="F248" s="68" t="str">
        <f t="array" ref="F248">IF(INDEX('Binder Data'!$A$1002:$A$1251,ROW()-1)="","",IF(INDEX('Binder Data'!$D$1002:$D$1251,ROW()-1)="Needed",INDEX('Binder Data'!$B$1002:$B$1251,ROW()-1),INDEX('Binder Data'!$D$1002:$D$1251,ROW()-1)))</f>
        <v/>
      </c>
      <c r="G248" s="66"/>
      <c r="H248" s="66"/>
      <c r="I248" s="66"/>
      <c r="J248" s="66"/>
      <c r="K248" s="66"/>
      <c r="L248" s="66"/>
      <c r="M248" s="66"/>
      <c r="N248" s="66"/>
      <c r="O248" s="66"/>
      <c r="P248" s="66"/>
      <c r="Q248" s="66"/>
      <c r="R248" s="66"/>
      <c r="S248" s="66"/>
      <c r="T248" s="66"/>
      <c r="U248" s="66"/>
      <c r="V248" s="66"/>
      <c r="W248" s="66"/>
      <c r="X248" s="66"/>
      <c r="Y248" s="66"/>
      <c r="Z248" s="66"/>
      <c r="AA248" s="66"/>
    </row>
    <row r="249" ht="15.75" customHeight="1">
      <c r="A249" s="66"/>
      <c r="B249" s="66"/>
      <c r="C249" s="66"/>
      <c r="D249" s="66"/>
      <c r="E249" s="66"/>
      <c r="F249" s="68" t="str">
        <f t="array" ref="F249">IF(INDEX('Binder Data'!$A$1002:$A$1251,ROW()-1)="","",IF(INDEX('Binder Data'!$D$1002:$D$1251,ROW()-1)="Needed",INDEX('Binder Data'!$B$1002:$B$1251,ROW()-1),INDEX('Binder Data'!$D$1002:$D$1251,ROW()-1)))</f>
        <v/>
      </c>
      <c r="G249" s="66"/>
      <c r="H249" s="66"/>
      <c r="I249" s="66"/>
      <c r="J249" s="66"/>
      <c r="K249" s="66"/>
      <c r="L249" s="66"/>
      <c r="M249" s="66"/>
      <c r="N249" s="66"/>
      <c r="O249" s="66"/>
      <c r="P249" s="66"/>
      <c r="Q249" s="66"/>
      <c r="R249" s="66"/>
      <c r="S249" s="66"/>
      <c r="T249" s="66"/>
      <c r="U249" s="66"/>
      <c r="V249" s="66"/>
      <c r="W249" s="66"/>
      <c r="X249" s="66"/>
      <c r="Y249" s="66"/>
      <c r="Z249" s="66"/>
      <c r="AA249" s="66"/>
    </row>
    <row r="250" ht="15.75" customHeight="1">
      <c r="A250" s="66"/>
      <c r="B250" s="66"/>
      <c r="C250" s="66"/>
      <c r="D250" s="66"/>
      <c r="E250" s="66"/>
      <c r="F250" s="68" t="str">
        <f t="array" ref="F250">IF(INDEX('Binder Data'!$A$1002:$A$1251,ROW()-1)="","",IF(INDEX('Binder Data'!$D$1002:$D$1251,ROW()-1)="Needed",INDEX('Binder Data'!$B$1002:$B$1251,ROW()-1),INDEX('Binder Data'!$D$1002:$D$1251,ROW()-1)))</f>
        <v/>
      </c>
      <c r="G250" s="66"/>
      <c r="H250" s="66"/>
      <c r="I250" s="66"/>
      <c r="J250" s="66"/>
      <c r="K250" s="66"/>
      <c r="L250" s="66"/>
      <c r="M250" s="66"/>
      <c r="N250" s="66"/>
      <c r="O250" s="66"/>
      <c r="P250" s="66"/>
      <c r="Q250" s="66"/>
      <c r="R250" s="66"/>
      <c r="S250" s="66"/>
      <c r="T250" s="66"/>
      <c r="U250" s="66"/>
      <c r="V250" s="66"/>
      <c r="W250" s="66"/>
      <c r="X250" s="66"/>
      <c r="Y250" s="66"/>
      <c r="Z250" s="66"/>
      <c r="AA250" s="66"/>
    </row>
    <row r="251" ht="15.75" customHeight="1">
      <c r="A251" s="66"/>
      <c r="B251" s="66"/>
      <c r="C251" s="66"/>
      <c r="D251" s="66"/>
      <c r="E251" s="66"/>
      <c r="F251" s="68" t="str">
        <f t="array" ref="F251">IF(INDEX('Binder Data'!$A$1002:$A$1251,ROW()-1)="","",IF(INDEX('Binder Data'!$D$1002:$D$1251,ROW()-1)="Needed",INDEX('Binder Data'!$B$1002:$B$1251,ROW()-1),INDEX('Binder Data'!$D$1002:$D$1251,ROW()-1)))</f>
        <v/>
      </c>
      <c r="G251" s="66"/>
      <c r="H251" s="66"/>
      <c r="I251" s="66"/>
      <c r="J251" s="66"/>
      <c r="K251" s="66"/>
      <c r="L251" s="66"/>
      <c r="M251" s="66"/>
      <c r="N251" s="66"/>
      <c r="O251" s="66"/>
      <c r="P251" s="66"/>
      <c r="Q251" s="66"/>
      <c r="R251" s="66"/>
      <c r="S251" s="66"/>
      <c r="T251" s="66"/>
      <c r="U251" s="66"/>
      <c r="V251" s="66"/>
      <c r="W251" s="66"/>
      <c r="X251" s="66"/>
      <c r="Y251" s="66"/>
      <c r="Z251" s="66"/>
      <c r="AA251" s="66"/>
    </row>
    <row r="252" ht="15.7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c r="AA252" s="66"/>
    </row>
    <row r="253" ht="15.7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c r="AA253" s="66"/>
    </row>
    <row r="254" ht="15.7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c r="AA254" s="66"/>
    </row>
    <row r="255" ht="15.7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c r="AA255" s="66"/>
    </row>
    <row r="256" ht="15.7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c r="AA256" s="66"/>
    </row>
    <row r="257" ht="15.7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c r="AA257" s="66"/>
    </row>
    <row r="258" ht="15.7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c r="AA258" s="66"/>
    </row>
    <row r="259" ht="15.7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c r="AA259" s="66"/>
    </row>
    <row r="260" ht="15.7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c r="AA260" s="66"/>
    </row>
    <row r="261" ht="15.7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c r="AA261" s="66"/>
    </row>
    <row r="262" ht="15.7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c r="AA262" s="66"/>
    </row>
    <row r="263" ht="15.7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c r="AA263" s="66"/>
    </row>
    <row r="264" ht="15.7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c r="AA264" s="66"/>
    </row>
    <row r="265" ht="15.7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c r="AA265" s="66"/>
    </row>
    <row r="266" ht="15.7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c r="AA266" s="66"/>
    </row>
    <row r="267" ht="15.7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c r="AA267" s="66"/>
    </row>
    <row r="268" ht="15.7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c r="AA268" s="66"/>
    </row>
    <row r="269" ht="15.7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c r="AA269" s="66"/>
    </row>
    <row r="270" ht="15.7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c r="AA270" s="66"/>
    </row>
    <row r="271" ht="15.7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c r="AA271" s="66"/>
    </row>
    <row r="272" ht="15.7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c r="AA272" s="66"/>
    </row>
    <row r="273" ht="15.7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c r="AA273" s="66"/>
    </row>
    <row r="274" ht="15.7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c r="AA274" s="66"/>
    </row>
    <row r="275" ht="15.7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c r="AA275" s="66"/>
    </row>
    <row r="276" ht="15.7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c r="AA276" s="66"/>
    </row>
    <row r="277" ht="15.7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c r="AA277" s="66"/>
    </row>
    <row r="278" ht="15.7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c r="AA278" s="66"/>
    </row>
    <row r="279" ht="15.7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c r="AA279" s="66"/>
    </row>
    <row r="280" ht="15.7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c r="AA280" s="66"/>
    </row>
    <row r="281" ht="15.7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c r="AA281" s="66"/>
    </row>
    <row r="282" ht="15.7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c r="AA282" s="66"/>
    </row>
    <row r="283" ht="15.7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c r="AA283" s="66"/>
    </row>
    <row r="284" ht="15.7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c r="AA284" s="66"/>
    </row>
    <row r="285" ht="15.7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c r="AA285" s="66"/>
    </row>
    <row r="286" ht="15.7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c r="AA286" s="66"/>
    </row>
    <row r="287" ht="15.7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c r="AA287" s="66"/>
    </row>
    <row r="288" ht="15.7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c r="AA288" s="66"/>
    </row>
    <row r="289" ht="15.7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c r="AA289" s="66"/>
    </row>
    <row r="290" ht="15.7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c r="AA290" s="66"/>
    </row>
    <row r="291" ht="15.7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c r="AA291" s="66"/>
    </row>
    <row r="292" ht="15.7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c r="AA292" s="66"/>
    </row>
    <row r="293" ht="15.7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c r="AA293" s="66"/>
    </row>
    <row r="294" ht="15.7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c r="AA294" s="66"/>
    </row>
    <row r="295" ht="15.7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c r="AA295" s="66"/>
    </row>
    <row r="296" ht="15.7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c r="AA296" s="66"/>
    </row>
    <row r="297" ht="15.7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c r="AA297" s="66"/>
    </row>
    <row r="298" ht="15.7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c r="AA298" s="66"/>
    </row>
    <row r="299" ht="15.7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c r="AA299" s="66"/>
    </row>
    <row r="300" ht="15.7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c r="AA300" s="66"/>
    </row>
    <row r="301" ht="15.7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c r="AA301" s="66"/>
    </row>
    <row r="302" ht="15.7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c r="AA302" s="66"/>
    </row>
    <row r="303" ht="15.7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c r="AA303" s="66"/>
    </row>
    <row r="304" ht="15.7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c r="AA304" s="66"/>
    </row>
    <row r="305" ht="15.7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c r="AA305" s="66"/>
    </row>
    <row r="306" ht="15.7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c r="AA306" s="66"/>
    </row>
    <row r="307" ht="15.7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c r="AA307" s="66"/>
    </row>
    <row r="308" ht="15.7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c r="AA308" s="66"/>
    </row>
    <row r="309" ht="15.7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c r="AA309" s="66"/>
    </row>
    <row r="310" ht="15.7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c r="AA310" s="66"/>
    </row>
    <row r="311" ht="15.7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c r="AA311" s="66"/>
    </row>
    <row r="312" ht="15.7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c r="AA312" s="66"/>
    </row>
    <row r="313" ht="15.7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c r="AA313" s="66"/>
    </row>
    <row r="314" ht="15.7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c r="AA314" s="66"/>
    </row>
    <row r="315" ht="15.7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c r="AA315" s="66"/>
    </row>
    <row r="316" ht="15.7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c r="AA316" s="66"/>
    </row>
    <row r="317" ht="15.7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c r="AA317" s="66"/>
    </row>
    <row r="318" ht="15.7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c r="AA318" s="66"/>
    </row>
    <row r="319" ht="15.7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c r="AA319" s="66"/>
    </row>
    <row r="320" ht="15.7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c r="AA320" s="66"/>
    </row>
    <row r="321" ht="15.7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c r="AA321" s="66"/>
    </row>
    <row r="322" ht="15.7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c r="AA322" s="66"/>
    </row>
    <row r="323" ht="15.7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c r="AA323" s="66"/>
    </row>
    <row r="324" ht="15.7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c r="AA324" s="66"/>
    </row>
    <row r="325" ht="15.7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c r="AA325" s="66"/>
    </row>
    <row r="326" ht="15.7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c r="AA326" s="66"/>
    </row>
    <row r="327" ht="15.7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c r="AA327" s="66"/>
    </row>
    <row r="328" ht="15.7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c r="AA328" s="66"/>
    </row>
    <row r="329" ht="15.7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c r="AA329" s="66"/>
    </row>
    <row r="330" ht="15.7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c r="AA330" s="66"/>
    </row>
    <row r="331" ht="15.7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c r="AA331" s="66"/>
    </row>
    <row r="332" ht="15.7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c r="AA332" s="66"/>
    </row>
    <row r="333" ht="15.7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c r="AA333" s="66"/>
    </row>
    <row r="334" ht="15.7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c r="AA334" s="66"/>
    </row>
    <row r="335" ht="15.7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c r="AA335" s="66"/>
    </row>
    <row r="336" ht="15.7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c r="AA336" s="66"/>
    </row>
    <row r="337" ht="15.7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c r="AA337" s="66"/>
    </row>
    <row r="338" ht="15.7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c r="AA338" s="66"/>
    </row>
    <row r="339" ht="15.7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c r="AA339" s="66"/>
    </row>
    <row r="340" ht="15.7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c r="AA340" s="66"/>
    </row>
    <row r="341" ht="15.7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c r="AA341" s="66"/>
    </row>
    <row r="342" ht="15.7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c r="AA342" s="66"/>
    </row>
    <row r="343" ht="15.7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c r="AA343" s="66"/>
    </row>
    <row r="344" ht="15.7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c r="AA344" s="66"/>
    </row>
    <row r="345" ht="15.7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c r="AA345" s="66"/>
    </row>
    <row r="346" ht="15.7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c r="AA346" s="66"/>
    </row>
    <row r="347" ht="15.7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c r="AA347" s="66"/>
    </row>
    <row r="348" ht="15.7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c r="AA348" s="66"/>
    </row>
    <row r="349" ht="15.7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c r="AA349" s="66"/>
    </row>
    <row r="350" ht="15.7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c r="AA350" s="66"/>
    </row>
    <row r="351" ht="15.7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c r="AA351" s="66"/>
    </row>
    <row r="352" ht="15.7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c r="AA352" s="66"/>
    </row>
    <row r="353" ht="15.7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row>
    <row r="354" ht="15.7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c r="AA354" s="66"/>
    </row>
    <row r="355" ht="15.7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c r="AA355" s="66"/>
    </row>
    <row r="356" ht="15.7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c r="AA356" s="66"/>
    </row>
    <row r="357" ht="15.7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c r="AA357" s="66"/>
    </row>
    <row r="358" ht="15.7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c r="AA358" s="66"/>
    </row>
    <row r="359" ht="15.7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row>
    <row r="360" ht="15.7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c r="AA360" s="66"/>
    </row>
    <row r="361" ht="15.7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c r="AA361" s="66"/>
    </row>
    <row r="362" ht="15.7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row>
    <row r="363" ht="15.7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c r="AA363" s="66"/>
    </row>
    <row r="364" ht="15.7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c r="AA364" s="66"/>
    </row>
    <row r="365" ht="15.7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c r="AA365" s="66"/>
    </row>
    <row r="366" ht="15.7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c r="AA366" s="66"/>
    </row>
    <row r="367" ht="15.7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c r="AA367" s="66"/>
    </row>
    <row r="368" ht="15.7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c r="AA368" s="66"/>
    </row>
    <row r="369" ht="15.7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c r="AA369" s="66"/>
    </row>
    <row r="370" ht="15.7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c r="AA370" s="66"/>
    </row>
    <row r="371" ht="15.7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c r="AA371" s="66"/>
    </row>
    <row r="372" ht="15.7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c r="AA372" s="66"/>
    </row>
    <row r="373" ht="15.7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c r="AA373" s="66"/>
    </row>
    <row r="374" ht="15.7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c r="AA374" s="66"/>
    </row>
    <row r="375" ht="15.7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c r="AA375" s="66"/>
    </row>
    <row r="376" ht="15.7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c r="AA376" s="66"/>
    </row>
    <row r="377" ht="15.7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c r="AA377" s="66"/>
    </row>
    <row r="378" ht="15.7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c r="AA378" s="66"/>
    </row>
    <row r="379" ht="15.7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c r="AA379" s="66"/>
    </row>
    <row r="380" ht="15.7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c r="AA380" s="66"/>
    </row>
    <row r="381" ht="15.7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c r="AA381" s="66"/>
    </row>
    <row r="382" ht="15.7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c r="AA382" s="66"/>
    </row>
    <row r="383" ht="15.7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c r="AA383" s="66"/>
    </row>
    <row r="384" ht="15.7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c r="AA384" s="66"/>
    </row>
    <row r="385" ht="15.7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c r="AA385" s="66"/>
    </row>
    <row r="386" ht="15.7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c r="AA386" s="66"/>
    </row>
    <row r="387" ht="15.7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c r="AA387" s="66"/>
    </row>
    <row r="388" ht="15.7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c r="AA388" s="66"/>
    </row>
    <row r="389" ht="15.7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c r="AA389" s="66"/>
    </row>
    <row r="390" ht="15.7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c r="AA390" s="66"/>
    </row>
    <row r="391" ht="15.7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c r="AA391" s="66"/>
    </row>
    <row r="392" ht="15.7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c r="AA392" s="66"/>
    </row>
    <row r="393" ht="15.7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c r="AA393" s="66"/>
    </row>
    <row r="394" ht="15.7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c r="AA394" s="66"/>
    </row>
    <row r="395" ht="15.7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c r="AA395" s="66"/>
    </row>
    <row r="396" ht="15.7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c r="AA396" s="66"/>
    </row>
    <row r="397" ht="15.7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c r="AA397" s="66"/>
    </row>
    <row r="398" ht="15.7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c r="AA398" s="66"/>
    </row>
    <row r="399" ht="15.7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c r="AA399" s="66"/>
    </row>
    <row r="400" ht="15.7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c r="AA400" s="66"/>
    </row>
    <row r="401" ht="15.7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c r="AA401" s="66"/>
    </row>
    <row r="402" ht="15.7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c r="AA402" s="66"/>
    </row>
    <row r="403" ht="15.7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c r="AA403" s="66"/>
    </row>
    <row r="404" ht="15.7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c r="AA404" s="66"/>
    </row>
    <row r="405" ht="15.7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c r="AA405" s="66"/>
    </row>
    <row r="406" ht="15.7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c r="AA406" s="66"/>
    </row>
    <row r="407" ht="15.7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c r="AA407" s="66"/>
    </row>
    <row r="408" ht="15.7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c r="AA408" s="66"/>
    </row>
    <row r="409" ht="15.7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c r="AA409" s="66"/>
    </row>
    <row r="410" ht="15.7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c r="AA410" s="66"/>
    </row>
    <row r="411" ht="15.7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c r="AA411" s="66"/>
    </row>
    <row r="412" ht="15.7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c r="AA412" s="66"/>
    </row>
    <row r="413" ht="15.7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c r="AA413" s="66"/>
    </row>
    <row r="414" ht="15.7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c r="AA414" s="66"/>
    </row>
    <row r="415" ht="15.7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c r="AA415" s="66"/>
    </row>
    <row r="416" ht="15.7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c r="AA416" s="66"/>
    </row>
    <row r="417" ht="15.7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c r="AA417" s="66"/>
    </row>
    <row r="418" ht="15.7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c r="AA418" s="66"/>
    </row>
    <row r="419" ht="15.7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c r="AA419" s="66"/>
    </row>
    <row r="420" ht="15.7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c r="AA420" s="66"/>
    </row>
    <row r="421" ht="15.7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c r="AA421" s="66"/>
    </row>
    <row r="422" ht="15.7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c r="AA422" s="66"/>
    </row>
    <row r="423" ht="15.7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c r="AA423" s="66"/>
    </row>
    <row r="424" ht="15.7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c r="AA424" s="66"/>
    </row>
    <row r="425" ht="15.7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c r="AA425" s="66"/>
    </row>
    <row r="426" ht="15.7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c r="AA426" s="66"/>
    </row>
    <row r="427" ht="15.7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c r="AA427" s="66"/>
    </row>
    <row r="428" ht="15.7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c r="AA428" s="66"/>
    </row>
    <row r="429" ht="15.7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c r="AA429" s="66"/>
    </row>
    <row r="430" ht="15.7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c r="AA430" s="66"/>
    </row>
    <row r="431" ht="15.7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c r="AA431" s="66"/>
    </row>
    <row r="432" ht="15.7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c r="AA432" s="66"/>
    </row>
    <row r="433" ht="15.7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c r="AA433" s="66"/>
    </row>
    <row r="434" ht="15.7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c r="AA434" s="66"/>
    </row>
    <row r="435" ht="15.7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c r="AA435" s="66"/>
    </row>
    <row r="436" ht="15.7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c r="AA436" s="66"/>
    </row>
    <row r="437" ht="15.7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c r="AA437" s="66"/>
    </row>
    <row r="438" ht="15.7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c r="AA438" s="66"/>
    </row>
    <row r="439" ht="15.7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c r="AA439" s="66"/>
    </row>
    <row r="440" ht="15.7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c r="AA440" s="66"/>
    </row>
    <row r="441" ht="15.7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c r="AA441" s="66"/>
    </row>
    <row r="442" ht="15.7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c r="AA442" s="66"/>
    </row>
    <row r="443" ht="15.7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c r="AA443" s="66"/>
    </row>
    <row r="444" ht="15.7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c r="AA444" s="66"/>
    </row>
    <row r="445" ht="15.7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c r="AA445" s="66"/>
    </row>
    <row r="446" ht="15.7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c r="AA446" s="66"/>
    </row>
    <row r="447" ht="15.7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c r="AA447" s="66"/>
    </row>
    <row r="448" ht="15.7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c r="AA448" s="66"/>
    </row>
    <row r="449" ht="15.7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c r="AA449" s="66"/>
    </row>
    <row r="450" ht="15.7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c r="AA450" s="66"/>
    </row>
    <row r="451" ht="15.7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c r="AA451" s="66"/>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autoFilter ref="$A$1:$O$1000"/>
  <dataValidations>
    <dataValidation type="list" allowBlank="1" sqref="A2:A251">
      <formula1>"FALSE,TRUE,ORDERED,PROXY,OUT OF DECK"</formula1>
    </dataValidation>
  </dataValidations>
  <printOptions/>
  <pageMargins bottom="1.0" footer="0.0" header="0.0" left="0.75" right="0.75" top="1.0"/>
  <pageSetup paperSize="9" orientation="portrait"/>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38"/>
    <col customWidth="1" min="2" max="2" width="9.75"/>
    <col customWidth="1" min="3" max="3" width="27.0"/>
    <col customWidth="1" min="4" max="4" width="33.63"/>
    <col customWidth="1" min="5" max="5" width="12.25"/>
    <col customWidth="1" min="6" max="6" width="26.0"/>
    <col customWidth="1" hidden="1" min="7" max="7" width="30.0"/>
    <col customWidth="1" min="8" max="8" width="9.5"/>
    <col customWidth="1" min="9" max="9" width="9.25"/>
    <col customWidth="1" min="10" max="10" width="11.13"/>
    <col customWidth="1" min="11" max="11" width="9.0"/>
    <col customWidth="1" min="12" max="12" width="34.25"/>
    <col customWidth="1" min="13" max="13" width="60.0"/>
    <col customWidth="1" min="14" max="15" width="13.0"/>
    <col customWidth="1" min="16" max="16" width="35.63"/>
    <col customWidth="1" min="17" max="27" width="10.88"/>
  </cols>
  <sheetData>
    <row r="1" ht="26.25" customHeight="1">
      <c r="A1" s="65" t="s">
        <v>106</v>
      </c>
      <c r="B1" s="65" t="s">
        <v>107</v>
      </c>
      <c r="C1" s="65" t="s">
        <v>108</v>
      </c>
      <c r="D1" s="65" t="s">
        <v>109</v>
      </c>
      <c r="E1" s="65" t="s">
        <v>110</v>
      </c>
      <c r="F1" s="65" t="s">
        <v>111</v>
      </c>
      <c r="G1" s="65" t="s">
        <v>112</v>
      </c>
      <c r="H1" s="65" t="s">
        <v>113</v>
      </c>
      <c r="I1" s="65" t="s">
        <v>114</v>
      </c>
      <c r="J1" s="65" t="s">
        <v>115</v>
      </c>
      <c r="K1" s="65" t="s">
        <v>116</v>
      </c>
      <c r="L1" s="65" t="s">
        <v>117</v>
      </c>
      <c r="M1" s="65" t="s">
        <v>118</v>
      </c>
      <c r="N1" s="65" t="s">
        <v>119</v>
      </c>
      <c r="O1" s="65" t="s">
        <v>120</v>
      </c>
      <c r="P1" s="66"/>
      <c r="Q1" s="66"/>
      <c r="R1" s="66"/>
      <c r="S1" s="66"/>
      <c r="T1" s="66"/>
      <c r="U1" s="66"/>
      <c r="V1" s="66"/>
      <c r="W1" s="66"/>
      <c r="X1" s="66"/>
      <c r="Y1" s="66"/>
      <c r="Z1" s="66"/>
      <c r="AA1" s="66"/>
    </row>
    <row r="2" ht="15.0" customHeight="1">
      <c r="A2" s="67" t="b">
        <v>0</v>
      </c>
      <c r="B2" s="66"/>
      <c r="C2" s="66"/>
      <c r="D2" s="66"/>
      <c r="E2" s="66"/>
      <c r="F2" s="68" t="str">
        <f t="array" ref="F2">IF(INDEX('Binder Data'!$A$1252:$A$1501,ROW()-1)="","",IF(INDEX('Binder Data'!$D$1252:$D$1501,ROW()-1)="Needed",INDEX('Binder Data'!$B$1252:$B$1501,ROW()-1),INDEX('Binder Data'!$D$1252:$D$1501,ROW()-1)))</f>
        <v/>
      </c>
      <c r="G2" s="66"/>
      <c r="H2" s="66"/>
      <c r="I2" s="66"/>
      <c r="J2" s="69"/>
      <c r="K2" s="69"/>
      <c r="L2" s="69"/>
      <c r="M2" s="69"/>
      <c r="N2" s="66"/>
      <c r="O2" s="66"/>
      <c r="P2" s="66"/>
      <c r="Q2" s="66"/>
      <c r="R2" s="66"/>
      <c r="S2" s="66"/>
      <c r="T2" s="66"/>
      <c r="U2" s="66"/>
      <c r="V2" s="66"/>
      <c r="W2" s="66"/>
      <c r="X2" s="66"/>
      <c r="Y2" s="66"/>
      <c r="Z2" s="66"/>
      <c r="AA2" s="66"/>
    </row>
    <row r="3" ht="15.0" customHeight="1">
      <c r="A3" s="67" t="b">
        <v>0</v>
      </c>
      <c r="B3" s="66"/>
      <c r="C3" s="66"/>
      <c r="D3" s="66"/>
      <c r="E3" s="66"/>
      <c r="F3" s="68" t="str">
        <f t="array" ref="F3">IF(INDEX('Binder Data'!$A$1252:$A$1501,ROW()-1)="","",IF(INDEX('Binder Data'!$D$1252:$D$1501,ROW()-1)="Needed",INDEX('Binder Data'!$B$1252:$B$1501,ROW()-1),INDEX('Binder Data'!$D$1252:$D$1501,ROW()-1)))</f>
        <v/>
      </c>
      <c r="G3" s="66"/>
      <c r="H3" s="66"/>
      <c r="I3" s="66"/>
      <c r="J3" s="69"/>
      <c r="K3" s="69"/>
      <c r="L3" s="69"/>
      <c r="M3" s="69"/>
      <c r="N3" s="66"/>
      <c r="O3" s="66"/>
      <c r="P3" s="66"/>
      <c r="Q3" s="66"/>
      <c r="R3" s="66"/>
      <c r="S3" s="66"/>
      <c r="T3" s="66"/>
      <c r="U3" s="66"/>
      <c r="V3" s="66"/>
      <c r="W3" s="66"/>
      <c r="X3" s="66"/>
      <c r="Y3" s="66"/>
      <c r="Z3" s="66"/>
      <c r="AA3" s="66"/>
    </row>
    <row r="4" ht="15.0" customHeight="1">
      <c r="A4" s="67" t="b">
        <v>0</v>
      </c>
      <c r="B4" s="66"/>
      <c r="C4" s="66"/>
      <c r="D4" s="66"/>
      <c r="E4" s="66"/>
      <c r="F4" s="68" t="str">
        <f t="array" ref="F4">IF(INDEX('Binder Data'!$A$1252:$A$1501,ROW()-1)="","",IF(INDEX('Binder Data'!$D$1252:$D$1501,ROW()-1)="Needed",INDEX('Binder Data'!$B$1252:$B$1501,ROW()-1),INDEX('Binder Data'!$D$1252:$D$1501,ROW()-1)))</f>
        <v/>
      </c>
      <c r="G4" s="66"/>
      <c r="H4" s="66"/>
      <c r="I4" s="66"/>
      <c r="J4" s="69"/>
      <c r="K4" s="69"/>
      <c r="L4" s="69"/>
      <c r="M4" s="69"/>
      <c r="N4" s="66"/>
      <c r="O4" s="66"/>
      <c r="P4" s="66"/>
      <c r="Q4" s="66"/>
      <c r="R4" s="66"/>
      <c r="S4" s="66"/>
      <c r="T4" s="66"/>
      <c r="U4" s="66"/>
      <c r="V4" s="66"/>
      <c r="W4" s="66"/>
      <c r="X4" s="66"/>
      <c r="Y4" s="66"/>
      <c r="Z4" s="66"/>
      <c r="AA4" s="66"/>
    </row>
    <row r="5" ht="15.0" customHeight="1">
      <c r="A5" s="67" t="b">
        <v>0</v>
      </c>
      <c r="B5" s="66"/>
      <c r="C5" s="66"/>
      <c r="D5" s="66"/>
      <c r="E5" s="66"/>
      <c r="F5" s="68" t="str">
        <f t="array" ref="F5">IF(INDEX('Binder Data'!$A$1252:$A$1501,ROW()-1)="","",IF(INDEX('Binder Data'!$D$1252:$D$1501,ROW()-1)="Needed",INDEX('Binder Data'!$B$1252:$B$1501,ROW()-1),INDEX('Binder Data'!$D$1252:$D$1501,ROW()-1)))</f>
        <v/>
      </c>
      <c r="G5" s="66"/>
      <c r="H5" s="66"/>
      <c r="I5" s="66"/>
      <c r="J5" s="69"/>
      <c r="K5" s="69"/>
      <c r="L5" s="69"/>
      <c r="M5" s="69"/>
      <c r="N5" s="66"/>
      <c r="O5" s="66"/>
      <c r="P5" s="66"/>
      <c r="Q5" s="66"/>
      <c r="R5" s="66"/>
      <c r="S5" s="66"/>
      <c r="T5" s="66"/>
      <c r="U5" s="66"/>
      <c r="V5" s="66"/>
      <c r="W5" s="66"/>
      <c r="X5" s="66"/>
      <c r="Y5" s="66"/>
      <c r="Z5" s="66"/>
      <c r="AA5" s="66"/>
    </row>
    <row r="6" ht="15.0" customHeight="1">
      <c r="A6" s="67" t="b">
        <v>0</v>
      </c>
      <c r="B6" s="66"/>
      <c r="C6" s="66"/>
      <c r="D6" s="66"/>
      <c r="E6" s="66"/>
      <c r="F6" s="68" t="str">
        <f t="array" ref="F6">IF(INDEX('Binder Data'!$A$1252:$A$1501,ROW()-1)="","",IF(INDEX('Binder Data'!$D$1252:$D$1501,ROW()-1)="Needed",INDEX('Binder Data'!$B$1252:$B$1501,ROW()-1),INDEX('Binder Data'!$D$1252:$D$1501,ROW()-1)))</f>
        <v/>
      </c>
      <c r="G6" s="66"/>
      <c r="H6" s="66"/>
      <c r="I6" s="66"/>
      <c r="J6" s="69"/>
      <c r="K6" s="69"/>
      <c r="L6" s="69"/>
      <c r="M6" s="69"/>
      <c r="N6" s="66"/>
      <c r="O6" s="66"/>
      <c r="P6" s="66"/>
      <c r="Q6" s="66"/>
      <c r="R6" s="66"/>
      <c r="S6" s="66"/>
      <c r="T6" s="66"/>
      <c r="U6" s="66"/>
      <c r="V6" s="66"/>
      <c r="W6" s="66"/>
      <c r="X6" s="66"/>
      <c r="Y6" s="66"/>
      <c r="Z6" s="66"/>
      <c r="AA6" s="66"/>
    </row>
    <row r="7" ht="15.0" customHeight="1">
      <c r="A7" s="67" t="b">
        <v>0</v>
      </c>
      <c r="B7" s="66"/>
      <c r="C7" s="66"/>
      <c r="D7" s="66"/>
      <c r="E7" s="66"/>
      <c r="F7" s="68" t="str">
        <f t="array" ref="F7">IF(INDEX('Binder Data'!$A$1252:$A$1501,ROW()-1)="","",IF(INDEX('Binder Data'!$D$1252:$D$1501,ROW()-1)="Needed",INDEX('Binder Data'!$B$1252:$B$1501,ROW()-1),INDEX('Binder Data'!$D$1252:$D$1501,ROW()-1)))</f>
        <v/>
      </c>
      <c r="G7" s="66"/>
      <c r="H7" s="66"/>
      <c r="I7" s="66"/>
      <c r="J7" s="69"/>
      <c r="K7" s="69"/>
      <c r="L7" s="69"/>
      <c r="M7" s="69"/>
      <c r="N7" s="66"/>
      <c r="O7" s="66"/>
      <c r="P7" s="66"/>
      <c r="Q7" s="66"/>
      <c r="R7" s="66"/>
      <c r="S7" s="66"/>
      <c r="T7" s="66"/>
      <c r="U7" s="66"/>
      <c r="V7" s="66"/>
      <c r="W7" s="66"/>
      <c r="X7" s="66"/>
      <c r="Y7" s="66"/>
      <c r="Z7" s="66"/>
      <c r="AA7" s="66"/>
    </row>
    <row r="8" ht="15.0" customHeight="1">
      <c r="A8" s="67" t="b">
        <v>0</v>
      </c>
      <c r="B8" s="66"/>
      <c r="C8" s="66"/>
      <c r="D8" s="66"/>
      <c r="E8" s="66"/>
      <c r="F8" s="68" t="str">
        <f t="array" ref="F8">IF(INDEX('Binder Data'!$A$1252:$A$1501,ROW()-1)="","",IF(INDEX('Binder Data'!$D$1252:$D$1501,ROW()-1)="Needed",INDEX('Binder Data'!$B$1252:$B$1501,ROW()-1),INDEX('Binder Data'!$D$1252:$D$1501,ROW()-1)))</f>
        <v/>
      </c>
      <c r="G8" s="66"/>
      <c r="H8" s="66"/>
      <c r="I8" s="66"/>
      <c r="J8" s="69"/>
      <c r="K8" s="69"/>
      <c r="L8" s="69"/>
      <c r="M8" s="69"/>
      <c r="N8" s="66"/>
      <c r="O8" s="66"/>
      <c r="P8" s="66"/>
      <c r="Q8" s="66"/>
      <c r="R8" s="66"/>
      <c r="S8" s="66"/>
      <c r="T8" s="66"/>
      <c r="U8" s="66"/>
      <c r="V8" s="66"/>
      <c r="W8" s="66"/>
      <c r="X8" s="66"/>
      <c r="Y8" s="66"/>
      <c r="Z8" s="66"/>
      <c r="AA8" s="66"/>
    </row>
    <row r="9" ht="15.0" customHeight="1">
      <c r="A9" s="67" t="b">
        <v>0</v>
      </c>
      <c r="B9" s="66"/>
      <c r="C9" s="66"/>
      <c r="D9" s="66"/>
      <c r="E9" s="66"/>
      <c r="F9" s="68" t="str">
        <f t="array" ref="F9">IF(INDEX('Binder Data'!$A$1252:$A$1501,ROW()-1)="","",IF(INDEX('Binder Data'!$D$1252:$D$1501,ROW()-1)="Needed",INDEX('Binder Data'!$B$1252:$B$1501,ROW()-1),INDEX('Binder Data'!$D$1252:$D$1501,ROW()-1)))</f>
        <v/>
      </c>
      <c r="G9" s="66"/>
      <c r="H9" s="66"/>
      <c r="I9" s="66"/>
      <c r="J9" s="69"/>
      <c r="K9" s="69"/>
      <c r="L9" s="69"/>
      <c r="M9" s="69"/>
      <c r="N9" s="66"/>
      <c r="O9" s="66"/>
      <c r="P9" s="66"/>
      <c r="Q9" s="66"/>
      <c r="R9" s="66"/>
      <c r="S9" s="66"/>
      <c r="T9" s="66"/>
      <c r="U9" s="66"/>
      <c r="V9" s="66"/>
      <c r="W9" s="66"/>
      <c r="X9" s="66"/>
      <c r="Y9" s="66"/>
      <c r="Z9" s="66"/>
      <c r="AA9" s="66"/>
    </row>
    <row r="10" ht="15.0" customHeight="1">
      <c r="A10" s="67" t="b">
        <v>0</v>
      </c>
      <c r="B10" s="66"/>
      <c r="C10" s="66"/>
      <c r="D10" s="66"/>
      <c r="E10" s="66"/>
      <c r="F10" s="68" t="str">
        <f t="array" ref="F10">IF(INDEX('Binder Data'!$A$1252:$A$1501,ROW()-1)="","",IF(INDEX('Binder Data'!$D$1252:$D$1501,ROW()-1)="Needed",INDEX('Binder Data'!$B$1252:$B$1501,ROW()-1),INDEX('Binder Data'!$D$1252:$D$1501,ROW()-1)))</f>
        <v/>
      </c>
      <c r="G10" s="66"/>
      <c r="H10" s="66"/>
      <c r="I10" s="66"/>
      <c r="J10" s="69"/>
      <c r="K10" s="69"/>
      <c r="L10" s="69"/>
      <c r="M10" s="69"/>
      <c r="N10" s="66"/>
      <c r="O10" s="66"/>
      <c r="P10" s="66"/>
      <c r="Q10" s="66"/>
      <c r="R10" s="66"/>
      <c r="S10" s="66"/>
      <c r="T10" s="66"/>
      <c r="U10" s="66"/>
      <c r="V10" s="66"/>
      <c r="W10" s="66"/>
      <c r="X10" s="66"/>
      <c r="Y10" s="66"/>
      <c r="Z10" s="66"/>
      <c r="AA10" s="66"/>
    </row>
    <row r="11" ht="15.0" customHeight="1">
      <c r="A11" s="67" t="b">
        <v>0</v>
      </c>
      <c r="B11" s="66"/>
      <c r="C11" s="66"/>
      <c r="D11" s="66"/>
      <c r="E11" s="66"/>
      <c r="F11" s="68" t="str">
        <f t="array" ref="F11">IF(INDEX('Binder Data'!$A$1252:$A$1501,ROW()-1)="","",IF(INDEX('Binder Data'!$D$1252:$D$1501,ROW()-1)="Needed",INDEX('Binder Data'!$B$1252:$B$1501,ROW()-1),INDEX('Binder Data'!$D$1252:$D$1501,ROW()-1)))</f>
        <v/>
      </c>
      <c r="G11" s="66"/>
      <c r="H11" s="66"/>
      <c r="I11" s="66"/>
      <c r="J11" s="69"/>
      <c r="K11" s="69"/>
      <c r="L11" s="69"/>
      <c r="M11" s="69"/>
      <c r="N11" s="66"/>
      <c r="O11" s="66"/>
      <c r="P11" s="66"/>
      <c r="Q11" s="66"/>
      <c r="R11" s="66"/>
      <c r="S11" s="66"/>
      <c r="T11" s="66"/>
      <c r="U11" s="66"/>
      <c r="V11" s="66"/>
      <c r="W11" s="66"/>
      <c r="X11" s="66"/>
      <c r="Y11" s="66"/>
      <c r="Z11" s="66"/>
      <c r="AA11" s="66"/>
    </row>
    <row r="12" ht="15.0" customHeight="1">
      <c r="A12" s="67" t="b">
        <v>0</v>
      </c>
      <c r="B12" s="66"/>
      <c r="C12" s="66"/>
      <c r="D12" s="66"/>
      <c r="E12" s="66"/>
      <c r="F12" s="68" t="str">
        <f t="array" ref="F12">IF(INDEX('Binder Data'!$A$1252:$A$1501,ROW()-1)="","",IF(INDEX('Binder Data'!$D$1252:$D$1501,ROW()-1)="Needed",INDEX('Binder Data'!$B$1252:$B$1501,ROW()-1),INDEX('Binder Data'!$D$1252:$D$1501,ROW()-1)))</f>
        <v/>
      </c>
      <c r="G12" s="66"/>
      <c r="H12" s="66"/>
      <c r="I12" s="66"/>
      <c r="J12" s="69"/>
      <c r="K12" s="69"/>
      <c r="L12" s="69"/>
      <c r="M12" s="69"/>
      <c r="N12" s="66"/>
      <c r="O12" s="66"/>
      <c r="P12" s="66"/>
      <c r="Q12" s="66"/>
      <c r="R12" s="66"/>
      <c r="S12" s="66"/>
      <c r="T12" s="66"/>
      <c r="U12" s="66"/>
      <c r="V12" s="66"/>
      <c r="W12" s="66"/>
      <c r="X12" s="66"/>
      <c r="Y12" s="66"/>
      <c r="Z12" s="66"/>
      <c r="AA12" s="66"/>
    </row>
    <row r="13" ht="15.0" customHeight="1">
      <c r="A13" s="67" t="b">
        <v>0</v>
      </c>
      <c r="B13" s="66"/>
      <c r="C13" s="66"/>
      <c r="D13" s="66"/>
      <c r="E13" s="66"/>
      <c r="F13" s="68" t="str">
        <f t="array" ref="F13">IF(INDEX('Binder Data'!$A$1252:$A$1501,ROW()-1)="","",IF(INDEX('Binder Data'!$D$1252:$D$1501,ROW()-1)="Needed",INDEX('Binder Data'!$B$1252:$B$1501,ROW()-1),INDEX('Binder Data'!$D$1252:$D$1501,ROW()-1)))</f>
        <v/>
      </c>
      <c r="G13" s="66"/>
      <c r="H13" s="66"/>
      <c r="I13" s="66"/>
      <c r="J13" s="69"/>
      <c r="K13" s="69"/>
      <c r="L13" s="69"/>
      <c r="M13" s="69"/>
      <c r="N13" s="66"/>
      <c r="O13" s="66"/>
      <c r="P13" s="66"/>
      <c r="Q13" s="66"/>
      <c r="R13" s="66"/>
      <c r="S13" s="66"/>
      <c r="T13" s="66"/>
      <c r="U13" s="66"/>
      <c r="V13" s="66"/>
      <c r="W13" s="66"/>
      <c r="X13" s="66"/>
      <c r="Y13" s="66"/>
      <c r="Z13" s="66"/>
      <c r="AA13" s="66"/>
    </row>
    <row r="14" ht="15.0" customHeight="1">
      <c r="A14" s="67" t="b">
        <v>0</v>
      </c>
      <c r="B14" s="66"/>
      <c r="C14" s="66"/>
      <c r="D14" s="66"/>
      <c r="E14" s="66"/>
      <c r="F14" s="68" t="str">
        <f t="array" ref="F14">IF(INDEX('Binder Data'!$A$1252:$A$1501,ROW()-1)="","",IF(INDEX('Binder Data'!$D$1252:$D$1501,ROW()-1)="Needed",INDEX('Binder Data'!$B$1252:$B$1501,ROW()-1),INDEX('Binder Data'!$D$1252:$D$1501,ROW()-1)))</f>
        <v/>
      </c>
      <c r="G14" s="66"/>
      <c r="H14" s="66"/>
      <c r="I14" s="66"/>
      <c r="J14" s="69"/>
      <c r="K14" s="69"/>
      <c r="L14" s="69"/>
      <c r="M14" s="69"/>
      <c r="N14" s="66"/>
      <c r="O14" s="66"/>
      <c r="P14" s="66"/>
      <c r="Q14" s="66"/>
      <c r="R14" s="66"/>
      <c r="S14" s="66"/>
      <c r="T14" s="66"/>
      <c r="U14" s="66"/>
      <c r="V14" s="66"/>
      <c r="W14" s="66"/>
      <c r="X14" s="66"/>
      <c r="Y14" s="66"/>
      <c r="Z14" s="66"/>
      <c r="AA14" s="66"/>
    </row>
    <row r="15" ht="15.0" customHeight="1">
      <c r="A15" s="67" t="b">
        <v>0</v>
      </c>
      <c r="B15" s="66"/>
      <c r="C15" s="66"/>
      <c r="D15" s="66"/>
      <c r="E15" s="66"/>
      <c r="F15" s="68" t="str">
        <f t="array" ref="F15">IF(INDEX('Binder Data'!$A$1252:$A$1501,ROW()-1)="","",IF(INDEX('Binder Data'!$D$1252:$D$1501,ROW()-1)="Needed",INDEX('Binder Data'!$B$1252:$B$1501,ROW()-1),INDEX('Binder Data'!$D$1252:$D$1501,ROW()-1)))</f>
        <v/>
      </c>
      <c r="G15" s="66"/>
      <c r="H15" s="66"/>
      <c r="I15" s="66"/>
      <c r="J15" s="69"/>
      <c r="K15" s="69"/>
      <c r="L15" s="69"/>
      <c r="M15" s="69"/>
      <c r="N15" s="66"/>
      <c r="O15" s="66"/>
      <c r="P15" s="66"/>
      <c r="Q15" s="66"/>
      <c r="R15" s="66"/>
      <c r="S15" s="66"/>
      <c r="T15" s="66"/>
      <c r="U15" s="66"/>
      <c r="V15" s="66"/>
      <c r="W15" s="66"/>
      <c r="X15" s="66"/>
      <c r="Y15" s="66"/>
      <c r="Z15" s="66"/>
      <c r="AA15" s="66"/>
    </row>
    <row r="16" ht="15.0" customHeight="1">
      <c r="A16" s="67" t="b">
        <v>0</v>
      </c>
      <c r="B16" s="66"/>
      <c r="C16" s="66"/>
      <c r="D16" s="66"/>
      <c r="E16" s="66"/>
      <c r="F16" s="68" t="str">
        <f t="array" ref="F16">IF(INDEX('Binder Data'!$A$1252:$A$1501,ROW()-1)="","",IF(INDEX('Binder Data'!$D$1252:$D$1501,ROW()-1)="Needed",INDEX('Binder Data'!$B$1252:$B$1501,ROW()-1),INDEX('Binder Data'!$D$1252:$D$1501,ROW()-1)))</f>
        <v/>
      </c>
      <c r="G16" s="66"/>
      <c r="H16" s="66"/>
      <c r="I16" s="66"/>
      <c r="J16" s="69"/>
      <c r="K16" s="69"/>
      <c r="L16" s="69"/>
      <c r="M16" s="69"/>
      <c r="N16" s="66"/>
      <c r="O16" s="66"/>
      <c r="P16" s="66"/>
      <c r="Q16" s="66"/>
      <c r="R16" s="66"/>
      <c r="S16" s="66"/>
      <c r="T16" s="66"/>
      <c r="U16" s="66"/>
      <c r="V16" s="66"/>
      <c r="W16" s="66"/>
      <c r="X16" s="66"/>
      <c r="Y16" s="66"/>
      <c r="Z16" s="66"/>
      <c r="AA16" s="66"/>
    </row>
    <row r="17" ht="15.0" customHeight="1">
      <c r="A17" s="67" t="b">
        <v>0</v>
      </c>
      <c r="B17" s="66"/>
      <c r="C17" s="66"/>
      <c r="D17" s="66"/>
      <c r="E17" s="66"/>
      <c r="F17" s="68" t="str">
        <f t="array" ref="F17">IF(INDEX('Binder Data'!$A$1252:$A$1501,ROW()-1)="","",IF(INDEX('Binder Data'!$D$1252:$D$1501,ROW()-1)="Needed",INDEX('Binder Data'!$B$1252:$B$1501,ROW()-1),INDEX('Binder Data'!$D$1252:$D$1501,ROW()-1)))</f>
        <v/>
      </c>
      <c r="G17" s="66"/>
      <c r="H17" s="66"/>
      <c r="I17" s="66"/>
      <c r="J17" s="69"/>
      <c r="K17" s="69"/>
      <c r="L17" s="69"/>
      <c r="M17" s="69"/>
      <c r="N17" s="66"/>
      <c r="O17" s="66"/>
      <c r="P17" s="66"/>
      <c r="Q17" s="66"/>
      <c r="R17" s="66"/>
      <c r="S17" s="66"/>
      <c r="T17" s="66"/>
      <c r="U17" s="66"/>
      <c r="V17" s="66"/>
      <c r="W17" s="66"/>
      <c r="X17" s="66"/>
      <c r="Y17" s="66"/>
      <c r="Z17" s="66"/>
      <c r="AA17" s="66"/>
    </row>
    <row r="18" ht="15.0" customHeight="1">
      <c r="A18" s="67" t="b">
        <v>0</v>
      </c>
      <c r="B18" s="66"/>
      <c r="C18" s="66"/>
      <c r="D18" s="66"/>
      <c r="E18" s="66"/>
      <c r="F18" s="68" t="str">
        <f t="array" ref="F18">IF(INDEX('Binder Data'!$A$1252:$A$1501,ROW()-1)="","",IF(INDEX('Binder Data'!$D$1252:$D$1501,ROW()-1)="Needed",INDEX('Binder Data'!$B$1252:$B$1501,ROW()-1),INDEX('Binder Data'!$D$1252:$D$1501,ROW()-1)))</f>
        <v/>
      </c>
      <c r="G18" s="66"/>
      <c r="H18" s="66"/>
      <c r="I18" s="66"/>
      <c r="J18" s="69"/>
      <c r="K18" s="69"/>
      <c r="L18" s="69"/>
      <c r="M18" s="69"/>
      <c r="N18" s="66"/>
      <c r="O18" s="66"/>
      <c r="P18" s="66"/>
      <c r="Q18" s="66"/>
      <c r="R18" s="66"/>
      <c r="S18" s="66"/>
      <c r="T18" s="66"/>
      <c r="U18" s="66"/>
      <c r="V18" s="66"/>
      <c r="W18" s="66"/>
      <c r="X18" s="66"/>
      <c r="Y18" s="66"/>
      <c r="Z18" s="66"/>
      <c r="AA18" s="66"/>
    </row>
    <row r="19" ht="15.0" customHeight="1">
      <c r="A19" s="67" t="b">
        <v>0</v>
      </c>
      <c r="B19" s="66"/>
      <c r="C19" s="66"/>
      <c r="D19" s="66"/>
      <c r="E19" s="66"/>
      <c r="F19" s="68" t="str">
        <f t="array" ref="F19">IF(INDEX('Binder Data'!$A$1252:$A$1501,ROW()-1)="","",IF(INDEX('Binder Data'!$D$1252:$D$1501,ROW()-1)="Needed",INDEX('Binder Data'!$B$1252:$B$1501,ROW()-1),INDEX('Binder Data'!$D$1252:$D$1501,ROW()-1)))</f>
        <v/>
      </c>
      <c r="G19" s="66"/>
      <c r="H19" s="66"/>
      <c r="I19" s="66"/>
      <c r="J19" s="69"/>
      <c r="K19" s="69"/>
      <c r="L19" s="69"/>
      <c r="M19" s="69"/>
      <c r="N19" s="66"/>
      <c r="O19" s="66"/>
      <c r="P19" s="66"/>
      <c r="Q19" s="66"/>
      <c r="R19" s="66"/>
      <c r="S19" s="66"/>
      <c r="T19" s="66"/>
      <c r="U19" s="66"/>
      <c r="V19" s="66"/>
      <c r="W19" s="66"/>
      <c r="X19" s="66"/>
      <c r="Y19" s="66"/>
      <c r="Z19" s="66"/>
      <c r="AA19" s="66"/>
    </row>
    <row r="20" ht="15.0" customHeight="1">
      <c r="A20" s="67" t="b">
        <v>0</v>
      </c>
      <c r="B20" s="66"/>
      <c r="C20" s="66"/>
      <c r="D20" s="66"/>
      <c r="E20" s="66"/>
      <c r="F20" s="68" t="str">
        <f t="array" ref="F20">IF(INDEX('Binder Data'!$A$1252:$A$1501,ROW()-1)="","",IF(INDEX('Binder Data'!$D$1252:$D$1501,ROW()-1)="Needed",INDEX('Binder Data'!$B$1252:$B$1501,ROW()-1),INDEX('Binder Data'!$D$1252:$D$1501,ROW()-1)))</f>
        <v/>
      </c>
      <c r="G20" s="66"/>
      <c r="H20" s="66"/>
      <c r="I20" s="66"/>
      <c r="J20" s="69"/>
      <c r="K20" s="69"/>
      <c r="L20" s="69"/>
      <c r="M20" s="69"/>
      <c r="N20" s="66"/>
      <c r="O20" s="66"/>
      <c r="P20" s="66"/>
      <c r="Q20" s="66"/>
      <c r="R20" s="66"/>
      <c r="S20" s="66"/>
      <c r="T20" s="66"/>
      <c r="U20" s="66"/>
      <c r="V20" s="66"/>
      <c r="W20" s="66"/>
      <c r="X20" s="66"/>
      <c r="Y20" s="66"/>
      <c r="Z20" s="66"/>
      <c r="AA20" s="66"/>
    </row>
    <row r="21" ht="15.75" customHeight="1">
      <c r="A21" s="67" t="b">
        <v>0</v>
      </c>
      <c r="B21" s="66"/>
      <c r="C21" s="66"/>
      <c r="D21" s="66"/>
      <c r="E21" s="66"/>
      <c r="F21" s="68" t="str">
        <f t="array" ref="F21">IF(INDEX('Binder Data'!$A$1252:$A$1501,ROW()-1)="","",IF(INDEX('Binder Data'!$D$1252:$D$1501,ROW()-1)="Needed",INDEX('Binder Data'!$B$1252:$B$1501,ROW()-1),INDEX('Binder Data'!$D$1252:$D$1501,ROW()-1)))</f>
        <v/>
      </c>
      <c r="G21" s="66"/>
      <c r="H21" s="66"/>
      <c r="I21" s="66"/>
      <c r="J21" s="69"/>
      <c r="K21" s="69"/>
      <c r="L21" s="69"/>
      <c r="M21" s="69"/>
      <c r="N21" s="66"/>
      <c r="O21" s="66"/>
      <c r="P21" s="66"/>
      <c r="Q21" s="66"/>
      <c r="R21" s="66"/>
      <c r="S21" s="66"/>
      <c r="T21" s="66"/>
      <c r="U21" s="66"/>
      <c r="V21" s="66"/>
      <c r="W21" s="66"/>
      <c r="X21" s="66"/>
      <c r="Y21" s="66"/>
      <c r="Z21" s="66"/>
      <c r="AA21" s="66"/>
    </row>
    <row r="22" ht="15.75" customHeight="1">
      <c r="A22" s="67" t="b">
        <v>0</v>
      </c>
      <c r="B22" s="66"/>
      <c r="C22" s="66"/>
      <c r="D22" s="66"/>
      <c r="E22" s="66"/>
      <c r="F22" s="68" t="str">
        <f t="array" ref="F22">IF(INDEX('Binder Data'!$A$1252:$A$1501,ROW()-1)="","",IF(INDEX('Binder Data'!$D$1252:$D$1501,ROW()-1)="Needed",INDEX('Binder Data'!$B$1252:$B$1501,ROW()-1),INDEX('Binder Data'!$D$1252:$D$1501,ROW()-1)))</f>
        <v/>
      </c>
      <c r="G22" s="66"/>
      <c r="H22" s="66"/>
      <c r="I22" s="66"/>
      <c r="J22" s="69"/>
      <c r="K22" s="69"/>
      <c r="L22" s="69"/>
      <c r="M22" s="69"/>
      <c r="N22" s="66"/>
      <c r="O22" s="66"/>
      <c r="P22" s="66"/>
      <c r="Q22" s="66"/>
      <c r="R22" s="66"/>
      <c r="S22" s="66"/>
      <c r="T22" s="66"/>
      <c r="U22" s="66"/>
      <c r="V22" s="66"/>
      <c r="W22" s="66"/>
      <c r="X22" s="66"/>
      <c r="Y22" s="66"/>
      <c r="Z22" s="66"/>
      <c r="AA22" s="66"/>
    </row>
    <row r="23" ht="15.75" customHeight="1">
      <c r="A23" s="67" t="b">
        <v>0</v>
      </c>
      <c r="B23" s="66"/>
      <c r="C23" s="66"/>
      <c r="D23" s="66"/>
      <c r="E23" s="66"/>
      <c r="F23" s="68" t="str">
        <f t="array" ref="F23">IF(INDEX('Binder Data'!$A$1252:$A$1501,ROW()-1)="","",IF(INDEX('Binder Data'!$D$1252:$D$1501,ROW()-1)="Needed",INDEX('Binder Data'!$B$1252:$B$1501,ROW()-1),INDEX('Binder Data'!$D$1252:$D$1501,ROW()-1)))</f>
        <v/>
      </c>
      <c r="G23" s="66"/>
      <c r="H23" s="66"/>
      <c r="I23" s="66"/>
      <c r="J23" s="69"/>
      <c r="K23" s="69"/>
      <c r="L23" s="69"/>
      <c r="M23" s="69"/>
      <c r="N23" s="66"/>
      <c r="O23" s="66"/>
      <c r="P23" s="66"/>
      <c r="Q23" s="66"/>
      <c r="R23" s="66"/>
      <c r="S23" s="66"/>
      <c r="T23" s="66"/>
      <c r="U23" s="66"/>
      <c r="V23" s="66"/>
      <c r="W23" s="66"/>
      <c r="X23" s="66"/>
      <c r="Y23" s="66"/>
      <c r="Z23" s="66"/>
      <c r="AA23" s="66"/>
    </row>
    <row r="24" ht="15.75" customHeight="1">
      <c r="A24" s="67" t="b">
        <v>0</v>
      </c>
      <c r="B24" s="66"/>
      <c r="C24" s="66"/>
      <c r="D24" s="66"/>
      <c r="E24" s="66"/>
      <c r="F24" s="68" t="str">
        <f t="array" ref="F24">IF(INDEX('Binder Data'!$A$1252:$A$1501,ROW()-1)="","",IF(INDEX('Binder Data'!$D$1252:$D$1501,ROW()-1)="Needed",INDEX('Binder Data'!$B$1252:$B$1501,ROW()-1),INDEX('Binder Data'!$D$1252:$D$1501,ROW()-1)))</f>
        <v/>
      </c>
      <c r="G24" s="66"/>
      <c r="H24" s="66"/>
      <c r="I24" s="66"/>
      <c r="J24" s="69"/>
      <c r="K24" s="69"/>
      <c r="L24" s="69"/>
      <c r="M24" s="69"/>
      <c r="N24" s="66"/>
      <c r="O24" s="66"/>
      <c r="P24" s="66"/>
      <c r="Q24" s="66"/>
      <c r="R24" s="66"/>
      <c r="S24" s="66"/>
      <c r="T24" s="66"/>
      <c r="U24" s="66"/>
      <c r="V24" s="66"/>
      <c r="W24" s="66"/>
      <c r="X24" s="66"/>
      <c r="Y24" s="66"/>
      <c r="Z24" s="66"/>
      <c r="AA24" s="66"/>
    </row>
    <row r="25" ht="15.75" customHeight="1">
      <c r="A25" s="67" t="b">
        <v>0</v>
      </c>
      <c r="B25" s="66"/>
      <c r="C25" s="66"/>
      <c r="D25" s="66"/>
      <c r="E25" s="66"/>
      <c r="F25" s="68" t="str">
        <f t="array" ref="F25">IF(INDEX('Binder Data'!$A$1252:$A$1501,ROW()-1)="","",IF(INDEX('Binder Data'!$D$1252:$D$1501,ROW()-1)="Needed",INDEX('Binder Data'!$B$1252:$B$1501,ROW()-1),INDEX('Binder Data'!$D$1252:$D$1501,ROW()-1)))</f>
        <v/>
      </c>
      <c r="G25" s="66"/>
      <c r="H25" s="66"/>
      <c r="I25" s="66"/>
      <c r="J25" s="69"/>
      <c r="K25" s="69"/>
      <c r="L25" s="69"/>
      <c r="M25" s="69"/>
      <c r="N25" s="66"/>
      <c r="O25" s="66"/>
      <c r="P25" s="66"/>
      <c r="Q25" s="66"/>
      <c r="R25" s="66"/>
      <c r="S25" s="66"/>
      <c r="T25" s="66"/>
      <c r="U25" s="66"/>
      <c r="V25" s="66"/>
      <c r="W25" s="66"/>
      <c r="X25" s="66"/>
      <c r="Y25" s="66"/>
      <c r="Z25" s="66"/>
      <c r="AA25" s="66"/>
    </row>
    <row r="26" ht="15.75" customHeight="1">
      <c r="A26" s="67" t="b">
        <v>0</v>
      </c>
      <c r="B26" s="66"/>
      <c r="C26" s="66"/>
      <c r="D26" s="66"/>
      <c r="E26" s="66"/>
      <c r="F26" s="68" t="str">
        <f t="array" ref="F26">IF(INDEX('Binder Data'!$A$1252:$A$1501,ROW()-1)="","",IF(INDEX('Binder Data'!$D$1252:$D$1501,ROW()-1)="Needed",INDEX('Binder Data'!$B$1252:$B$1501,ROW()-1),INDEX('Binder Data'!$D$1252:$D$1501,ROW()-1)))</f>
        <v/>
      </c>
      <c r="G26" s="66"/>
      <c r="H26" s="66"/>
      <c r="I26" s="66"/>
      <c r="J26" s="69"/>
      <c r="K26" s="69"/>
      <c r="L26" s="69"/>
      <c r="M26" s="69"/>
      <c r="N26" s="66"/>
      <c r="O26" s="66"/>
      <c r="P26" s="66"/>
      <c r="Q26" s="66"/>
      <c r="R26" s="66"/>
      <c r="S26" s="66"/>
      <c r="T26" s="66"/>
      <c r="U26" s="66"/>
      <c r="V26" s="66"/>
      <c r="W26" s="66"/>
      <c r="X26" s="66"/>
      <c r="Y26" s="66"/>
      <c r="Z26" s="66"/>
      <c r="AA26" s="66"/>
    </row>
    <row r="27" ht="15.75" customHeight="1">
      <c r="A27" s="67" t="b">
        <v>0</v>
      </c>
      <c r="B27" s="66"/>
      <c r="C27" s="66"/>
      <c r="D27" s="66"/>
      <c r="E27" s="66"/>
      <c r="F27" s="68" t="str">
        <f t="array" ref="F27">IF(INDEX('Binder Data'!$A$1252:$A$1501,ROW()-1)="","",IF(INDEX('Binder Data'!$D$1252:$D$1501,ROW()-1)="Needed",INDEX('Binder Data'!$B$1252:$B$1501,ROW()-1),INDEX('Binder Data'!$D$1252:$D$1501,ROW()-1)))</f>
        <v/>
      </c>
      <c r="G27" s="66"/>
      <c r="H27" s="66"/>
      <c r="I27" s="66"/>
      <c r="J27" s="69"/>
      <c r="K27" s="69"/>
      <c r="L27" s="69"/>
      <c r="M27" s="69"/>
      <c r="N27" s="66"/>
      <c r="O27" s="66"/>
      <c r="P27" s="66"/>
      <c r="Q27" s="66"/>
      <c r="R27" s="66"/>
      <c r="S27" s="66"/>
      <c r="T27" s="66"/>
      <c r="U27" s="66"/>
      <c r="V27" s="66"/>
      <c r="W27" s="66"/>
      <c r="X27" s="66"/>
      <c r="Y27" s="66"/>
      <c r="Z27" s="66"/>
      <c r="AA27" s="66"/>
    </row>
    <row r="28" ht="15.75" customHeight="1">
      <c r="A28" s="67" t="b">
        <v>0</v>
      </c>
      <c r="B28" s="66"/>
      <c r="C28" s="66"/>
      <c r="D28" s="66"/>
      <c r="E28" s="66"/>
      <c r="F28" s="68" t="str">
        <f t="array" ref="F28">IF(INDEX('Binder Data'!$A$1252:$A$1501,ROW()-1)="","",IF(INDEX('Binder Data'!$D$1252:$D$1501,ROW()-1)="Needed",INDEX('Binder Data'!$B$1252:$B$1501,ROW()-1),INDEX('Binder Data'!$D$1252:$D$1501,ROW()-1)))</f>
        <v/>
      </c>
      <c r="G28" s="66"/>
      <c r="H28" s="66"/>
      <c r="I28" s="66"/>
      <c r="J28" s="69"/>
      <c r="K28" s="69"/>
      <c r="L28" s="69"/>
      <c r="M28" s="69"/>
      <c r="N28" s="66"/>
      <c r="O28" s="66"/>
      <c r="P28" s="66"/>
      <c r="Q28" s="66"/>
      <c r="R28" s="66"/>
      <c r="S28" s="66"/>
      <c r="T28" s="66"/>
      <c r="U28" s="66"/>
      <c r="V28" s="66"/>
      <c r="W28" s="66"/>
      <c r="X28" s="66"/>
      <c r="Y28" s="66"/>
      <c r="Z28" s="66"/>
      <c r="AA28" s="66"/>
    </row>
    <row r="29" ht="15.75" customHeight="1">
      <c r="A29" s="67" t="b">
        <v>0</v>
      </c>
      <c r="B29" s="66"/>
      <c r="C29" s="66"/>
      <c r="D29" s="66"/>
      <c r="E29" s="66"/>
      <c r="F29" s="68" t="str">
        <f t="array" ref="F29">IF(INDEX('Binder Data'!$A$1252:$A$1501,ROW()-1)="","",IF(INDEX('Binder Data'!$D$1252:$D$1501,ROW()-1)="Needed",INDEX('Binder Data'!$B$1252:$B$1501,ROW()-1),INDEX('Binder Data'!$D$1252:$D$1501,ROW()-1)))</f>
        <v/>
      </c>
      <c r="G29" s="66"/>
      <c r="H29" s="66"/>
      <c r="I29" s="66"/>
      <c r="J29" s="69"/>
      <c r="K29" s="69"/>
      <c r="L29" s="69"/>
      <c r="M29" s="69"/>
      <c r="N29" s="66"/>
      <c r="O29" s="66"/>
      <c r="P29" s="66"/>
      <c r="Q29" s="66"/>
      <c r="R29" s="66"/>
      <c r="S29" s="66"/>
      <c r="T29" s="66"/>
      <c r="U29" s="66"/>
      <c r="V29" s="66"/>
      <c r="W29" s="66"/>
      <c r="X29" s="66"/>
      <c r="Y29" s="66"/>
      <c r="Z29" s="66"/>
      <c r="AA29" s="66"/>
    </row>
    <row r="30" ht="15.75" customHeight="1">
      <c r="A30" s="67" t="b">
        <v>0</v>
      </c>
      <c r="B30" s="66"/>
      <c r="C30" s="66"/>
      <c r="D30" s="66"/>
      <c r="E30" s="66"/>
      <c r="F30" s="68" t="str">
        <f t="array" ref="F30">IF(INDEX('Binder Data'!$A$1252:$A$1501,ROW()-1)="","",IF(INDEX('Binder Data'!$D$1252:$D$1501,ROW()-1)="Needed",INDEX('Binder Data'!$B$1252:$B$1501,ROW()-1),INDEX('Binder Data'!$D$1252:$D$1501,ROW()-1)))</f>
        <v/>
      </c>
      <c r="G30" s="66"/>
      <c r="H30" s="66"/>
      <c r="I30" s="66"/>
      <c r="J30" s="69"/>
      <c r="K30" s="69"/>
      <c r="L30" s="69"/>
      <c r="M30" s="69"/>
      <c r="N30" s="66"/>
      <c r="O30" s="66"/>
      <c r="P30" s="66"/>
      <c r="Q30" s="66"/>
      <c r="R30" s="66"/>
      <c r="S30" s="66"/>
      <c r="T30" s="66"/>
      <c r="U30" s="66"/>
      <c r="V30" s="66"/>
      <c r="W30" s="66"/>
      <c r="X30" s="66"/>
      <c r="Y30" s="66"/>
      <c r="Z30" s="66"/>
      <c r="AA30" s="66"/>
    </row>
    <row r="31" ht="15.75" customHeight="1">
      <c r="A31" s="67" t="b">
        <v>0</v>
      </c>
      <c r="B31" s="66"/>
      <c r="C31" s="66"/>
      <c r="D31" s="66"/>
      <c r="E31" s="66"/>
      <c r="F31" s="68" t="str">
        <f t="array" ref="F31">IF(INDEX('Binder Data'!$A$1252:$A$1501,ROW()-1)="","",IF(INDEX('Binder Data'!$D$1252:$D$1501,ROW()-1)="Needed",INDEX('Binder Data'!$B$1252:$B$1501,ROW()-1),INDEX('Binder Data'!$D$1252:$D$1501,ROW()-1)))</f>
        <v/>
      </c>
      <c r="G31" s="66"/>
      <c r="H31" s="66"/>
      <c r="I31" s="66"/>
      <c r="J31" s="69"/>
      <c r="K31" s="69"/>
      <c r="L31" s="69"/>
      <c r="M31" s="69"/>
      <c r="N31" s="66"/>
      <c r="O31" s="66"/>
      <c r="P31" s="66"/>
      <c r="Q31" s="66"/>
      <c r="R31" s="66"/>
      <c r="S31" s="66"/>
      <c r="T31" s="66"/>
      <c r="U31" s="66"/>
      <c r="V31" s="66"/>
      <c r="W31" s="66"/>
      <c r="X31" s="66"/>
      <c r="Y31" s="66"/>
      <c r="Z31" s="66"/>
      <c r="AA31" s="66"/>
    </row>
    <row r="32" ht="15.75" customHeight="1">
      <c r="A32" s="67" t="b">
        <v>0</v>
      </c>
      <c r="B32" s="66"/>
      <c r="C32" s="66"/>
      <c r="D32" s="66"/>
      <c r="E32" s="66"/>
      <c r="F32" s="68" t="str">
        <f t="array" ref="F32">IF(INDEX('Binder Data'!$A$1252:$A$1501,ROW()-1)="","",IF(INDEX('Binder Data'!$D$1252:$D$1501,ROW()-1)="Needed",INDEX('Binder Data'!$B$1252:$B$1501,ROW()-1),INDEX('Binder Data'!$D$1252:$D$1501,ROW()-1)))</f>
        <v/>
      </c>
      <c r="G32" s="66"/>
      <c r="H32" s="66"/>
      <c r="I32" s="66"/>
      <c r="J32" s="69"/>
      <c r="K32" s="69"/>
      <c r="L32" s="69"/>
      <c r="M32" s="69"/>
      <c r="N32" s="66"/>
      <c r="O32" s="66"/>
      <c r="P32" s="66"/>
      <c r="Q32" s="66"/>
      <c r="R32" s="66"/>
      <c r="S32" s="66"/>
      <c r="T32" s="66"/>
      <c r="U32" s="66"/>
      <c r="V32" s="66"/>
      <c r="W32" s="66"/>
      <c r="X32" s="66"/>
      <c r="Y32" s="66"/>
      <c r="Z32" s="66"/>
      <c r="AA32" s="66"/>
    </row>
    <row r="33" ht="15.75" customHeight="1">
      <c r="A33" s="67" t="b">
        <v>0</v>
      </c>
      <c r="B33" s="66"/>
      <c r="C33" s="66"/>
      <c r="D33" s="66"/>
      <c r="E33" s="66"/>
      <c r="F33" s="68" t="str">
        <f t="array" ref="F33">IF(INDEX('Binder Data'!$A$1252:$A$1501,ROW()-1)="","",IF(INDEX('Binder Data'!$D$1252:$D$1501,ROW()-1)="Needed",INDEX('Binder Data'!$B$1252:$B$1501,ROW()-1),INDEX('Binder Data'!$D$1252:$D$1501,ROW()-1)))</f>
        <v/>
      </c>
      <c r="G33" s="66"/>
      <c r="H33" s="66"/>
      <c r="I33" s="66"/>
      <c r="J33" s="69"/>
      <c r="K33" s="69"/>
      <c r="L33" s="69"/>
      <c r="M33" s="69"/>
      <c r="N33" s="66"/>
      <c r="O33" s="66"/>
      <c r="P33" s="66"/>
      <c r="Q33" s="66"/>
      <c r="R33" s="66"/>
      <c r="S33" s="66"/>
      <c r="T33" s="66"/>
      <c r="U33" s="66"/>
      <c r="V33" s="66"/>
      <c r="W33" s="66"/>
      <c r="X33" s="66"/>
      <c r="Y33" s="66"/>
      <c r="Z33" s="66"/>
      <c r="AA33" s="66"/>
    </row>
    <row r="34" ht="15.75" customHeight="1">
      <c r="A34" s="67" t="b">
        <v>0</v>
      </c>
      <c r="B34" s="66"/>
      <c r="C34" s="66"/>
      <c r="D34" s="66"/>
      <c r="E34" s="66"/>
      <c r="F34" s="68" t="str">
        <f t="array" ref="F34">IF(INDEX('Binder Data'!$A$1252:$A$1501,ROW()-1)="","",IF(INDEX('Binder Data'!$D$1252:$D$1501,ROW()-1)="Needed",INDEX('Binder Data'!$B$1252:$B$1501,ROW()-1),INDEX('Binder Data'!$D$1252:$D$1501,ROW()-1)))</f>
        <v/>
      </c>
      <c r="G34" s="66"/>
      <c r="H34" s="66"/>
      <c r="I34" s="66"/>
      <c r="J34" s="69"/>
      <c r="K34" s="69"/>
      <c r="L34" s="69"/>
      <c r="M34" s="69"/>
      <c r="N34" s="66"/>
      <c r="O34" s="66"/>
      <c r="P34" s="66"/>
      <c r="Q34" s="66"/>
      <c r="R34" s="66"/>
      <c r="S34" s="66"/>
      <c r="T34" s="66"/>
      <c r="U34" s="66"/>
      <c r="V34" s="66"/>
      <c r="W34" s="66"/>
      <c r="X34" s="66"/>
      <c r="Y34" s="66"/>
      <c r="Z34" s="66"/>
      <c r="AA34" s="66"/>
    </row>
    <row r="35" ht="15.75" customHeight="1">
      <c r="A35" s="67" t="b">
        <v>0</v>
      </c>
      <c r="B35" s="66"/>
      <c r="C35" s="66"/>
      <c r="D35" s="66"/>
      <c r="E35" s="66"/>
      <c r="F35" s="68" t="str">
        <f t="array" ref="F35">IF(INDEX('Binder Data'!$A$1252:$A$1501,ROW()-1)="","",IF(INDEX('Binder Data'!$D$1252:$D$1501,ROW()-1)="Needed",INDEX('Binder Data'!$B$1252:$B$1501,ROW()-1),INDEX('Binder Data'!$D$1252:$D$1501,ROW()-1)))</f>
        <v/>
      </c>
      <c r="G35" s="66"/>
      <c r="H35" s="66"/>
      <c r="I35" s="66"/>
      <c r="J35" s="69"/>
      <c r="K35" s="69"/>
      <c r="L35" s="69"/>
      <c r="M35" s="69"/>
      <c r="N35" s="66"/>
      <c r="O35" s="66"/>
      <c r="P35" s="66"/>
      <c r="Q35" s="66"/>
      <c r="R35" s="66"/>
      <c r="S35" s="66"/>
      <c r="T35" s="66"/>
      <c r="U35" s="66"/>
      <c r="V35" s="66"/>
      <c r="W35" s="66"/>
      <c r="X35" s="66"/>
      <c r="Y35" s="66"/>
      <c r="Z35" s="66"/>
      <c r="AA35" s="66"/>
    </row>
    <row r="36" ht="15.75" customHeight="1">
      <c r="A36" s="67" t="b">
        <v>0</v>
      </c>
      <c r="B36" s="66"/>
      <c r="C36" s="66"/>
      <c r="D36" s="66"/>
      <c r="E36" s="66"/>
      <c r="F36" s="68" t="str">
        <f t="array" ref="F36">IF(INDEX('Binder Data'!$A$1252:$A$1501,ROW()-1)="","",IF(INDEX('Binder Data'!$D$1252:$D$1501,ROW()-1)="Needed",INDEX('Binder Data'!$B$1252:$B$1501,ROW()-1),INDEX('Binder Data'!$D$1252:$D$1501,ROW()-1)))</f>
        <v/>
      </c>
      <c r="G36" s="66"/>
      <c r="H36" s="66"/>
      <c r="I36" s="66"/>
      <c r="J36" s="69"/>
      <c r="K36" s="69"/>
      <c r="L36" s="69"/>
      <c r="M36" s="69"/>
      <c r="N36" s="66"/>
      <c r="O36" s="66"/>
      <c r="P36" s="66"/>
      <c r="Q36" s="66"/>
      <c r="R36" s="66"/>
      <c r="S36" s="66"/>
      <c r="T36" s="66"/>
      <c r="U36" s="66"/>
      <c r="V36" s="66"/>
      <c r="W36" s="66"/>
      <c r="X36" s="66"/>
      <c r="Y36" s="66"/>
      <c r="Z36" s="66"/>
      <c r="AA36" s="66"/>
    </row>
    <row r="37" ht="15.75" customHeight="1">
      <c r="A37" s="67" t="b">
        <v>0</v>
      </c>
      <c r="B37" s="66"/>
      <c r="C37" s="66"/>
      <c r="D37" s="66"/>
      <c r="E37" s="66"/>
      <c r="F37" s="68" t="str">
        <f t="array" ref="F37">IF(INDEX('Binder Data'!$A$1252:$A$1501,ROW()-1)="","",IF(INDEX('Binder Data'!$D$1252:$D$1501,ROW()-1)="Needed",INDEX('Binder Data'!$B$1252:$B$1501,ROW()-1),INDEX('Binder Data'!$D$1252:$D$1501,ROW()-1)))</f>
        <v/>
      </c>
      <c r="G37" s="66"/>
      <c r="H37" s="66"/>
      <c r="I37" s="66"/>
      <c r="J37" s="69"/>
      <c r="K37" s="69"/>
      <c r="L37" s="69"/>
      <c r="M37" s="69"/>
      <c r="N37" s="66"/>
      <c r="O37" s="66"/>
      <c r="P37" s="66"/>
      <c r="Q37" s="66"/>
      <c r="R37" s="66"/>
      <c r="S37" s="66"/>
      <c r="T37" s="66"/>
      <c r="U37" s="66"/>
      <c r="V37" s="66"/>
      <c r="W37" s="66"/>
      <c r="X37" s="66"/>
      <c r="Y37" s="66"/>
      <c r="Z37" s="66"/>
      <c r="AA37" s="66"/>
    </row>
    <row r="38" ht="15.75" customHeight="1">
      <c r="A38" s="67" t="b">
        <v>0</v>
      </c>
      <c r="B38" s="66"/>
      <c r="C38" s="66"/>
      <c r="D38" s="66"/>
      <c r="E38" s="66"/>
      <c r="F38" s="68" t="str">
        <f t="array" ref="F38">IF(INDEX('Binder Data'!$A$1252:$A$1501,ROW()-1)="","",IF(INDEX('Binder Data'!$D$1252:$D$1501,ROW()-1)="Needed",INDEX('Binder Data'!$B$1252:$B$1501,ROW()-1),INDEX('Binder Data'!$D$1252:$D$1501,ROW()-1)))</f>
        <v/>
      </c>
      <c r="G38" s="66"/>
      <c r="H38" s="66"/>
      <c r="I38" s="66"/>
      <c r="J38" s="69"/>
      <c r="K38" s="69"/>
      <c r="L38" s="69"/>
      <c r="M38" s="69"/>
      <c r="N38" s="66"/>
      <c r="O38" s="66"/>
      <c r="P38" s="66"/>
      <c r="Q38" s="66"/>
      <c r="R38" s="66"/>
      <c r="S38" s="66"/>
      <c r="T38" s="66"/>
      <c r="U38" s="66"/>
      <c r="V38" s="66"/>
      <c r="W38" s="66"/>
      <c r="X38" s="66"/>
      <c r="Y38" s="66"/>
      <c r="Z38" s="66"/>
      <c r="AA38" s="66"/>
    </row>
    <row r="39" ht="15.75" customHeight="1">
      <c r="A39" s="67" t="b">
        <v>0</v>
      </c>
      <c r="B39" s="66"/>
      <c r="C39" s="66"/>
      <c r="D39" s="66"/>
      <c r="E39" s="66"/>
      <c r="F39" s="68" t="str">
        <f t="array" ref="F39">IF(INDEX('Binder Data'!$A$1252:$A$1501,ROW()-1)="","",IF(INDEX('Binder Data'!$D$1252:$D$1501,ROW()-1)="Needed",INDEX('Binder Data'!$B$1252:$B$1501,ROW()-1),INDEX('Binder Data'!$D$1252:$D$1501,ROW()-1)))</f>
        <v/>
      </c>
      <c r="G39" s="66"/>
      <c r="H39" s="66"/>
      <c r="I39" s="66"/>
      <c r="J39" s="69"/>
      <c r="K39" s="69"/>
      <c r="L39" s="69"/>
      <c r="M39" s="69"/>
      <c r="N39" s="66"/>
      <c r="O39" s="66"/>
      <c r="P39" s="66"/>
      <c r="Q39" s="66"/>
      <c r="R39" s="66"/>
      <c r="S39" s="66"/>
      <c r="T39" s="66"/>
      <c r="U39" s="66"/>
      <c r="V39" s="66"/>
      <c r="W39" s="66"/>
      <c r="X39" s="66"/>
      <c r="Y39" s="66"/>
      <c r="Z39" s="66"/>
      <c r="AA39" s="66"/>
    </row>
    <row r="40" ht="15.75" customHeight="1">
      <c r="A40" s="67" t="b">
        <v>0</v>
      </c>
      <c r="B40" s="66"/>
      <c r="C40" s="66"/>
      <c r="D40" s="66"/>
      <c r="E40" s="66"/>
      <c r="F40" s="68" t="str">
        <f t="array" ref="F40">IF(INDEX('Binder Data'!$A$1252:$A$1501,ROW()-1)="","",IF(INDEX('Binder Data'!$D$1252:$D$1501,ROW()-1)="Needed",INDEX('Binder Data'!$B$1252:$B$1501,ROW()-1),INDEX('Binder Data'!$D$1252:$D$1501,ROW()-1)))</f>
        <v/>
      </c>
      <c r="G40" s="66"/>
      <c r="H40" s="66"/>
      <c r="I40" s="66"/>
      <c r="J40" s="69"/>
      <c r="K40" s="69"/>
      <c r="L40" s="69"/>
      <c r="M40" s="69"/>
      <c r="N40" s="66"/>
      <c r="O40" s="66"/>
      <c r="P40" s="66"/>
      <c r="Q40" s="66"/>
      <c r="R40" s="66"/>
      <c r="S40" s="66"/>
      <c r="T40" s="66"/>
      <c r="U40" s="66"/>
      <c r="V40" s="66"/>
      <c r="W40" s="66"/>
      <c r="X40" s="66"/>
      <c r="Y40" s="66"/>
      <c r="Z40" s="66"/>
      <c r="AA40" s="66"/>
    </row>
    <row r="41" ht="15.75" customHeight="1">
      <c r="A41" s="67" t="b">
        <v>0</v>
      </c>
      <c r="B41" s="66"/>
      <c r="C41" s="66"/>
      <c r="D41" s="66"/>
      <c r="E41" s="66"/>
      <c r="F41" s="68" t="str">
        <f t="array" ref="F41">IF(INDEX('Binder Data'!$A$1252:$A$1501,ROW()-1)="","",IF(INDEX('Binder Data'!$D$1252:$D$1501,ROW()-1)="Needed",INDEX('Binder Data'!$B$1252:$B$1501,ROW()-1),INDEX('Binder Data'!$D$1252:$D$1501,ROW()-1)))</f>
        <v/>
      </c>
      <c r="G41" s="66"/>
      <c r="H41" s="66"/>
      <c r="I41" s="66"/>
      <c r="J41" s="69"/>
      <c r="K41" s="69"/>
      <c r="L41" s="69"/>
      <c r="M41" s="69"/>
      <c r="N41" s="66"/>
      <c r="O41" s="66"/>
      <c r="P41" s="66"/>
      <c r="Q41" s="66"/>
      <c r="R41" s="66"/>
      <c r="S41" s="66"/>
      <c r="T41" s="66"/>
      <c r="U41" s="66"/>
      <c r="V41" s="66"/>
      <c r="W41" s="66"/>
      <c r="X41" s="66"/>
      <c r="Y41" s="66"/>
      <c r="Z41" s="66"/>
      <c r="AA41" s="66"/>
    </row>
    <row r="42" ht="15.75" customHeight="1">
      <c r="A42" s="67" t="b">
        <v>0</v>
      </c>
      <c r="B42" s="66"/>
      <c r="C42" s="66"/>
      <c r="D42" s="66"/>
      <c r="E42" s="66"/>
      <c r="F42" s="68" t="str">
        <f t="array" ref="F42">IF(INDEX('Binder Data'!$A$1252:$A$1501,ROW()-1)="","",IF(INDEX('Binder Data'!$D$1252:$D$1501,ROW()-1)="Needed",INDEX('Binder Data'!$B$1252:$B$1501,ROW()-1),INDEX('Binder Data'!$D$1252:$D$1501,ROW()-1)))</f>
        <v/>
      </c>
      <c r="G42" s="66"/>
      <c r="H42" s="66"/>
      <c r="I42" s="66"/>
      <c r="J42" s="69"/>
      <c r="K42" s="69"/>
      <c r="L42" s="69"/>
      <c r="M42" s="69"/>
      <c r="N42" s="66"/>
      <c r="O42" s="66"/>
      <c r="P42" s="66"/>
      <c r="Q42" s="66"/>
      <c r="R42" s="66"/>
      <c r="S42" s="66"/>
      <c r="T42" s="66"/>
      <c r="U42" s="66"/>
      <c r="V42" s="66"/>
      <c r="W42" s="66"/>
      <c r="X42" s="66"/>
      <c r="Y42" s="66"/>
      <c r="Z42" s="66"/>
      <c r="AA42" s="66"/>
    </row>
    <row r="43" ht="15.75" customHeight="1">
      <c r="A43" s="67" t="b">
        <v>0</v>
      </c>
      <c r="B43" s="66"/>
      <c r="C43" s="66"/>
      <c r="D43" s="66"/>
      <c r="E43" s="66"/>
      <c r="F43" s="68" t="str">
        <f t="array" ref="F43">IF(INDEX('Binder Data'!$A$1252:$A$1501,ROW()-1)="","",IF(INDEX('Binder Data'!$D$1252:$D$1501,ROW()-1)="Needed",INDEX('Binder Data'!$B$1252:$B$1501,ROW()-1),INDEX('Binder Data'!$D$1252:$D$1501,ROW()-1)))</f>
        <v/>
      </c>
      <c r="G43" s="66"/>
      <c r="H43" s="66"/>
      <c r="I43" s="66"/>
      <c r="J43" s="69"/>
      <c r="K43" s="69"/>
      <c r="L43" s="69"/>
      <c r="M43" s="69"/>
      <c r="N43" s="66"/>
      <c r="O43" s="66"/>
      <c r="P43" s="66"/>
      <c r="Q43" s="66"/>
      <c r="R43" s="66"/>
      <c r="S43" s="66"/>
      <c r="T43" s="66"/>
      <c r="U43" s="66"/>
      <c r="V43" s="66"/>
      <c r="W43" s="66"/>
      <c r="X43" s="66"/>
      <c r="Y43" s="66"/>
      <c r="Z43" s="66"/>
      <c r="AA43" s="66"/>
    </row>
    <row r="44" ht="15.75" customHeight="1">
      <c r="A44" s="67" t="b">
        <v>0</v>
      </c>
      <c r="B44" s="66"/>
      <c r="C44" s="66"/>
      <c r="D44" s="66"/>
      <c r="E44" s="66"/>
      <c r="F44" s="68" t="str">
        <f t="array" ref="F44">IF(INDEX('Binder Data'!$A$1252:$A$1501,ROW()-1)="","",IF(INDEX('Binder Data'!$D$1252:$D$1501,ROW()-1)="Needed",INDEX('Binder Data'!$B$1252:$B$1501,ROW()-1),INDEX('Binder Data'!$D$1252:$D$1501,ROW()-1)))</f>
        <v/>
      </c>
      <c r="G44" s="66"/>
      <c r="H44" s="66"/>
      <c r="I44" s="66"/>
      <c r="J44" s="69"/>
      <c r="K44" s="69"/>
      <c r="L44" s="69"/>
      <c r="M44" s="69"/>
      <c r="N44" s="66"/>
      <c r="O44" s="66"/>
      <c r="P44" s="66"/>
      <c r="Q44" s="66"/>
      <c r="R44" s="66"/>
      <c r="S44" s="66"/>
      <c r="T44" s="66"/>
      <c r="U44" s="66"/>
      <c r="V44" s="66"/>
      <c r="W44" s="66"/>
      <c r="X44" s="66"/>
      <c r="Y44" s="66"/>
      <c r="Z44" s="66"/>
      <c r="AA44" s="66"/>
    </row>
    <row r="45" ht="15.75" customHeight="1">
      <c r="A45" s="67" t="b">
        <v>0</v>
      </c>
      <c r="B45" s="66"/>
      <c r="C45" s="66"/>
      <c r="D45" s="66"/>
      <c r="E45" s="66"/>
      <c r="F45" s="68" t="str">
        <f t="array" ref="F45">IF(INDEX('Binder Data'!$A$1252:$A$1501,ROW()-1)="","",IF(INDEX('Binder Data'!$D$1252:$D$1501,ROW()-1)="Needed",INDEX('Binder Data'!$B$1252:$B$1501,ROW()-1),INDEX('Binder Data'!$D$1252:$D$1501,ROW()-1)))</f>
        <v/>
      </c>
      <c r="G45" s="66"/>
      <c r="H45" s="66"/>
      <c r="I45" s="66"/>
      <c r="J45" s="69"/>
      <c r="K45" s="69"/>
      <c r="L45" s="69"/>
      <c r="M45" s="69"/>
      <c r="N45" s="66"/>
      <c r="O45" s="66"/>
      <c r="P45" s="66"/>
      <c r="Q45" s="66"/>
      <c r="R45" s="66"/>
      <c r="S45" s="66"/>
      <c r="T45" s="66"/>
      <c r="U45" s="66"/>
      <c r="V45" s="66"/>
      <c r="W45" s="66"/>
      <c r="X45" s="66"/>
      <c r="Y45" s="66"/>
      <c r="Z45" s="66"/>
      <c r="AA45" s="66"/>
    </row>
    <row r="46" ht="15.75" customHeight="1">
      <c r="A46" s="67" t="b">
        <v>0</v>
      </c>
      <c r="B46" s="66"/>
      <c r="C46" s="66"/>
      <c r="D46" s="66"/>
      <c r="E46" s="66"/>
      <c r="F46" s="68" t="str">
        <f t="array" ref="F46">IF(INDEX('Binder Data'!$A$1252:$A$1501,ROW()-1)="","",IF(INDEX('Binder Data'!$D$1252:$D$1501,ROW()-1)="Needed",INDEX('Binder Data'!$B$1252:$B$1501,ROW()-1),INDEX('Binder Data'!$D$1252:$D$1501,ROW()-1)))</f>
        <v/>
      </c>
      <c r="G46" s="66"/>
      <c r="H46" s="66"/>
      <c r="I46" s="66"/>
      <c r="J46" s="69"/>
      <c r="K46" s="69"/>
      <c r="L46" s="69"/>
      <c r="M46" s="69"/>
      <c r="N46" s="66"/>
      <c r="O46" s="66"/>
      <c r="P46" s="66"/>
      <c r="Q46" s="66"/>
      <c r="R46" s="66"/>
      <c r="S46" s="66"/>
      <c r="T46" s="66"/>
      <c r="U46" s="66"/>
      <c r="V46" s="66"/>
      <c r="W46" s="66"/>
      <c r="X46" s="66"/>
      <c r="Y46" s="66"/>
      <c r="Z46" s="66"/>
      <c r="AA46" s="66"/>
    </row>
    <row r="47" ht="15.75" customHeight="1">
      <c r="A47" s="67" t="b">
        <v>0</v>
      </c>
      <c r="B47" s="66"/>
      <c r="C47" s="66"/>
      <c r="D47" s="66"/>
      <c r="E47" s="66"/>
      <c r="F47" s="68" t="str">
        <f t="array" ref="F47">IF(INDEX('Binder Data'!$A$1252:$A$1501,ROW()-1)="","",IF(INDEX('Binder Data'!$D$1252:$D$1501,ROW()-1)="Needed",INDEX('Binder Data'!$B$1252:$B$1501,ROW()-1),INDEX('Binder Data'!$D$1252:$D$1501,ROW()-1)))</f>
        <v/>
      </c>
      <c r="G47" s="66"/>
      <c r="H47" s="66"/>
      <c r="I47" s="66"/>
      <c r="J47" s="69"/>
      <c r="K47" s="69"/>
      <c r="L47" s="69"/>
      <c r="M47" s="69"/>
      <c r="N47" s="66"/>
      <c r="O47" s="66"/>
      <c r="P47" s="66"/>
      <c r="Q47" s="66"/>
      <c r="R47" s="66"/>
      <c r="S47" s="66"/>
      <c r="T47" s="66"/>
      <c r="U47" s="66"/>
      <c r="V47" s="66"/>
      <c r="W47" s="66"/>
      <c r="X47" s="66"/>
      <c r="Y47" s="66"/>
      <c r="Z47" s="66"/>
      <c r="AA47" s="66"/>
    </row>
    <row r="48" ht="15.75" customHeight="1">
      <c r="A48" s="67" t="b">
        <v>0</v>
      </c>
      <c r="B48" s="66"/>
      <c r="C48" s="66"/>
      <c r="D48" s="66"/>
      <c r="E48" s="66"/>
      <c r="F48" s="68" t="str">
        <f t="array" ref="F48">IF(INDEX('Binder Data'!$A$1252:$A$1501,ROW()-1)="","",IF(INDEX('Binder Data'!$D$1252:$D$1501,ROW()-1)="Needed",INDEX('Binder Data'!$B$1252:$B$1501,ROW()-1),INDEX('Binder Data'!$D$1252:$D$1501,ROW()-1)))</f>
        <v/>
      </c>
      <c r="G48" s="66"/>
      <c r="H48" s="66"/>
      <c r="I48" s="66"/>
      <c r="J48" s="69"/>
      <c r="K48" s="69"/>
      <c r="L48" s="69"/>
      <c r="M48" s="69"/>
      <c r="N48" s="66"/>
      <c r="O48" s="66"/>
      <c r="P48" s="66"/>
      <c r="Q48" s="66"/>
      <c r="R48" s="66"/>
      <c r="S48" s="66"/>
      <c r="T48" s="66"/>
      <c r="U48" s="66"/>
      <c r="V48" s="66"/>
      <c r="W48" s="66"/>
      <c r="X48" s="66"/>
      <c r="Y48" s="66"/>
      <c r="Z48" s="66"/>
      <c r="AA48" s="66"/>
    </row>
    <row r="49" ht="15.75" customHeight="1">
      <c r="A49" s="67" t="b">
        <v>0</v>
      </c>
      <c r="B49" s="66"/>
      <c r="C49" s="66"/>
      <c r="D49" s="66"/>
      <c r="E49" s="66"/>
      <c r="F49" s="68" t="str">
        <f t="array" ref="F49">IF(INDEX('Binder Data'!$A$1252:$A$1501,ROW()-1)="","",IF(INDEX('Binder Data'!$D$1252:$D$1501,ROW()-1)="Needed",INDEX('Binder Data'!$B$1252:$B$1501,ROW()-1),INDEX('Binder Data'!$D$1252:$D$1501,ROW()-1)))</f>
        <v/>
      </c>
      <c r="G49" s="66"/>
      <c r="H49" s="66"/>
      <c r="I49" s="66"/>
      <c r="J49" s="69"/>
      <c r="K49" s="69"/>
      <c r="L49" s="69"/>
      <c r="M49" s="69"/>
      <c r="N49" s="66"/>
      <c r="O49" s="66"/>
      <c r="P49" s="66"/>
      <c r="Q49" s="66"/>
      <c r="R49" s="66"/>
      <c r="S49" s="66"/>
      <c r="T49" s="66"/>
      <c r="U49" s="66"/>
      <c r="V49" s="66"/>
      <c r="W49" s="66"/>
      <c r="X49" s="66"/>
      <c r="Y49" s="66"/>
      <c r="Z49" s="66"/>
      <c r="AA49" s="66"/>
    </row>
    <row r="50" ht="15.75" customHeight="1">
      <c r="A50" s="67" t="b">
        <v>0</v>
      </c>
      <c r="B50" s="66"/>
      <c r="C50" s="66"/>
      <c r="D50" s="66"/>
      <c r="E50" s="66"/>
      <c r="F50" s="68" t="str">
        <f t="array" ref="F50">IF(INDEX('Binder Data'!$A$1252:$A$1501,ROW()-1)="","",IF(INDEX('Binder Data'!$D$1252:$D$1501,ROW()-1)="Needed",INDEX('Binder Data'!$B$1252:$B$1501,ROW()-1),INDEX('Binder Data'!$D$1252:$D$1501,ROW()-1)))</f>
        <v/>
      </c>
      <c r="G50" s="66"/>
      <c r="H50" s="66"/>
      <c r="I50" s="66"/>
      <c r="J50" s="69"/>
      <c r="K50" s="69"/>
      <c r="L50" s="69"/>
      <c r="M50" s="69"/>
      <c r="N50" s="66"/>
      <c r="O50" s="66"/>
      <c r="P50" s="66"/>
      <c r="Q50" s="66"/>
      <c r="R50" s="66"/>
      <c r="S50" s="66"/>
      <c r="T50" s="66"/>
      <c r="U50" s="66"/>
      <c r="V50" s="66"/>
      <c r="W50" s="66"/>
      <c r="X50" s="66"/>
      <c r="Y50" s="66"/>
      <c r="Z50" s="66"/>
      <c r="AA50" s="66"/>
    </row>
    <row r="51" ht="15.75" customHeight="1">
      <c r="A51" s="67" t="b">
        <v>0</v>
      </c>
      <c r="B51" s="66"/>
      <c r="C51" s="66"/>
      <c r="D51" s="66"/>
      <c r="E51" s="66"/>
      <c r="F51" s="68" t="str">
        <f t="array" ref="F51">IF(INDEX('Binder Data'!$A$1252:$A$1501,ROW()-1)="","",IF(INDEX('Binder Data'!$D$1252:$D$1501,ROW()-1)="Needed",INDEX('Binder Data'!$B$1252:$B$1501,ROW()-1),INDEX('Binder Data'!$D$1252:$D$1501,ROW()-1)))</f>
        <v/>
      </c>
      <c r="G51" s="66"/>
      <c r="H51" s="66"/>
      <c r="I51" s="66"/>
      <c r="J51" s="69"/>
      <c r="K51" s="69"/>
      <c r="L51" s="69"/>
      <c r="M51" s="69"/>
      <c r="N51" s="66"/>
      <c r="O51" s="66"/>
      <c r="P51" s="66"/>
      <c r="Q51" s="66"/>
      <c r="R51" s="66"/>
      <c r="S51" s="66"/>
      <c r="T51" s="66"/>
      <c r="U51" s="66"/>
      <c r="V51" s="66"/>
      <c r="W51" s="66"/>
      <c r="X51" s="66"/>
      <c r="Y51" s="66"/>
      <c r="Z51" s="66"/>
      <c r="AA51" s="66"/>
    </row>
    <row r="52" ht="15.75" customHeight="1">
      <c r="A52" s="67" t="b">
        <v>0</v>
      </c>
      <c r="B52" s="66"/>
      <c r="C52" s="66"/>
      <c r="D52" s="66"/>
      <c r="E52" s="66"/>
      <c r="F52" s="68" t="str">
        <f t="array" ref="F52">IF(INDEX('Binder Data'!$A$1252:$A$1501,ROW()-1)="","",IF(INDEX('Binder Data'!$D$1252:$D$1501,ROW()-1)="Needed",INDEX('Binder Data'!$B$1252:$B$1501,ROW()-1),INDEX('Binder Data'!$D$1252:$D$1501,ROW()-1)))</f>
        <v/>
      </c>
      <c r="G52" s="66"/>
      <c r="H52" s="66"/>
      <c r="I52" s="66"/>
      <c r="J52" s="69"/>
      <c r="K52" s="69"/>
      <c r="L52" s="69"/>
      <c r="M52" s="69"/>
      <c r="N52" s="66"/>
      <c r="O52" s="66"/>
      <c r="P52" s="66"/>
      <c r="Q52" s="66"/>
      <c r="R52" s="66"/>
      <c r="S52" s="66"/>
      <c r="T52" s="66"/>
      <c r="U52" s="66"/>
      <c r="V52" s="66"/>
      <c r="W52" s="66"/>
      <c r="X52" s="66"/>
      <c r="Y52" s="66"/>
      <c r="Z52" s="66"/>
      <c r="AA52" s="66"/>
    </row>
    <row r="53" ht="15.75" customHeight="1">
      <c r="A53" s="67" t="b">
        <v>0</v>
      </c>
      <c r="B53" s="66"/>
      <c r="C53" s="66"/>
      <c r="D53" s="66"/>
      <c r="E53" s="66"/>
      <c r="F53" s="68" t="str">
        <f t="array" ref="F53">IF(INDEX('Binder Data'!$A$1252:$A$1501,ROW()-1)="","",IF(INDEX('Binder Data'!$D$1252:$D$1501,ROW()-1)="Needed",INDEX('Binder Data'!$B$1252:$B$1501,ROW()-1),INDEX('Binder Data'!$D$1252:$D$1501,ROW()-1)))</f>
        <v/>
      </c>
      <c r="G53" s="66"/>
      <c r="H53" s="66"/>
      <c r="I53" s="66"/>
      <c r="J53" s="69"/>
      <c r="K53" s="69"/>
      <c r="L53" s="69"/>
      <c r="M53" s="69"/>
      <c r="N53" s="66"/>
      <c r="O53" s="66"/>
      <c r="P53" s="66"/>
      <c r="Q53" s="66"/>
      <c r="R53" s="66"/>
      <c r="S53" s="66"/>
      <c r="T53" s="66"/>
      <c r="U53" s="66"/>
      <c r="V53" s="66"/>
      <c r="W53" s="66"/>
      <c r="X53" s="66"/>
      <c r="Y53" s="66"/>
      <c r="Z53" s="66"/>
      <c r="AA53" s="66"/>
    </row>
    <row r="54" ht="15.75" customHeight="1">
      <c r="A54" s="67" t="b">
        <v>0</v>
      </c>
      <c r="B54" s="66"/>
      <c r="C54" s="66"/>
      <c r="D54" s="66"/>
      <c r="E54" s="66"/>
      <c r="F54" s="68" t="str">
        <f t="array" ref="F54">IF(INDEX('Binder Data'!$A$1252:$A$1501,ROW()-1)="","",IF(INDEX('Binder Data'!$D$1252:$D$1501,ROW()-1)="Needed",INDEX('Binder Data'!$B$1252:$B$1501,ROW()-1),INDEX('Binder Data'!$D$1252:$D$1501,ROW()-1)))</f>
        <v/>
      </c>
      <c r="G54" s="66"/>
      <c r="H54" s="66"/>
      <c r="I54" s="66"/>
      <c r="J54" s="69"/>
      <c r="K54" s="69"/>
      <c r="L54" s="69"/>
      <c r="M54" s="69"/>
      <c r="N54" s="66"/>
      <c r="O54" s="66"/>
      <c r="P54" s="66"/>
      <c r="Q54" s="66"/>
      <c r="R54" s="66"/>
      <c r="S54" s="66"/>
      <c r="T54" s="66"/>
      <c r="U54" s="66"/>
      <c r="V54" s="66"/>
      <c r="W54" s="66"/>
      <c r="X54" s="66"/>
      <c r="Y54" s="66"/>
      <c r="Z54" s="66"/>
      <c r="AA54" s="66"/>
    </row>
    <row r="55" ht="15.75" customHeight="1">
      <c r="A55" s="67" t="b">
        <v>0</v>
      </c>
      <c r="B55" s="66"/>
      <c r="C55" s="66"/>
      <c r="D55" s="66"/>
      <c r="E55" s="66"/>
      <c r="F55" s="68" t="str">
        <f t="array" ref="F55">IF(INDEX('Binder Data'!$A$1252:$A$1501,ROW()-1)="","",IF(INDEX('Binder Data'!$D$1252:$D$1501,ROW()-1)="Needed",INDEX('Binder Data'!$B$1252:$B$1501,ROW()-1),INDEX('Binder Data'!$D$1252:$D$1501,ROW()-1)))</f>
        <v/>
      </c>
      <c r="G55" s="66"/>
      <c r="H55" s="66"/>
      <c r="I55" s="66"/>
      <c r="J55" s="69"/>
      <c r="K55" s="69"/>
      <c r="L55" s="69"/>
      <c r="M55" s="69"/>
      <c r="N55" s="66"/>
      <c r="O55" s="66"/>
      <c r="P55" s="66"/>
      <c r="Q55" s="66"/>
      <c r="R55" s="66"/>
      <c r="S55" s="66"/>
      <c r="T55" s="66"/>
      <c r="U55" s="66"/>
      <c r="V55" s="66"/>
      <c r="W55" s="66"/>
      <c r="X55" s="66"/>
      <c r="Y55" s="66"/>
      <c r="Z55" s="66"/>
      <c r="AA55" s="66"/>
    </row>
    <row r="56" ht="15.75" customHeight="1">
      <c r="A56" s="67" t="b">
        <v>0</v>
      </c>
      <c r="B56" s="66"/>
      <c r="C56" s="66"/>
      <c r="D56" s="66"/>
      <c r="E56" s="66"/>
      <c r="F56" s="68" t="str">
        <f t="array" ref="F56">IF(INDEX('Binder Data'!$A$1252:$A$1501,ROW()-1)="","",IF(INDEX('Binder Data'!$D$1252:$D$1501,ROW()-1)="Needed",INDEX('Binder Data'!$B$1252:$B$1501,ROW()-1),INDEX('Binder Data'!$D$1252:$D$1501,ROW()-1)))</f>
        <v/>
      </c>
      <c r="G56" s="66"/>
      <c r="H56" s="66"/>
      <c r="I56" s="66"/>
      <c r="J56" s="69"/>
      <c r="K56" s="69"/>
      <c r="L56" s="69"/>
      <c r="M56" s="69"/>
      <c r="N56" s="66"/>
      <c r="O56" s="66"/>
      <c r="P56" s="66"/>
      <c r="Q56" s="66"/>
      <c r="R56" s="66"/>
      <c r="S56" s="66"/>
      <c r="T56" s="66"/>
      <c r="U56" s="66"/>
      <c r="V56" s="66"/>
      <c r="W56" s="66"/>
      <c r="X56" s="66"/>
      <c r="Y56" s="66"/>
      <c r="Z56" s="66"/>
      <c r="AA56" s="66"/>
    </row>
    <row r="57" ht="15.75" customHeight="1">
      <c r="A57" s="67" t="b">
        <v>0</v>
      </c>
      <c r="B57" s="66"/>
      <c r="C57" s="66"/>
      <c r="D57" s="66"/>
      <c r="E57" s="66"/>
      <c r="F57" s="68" t="str">
        <f t="array" ref="F57">IF(INDEX('Binder Data'!$A$1252:$A$1501,ROW()-1)="","",IF(INDEX('Binder Data'!$D$1252:$D$1501,ROW()-1)="Needed",INDEX('Binder Data'!$B$1252:$B$1501,ROW()-1),INDEX('Binder Data'!$D$1252:$D$1501,ROW()-1)))</f>
        <v/>
      </c>
      <c r="G57" s="66"/>
      <c r="H57" s="66"/>
      <c r="I57" s="66"/>
      <c r="J57" s="69"/>
      <c r="K57" s="69"/>
      <c r="L57" s="69"/>
      <c r="M57" s="69"/>
      <c r="N57" s="66"/>
      <c r="O57" s="66"/>
      <c r="P57" s="66"/>
      <c r="Q57" s="66"/>
      <c r="R57" s="66"/>
      <c r="S57" s="66"/>
      <c r="T57" s="66"/>
      <c r="U57" s="66"/>
      <c r="V57" s="66"/>
      <c r="W57" s="66"/>
      <c r="X57" s="66"/>
      <c r="Y57" s="66"/>
      <c r="Z57" s="66"/>
      <c r="AA57" s="66"/>
    </row>
    <row r="58" ht="15.75" customHeight="1">
      <c r="A58" s="67" t="b">
        <v>0</v>
      </c>
      <c r="B58" s="66"/>
      <c r="C58" s="66"/>
      <c r="D58" s="66"/>
      <c r="E58" s="66"/>
      <c r="F58" s="68" t="str">
        <f t="array" ref="F58">IF(INDEX('Binder Data'!$A$1252:$A$1501,ROW()-1)="","",IF(INDEX('Binder Data'!$D$1252:$D$1501,ROW()-1)="Needed",INDEX('Binder Data'!$B$1252:$B$1501,ROW()-1),INDEX('Binder Data'!$D$1252:$D$1501,ROW()-1)))</f>
        <v/>
      </c>
      <c r="G58" s="66"/>
      <c r="H58" s="66"/>
      <c r="I58" s="66"/>
      <c r="J58" s="69"/>
      <c r="K58" s="69"/>
      <c r="L58" s="69"/>
      <c r="M58" s="69"/>
      <c r="N58" s="66"/>
      <c r="O58" s="66"/>
      <c r="P58" s="66"/>
      <c r="Q58" s="66"/>
      <c r="R58" s="66"/>
      <c r="S58" s="66"/>
      <c r="T58" s="66"/>
      <c r="U58" s="66"/>
      <c r="V58" s="66"/>
      <c r="W58" s="66"/>
      <c r="X58" s="66"/>
      <c r="Y58" s="66"/>
      <c r="Z58" s="66"/>
      <c r="AA58" s="66"/>
    </row>
    <row r="59" ht="15.75" customHeight="1">
      <c r="A59" s="67" t="b">
        <v>0</v>
      </c>
      <c r="B59" s="66"/>
      <c r="C59" s="66"/>
      <c r="D59" s="66"/>
      <c r="E59" s="66"/>
      <c r="F59" s="68" t="str">
        <f t="array" ref="F59">IF(INDEX('Binder Data'!$A$1252:$A$1501,ROW()-1)="","",IF(INDEX('Binder Data'!$D$1252:$D$1501,ROW()-1)="Needed",INDEX('Binder Data'!$B$1252:$B$1501,ROW()-1),INDEX('Binder Data'!$D$1252:$D$1501,ROW()-1)))</f>
        <v/>
      </c>
      <c r="G59" s="66"/>
      <c r="H59" s="66"/>
      <c r="I59" s="66"/>
      <c r="J59" s="69"/>
      <c r="K59" s="69"/>
      <c r="L59" s="69"/>
      <c r="M59" s="69"/>
      <c r="N59" s="66"/>
      <c r="O59" s="66"/>
      <c r="P59" s="66"/>
      <c r="Q59" s="66"/>
      <c r="R59" s="66"/>
      <c r="S59" s="66"/>
      <c r="T59" s="66"/>
      <c r="U59" s="66"/>
      <c r="V59" s="66"/>
      <c r="W59" s="66"/>
      <c r="X59" s="66"/>
      <c r="Y59" s="66"/>
      <c r="Z59" s="66"/>
      <c r="AA59" s="66"/>
    </row>
    <row r="60" ht="15.75" customHeight="1">
      <c r="A60" s="67" t="b">
        <v>0</v>
      </c>
      <c r="B60" s="66"/>
      <c r="C60" s="66"/>
      <c r="D60" s="66"/>
      <c r="E60" s="66"/>
      <c r="F60" s="68" t="str">
        <f t="array" ref="F60">IF(INDEX('Binder Data'!$A$1252:$A$1501,ROW()-1)="","",IF(INDEX('Binder Data'!$D$1252:$D$1501,ROW()-1)="Needed",INDEX('Binder Data'!$B$1252:$B$1501,ROW()-1),INDEX('Binder Data'!$D$1252:$D$1501,ROW()-1)))</f>
        <v/>
      </c>
      <c r="G60" s="66"/>
      <c r="H60" s="66"/>
      <c r="I60" s="66"/>
      <c r="J60" s="69"/>
      <c r="K60" s="69"/>
      <c r="L60" s="69"/>
      <c r="M60" s="69"/>
      <c r="N60" s="66"/>
      <c r="O60" s="66"/>
      <c r="P60" s="66"/>
      <c r="Q60" s="66"/>
      <c r="R60" s="66"/>
      <c r="S60" s="66"/>
      <c r="T60" s="66"/>
      <c r="U60" s="66"/>
      <c r="V60" s="66"/>
      <c r="W60" s="66"/>
      <c r="X60" s="66"/>
      <c r="Y60" s="66"/>
      <c r="Z60" s="66"/>
      <c r="AA60" s="66"/>
    </row>
    <row r="61" ht="15.75" customHeight="1">
      <c r="A61" s="67" t="b">
        <v>0</v>
      </c>
      <c r="B61" s="66"/>
      <c r="C61" s="66"/>
      <c r="D61" s="66"/>
      <c r="E61" s="66"/>
      <c r="F61" s="68" t="str">
        <f t="array" ref="F61">IF(INDEX('Binder Data'!$A$1252:$A$1501,ROW()-1)="","",IF(INDEX('Binder Data'!$D$1252:$D$1501,ROW()-1)="Needed",INDEX('Binder Data'!$B$1252:$B$1501,ROW()-1),INDEX('Binder Data'!$D$1252:$D$1501,ROW()-1)))</f>
        <v/>
      </c>
      <c r="G61" s="66"/>
      <c r="H61" s="66"/>
      <c r="I61" s="66"/>
      <c r="J61" s="69"/>
      <c r="K61" s="69"/>
      <c r="L61" s="69"/>
      <c r="M61" s="69"/>
      <c r="N61" s="66"/>
      <c r="O61" s="66"/>
      <c r="P61" s="66"/>
      <c r="Q61" s="66"/>
      <c r="R61" s="66"/>
      <c r="S61" s="66"/>
      <c r="T61" s="66"/>
      <c r="U61" s="66"/>
      <c r="V61" s="66"/>
      <c r="W61" s="66"/>
      <c r="X61" s="66"/>
      <c r="Y61" s="66"/>
      <c r="Z61" s="66"/>
      <c r="AA61" s="66"/>
    </row>
    <row r="62" ht="15.75" customHeight="1">
      <c r="A62" s="67" t="b">
        <v>0</v>
      </c>
      <c r="B62" s="66"/>
      <c r="C62" s="66"/>
      <c r="D62" s="66"/>
      <c r="E62" s="66"/>
      <c r="F62" s="68" t="str">
        <f t="array" ref="F62">IF(INDEX('Binder Data'!$A$1252:$A$1501,ROW()-1)="","",IF(INDEX('Binder Data'!$D$1252:$D$1501,ROW()-1)="Needed",INDEX('Binder Data'!$B$1252:$B$1501,ROW()-1),INDEX('Binder Data'!$D$1252:$D$1501,ROW()-1)))</f>
        <v/>
      </c>
      <c r="G62" s="66"/>
      <c r="H62" s="66"/>
      <c r="I62" s="66"/>
      <c r="J62" s="69"/>
      <c r="K62" s="69"/>
      <c r="L62" s="69"/>
      <c r="M62" s="69"/>
      <c r="N62" s="66"/>
      <c r="O62" s="66"/>
      <c r="P62" s="66"/>
      <c r="Q62" s="66"/>
      <c r="R62" s="66"/>
      <c r="S62" s="66"/>
      <c r="T62" s="66"/>
      <c r="U62" s="66"/>
      <c r="V62" s="66"/>
      <c r="W62" s="66"/>
      <c r="X62" s="66"/>
      <c r="Y62" s="66"/>
      <c r="Z62" s="66"/>
      <c r="AA62" s="66"/>
    </row>
    <row r="63" ht="15.75" customHeight="1">
      <c r="A63" s="67" t="b">
        <v>0</v>
      </c>
      <c r="B63" s="66"/>
      <c r="C63" s="66"/>
      <c r="D63" s="66"/>
      <c r="E63" s="66"/>
      <c r="F63" s="68" t="str">
        <f t="array" ref="F63">IF(INDEX('Binder Data'!$A$1252:$A$1501,ROW()-1)="","",IF(INDEX('Binder Data'!$D$1252:$D$1501,ROW()-1)="Needed",INDEX('Binder Data'!$B$1252:$B$1501,ROW()-1),INDEX('Binder Data'!$D$1252:$D$1501,ROW()-1)))</f>
        <v/>
      </c>
      <c r="G63" s="66"/>
      <c r="H63" s="66"/>
      <c r="I63" s="66"/>
      <c r="J63" s="69"/>
      <c r="K63" s="69"/>
      <c r="L63" s="69"/>
      <c r="M63" s="69"/>
      <c r="N63" s="66"/>
      <c r="O63" s="66"/>
      <c r="P63" s="66"/>
      <c r="Q63" s="66"/>
      <c r="R63" s="66"/>
      <c r="S63" s="66"/>
      <c r="T63" s="66"/>
      <c r="U63" s="66"/>
      <c r="V63" s="66"/>
      <c r="W63" s="66"/>
      <c r="X63" s="66"/>
      <c r="Y63" s="66"/>
      <c r="Z63" s="66"/>
      <c r="AA63" s="66"/>
    </row>
    <row r="64" ht="15.75" customHeight="1">
      <c r="A64" s="67" t="b">
        <v>0</v>
      </c>
      <c r="B64" s="66"/>
      <c r="C64" s="66"/>
      <c r="D64" s="66"/>
      <c r="E64" s="66"/>
      <c r="F64" s="68" t="str">
        <f t="array" ref="F64">IF(INDEX('Binder Data'!$A$1252:$A$1501,ROW()-1)="","",IF(INDEX('Binder Data'!$D$1252:$D$1501,ROW()-1)="Needed",INDEX('Binder Data'!$B$1252:$B$1501,ROW()-1),INDEX('Binder Data'!$D$1252:$D$1501,ROW()-1)))</f>
        <v/>
      </c>
      <c r="G64" s="66"/>
      <c r="H64" s="66"/>
      <c r="I64" s="66"/>
      <c r="J64" s="69"/>
      <c r="K64" s="69"/>
      <c r="L64" s="69"/>
      <c r="M64" s="69"/>
      <c r="N64" s="66"/>
      <c r="O64" s="66"/>
      <c r="P64" s="66"/>
      <c r="Q64" s="66"/>
      <c r="R64" s="66"/>
      <c r="S64" s="66"/>
      <c r="T64" s="66"/>
      <c r="U64" s="66"/>
      <c r="V64" s="66"/>
      <c r="W64" s="66"/>
      <c r="X64" s="66"/>
      <c r="Y64" s="66"/>
      <c r="Z64" s="66"/>
      <c r="AA64" s="66"/>
    </row>
    <row r="65" ht="15.75" customHeight="1">
      <c r="A65" s="67" t="b">
        <v>0</v>
      </c>
      <c r="B65" s="66"/>
      <c r="C65" s="66"/>
      <c r="D65" s="66"/>
      <c r="E65" s="66"/>
      <c r="F65" s="68" t="str">
        <f t="array" ref="F65">IF(INDEX('Binder Data'!$A$1252:$A$1501,ROW()-1)="","",IF(INDEX('Binder Data'!$D$1252:$D$1501,ROW()-1)="Needed",INDEX('Binder Data'!$B$1252:$B$1501,ROW()-1),INDEX('Binder Data'!$D$1252:$D$1501,ROW()-1)))</f>
        <v/>
      </c>
      <c r="G65" s="66"/>
      <c r="H65" s="66"/>
      <c r="I65" s="66"/>
      <c r="J65" s="69"/>
      <c r="K65" s="69"/>
      <c r="L65" s="69"/>
      <c r="M65" s="69"/>
      <c r="N65" s="66"/>
      <c r="O65" s="66"/>
      <c r="P65" s="66"/>
      <c r="Q65" s="66"/>
      <c r="R65" s="66"/>
      <c r="S65" s="66"/>
      <c r="T65" s="66"/>
      <c r="U65" s="66"/>
      <c r="V65" s="66"/>
      <c r="W65" s="66"/>
      <c r="X65" s="66"/>
      <c r="Y65" s="66"/>
      <c r="Z65" s="66"/>
      <c r="AA65" s="66"/>
    </row>
    <row r="66" ht="15.75" customHeight="1">
      <c r="A66" s="67" t="b">
        <v>0</v>
      </c>
      <c r="B66" s="66"/>
      <c r="C66" s="66"/>
      <c r="D66" s="66"/>
      <c r="E66" s="66"/>
      <c r="F66" s="68" t="str">
        <f t="array" ref="F66">IF(INDEX('Binder Data'!$A$1252:$A$1501,ROW()-1)="","",IF(INDEX('Binder Data'!$D$1252:$D$1501,ROW()-1)="Needed",INDEX('Binder Data'!$B$1252:$B$1501,ROW()-1),INDEX('Binder Data'!$D$1252:$D$1501,ROW()-1)))</f>
        <v/>
      </c>
      <c r="G66" s="66"/>
      <c r="H66" s="66"/>
      <c r="I66" s="66"/>
      <c r="J66" s="69"/>
      <c r="K66" s="69"/>
      <c r="L66" s="69"/>
      <c r="M66" s="69"/>
      <c r="N66" s="66"/>
      <c r="O66" s="66"/>
      <c r="P66" s="66"/>
      <c r="Q66" s="66"/>
      <c r="R66" s="66"/>
      <c r="S66" s="66"/>
      <c r="T66" s="66"/>
      <c r="U66" s="66"/>
      <c r="V66" s="66"/>
      <c r="W66" s="66"/>
      <c r="X66" s="66"/>
      <c r="Y66" s="66"/>
      <c r="Z66" s="66"/>
      <c r="AA66" s="66"/>
    </row>
    <row r="67" ht="15.75" customHeight="1">
      <c r="A67" s="67" t="b">
        <v>0</v>
      </c>
      <c r="B67" s="66"/>
      <c r="C67" s="66"/>
      <c r="D67" s="66"/>
      <c r="E67" s="66"/>
      <c r="F67" s="68" t="str">
        <f t="array" ref="F67">IF(INDEX('Binder Data'!$A$1252:$A$1501,ROW()-1)="","",IF(INDEX('Binder Data'!$D$1252:$D$1501,ROW()-1)="Needed",INDEX('Binder Data'!$B$1252:$B$1501,ROW()-1),INDEX('Binder Data'!$D$1252:$D$1501,ROW()-1)))</f>
        <v/>
      </c>
      <c r="G67" s="66"/>
      <c r="H67" s="66"/>
      <c r="I67" s="66"/>
      <c r="J67" s="69"/>
      <c r="K67" s="69"/>
      <c r="L67" s="69"/>
      <c r="M67" s="69"/>
      <c r="N67" s="66"/>
      <c r="O67" s="66"/>
      <c r="P67" s="66"/>
      <c r="Q67" s="66"/>
      <c r="R67" s="66"/>
      <c r="S67" s="66"/>
      <c r="T67" s="66"/>
      <c r="U67" s="66"/>
      <c r="V67" s="66"/>
      <c r="W67" s="66"/>
      <c r="X67" s="66"/>
      <c r="Y67" s="66"/>
      <c r="Z67" s="66"/>
      <c r="AA67" s="66"/>
    </row>
    <row r="68" ht="15.75" customHeight="1">
      <c r="A68" s="67" t="b">
        <v>0</v>
      </c>
      <c r="B68" s="66"/>
      <c r="C68" s="66"/>
      <c r="D68" s="66"/>
      <c r="E68" s="66"/>
      <c r="F68" s="68" t="str">
        <f t="array" ref="F68">IF(INDEX('Binder Data'!$A$1252:$A$1501,ROW()-1)="","",IF(INDEX('Binder Data'!$D$1252:$D$1501,ROW()-1)="Needed",INDEX('Binder Data'!$B$1252:$B$1501,ROW()-1),INDEX('Binder Data'!$D$1252:$D$1501,ROW()-1)))</f>
        <v/>
      </c>
      <c r="G68" s="66"/>
      <c r="H68" s="66"/>
      <c r="I68" s="66"/>
      <c r="J68" s="69"/>
      <c r="K68" s="69"/>
      <c r="L68" s="69"/>
      <c r="M68" s="69"/>
      <c r="N68" s="66"/>
      <c r="O68" s="66"/>
      <c r="P68" s="66"/>
      <c r="Q68" s="66"/>
      <c r="R68" s="66"/>
      <c r="S68" s="66"/>
      <c r="T68" s="66"/>
      <c r="U68" s="66"/>
      <c r="V68" s="66"/>
      <c r="W68" s="66"/>
      <c r="X68" s="66"/>
      <c r="Y68" s="66"/>
      <c r="Z68" s="66"/>
      <c r="AA68" s="66"/>
    </row>
    <row r="69" ht="15.75" customHeight="1">
      <c r="A69" s="67" t="b">
        <v>0</v>
      </c>
      <c r="B69" s="66"/>
      <c r="C69" s="66"/>
      <c r="D69" s="66"/>
      <c r="E69" s="66"/>
      <c r="F69" s="68" t="str">
        <f t="array" ref="F69">IF(INDEX('Binder Data'!$A$1252:$A$1501,ROW()-1)="","",IF(INDEX('Binder Data'!$D$1252:$D$1501,ROW()-1)="Needed",INDEX('Binder Data'!$B$1252:$B$1501,ROW()-1),INDEX('Binder Data'!$D$1252:$D$1501,ROW()-1)))</f>
        <v/>
      </c>
      <c r="G69" s="66"/>
      <c r="H69" s="66"/>
      <c r="I69" s="66"/>
      <c r="J69" s="69"/>
      <c r="K69" s="69"/>
      <c r="L69" s="69"/>
      <c r="M69" s="69"/>
      <c r="N69" s="66"/>
      <c r="O69" s="66"/>
      <c r="P69" s="66"/>
      <c r="Q69" s="66"/>
      <c r="R69" s="66"/>
      <c r="S69" s="66"/>
      <c r="T69" s="66"/>
      <c r="U69" s="66"/>
      <c r="V69" s="66"/>
      <c r="W69" s="66"/>
      <c r="X69" s="66"/>
      <c r="Y69" s="66"/>
      <c r="Z69" s="66"/>
      <c r="AA69" s="66"/>
    </row>
    <row r="70" ht="15.75" customHeight="1">
      <c r="A70" s="67" t="b">
        <v>0</v>
      </c>
      <c r="B70" s="66"/>
      <c r="C70" s="66"/>
      <c r="D70" s="66"/>
      <c r="E70" s="66"/>
      <c r="F70" s="68" t="str">
        <f t="array" ref="F70">IF(INDEX('Binder Data'!$A$1252:$A$1501,ROW()-1)="","",IF(INDEX('Binder Data'!$D$1252:$D$1501,ROW()-1)="Needed",INDEX('Binder Data'!$B$1252:$B$1501,ROW()-1),INDEX('Binder Data'!$D$1252:$D$1501,ROW()-1)))</f>
        <v/>
      </c>
      <c r="G70" s="66"/>
      <c r="H70" s="66"/>
      <c r="I70" s="66"/>
      <c r="J70" s="69"/>
      <c r="K70" s="69"/>
      <c r="L70" s="69"/>
      <c r="M70" s="69"/>
      <c r="N70" s="66"/>
      <c r="O70" s="66"/>
      <c r="P70" s="66"/>
      <c r="Q70" s="66"/>
      <c r="R70" s="66"/>
      <c r="S70" s="66"/>
      <c r="T70" s="66"/>
      <c r="U70" s="66"/>
      <c r="V70" s="66"/>
      <c r="W70" s="66"/>
      <c r="X70" s="66"/>
      <c r="Y70" s="66"/>
      <c r="Z70" s="66"/>
      <c r="AA70" s="66"/>
    </row>
    <row r="71" ht="15.75" customHeight="1">
      <c r="A71" s="67" t="b">
        <v>0</v>
      </c>
      <c r="B71" s="66"/>
      <c r="C71" s="66"/>
      <c r="D71" s="66"/>
      <c r="E71" s="66"/>
      <c r="F71" s="68" t="str">
        <f t="array" ref="F71">IF(INDEX('Binder Data'!$A$1252:$A$1501,ROW()-1)="","",IF(INDEX('Binder Data'!$D$1252:$D$1501,ROW()-1)="Needed",INDEX('Binder Data'!$B$1252:$B$1501,ROW()-1),INDEX('Binder Data'!$D$1252:$D$1501,ROW()-1)))</f>
        <v/>
      </c>
      <c r="G71" s="66"/>
      <c r="H71" s="66"/>
      <c r="I71" s="66"/>
      <c r="J71" s="69"/>
      <c r="K71" s="69"/>
      <c r="L71" s="69"/>
      <c r="M71" s="69"/>
      <c r="N71" s="66"/>
      <c r="O71" s="66"/>
      <c r="P71" s="66"/>
      <c r="Q71" s="66"/>
      <c r="R71" s="66"/>
      <c r="S71" s="66"/>
      <c r="T71" s="66"/>
      <c r="U71" s="66"/>
      <c r="V71" s="66"/>
      <c r="W71" s="66"/>
      <c r="X71" s="66"/>
      <c r="Y71" s="66"/>
      <c r="Z71" s="66"/>
      <c r="AA71" s="66"/>
    </row>
    <row r="72" ht="15.75" customHeight="1">
      <c r="A72" s="67" t="b">
        <v>0</v>
      </c>
      <c r="B72" s="66"/>
      <c r="C72" s="66"/>
      <c r="D72" s="66"/>
      <c r="E72" s="66"/>
      <c r="F72" s="68" t="str">
        <f t="array" ref="F72">IF(INDEX('Binder Data'!$A$1252:$A$1501,ROW()-1)="","",IF(INDEX('Binder Data'!$D$1252:$D$1501,ROW()-1)="Needed",INDEX('Binder Data'!$B$1252:$B$1501,ROW()-1),INDEX('Binder Data'!$D$1252:$D$1501,ROW()-1)))</f>
        <v/>
      </c>
      <c r="G72" s="66"/>
      <c r="H72" s="66"/>
      <c r="I72" s="66"/>
      <c r="J72" s="69"/>
      <c r="K72" s="69"/>
      <c r="L72" s="69"/>
      <c r="M72" s="69"/>
      <c r="N72" s="66"/>
      <c r="O72" s="66"/>
      <c r="P72" s="66"/>
      <c r="Q72" s="66"/>
      <c r="R72" s="66"/>
      <c r="S72" s="66"/>
      <c r="T72" s="66"/>
      <c r="U72" s="66"/>
      <c r="V72" s="66"/>
      <c r="W72" s="66"/>
      <c r="X72" s="66"/>
      <c r="Y72" s="66"/>
      <c r="Z72" s="66"/>
      <c r="AA72" s="66"/>
    </row>
    <row r="73" ht="15.75" customHeight="1">
      <c r="A73" s="67" t="b">
        <v>0</v>
      </c>
      <c r="B73" s="66"/>
      <c r="C73" s="66"/>
      <c r="D73" s="66"/>
      <c r="E73" s="66"/>
      <c r="F73" s="68" t="str">
        <f t="array" ref="F73">IF(INDEX('Binder Data'!$A$1252:$A$1501,ROW()-1)="","",IF(INDEX('Binder Data'!$D$1252:$D$1501,ROW()-1)="Needed",INDEX('Binder Data'!$B$1252:$B$1501,ROW()-1),INDEX('Binder Data'!$D$1252:$D$1501,ROW()-1)))</f>
        <v/>
      </c>
      <c r="G73" s="66"/>
      <c r="H73" s="66"/>
      <c r="I73" s="66"/>
      <c r="J73" s="69"/>
      <c r="K73" s="69"/>
      <c r="L73" s="69"/>
      <c r="M73" s="69"/>
      <c r="N73" s="66"/>
      <c r="O73" s="66"/>
      <c r="P73" s="66"/>
      <c r="Q73" s="66"/>
      <c r="R73" s="66"/>
      <c r="S73" s="66"/>
      <c r="T73" s="66"/>
      <c r="U73" s="66"/>
      <c r="V73" s="66"/>
      <c r="W73" s="66"/>
      <c r="X73" s="66"/>
      <c r="Y73" s="66"/>
      <c r="Z73" s="66"/>
      <c r="AA73" s="66"/>
    </row>
    <row r="74" ht="15.75" customHeight="1">
      <c r="A74" s="67" t="b">
        <v>0</v>
      </c>
      <c r="B74" s="66"/>
      <c r="C74" s="66"/>
      <c r="D74" s="66"/>
      <c r="E74" s="66"/>
      <c r="F74" s="68" t="str">
        <f t="array" ref="F74">IF(INDEX('Binder Data'!$A$1252:$A$1501,ROW()-1)="","",IF(INDEX('Binder Data'!$D$1252:$D$1501,ROW()-1)="Needed",INDEX('Binder Data'!$B$1252:$B$1501,ROW()-1),INDEX('Binder Data'!$D$1252:$D$1501,ROW()-1)))</f>
        <v/>
      </c>
      <c r="G74" s="66"/>
      <c r="H74" s="66"/>
      <c r="I74" s="66"/>
      <c r="J74" s="69"/>
      <c r="K74" s="69"/>
      <c r="L74" s="69"/>
      <c r="M74" s="69"/>
      <c r="N74" s="66"/>
      <c r="O74" s="66"/>
      <c r="P74" s="66"/>
      <c r="Q74" s="66"/>
      <c r="R74" s="66"/>
      <c r="S74" s="66"/>
      <c r="T74" s="66"/>
      <c r="U74" s="66"/>
      <c r="V74" s="66"/>
      <c r="W74" s="66"/>
      <c r="X74" s="66"/>
      <c r="Y74" s="66"/>
      <c r="Z74" s="66"/>
      <c r="AA74" s="66"/>
    </row>
    <row r="75" ht="15.75" customHeight="1">
      <c r="A75" s="67" t="b">
        <v>0</v>
      </c>
      <c r="B75" s="66"/>
      <c r="C75" s="66"/>
      <c r="D75" s="66"/>
      <c r="E75" s="66"/>
      <c r="F75" s="68" t="str">
        <f t="array" ref="F75">IF(INDEX('Binder Data'!$A$1252:$A$1501,ROW()-1)="","",IF(INDEX('Binder Data'!$D$1252:$D$1501,ROW()-1)="Needed",INDEX('Binder Data'!$B$1252:$B$1501,ROW()-1),INDEX('Binder Data'!$D$1252:$D$1501,ROW()-1)))</f>
        <v/>
      </c>
      <c r="G75" s="66"/>
      <c r="H75" s="66"/>
      <c r="I75" s="66"/>
      <c r="J75" s="69"/>
      <c r="K75" s="69"/>
      <c r="L75" s="69"/>
      <c r="M75" s="69"/>
      <c r="N75" s="66"/>
      <c r="O75" s="66"/>
      <c r="P75" s="66"/>
      <c r="Q75" s="66"/>
      <c r="R75" s="66"/>
      <c r="S75" s="66"/>
      <c r="T75" s="66"/>
      <c r="U75" s="66"/>
      <c r="V75" s="66"/>
      <c r="W75" s="66"/>
      <c r="X75" s="66"/>
      <c r="Y75" s="66"/>
      <c r="Z75" s="66"/>
      <c r="AA75" s="66"/>
    </row>
    <row r="76" ht="15.75" customHeight="1">
      <c r="A76" s="67" t="b">
        <v>0</v>
      </c>
      <c r="B76" s="66"/>
      <c r="C76" s="66"/>
      <c r="D76" s="66"/>
      <c r="E76" s="66"/>
      <c r="F76" s="68" t="str">
        <f t="array" ref="F76">IF(INDEX('Binder Data'!$A$1252:$A$1501,ROW()-1)="","",IF(INDEX('Binder Data'!$D$1252:$D$1501,ROW()-1)="Needed",INDEX('Binder Data'!$B$1252:$B$1501,ROW()-1),INDEX('Binder Data'!$D$1252:$D$1501,ROW()-1)))</f>
        <v/>
      </c>
      <c r="G76" s="66"/>
      <c r="H76" s="66"/>
      <c r="I76" s="66"/>
      <c r="J76" s="69"/>
      <c r="K76" s="69"/>
      <c r="L76" s="69"/>
      <c r="M76" s="69"/>
      <c r="N76" s="66"/>
      <c r="O76" s="66"/>
      <c r="P76" s="66"/>
      <c r="Q76" s="66"/>
      <c r="R76" s="66"/>
      <c r="S76" s="66"/>
      <c r="T76" s="66"/>
      <c r="U76" s="66"/>
      <c r="V76" s="66"/>
      <c r="W76" s="66"/>
      <c r="X76" s="66"/>
      <c r="Y76" s="66"/>
      <c r="Z76" s="66"/>
      <c r="AA76" s="66"/>
    </row>
    <row r="77" ht="15.75" customHeight="1">
      <c r="A77" s="67" t="b">
        <v>0</v>
      </c>
      <c r="B77" s="66"/>
      <c r="C77" s="66"/>
      <c r="D77" s="66"/>
      <c r="E77" s="66"/>
      <c r="F77" s="68" t="str">
        <f t="array" ref="F77">IF(INDEX('Binder Data'!$A$1252:$A$1501,ROW()-1)="","",IF(INDEX('Binder Data'!$D$1252:$D$1501,ROW()-1)="Needed",INDEX('Binder Data'!$B$1252:$B$1501,ROW()-1),INDEX('Binder Data'!$D$1252:$D$1501,ROW()-1)))</f>
        <v/>
      </c>
      <c r="G77" s="66"/>
      <c r="H77" s="66"/>
      <c r="I77" s="66"/>
      <c r="J77" s="69"/>
      <c r="K77" s="69"/>
      <c r="L77" s="69"/>
      <c r="M77" s="69"/>
      <c r="N77" s="66"/>
      <c r="O77" s="66"/>
      <c r="P77" s="66"/>
      <c r="Q77" s="66"/>
      <c r="R77" s="66"/>
      <c r="S77" s="66"/>
      <c r="T77" s="66"/>
      <c r="U77" s="66"/>
      <c r="V77" s="66"/>
      <c r="W77" s="66"/>
      <c r="X77" s="66"/>
      <c r="Y77" s="66"/>
      <c r="Z77" s="66"/>
      <c r="AA77" s="66"/>
    </row>
    <row r="78" ht="15.75" customHeight="1">
      <c r="A78" s="67" t="b">
        <v>0</v>
      </c>
      <c r="B78" s="66"/>
      <c r="C78" s="66"/>
      <c r="D78" s="66"/>
      <c r="E78" s="66"/>
      <c r="F78" s="68" t="str">
        <f t="array" ref="F78">IF(INDEX('Binder Data'!$A$1252:$A$1501,ROW()-1)="","",IF(INDEX('Binder Data'!$D$1252:$D$1501,ROW()-1)="Needed",INDEX('Binder Data'!$B$1252:$B$1501,ROW()-1),INDEX('Binder Data'!$D$1252:$D$1501,ROW()-1)))</f>
        <v/>
      </c>
      <c r="G78" s="66"/>
      <c r="H78" s="66"/>
      <c r="I78" s="66"/>
      <c r="J78" s="69"/>
      <c r="K78" s="69"/>
      <c r="L78" s="69"/>
      <c r="M78" s="69"/>
      <c r="N78" s="66"/>
      <c r="O78" s="66"/>
      <c r="P78" s="66"/>
      <c r="Q78" s="66"/>
      <c r="R78" s="66"/>
      <c r="S78" s="66"/>
      <c r="T78" s="66"/>
      <c r="U78" s="66"/>
      <c r="V78" s="66"/>
      <c r="W78" s="66"/>
      <c r="X78" s="66"/>
      <c r="Y78" s="66"/>
      <c r="Z78" s="66"/>
      <c r="AA78" s="66"/>
    </row>
    <row r="79" ht="15.75" customHeight="1">
      <c r="A79" s="67" t="b">
        <v>0</v>
      </c>
      <c r="B79" s="66"/>
      <c r="C79" s="66"/>
      <c r="D79" s="66"/>
      <c r="E79" s="66"/>
      <c r="F79" s="68" t="str">
        <f t="array" ref="F79">IF(INDEX('Binder Data'!$A$1252:$A$1501,ROW()-1)="","",IF(INDEX('Binder Data'!$D$1252:$D$1501,ROW()-1)="Needed",INDEX('Binder Data'!$B$1252:$B$1501,ROW()-1),INDEX('Binder Data'!$D$1252:$D$1501,ROW()-1)))</f>
        <v/>
      </c>
      <c r="G79" s="66"/>
      <c r="H79" s="66"/>
      <c r="I79" s="66"/>
      <c r="J79" s="69"/>
      <c r="K79" s="69"/>
      <c r="L79" s="69"/>
      <c r="M79" s="69"/>
      <c r="N79" s="66"/>
      <c r="O79" s="66"/>
      <c r="P79" s="66"/>
      <c r="Q79" s="66"/>
      <c r="R79" s="66"/>
      <c r="S79" s="66"/>
      <c r="T79" s="66"/>
      <c r="U79" s="66"/>
      <c r="V79" s="66"/>
      <c r="W79" s="66"/>
      <c r="X79" s="66"/>
      <c r="Y79" s="66"/>
      <c r="Z79" s="66"/>
      <c r="AA79" s="66"/>
    </row>
    <row r="80" ht="15.75" customHeight="1">
      <c r="A80" s="67" t="b">
        <v>0</v>
      </c>
      <c r="B80" s="66"/>
      <c r="C80" s="66"/>
      <c r="D80" s="66"/>
      <c r="E80" s="66"/>
      <c r="F80" s="68" t="str">
        <f t="array" ref="F80">IF(INDEX('Binder Data'!$A$1252:$A$1501,ROW()-1)="","",IF(INDEX('Binder Data'!$D$1252:$D$1501,ROW()-1)="Needed",INDEX('Binder Data'!$B$1252:$B$1501,ROW()-1),INDEX('Binder Data'!$D$1252:$D$1501,ROW()-1)))</f>
        <v/>
      </c>
      <c r="G80" s="66"/>
      <c r="H80" s="66"/>
      <c r="I80" s="66"/>
      <c r="J80" s="69"/>
      <c r="K80" s="69"/>
      <c r="L80" s="69"/>
      <c r="M80" s="69"/>
      <c r="N80" s="66"/>
      <c r="O80" s="66"/>
      <c r="P80" s="66"/>
      <c r="Q80" s="66"/>
      <c r="R80" s="66"/>
      <c r="S80" s="66"/>
      <c r="T80" s="66"/>
      <c r="U80" s="66"/>
      <c r="V80" s="66"/>
      <c r="W80" s="66"/>
      <c r="X80" s="66"/>
      <c r="Y80" s="66"/>
      <c r="Z80" s="66"/>
      <c r="AA80" s="66"/>
    </row>
    <row r="81" ht="15.75" customHeight="1">
      <c r="A81" s="67" t="b">
        <v>0</v>
      </c>
      <c r="B81" s="66"/>
      <c r="C81" s="66"/>
      <c r="D81" s="66"/>
      <c r="E81" s="66"/>
      <c r="F81" s="68" t="str">
        <f t="array" ref="F81">IF(INDEX('Binder Data'!$A$1252:$A$1501,ROW()-1)="","",IF(INDEX('Binder Data'!$D$1252:$D$1501,ROW()-1)="Needed",INDEX('Binder Data'!$B$1252:$B$1501,ROW()-1),INDEX('Binder Data'!$D$1252:$D$1501,ROW()-1)))</f>
        <v/>
      </c>
      <c r="G81" s="66"/>
      <c r="H81" s="66"/>
      <c r="I81" s="66"/>
      <c r="J81" s="69"/>
      <c r="K81" s="69"/>
      <c r="L81" s="69"/>
      <c r="M81" s="69"/>
      <c r="N81" s="66"/>
      <c r="O81" s="66"/>
      <c r="P81" s="66"/>
      <c r="Q81" s="66"/>
      <c r="R81" s="66"/>
      <c r="S81" s="66"/>
      <c r="T81" s="66"/>
      <c r="U81" s="66"/>
      <c r="V81" s="66"/>
      <c r="W81" s="66"/>
      <c r="X81" s="66"/>
      <c r="Y81" s="66"/>
      <c r="Z81" s="66"/>
      <c r="AA81" s="66"/>
    </row>
    <row r="82" ht="15.75" customHeight="1">
      <c r="A82" s="67" t="b">
        <v>0</v>
      </c>
      <c r="B82" s="66"/>
      <c r="C82" s="66"/>
      <c r="D82" s="66"/>
      <c r="E82" s="66"/>
      <c r="F82" s="68" t="str">
        <f t="array" ref="F82">IF(INDEX('Binder Data'!$A$1252:$A$1501,ROW()-1)="","",IF(INDEX('Binder Data'!$D$1252:$D$1501,ROW()-1)="Needed",INDEX('Binder Data'!$B$1252:$B$1501,ROW()-1),INDEX('Binder Data'!$D$1252:$D$1501,ROW()-1)))</f>
        <v/>
      </c>
      <c r="G82" s="66"/>
      <c r="H82" s="66"/>
      <c r="I82" s="66"/>
      <c r="J82" s="69"/>
      <c r="K82" s="69"/>
      <c r="L82" s="69"/>
      <c r="M82" s="69"/>
      <c r="N82" s="66"/>
      <c r="O82" s="66"/>
      <c r="P82" s="66"/>
      <c r="Q82" s="66"/>
      <c r="R82" s="66"/>
      <c r="S82" s="66"/>
      <c r="T82" s="66"/>
      <c r="U82" s="66"/>
      <c r="V82" s="66"/>
      <c r="W82" s="66"/>
      <c r="X82" s="66"/>
      <c r="Y82" s="66"/>
      <c r="Z82" s="66"/>
      <c r="AA82" s="66"/>
    </row>
    <row r="83" ht="15.75" customHeight="1">
      <c r="A83" s="67" t="b">
        <v>0</v>
      </c>
      <c r="B83" s="66"/>
      <c r="C83" s="66"/>
      <c r="D83" s="66"/>
      <c r="E83" s="66"/>
      <c r="F83" s="68" t="str">
        <f t="array" ref="F83">IF(INDEX('Binder Data'!$A$1252:$A$1501,ROW()-1)="","",IF(INDEX('Binder Data'!$D$1252:$D$1501,ROW()-1)="Needed",INDEX('Binder Data'!$B$1252:$B$1501,ROW()-1),INDEX('Binder Data'!$D$1252:$D$1501,ROW()-1)))</f>
        <v/>
      </c>
      <c r="G83" s="66"/>
      <c r="H83" s="66"/>
      <c r="I83" s="66"/>
      <c r="J83" s="69"/>
      <c r="K83" s="69"/>
      <c r="L83" s="69"/>
      <c r="M83" s="69"/>
      <c r="N83" s="66"/>
      <c r="O83" s="66"/>
      <c r="P83" s="66"/>
      <c r="Q83" s="66"/>
      <c r="R83" s="66"/>
      <c r="S83" s="66"/>
      <c r="T83" s="66"/>
      <c r="U83" s="66"/>
      <c r="V83" s="66"/>
      <c r="W83" s="66"/>
      <c r="X83" s="66"/>
      <c r="Y83" s="66"/>
      <c r="Z83" s="66"/>
      <c r="AA83" s="66"/>
    </row>
    <row r="84" ht="15.75" customHeight="1">
      <c r="A84" s="67" t="b">
        <v>0</v>
      </c>
      <c r="B84" s="66"/>
      <c r="C84" s="66"/>
      <c r="D84" s="66"/>
      <c r="E84" s="66"/>
      <c r="F84" s="68" t="str">
        <f t="array" ref="F84">IF(INDEX('Binder Data'!$A$1252:$A$1501,ROW()-1)="","",IF(INDEX('Binder Data'!$D$1252:$D$1501,ROW()-1)="Needed",INDEX('Binder Data'!$B$1252:$B$1501,ROW()-1),INDEX('Binder Data'!$D$1252:$D$1501,ROW()-1)))</f>
        <v/>
      </c>
      <c r="G84" s="66"/>
      <c r="H84" s="66"/>
      <c r="I84" s="66"/>
      <c r="J84" s="69"/>
      <c r="K84" s="69"/>
      <c r="L84" s="69"/>
      <c r="M84" s="69"/>
      <c r="N84" s="66"/>
      <c r="O84" s="66"/>
      <c r="P84" s="66"/>
      <c r="Q84" s="66"/>
      <c r="R84" s="66"/>
      <c r="S84" s="66"/>
      <c r="T84" s="66"/>
      <c r="U84" s="66"/>
      <c r="V84" s="66"/>
      <c r="W84" s="66"/>
      <c r="X84" s="66"/>
      <c r="Y84" s="66"/>
      <c r="Z84" s="66"/>
      <c r="AA84" s="66"/>
    </row>
    <row r="85" ht="15.75" customHeight="1">
      <c r="A85" s="67" t="b">
        <v>0</v>
      </c>
      <c r="B85" s="66"/>
      <c r="C85" s="66"/>
      <c r="D85" s="66"/>
      <c r="E85" s="66"/>
      <c r="F85" s="68" t="str">
        <f t="array" ref="F85">IF(INDEX('Binder Data'!$A$1252:$A$1501,ROW()-1)="","",IF(INDEX('Binder Data'!$D$1252:$D$1501,ROW()-1)="Needed",INDEX('Binder Data'!$B$1252:$B$1501,ROW()-1),INDEX('Binder Data'!$D$1252:$D$1501,ROW()-1)))</f>
        <v/>
      </c>
      <c r="G85" s="66"/>
      <c r="H85" s="66"/>
      <c r="I85" s="66"/>
      <c r="J85" s="69"/>
      <c r="K85" s="69"/>
      <c r="L85" s="69"/>
      <c r="M85" s="69"/>
      <c r="N85" s="66"/>
      <c r="O85" s="66"/>
      <c r="P85" s="66"/>
      <c r="Q85" s="66"/>
      <c r="R85" s="66"/>
      <c r="S85" s="66"/>
      <c r="T85" s="66"/>
      <c r="U85" s="66"/>
      <c r="V85" s="66"/>
      <c r="W85" s="66"/>
      <c r="X85" s="66"/>
      <c r="Y85" s="66"/>
      <c r="Z85" s="66"/>
      <c r="AA85" s="66"/>
    </row>
    <row r="86" ht="15.75" customHeight="1">
      <c r="A86" s="67" t="b">
        <v>0</v>
      </c>
      <c r="B86" s="66"/>
      <c r="C86" s="66"/>
      <c r="D86" s="66"/>
      <c r="E86" s="66"/>
      <c r="F86" s="68" t="str">
        <f t="array" ref="F86">IF(INDEX('Binder Data'!$A$1252:$A$1501,ROW()-1)="","",IF(INDEX('Binder Data'!$D$1252:$D$1501,ROW()-1)="Needed",INDEX('Binder Data'!$B$1252:$B$1501,ROW()-1),INDEX('Binder Data'!$D$1252:$D$1501,ROW()-1)))</f>
        <v/>
      </c>
      <c r="G86" s="66"/>
      <c r="H86" s="66"/>
      <c r="I86" s="66"/>
      <c r="J86" s="69"/>
      <c r="K86" s="69"/>
      <c r="L86" s="69"/>
      <c r="M86" s="69"/>
      <c r="N86" s="66"/>
      <c r="O86" s="66"/>
      <c r="P86" s="66"/>
      <c r="Q86" s="66"/>
      <c r="R86" s="66"/>
      <c r="S86" s="66"/>
      <c r="T86" s="66"/>
      <c r="U86" s="66"/>
      <c r="V86" s="66"/>
      <c r="W86" s="66"/>
      <c r="X86" s="66"/>
      <c r="Y86" s="66"/>
      <c r="Z86" s="66"/>
      <c r="AA86" s="66"/>
    </row>
    <row r="87" ht="15.75" customHeight="1">
      <c r="A87" s="67" t="b">
        <v>0</v>
      </c>
      <c r="B87" s="66"/>
      <c r="C87" s="66"/>
      <c r="D87" s="66"/>
      <c r="E87" s="66"/>
      <c r="F87" s="68" t="str">
        <f t="array" ref="F87">IF(INDEX('Binder Data'!$A$1252:$A$1501,ROW()-1)="","",IF(INDEX('Binder Data'!$D$1252:$D$1501,ROW()-1)="Needed",INDEX('Binder Data'!$B$1252:$B$1501,ROW()-1),INDEX('Binder Data'!$D$1252:$D$1501,ROW()-1)))</f>
        <v/>
      </c>
      <c r="G87" s="66"/>
      <c r="H87" s="66"/>
      <c r="I87" s="66"/>
      <c r="J87" s="69"/>
      <c r="K87" s="69"/>
      <c r="L87" s="69"/>
      <c r="M87" s="69"/>
      <c r="N87" s="66"/>
      <c r="O87" s="66"/>
      <c r="P87" s="66"/>
      <c r="Q87" s="66"/>
      <c r="R87" s="66"/>
      <c r="S87" s="66"/>
      <c r="T87" s="66"/>
      <c r="U87" s="66"/>
      <c r="V87" s="66"/>
      <c r="W87" s="66"/>
      <c r="X87" s="66"/>
      <c r="Y87" s="66"/>
      <c r="Z87" s="66"/>
      <c r="AA87" s="66"/>
    </row>
    <row r="88" ht="15.75" customHeight="1">
      <c r="A88" s="67" t="b">
        <v>0</v>
      </c>
      <c r="B88" s="66"/>
      <c r="C88" s="66"/>
      <c r="D88" s="66"/>
      <c r="E88" s="66"/>
      <c r="F88" s="68" t="str">
        <f t="array" ref="F88">IF(INDEX('Binder Data'!$A$1252:$A$1501,ROW()-1)="","",IF(INDEX('Binder Data'!$D$1252:$D$1501,ROW()-1)="Needed",INDEX('Binder Data'!$B$1252:$B$1501,ROW()-1),INDEX('Binder Data'!$D$1252:$D$1501,ROW()-1)))</f>
        <v/>
      </c>
      <c r="G88" s="66"/>
      <c r="H88" s="66"/>
      <c r="I88" s="66"/>
      <c r="J88" s="69"/>
      <c r="K88" s="69"/>
      <c r="L88" s="69"/>
      <c r="M88" s="69"/>
      <c r="N88" s="66"/>
      <c r="O88" s="66"/>
      <c r="P88" s="66"/>
      <c r="Q88" s="66"/>
      <c r="R88" s="66"/>
      <c r="S88" s="66"/>
      <c r="T88" s="66"/>
      <c r="U88" s="66"/>
      <c r="V88" s="66"/>
      <c r="W88" s="66"/>
      <c r="X88" s="66"/>
      <c r="Y88" s="66"/>
      <c r="Z88" s="66"/>
      <c r="AA88" s="66"/>
    </row>
    <row r="89" ht="15.75" customHeight="1">
      <c r="A89" s="67" t="b">
        <v>0</v>
      </c>
      <c r="B89" s="66"/>
      <c r="C89" s="66"/>
      <c r="D89" s="66"/>
      <c r="E89" s="66"/>
      <c r="F89" s="68" t="str">
        <f t="array" ref="F89">IF(INDEX('Binder Data'!$A$1252:$A$1501,ROW()-1)="","",IF(INDEX('Binder Data'!$D$1252:$D$1501,ROW()-1)="Needed",INDEX('Binder Data'!$B$1252:$B$1501,ROW()-1),INDEX('Binder Data'!$D$1252:$D$1501,ROW()-1)))</f>
        <v/>
      </c>
      <c r="G89" s="66"/>
      <c r="H89" s="66"/>
      <c r="I89" s="66"/>
      <c r="J89" s="69"/>
      <c r="K89" s="69"/>
      <c r="L89" s="69"/>
      <c r="M89" s="69"/>
      <c r="N89" s="66"/>
      <c r="O89" s="66"/>
      <c r="P89" s="66"/>
      <c r="Q89" s="66"/>
      <c r="R89" s="66"/>
      <c r="S89" s="66"/>
      <c r="T89" s="66"/>
      <c r="U89" s="66"/>
      <c r="V89" s="66"/>
      <c r="W89" s="66"/>
      <c r="X89" s="66"/>
      <c r="Y89" s="66"/>
      <c r="Z89" s="66"/>
      <c r="AA89" s="66"/>
    </row>
    <row r="90" ht="15.75" customHeight="1">
      <c r="A90" s="66"/>
      <c r="B90" s="66"/>
      <c r="C90" s="70"/>
      <c r="D90" s="66"/>
      <c r="E90" s="66"/>
      <c r="F90" s="68" t="str">
        <f t="array" ref="F90">IF(INDEX('Binder Data'!$A$1252:$A$1501,ROW()-1)="","",IF(INDEX('Binder Data'!$D$1252:$D$1501,ROW()-1)="Needed",INDEX('Binder Data'!$B$1252:$B$1501,ROW()-1),INDEX('Binder Data'!$D$1252:$D$1501,ROW()-1)))</f>
        <v/>
      </c>
      <c r="G90" s="66"/>
      <c r="H90" s="66"/>
      <c r="I90" s="66"/>
      <c r="J90" s="69"/>
      <c r="K90" s="69"/>
      <c r="L90" s="69"/>
      <c r="M90" s="69"/>
      <c r="N90" s="66"/>
      <c r="O90" s="66"/>
      <c r="P90" s="66"/>
      <c r="Q90" s="66"/>
      <c r="R90" s="66"/>
      <c r="S90" s="66"/>
      <c r="T90" s="66"/>
      <c r="U90" s="66"/>
      <c r="V90" s="66"/>
      <c r="W90" s="66"/>
      <c r="X90" s="66"/>
      <c r="Y90" s="66"/>
      <c r="Z90" s="66"/>
      <c r="AA90" s="66"/>
    </row>
    <row r="91" ht="15.75" customHeight="1">
      <c r="A91" s="66"/>
      <c r="B91" s="66"/>
      <c r="C91" s="70"/>
      <c r="D91" s="66"/>
      <c r="E91" s="66"/>
      <c r="F91" s="68" t="str">
        <f t="array" ref="F91">IF(INDEX('Binder Data'!$A$1252:$A$1501,ROW()-1)="","",IF(INDEX('Binder Data'!$D$1252:$D$1501,ROW()-1)="Needed",INDEX('Binder Data'!$B$1252:$B$1501,ROW()-1),INDEX('Binder Data'!$D$1252:$D$1501,ROW()-1)))</f>
        <v/>
      </c>
      <c r="G91" s="66"/>
      <c r="H91" s="66"/>
      <c r="I91" s="66"/>
      <c r="J91" s="69"/>
      <c r="K91" s="69"/>
      <c r="L91" s="69"/>
      <c r="M91" s="69"/>
      <c r="N91" s="66"/>
      <c r="O91" s="66"/>
      <c r="P91" s="66"/>
      <c r="Q91" s="66"/>
      <c r="R91" s="66"/>
      <c r="S91" s="66"/>
      <c r="T91" s="66"/>
      <c r="U91" s="66"/>
      <c r="V91" s="66"/>
      <c r="W91" s="66"/>
      <c r="X91" s="66"/>
      <c r="Y91" s="66"/>
      <c r="Z91" s="66"/>
      <c r="AA91" s="66"/>
    </row>
    <row r="92" ht="15.75" customHeight="1">
      <c r="A92" s="66"/>
      <c r="B92" s="66"/>
      <c r="C92" s="70"/>
      <c r="D92" s="66"/>
      <c r="E92" s="66"/>
      <c r="F92" s="68" t="str">
        <f t="array" ref="F92">IF(INDEX('Binder Data'!$A$1252:$A$1501,ROW()-1)="","",IF(INDEX('Binder Data'!$D$1252:$D$1501,ROW()-1)="Needed",INDEX('Binder Data'!$B$1252:$B$1501,ROW()-1),INDEX('Binder Data'!$D$1252:$D$1501,ROW()-1)))</f>
        <v/>
      </c>
      <c r="G92" s="66"/>
      <c r="H92" s="66"/>
      <c r="I92" s="66"/>
      <c r="J92" s="69"/>
      <c r="K92" s="69"/>
      <c r="L92" s="69"/>
      <c r="M92" s="69"/>
      <c r="N92" s="66"/>
      <c r="O92" s="66"/>
      <c r="P92" s="66"/>
      <c r="Q92" s="66"/>
      <c r="R92" s="66"/>
      <c r="S92" s="66"/>
      <c r="T92" s="66"/>
      <c r="U92" s="66"/>
      <c r="V92" s="66"/>
      <c r="W92" s="66"/>
      <c r="X92" s="66"/>
      <c r="Y92" s="66"/>
      <c r="Z92" s="66"/>
      <c r="AA92" s="66"/>
    </row>
    <row r="93" ht="15.75" customHeight="1">
      <c r="A93" s="66"/>
      <c r="B93" s="66"/>
      <c r="C93" s="70"/>
      <c r="D93" s="66"/>
      <c r="E93" s="66"/>
      <c r="F93" s="68" t="str">
        <f t="array" ref="F93">IF(INDEX('Binder Data'!$A$1252:$A$1501,ROW()-1)="","",IF(INDEX('Binder Data'!$D$1252:$D$1501,ROW()-1)="Needed",INDEX('Binder Data'!$B$1252:$B$1501,ROW()-1),INDEX('Binder Data'!$D$1252:$D$1501,ROW()-1)))</f>
        <v/>
      </c>
      <c r="G93" s="66"/>
      <c r="H93" s="66"/>
      <c r="I93" s="66"/>
      <c r="J93" s="69"/>
      <c r="K93" s="69"/>
      <c r="L93" s="69"/>
      <c r="M93" s="69"/>
      <c r="N93" s="66"/>
      <c r="O93" s="66"/>
      <c r="P93" s="66"/>
      <c r="Q93" s="66"/>
      <c r="R93" s="66"/>
      <c r="S93" s="66"/>
      <c r="T93" s="66"/>
      <c r="U93" s="66"/>
      <c r="V93" s="66"/>
      <c r="W93" s="66"/>
      <c r="X93" s="66"/>
      <c r="Y93" s="66"/>
      <c r="Z93" s="66"/>
      <c r="AA93" s="66"/>
    </row>
    <row r="94" ht="15.75" customHeight="1">
      <c r="A94" s="66"/>
      <c r="B94" s="66"/>
      <c r="C94" s="70"/>
      <c r="D94" s="66"/>
      <c r="E94" s="66"/>
      <c r="F94" s="68" t="str">
        <f t="array" ref="F94">IF(INDEX('Binder Data'!$A$1252:$A$1501,ROW()-1)="","",IF(INDEX('Binder Data'!$D$1252:$D$1501,ROW()-1)="Needed",INDEX('Binder Data'!$B$1252:$B$1501,ROW()-1),INDEX('Binder Data'!$D$1252:$D$1501,ROW()-1)))</f>
        <v/>
      </c>
      <c r="G94" s="66"/>
      <c r="H94" s="66"/>
      <c r="I94" s="66"/>
      <c r="J94" s="69"/>
      <c r="K94" s="69"/>
      <c r="L94" s="69"/>
      <c r="M94" s="69"/>
      <c r="N94" s="66"/>
      <c r="O94" s="66"/>
      <c r="P94" s="66"/>
      <c r="Q94" s="66"/>
      <c r="R94" s="66"/>
      <c r="S94" s="66"/>
      <c r="T94" s="66"/>
      <c r="U94" s="66"/>
      <c r="V94" s="66"/>
      <c r="W94" s="66"/>
      <c r="X94" s="66"/>
      <c r="Y94" s="66"/>
      <c r="Z94" s="66"/>
      <c r="AA94" s="66"/>
    </row>
    <row r="95" ht="15.75" customHeight="1">
      <c r="A95" s="66"/>
      <c r="B95" s="66"/>
      <c r="C95" s="70"/>
      <c r="D95" s="66"/>
      <c r="E95" s="66"/>
      <c r="F95" s="68" t="str">
        <f t="array" ref="F95">IF(INDEX('Binder Data'!$A$1252:$A$1501,ROW()-1)="","",IF(INDEX('Binder Data'!$D$1252:$D$1501,ROW()-1)="Needed",INDEX('Binder Data'!$B$1252:$B$1501,ROW()-1),INDEX('Binder Data'!$D$1252:$D$1501,ROW()-1)))</f>
        <v/>
      </c>
      <c r="G95" s="66"/>
      <c r="H95" s="66"/>
      <c r="I95" s="66"/>
      <c r="J95" s="69"/>
      <c r="K95" s="69"/>
      <c r="L95" s="69"/>
      <c r="M95" s="69"/>
      <c r="N95" s="66"/>
      <c r="O95" s="71"/>
      <c r="P95" s="66"/>
      <c r="Q95" s="66"/>
      <c r="R95" s="66"/>
      <c r="S95" s="66"/>
      <c r="T95" s="66"/>
      <c r="U95" s="66"/>
      <c r="V95" s="66"/>
      <c r="W95" s="66"/>
      <c r="X95" s="66"/>
      <c r="Y95" s="66"/>
      <c r="Z95" s="66"/>
      <c r="AA95" s="66"/>
    </row>
    <row r="96" ht="15.75" customHeight="1">
      <c r="A96" s="66"/>
      <c r="B96" s="66"/>
      <c r="C96" s="70"/>
      <c r="D96" s="66"/>
      <c r="E96" s="66"/>
      <c r="F96" s="68" t="str">
        <f t="array" ref="F96">IF(INDEX('Binder Data'!$A$1252:$A$1501,ROW()-1)="","",IF(INDEX('Binder Data'!$D$1252:$D$1501,ROW()-1)="Needed",INDEX('Binder Data'!$B$1252:$B$1501,ROW()-1),INDEX('Binder Data'!$D$1252:$D$1501,ROW()-1)))</f>
        <v/>
      </c>
      <c r="G96" s="66"/>
      <c r="H96" s="66"/>
      <c r="I96" s="66"/>
      <c r="J96" s="69"/>
      <c r="K96" s="69"/>
      <c r="L96" s="69"/>
      <c r="M96" s="69"/>
      <c r="N96" s="66"/>
      <c r="O96" s="71"/>
      <c r="P96" s="66"/>
      <c r="Q96" s="66"/>
      <c r="R96" s="66"/>
      <c r="S96" s="66"/>
      <c r="T96" s="66"/>
      <c r="U96" s="66"/>
      <c r="V96" s="66"/>
      <c r="W96" s="66"/>
      <c r="X96" s="66"/>
      <c r="Y96" s="66"/>
      <c r="Z96" s="66"/>
      <c r="AA96" s="66"/>
    </row>
    <row r="97" ht="15.75" customHeight="1">
      <c r="A97" s="66"/>
      <c r="B97" s="66"/>
      <c r="C97" s="70"/>
      <c r="D97" s="66"/>
      <c r="E97" s="66"/>
      <c r="F97" s="68" t="str">
        <f t="array" ref="F97">IF(INDEX('Binder Data'!$A$1252:$A$1501,ROW()-1)="","",IF(INDEX('Binder Data'!$D$1252:$D$1501,ROW()-1)="Needed",INDEX('Binder Data'!$B$1252:$B$1501,ROW()-1),INDEX('Binder Data'!$D$1252:$D$1501,ROW()-1)))</f>
        <v/>
      </c>
      <c r="G97" s="66"/>
      <c r="H97" s="66"/>
      <c r="I97" s="66"/>
      <c r="J97" s="66"/>
      <c r="K97" s="66"/>
      <c r="L97" s="66"/>
      <c r="M97" s="66"/>
      <c r="N97" s="66"/>
      <c r="O97" s="66"/>
      <c r="P97" s="66"/>
      <c r="Q97" s="66"/>
      <c r="R97" s="66"/>
      <c r="S97" s="66"/>
      <c r="T97" s="66"/>
      <c r="U97" s="66"/>
      <c r="V97" s="66"/>
      <c r="W97" s="66"/>
      <c r="X97" s="66"/>
      <c r="Y97" s="66"/>
      <c r="Z97" s="66"/>
      <c r="AA97" s="66"/>
    </row>
    <row r="98" ht="15.75" customHeight="1">
      <c r="A98" s="66"/>
      <c r="B98" s="66"/>
      <c r="C98" s="70"/>
      <c r="D98" s="66"/>
      <c r="E98" s="66"/>
      <c r="F98" s="68" t="str">
        <f t="array" ref="F98">IF(INDEX('Binder Data'!$A$1252:$A$1501,ROW()-1)="","",IF(INDEX('Binder Data'!$D$1252:$D$1501,ROW()-1)="Needed",INDEX('Binder Data'!$B$1252:$B$1501,ROW()-1),INDEX('Binder Data'!$D$1252:$D$1501,ROW()-1)))</f>
        <v/>
      </c>
      <c r="G98" s="66"/>
      <c r="H98" s="66"/>
      <c r="I98" s="66"/>
      <c r="J98" s="66"/>
      <c r="K98" s="66"/>
      <c r="L98" s="66"/>
      <c r="M98" s="66"/>
      <c r="N98" s="66"/>
      <c r="O98" s="71"/>
      <c r="P98" s="66"/>
      <c r="Q98" s="66"/>
      <c r="R98" s="66"/>
      <c r="S98" s="66"/>
      <c r="T98" s="66"/>
      <c r="U98" s="66"/>
      <c r="V98" s="66"/>
      <c r="W98" s="66"/>
      <c r="X98" s="66"/>
      <c r="Y98" s="66"/>
      <c r="Z98" s="66"/>
      <c r="AA98" s="66"/>
    </row>
    <row r="99" ht="15.75" customHeight="1">
      <c r="A99" s="66"/>
      <c r="B99" s="66"/>
      <c r="C99" s="70"/>
      <c r="D99" s="66"/>
      <c r="E99" s="66"/>
      <c r="F99" s="68" t="str">
        <f t="array" ref="F99">IF(INDEX('Binder Data'!$A$1252:$A$1501,ROW()-1)="","",IF(INDEX('Binder Data'!$D$1252:$D$1501,ROW()-1)="Needed",INDEX('Binder Data'!$B$1252:$B$1501,ROW()-1),INDEX('Binder Data'!$D$1252:$D$1501,ROW()-1)))</f>
        <v/>
      </c>
      <c r="G99" s="66"/>
      <c r="H99" s="66"/>
      <c r="I99" s="66"/>
      <c r="J99" s="66"/>
      <c r="K99" s="66"/>
      <c r="L99" s="66"/>
      <c r="M99" s="66"/>
      <c r="N99" s="66"/>
      <c r="O99" s="71"/>
      <c r="P99" s="66"/>
      <c r="Q99" s="66"/>
      <c r="R99" s="66"/>
      <c r="S99" s="66"/>
      <c r="T99" s="66"/>
      <c r="U99" s="66"/>
      <c r="V99" s="66"/>
      <c r="W99" s="66"/>
      <c r="X99" s="66"/>
      <c r="Y99" s="66"/>
      <c r="Z99" s="66"/>
      <c r="AA99" s="66"/>
    </row>
    <row r="100" ht="15.75" customHeight="1">
      <c r="A100" s="66"/>
      <c r="B100" s="66"/>
      <c r="C100" s="70"/>
      <c r="D100" s="66"/>
      <c r="E100" s="66"/>
      <c r="F100" s="68" t="str">
        <f t="array" ref="F100">IF(INDEX('Binder Data'!$A$1252:$A$1501,ROW()-1)="","",IF(INDEX('Binder Data'!$D$1252:$D$1501,ROW()-1)="Needed",INDEX('Binder Data'!$B$1252:$B$1501,ROW()-1),INDEX('Binder Data'!$D$1252:$D$1501,ROW()-1)))</f>
        <v/>
      </c>
      <c r="G100" s="66"/>
      <c r="H100" s="66"/>
      <c r="I100" s="66"/>
      <c r="J100" s="66"/>
      <c r="K100" s="66"/>
      <c r="L100" s="66"/>
      <c r="M100" s="66"/>
      <c r="N100" s="66"/>
      <c r="O100" s="71"/>
      <c r="P100" s="66"/>
      <c r="Q100" s="66"/>
      <c r="R100" s="66"/>
      <c r="S100" s="66"/>
      <c r="T100" s="66"/>
      <c r="U100" s="66"/>
      <c r="V100" s="66"/>
      <c r="W100" s="66"/>
      <c r="X100" s="66"/>
      <c r="Y100" s="66"/>
      <c r="Z100" s="66"/>
      <c r="AA100" s="66"/>
    </row>
    <row r="101" ht="15.75" customHeight="1">
      <c r="A101" s="66"/>
      <c r="B101" s="66"/>
      <c r="C101" s="70"/>
      <c r="D101" s="66"/>
      <c r="E101" s="66"/>
      <c r="F101" s="68" t="str">
        <f t="array" ref="F101">IF(INDEX('Binder Data'!$A$1252:$A$1501,ROW()-1)="","",IF(INDEX('Binder Data'!$D$1252:$D$1501,ROW()-1)="Needed",INDEX('Binder Data'!$B$1252:$B$1501,ROW()-1),INDEX('Binder Data'!$D$1252:$D$1501,ROW()-1)))</f>
        <v/>
      </c>
      <c r="G101" s="66"/>
      <c r="H101" s="66"/>
      <c r="I101" s="66"/>
      <c r="J101" s="66"/>
      <c r="K101" s="66"/>
      <c r="L101" s="66"/>
      <c r="M101" s="66"/>
      <c r="N101" s="66"/>
      <c r="O101" s="71"/>
      <c r="P101" s="66"/>
      <c r="Q101" s="66"/>
      <c r="R101" s="66"/>
      <c r="S101" s="66"/>
      <c r="T101" s="66"/>
      <c r="U101" s="66"/>
      <c r="V101" s="66"/>
      <c r="W101" s="66"/>
      <c r="X101" s="66"/>
      <c r="Y101" s="66"/>
      <c r="Z101" s="66"/>
      <c r="AA101" s="66"/>
    </row>
    <row r="102" ht="15.75" customHeight="1">
      <c r="A102" s="66"/>
      <c r="B102" s="66"/>
      <c r="C102" s="70"/>
      <c r="D102" s="66"/>
      <c r="E102" s="66"/>
      <c r="F102" s="68" t="str">
        <f t="array" ref="F102">IF(INDEX('Binder Data'!$A$1252:$A$1501,ROW()-1)="","",IF(INDEX('Binder Data'!$D$1252:$D$1501,ROW()-1)="Needed",INDEX('Binder Data'!$B$1252:$B$1501,ROW()-1),INDEX('Binder Data'!$D$1252:$D$1501,ROW()-1)))</f>
        <v/>
      </c>
      <c r="G102" s="66"/>
      <c r="H102" s="66"/>
      <c r="I102" s="66"/>
      <c r="J102" s="66"/>
      <c r="K102" s="66"/>
      <c r="L102" s="66"/>
      <c r="M102" s="66"/>
      <c r="N102" s="66"/>
      <c r="O102" s="71"/>
      <c r="P102" s="66"/>
      <c r="Q102" s="66"/>
      <c r="R102" s="66"/>
      <c r="S102" s="66"/>
      <c r="T102" s="66"/>
      <c r="U102" s="66"/>
      <c r="V102" s="66"/>
      <c r="W102" s="66"/>
      <c r="X102" s="66"/>
      <c r="Y102" s="66"/>
      <c r="Z102" s="66"/>
      <c r="AA102" s="66"/>
    </row>
    <row r="103" ht="15.75" customHeight="1">
      <c r="A103" s="66"/>
      <c r="B103" s="66"/>
      <c r="C103" s="70"/>
      <c r="D103" s="66"/>
      <c r="E103" s="66"/>
      <c r="F103" s="68" t="str">
        <f t="array" ref="F103">IF(INDEX('Binder Data'!$A$1252:$A$1501,ROW()-1)="","",IF(INDEX('Binder Data'!$D$1252:$D$1501,ROW()-1)="Needed",INDEX('Binder Data'!$B$1252:$B$1501,ROW()-1),INDEX('Binder Data'!$D$1252:$D$1501,ROW()-1)))</f>
        <v/>
      </c>
      <c r="G103" s="66"/>
      <c r="H103" s="66"/>
      <c r="I103" s="66"/>
      <c r="J103" s="66"/>
      <c r="K103" s="66"/>
      <c r="L103" s="66"/>
      <c r="M103" s="66"/>
      <c r="N103" s="66"/>
      <c r="O103" s="71"/>
      <c r="P103" s="66"/>
      <c r="Q103" s="66"/>
      <c r="R103" s="66"/>
      <c r="S103" s="66"/>
      <c r="T103" s="66"/>
      <c r="U103" s="66"/>
      <c r="V103" s="66"/>
      <c r="W103" s="66"/>
      <c r="X103" s="66"/>
      <c r="Y103" s="66"/>
      <c r="Z103" s="66"/>
      <c r="AA103" s="66"/>
    </row>
    <row r="104" ht="15.75" customHeight="1">
      <c r="A104" s="66"/>
      <c r="B104" s="66"/>
      <c r="C104" s="70"/>
      <c r="D104" s="66"/>
      <c r="E104" s="66"/>
      <c r="F104" s="68" t="str">
        <f t="array" ref="F104">IF(INDEX('Binder Data'!$A$1252:$A$1501,ROW()-1)="","",IF(INDEX('Binder Data'!$D$1252:$D$1501,ROW()-1)="Needed",INDEX('Binder Data'!$B$1252:$B$1501,ROW()-1),INDEX('Binder Data'!$D$1252:$D$1501,ROW()-1)))</f>
        <v/>
      </c>
      <c r="G104" s="66"/>
      <c r="H104" s="66"/>
      <c r="I104" s="66"/>
      <c r="J104" s="66"/>
      <c r="K104" s="66"/>
      <c r="L104" s="66"/>
      <c r="M104" s="66"/>
      <c r="N104" s="66"/>
      <c r="O104" s="71"/>
      <c r="P104" s="66"/>
      <c r="Q104" s="66"/>
      <c r="R104" s="66"/>
      <c r="S104" s="66"/>
      <c r="T104" s="66"/>
      <c r="U104" s="66"/>
      <c r="V104" s="66"/>
      <c r="W104" s="66"/>
      <c r="X104" s="66"/>
      <c r="Y104" s="66"/>
      <c r="Z104" s="66"/>
      <c r="AA104" s="66"/>
    </row>
    <row r="105" ht="15.75" customHeight="1">
      <c r="A105" s="66"/>
      <c r="B105" s="66"/>
      <c r="C105" s="70"/>
      <c r="D105" s="66"/>
      <c r="E105" s="66"/>
      <c r="F105" s="68" t="str">
        <f t="array" ref="F105">IF(INDEX('Binder Data'!$A$1252:$A$1501,ROW()-1)="","",IF(INDEX('Binder Data'!$D$1252:$D$1501,ROW()-1)="Needed",INDEX('Binder Data'!$B$1252:$B$1501,ROW()-1),INDEX('Binder Data'!$D$1252:$D$1501,ROW()-1)))</f>
        <v/>
      </c>
      <c r="G105" s="66"/>
      <c r="H105" s="66"/>
      <c r="I105" s="66"/>
      <c r="J105" s="66"/>
      <c r="K105" s="66"/>
      <c r="L105" s="66"/>
      <c r="M105" s="66"/>
      <c r="N105" s="66"/>
      <c r="O105" s="71"/>
      <c r="P105" s="66"/>
      <c r="Q105" s="66"/>
      <c r="R105" s="66"/>
      <c r="S105" s="66"/>
      <c r="T105" s="66"/>
      <c r="U105" s="66"/>
      <c r="V105" s="66"/>
      <c r="W105" s="66"/>
      <c r="X105" s="66"/>
      <c r="Y105" s="66"/>
      <c r="Z105" s="66"/>
      <c r="AA105" s="66"/>
    </row>
    <row r="106" ht="15.75" customHeight="1">
      <c r="A106" s="66"/>
      <c r="B106" s="66"/>
      <c r="C106" s="70"/>
      <c r="D106" s="66"/>
      <c r="E106" s="66"/>
      <c r="F106" s="68" t="str">
        <f t="array" ref="F106">IF(INDEX('Binder Data'!$A$1252:$A$1501,ROW()-1)="","",IF(INDEX('Binder Data'!$D$1252:$D$1501,ROW()-1)="Needed",INDEX('Binder Data'!$B$1252:$B$1501,ROW()-1),INDEX('Binder Data'!$D$1252:$D$1501,ROW()-1)))</f>
        <v/>
      </c>
      <c r="G106" s="66"/>
      <c r="H106" s="66"/>
      <c r="I106" s="66"/>
      <c r="J106" s="66"/>
      <c r="K106" s="66"/>
      <c r="L106" s="66"/>
      <c r="M106" s="66"/>
      <c r="N106" s="66"/>
      <c r="O106" s="66"/>
      <c r="P106" s="66"/>
      <c r="Q106" s="66"/>
      <c r="R106" s="66"/>
      <c r="S106" s="66"/>
      <c r="T106" s="66"/>
      <c r="U106" s="66"/>
      <c r="V106" s="66"/>
      <c r="W106" s="66"/>
      <c r="X106" s="66"/>
      <c r="Y106" s="66"/>
      <c r="Z106" s="66"/>
      <c r="AA106" s="66"/>
    </row>
    <row r="107" ht="15.75" customHeight="1">
      <c r="A107" s="66"/>
      <c r="B107" s="66"/>
      <c r="C107" s="70"/>
      <c r="D107" s="66"/>
      <c r="E107" s="66"/>
      <c r="F107" s="68" t="str">
        <f t="array" ref="F107">IF(INDEX('Binder Data'!$A$1252:$A$1501,ROW()-1)="","",IF(INDEX('Binder Data'!$D$1252:$D$1501,ROW()-1)="Needed",INDEX('Binder Data'!$B$1252:$B$1501,ROW()-1),INDEX('Binder Data'!$D$1252:$D$1501,ROW()-1)))</f>
        <v/>
      </c>
      <c r="G107" s="66"/>
      <c r="H107" s="66"/>
      <c r="I107" s="66"/>
      <c r="J107" s="66"/>
      <c r="K107" s="66"/>
      <c r="L107" s="66"/>
      <c r="M107" s="66"/>
      <c r="N107" s="66"/>
      <c r="O107" s="66"/>
      <c r="P107" s="66"/>
      <c r="Q107" s="66"/>
      <c r="R107" s="66"/>
      <c r="S107" s="66"/>
      <c r="T107" s="66"/>
      <c r="U107" s="66"/>
      <c r="V107" s="66"/>
      <c r="W107" s="66"/>
      <c r="X107" s="66"/>
      <c r="Y107" s="66"/>
      <c r="Z107" s="66"/>
      <c r="AA107" s="66"/>
    </row>
    <row r="108" ht="15.75" customHeight="1">
      <c r="A108" s="66"/>
      <c r="B108" s="66"/>
      <c r="C108" s="70"/>
      <c r="D108" s="66"/>
      <c r="E108" s="66"/>
      <c r="F108" s="68" t="str">
        <f t="array" ref="F108">IF(INDEX('Binder Data'!$A$1252:$A$1501,ROW()-1)="","",IF(INDEX('Binder Data'!$D$1252:$D$1501,ROW()-1)="Needed",INDEX('Binder Data'!$B$1252:$B$1501,ROW()-1),INDEX('Binder Data'!$D$1252:$D$1501,ROW()-1)))</f>
        <v/>
      </c>
      <c r="G108" s="66"/>
      <c r="H108" s="66"/>
      <c r="I108" s="66"/>
      <c r="J108" s="66"/>
      <c r="K108" s="66"/>
      <c r="L108" s="66"/>
      <c r="M108" s="66"/>
      <c r="N108" s="66"/>
      <c r="O108" s="66"/>
      <c r="P108" s="66"/>
      <c r="Q108" s="66"/>
      <c r="R108" s="66"/>
      <c r="S108" s="66"/>
      <c r="T108" s="66"/>
      <c r="U108" s="66"/>
      <c r="V108" s="66"/>
      <c r="W108" s="66"/>
      <c r="X108" s="66"/>
      <c r="Y108" s="66"/>
      <c r="Z108" s="66"/>
      <c r="AA108" s="66"/>
    </row>
    <row r="109" ht="15.75" customHeight="1">
      <c r="A109" s="66"/>
      <c r="B109" s="66"/>
      <c r="C109" s="70"/>
      <c r="D109" s="66"/>
      <c r="E109" s="66"/>
      <c r="F109" s="68" t="str">
        <f t="array" ref="F109">IF(INDEX('Binder Data'!$A$1252:$A$1501,ROW()-1)="","",IF(INDEX('Binder Data'!$D$1252:$D$1501,ROW()-1)="Needed",INDEX('Binder Data'!$B$1252:$B$1501,ROW()-1),INDEX('Binder Data'!$D$1252:$D$1501,ROW()-1)))</f>
        <v/>
      </c>
      <c r="G109" s="66"/>
      <c r="H109" s="66"/>
      <c r="I109" s="66"/>
      <c r="J109" s="66"/>
      <c r="K109" s="66"/>
      <c r="L109" s="66"/>
      <c r="M109" s="66"/>
      <c r="N109" s="66"/>
      <c r="O109" s="66"/>
      <c r="P109" s="66"/>
      <c r="Q109" s="66"/>
      <c r="R109" s="66"/>
      <c r="S109" s="66"/>
      <c r="T109" s="66"/>
      <c r="U109" s="66"/>
      <c r="V109" s="66"/>
      <c r="W109" s="66"/>
      <c r="X109" s="66"/>
      <c r="Y109" s="66"/>
      <c r="Z109" s="66"/>
      <c r="AA109" s="66"/>
    </row>
    <row r="110" ht="15.75" customHeight="1">
      <c r="A110" s="66"/>
      <c r="B110" s="66"/>
      <c r="C110" s="70"/>
      <c r="D110" s="66"/>
      <c r="E110" s="66"/>
      <c r="F110" s="68" t="str">
        <f t="array" ref="F110">IF(INDEX('Binder Data'!$A$1252:$A$1501,ROW()-1)="","",IF(INDEX('Binder Data'!$D$1252:$D$1501,ROW()-1)="Needed",INDEX('Binder Data'!$B$1252:$B$1501,ROW()-1),INDEX('Binder Data'!$D$1252:$D$1501,ROW()-1)))</f>
        <v/>
      </c>
      <c r="G110" s="66"/>
      <c r="H110" s="66"/>
      <c r="I110" s="66"/>
      <c r="J110" s="66"/>
      <c r="K110" s="66"/>
      <c r="L110" s="66"/>
      <c r="M110" s="66"/>
      <c r="N110" s="66"/>
      <c r="O110" s="66"/>
      <c r="P110" s="66"/>
      <c r="Q110" s="66"/>
      <c r="R110" s="66"/>
      <c r="S110" s="66"/>
      <c r="T110" s="66"/>
      <c r="U110" s="66"/>
      <c r="V110" s="66"/>
      <c r="W110" s="66"/>
      <c r="X110" s="66"/>
      <c r="Y110" s="66"/>
      <c r="Z110" s="66"/>
      <c r="AA110" s="66"/>
    </row>
    <row r="111" ht="15.75" customHeight="1">
      <c r="A111" s="66"/>
      <c r="B111" s="66"/>
      <c r="C111" s="70"/>
      <c r="D111" s="66"/>
      <c r="E111" s="66"/>
      <c r="F111" s="68" t="str">
        <f t="array" ref="F111">IF(INDEX('Binder Data'!$A$1252:$A$1501,ROW()-1)="","",IF(INDEX('Binder Data'!$D$1252:$D$1501,ROW()-1)="Needed",INDEX('Binder Data'!$B$1252:$B$1501,ROW()-1),INDEX('Binder Data'!$D$1252:$D$1501,ROW()-1)))</f>
        <v/>
      </c>
      <c r="G111" s="66"/>
      <c r="H111" s="66"/>
      <c r="I111" s="66"/>
      <c r="J111" s="66"/>
      <c r="K111" s="66"/>
      <c r="L111" s="66"/>
      <c r="M111" s="66"/>
      <c r="N111" s="66"/>
      <c r="O111" s="66"/>
      <c r="P111" s="66"/>
      <c r="Q111" s="66"/>
      <c r="R111" s="66"/>
      <c r="S111" s="66"/>
      <c r="T111" s="66"/>
      <c r="U111" s="66"/>
      <c r="V111" s="66"/>
      <c r="W111" s="66"/>
      <c r="X111" s="66"/>
      <c r="Y111" s="66"/>
      <c r="Z111" s="66"/>
      <c r="AA111" s="66"/>
    </row>
    <row r="112" ht="15.75" customHeight="1">
      <c r="A112" s="66"/>
      <c r="B112" s="66"/>
      <c r="C112" s="70"/>
      <c r="D112" s="66"/>
      <c r="E112" s="66"/>
      <c r="F112" s="68" t="str">
        <f t="array" ref="F112">IF(INDEX('Binder Data'!$A$1252:$A$1501,ROW()-1)="","",IF(INDEX('Binder Data'!$D$1252:$D$1501,ROW()-1)="Needed",INDEX('Binder Data'!$B$1252:$B$1501,ROW()-1),INDEX('Binder Data'!$D$1252:$D$1501,ROW()-1)))</f>
        <v/>
      </c>
      <c r="G112" s="66"/>
      <c r="H112" s="66"/>
      <c r="I112" s="66"/>
      <c r="J112" s="66"/>
      <c r="K112" s="66"/>
      <c r="L112" s="66"/>
      <c r="M112" s="66"/>
      <c r="N112" s="66"/>
      <c r="O112" s="66"/>
      <c r="P112" s="66"/>
      <c r="Q112" s="66"/>
      <c r="R112" s="66"/>
      <c r="S112" s="66"/>
      <c r="T112" s="66"/>
      <c r="U112" s="66"/>
      <c r="V112" s="66"/>
      <c r="W112" s="66"/>
      <c r="X112" s="66"/>
      <c r="Y112" s="66"/>
      <c r="Z112" s="66"/>
      <c r="AA112" s="66"/>
    </row>
    <row r="113" ht="15.75" customHeight="1">
      <c r="A113" s="66"/>
      <c r="B113" s="66"/>
      <c r="C113" s="70"/>
      <c r="D113" s="66"/>
      <c r="E113" s="66"/>
      <c r="F113" s="68" t="str">
        <f t="array" ref="F113">IF(INDEX('Binder Data'!$A$1252:$A$1501,ROW()-1)="","",IF(INDEX('Binder Data'!$D$1252:$D$1501,ROW()-1)="Needed",INDEX('Binder Data'!$B$1252:$B$1501,ROW()-1),INDEX('Binder Data'!$D$1252:$D$1501,ROW()-1)))</f>
        <v/>
      </c>
      <c r="G113" s="66"/>
      <c r="H113" s="66"/>
      <c r="I113" s="66"/>
      <c r="J113" s="66"/>
      <c r="K113" s="66"/>
      <c r="L113" s="66"/>
      <c r="M113" s="66"/>
      <c r="N113" s="66"/>
      <c r="O113" s="66"/>
      <c r="P113" s="66"/>
      <c r="Q113" s="66"/>
      <c r="R113" s="66"/>
      <c r="S113" s="66"/>
      <c r="T113" s="66"/>
      <c r="U113" s="66"/>
      <c r="V113" s="66"/>
      <c r="W113" s="66"/>
      <c r="X113" s="66"/>
      <c r="Y113" s="66"/>
      <c r="Z113" s="66"/>
      <c r="AA113" s="66"/>
    </row>
    <row r="114" ht="15.75" customHeight="1">
      <c r="A114" s="66"/>
      <c r="B114" s="66"/>
      <c r="C114" s="70"/>
      <c r="D114" s="66"/>
      <c r="E114" s="66"/>
      <c r="F114" s="68" t="str">
        <f t="array" ref="F114">IF(INDEX('Binder Data'!$A$1252:$A$1501,ROW()-1)="","",IF(INDEX('Binder Data'!$D$1252:$D$1501,ROW()-1)="Needed",INDEX('Binder Data'!$B$1252:$B$1501,ROW()-1),INDEX('Binder Data'!$D$1252:$D$1501,ROW()-1)))</f>
        <v/>
      </c>
      <c r="G114" s="66"/>
      <c r="H114" s="66"/>
      <c r="I114" s="66"/>
      <c r="J114" s="66"/>
      <c r="K114" s="66"/>
      <c r="L114" s="66"/>
      <c r="M114" s="66"/>
      <c r="N114" s="66"/>
      <c r="O114" s="66"/>
      <c r="P114" s="66"/>
      <c r="Q114" s="66"/>
      <c r="R114" s="66"/>
      <c r="S114" s="66"/>
      <c r="T114" s="66"/>
      <c r="U114" s="66"/>
      <c r="V114" s="66"/>
      <c r="W114" s="66"/>
      <c r="X114" s="66"/>
      <c r="Y114" s="66"/>
      <c r="Z114" s="66"/>
      <c r="AA114" s="66"/>
    </row>
    <row r="115" ht="15.75" customHeight="1">
      <c r="A115" s="66"/>
      <c r="B115" s="66"/>
      <c r="C115" s="70"/>
      <c r="D115" s="66"/>
      <c r="E115" s="66"/>
      <c r="F115" s="68" t="str">
        <f t="array" ref="F115">IF(INDEX('Binder Data'!$A$1252:$A$1501,ROW()-1)="","",IF(INDEX('Binder Data'!$D$1252:$D$1501,ROW()-1)="Needed",INDEX('Binder Data'!$B$1252:$B$1501,ROW()-1),INDEX('Binder Data'!$D$1252:$D$1501,ROW()-1)))</f>
        <v/>
      </c>
      <c r="G115" s="66"/>
      <c r="H115" s="66"/>
      <c r="I115" s="66"/>
      <c r="J115" s="66"/>
      <c r="K115" s="66"/>
      <c r="L115" s="66"/>
      <c r="M115" s="66"/>
      <c r="N115" s="66"/>
      <c r="O115" s="66"/>
      <c r="P115" s="66"/>
      <c r="Q115" s="66"/>
      <c r="R115" s="66"/>
      <c r="S115" s="66"/>
      <c r="T115" s="66"/>
      <c r="U115" s="66"/>
      <c r="V115" s="66"/>
      <c r="W115" s="66"/>
      <c r="X115" s="66"/>
      <c r="Y115" s="66"/>
      <c r="Z115" s="66"/>
      <c r="AA115" s="66"/>
    </row>
    <row r="116" ht="15.75" customHeight="1">
      <c r="A116" s="66"/>
      <c r="B116" s="66"/>
      <c r="C116" s="70"/>
      <c r="D116" s="66"/>
      <c r="E116" s="66"/>
      <c r="F116" s="68" t="str">
        <f t="array" ref="F116">IF(INDEX('Binder Data'!$A$1252:$A$1501,ROW()-1)="","",IF(INDEX('Binder Data'!$D$1252:$D$1501,ROW()-1)="Needed",INDEX('Binder Data'!$B$1252:$B$1501,ROW()-1),INDEX('Binder Data'!$D$1252:$D$1501,ROW()-1)))</f>
        <v/>
      </c>
      <c r="G116" s="66"/>
      <c r="H116" s="66"/>
      <c r="I116" s="66"/>
      <c r="J116" s="66"/>
      <c r="K116" s="66"/>
      <c r="L116" s="66"/>
      <c r="M116" s="66"/>
      <c r="N116" s="66"/>
      <c r="O116" s="66"/>
      <c r="P116" s="66"/>
      <c r="Q116" s="66"/>
      <c r="R116" s="66"/>
      <c r="S116" s="66"/>
      <c r="T116" s="66"/>
      <c r="U116" s="66"/>
      <c r="V116" s="66"/>
      <c r="W116" s="66"/>
      <c r="X116" s="66"/>
      <c r="Y116" s="66"/>
      <c r="Z116" s="66"/>
      <c r="AA116" s="66"/>
    </row>
    <row r="117" ht="15.75" customHeight="1">
      <c r="A117" s="66"/>
      <c r="B117" s="66"/>
      <c r="C117" s="70"/>
      <c r="D117" s="66"/>
      <c r="E117" s="66"/>
      <c r="F117" s="68" t="str">
        <f t="array" ref="F117">IF(INDEX('Binder Data'!$A$1252:$A$1501,ROW()-1)="","",IF(INDEX('Binder Data'!$D$1252:$D$1501,ROW()-1)="Needed",INDEX('Binder Data'!$B$1252:$B$1501,ROW()-1),INDEX('Binder Data'!$D$1252:$D$1501,ROW()-1)))</f>
        <v/>
      </c>
      <c r="G117" s="66"/>
      <c r="H117" s="66"/>
      <c r="I117" s="66"/>
      <c r="J117" s="66"/>
      <c r="K117" s="66"/>
      <c r="L117" s="66"/>
      <c r="M117" s="66"/>
      <c r="N117" s="66"/>
      <c r="O117" s="66"/>
      <c r="P117" s="66"/>
      <c r="Q117" s="66"/>
      <c r="R117" s="66"/>
      <c r="S117" s="66"/>
      <c r="T117" s="66"/>
      <c r="U117" s="66"/>
      <c r="V117" s="66"/>
      <c r="W117" s="66"/>
      <c r="X117" s="66"/>
      <c r="Y117" s="66"/>
      <c r="Z117" s="66"/>
      <c r="AA117" s="66"/>
    </row>
    <row r="118" ht="15.75" customHeight="1">
      <c r="A118" s="66"/>
      <c r="B118" s="66"/>
      <c r="C118" s="70"/>
      <c r="D118" s="66"/>
      <c r="E118" s="66"/>
      <c r="F118" s="68" t="str">
        <f t="array" ref="F118">IF(INDEX('Binder Data'!$A$1252:$A$1501,ROW()-1)="","",IF(INDEX('Binder Data'!$D$1252:$D$1501,ROW()-1)="Needed",INDEX('Binder Data'!$B$1252:$B$1501,ROW()-1),INDEX('Binder Data'!$D$1252:$D$1501,ROW()-1)))</f>
        <v/>
      </c>
      <c r="G118" s="66"/>
      <c r="H118" s="66"/>
      <c r="I118" s="66"/>
      <c r="J118" s="66"/>
      <c r="K118" s="66"/>
      <c r="L118" s="66"/>
      <c r="M118" s="66"/>
      <c r="N118" s="66"/>
      <c r="O118" s="66"/>
      <c r="P118" s="66"/>
      <c r="Q118" s="66"/>
      <c r="R118" s="66"/>
      <c r="S118" s="66"/>
      <c r="T118" s="66"/>
      <c r="U118" s="66"/>
      <c r="V118" s="66"/>
      <c r="W118" s="66"/>
      <c r="X118" s="66"/>
      <c r="Y118" s="66"/>
      <c r="Z118" s="66"/>
      <c r="AA118" s="66"/>
    </row>
    <row r="119" ht="15.75" customHeight="1">
      <c r="A119" s="66"/>
      <c r="B119" s="66"/>
      <c r="C119" s="70"/>
      <c r="D119" s="66"/>
      <c r="E119" s="66"/>
      <c r="F119" s="68" t="str">
        <f t="array" ref="F119">IF(INDEX('Binder Data'!$A$1252:$A$1501,ROW()-1)="","",IF(INDEX('Binder Data'!$D$1252:$D$1501,ROW()-1)="Needed",INDEX('Binder Data'!$B$1252:$B$1501,ROW()-1),INDEX('Binder Data'!$D$1252:$D$1501,ROW()-1)))</f>
        <v/>
      </c>
      <c r="G119" s="66"/>
      <c r="H119" s="66"/>
      <c r="I119" s="66"/>
      <c r="J119" s="66"/>
      <c r="K119" s="66"/>
      <c r="L119" s="66"/>
      <c r="M119" s="66"/>
      <c r="N119" s="66"/>
      <c r="O119" s="66"/>
      <c r="P119" s="66"/>
      <c r="Q119" s="66"/>
      <c r="R119" s="66"/>
      <c r="S119" s="66"/>
      <c r="T119" s="66"/>
      <c r="U119" s="66"/>
      <c r="V119" s="66"/>
      <c r="W119" s="66"/>
      <c r="X119" s="66"/>
      <c r="Y119" s="66"/>
      <c r="Z119" s="66"/>
      <c r="AA119" s="66"/>
    </row>
    <row r="120" ht="15.75" customHeight="1">
      <c r="A120" s="66"/>
      <c r="B120" s="66"/>
      <c r="C120" s="70"/>
      <c r="D120" s="66"/>
      <c r="E120" s="66"/>
      <c r="F120" s="68" t="str">
        <f t="array" ref="F120">IF(INDEX('Binder Data'!$A$1252:$A$1501,ROW()-1)="","",IF(INDEX('Binder Data'!$D$1252:$D$1501,ROW()-1)="Needed",INDEX('Binder Data'!$B$1252:$B$1501,ROW()-1),INDEX('Binder Data'!$D$1252:$D$1501,ROW()-1)))</f>
        <v/>
      </c>
      <c r="G120" s="66"/>
      <c r="H120" s="66"/>
      <c r="I120" s="66"/>
      <c r="J120" s="66"/>
      <c r="K120" s="66"/>
      <c r="L120" s="66"/>
      <c r="M120" s="66"/>
      <c r="N120" s="66"/>
      <c r="O120" s="66"/>
      <c r="P120" s="66"/>
      <c r="Q120" s="66"/>
      <c r="R120" s="66"/>
      <c r="S120" s="66"/>
      <c r="T120" s="66"/>
      <c r="U120" s="66"/>
      <c r="V120" s="66"/>
      <c r="W120" s="66"/>
      <c r="X120" s="66"/>
      <c r="Y120" s="66"/>
      <c r="Z120" s="66"/>
      <c r="AA120" s="66"/>
    </row>
    <row r="121" ht="15.75" customHeight="1">
      <c r="A121" s="66"/>
      <c r="B121" s="66"/>
      <c r="C121" s="70"/>
      <c r="D121" s="66"/>
      <c r="E121" s="66"/>
      <c r="F121" s="68" t="str">
        <f t="array" ref="F121">IF(INDEX('Binder Data'!$A$1252:$A$1501,ROW()-1)="","",IF(INDEX('Binder Data'!$D$1252:$D$1501,ROW()-1)="Needed",INDEX('Binder Data'!$B$1252:$B$1501,ROW()-1),INDEX('Binder Data'!$D$1252:$D$1501,ROW()-1)))</f>
        <v/>
      </c>
      <c r="G121" s="66"/>
      <c r="H121" s="66"/>
      <c r="I121" s="66"/>
      <c r="J121" s="66"/>
      <c r="K121" s="66"/>
      <c r="L121" s="66"/>
      <c r="M121" s="66"/>
      <c r="N121" s="66"/>
      <c r="O121" s="66"/>
      <c r="P121" s="66"/>
      <c r="Q121" s="66"/>
      <c r="R121" s="66"/>
      <c r="S121" s="66"/>
      <c r="T121" s="66"/>
      <c r="U121" s="66"/>
      <c r="V121" s="66"/>
      <c r="W121" s="66"/>
      <c r="X121" s="66"/>
      <c r="Y121" s="66"/>
      <c r="Z121" s="66"/>
      <c r="AA121" s="66"/>
    </row>
    <row r="122" ht="15.75" customHeight="1">
      <c r="A122" s="66"/>
      <c r="B122" s="66"/>
      <c r="C122" s="70"/>
      <c r="D122" s="66"/>
      <c r="E122" s="66"/>
      <c r="F122" s="68" t="str">
        <f t="array" ref="F122">IF(INDEX('Binder Data'!$A$1252:$A$1501,ROW()-1)="","",IF(INDEX('Binder Data'!$D$1252:$D$1501,ROW()-1)="Needed",INDEX('Binder Data'!$B$1252:$B$1501,ROW()-1),INDEX('Binder Data'!$D$1252:$D$1501,ROW()-1)))</f>
        <v/>
      </c>
      <c r="G122" s="66"/>
      <c r="H122" s="66"/>
      <c r="I122" s="66"/>
      <c r="J122" s="66"/>
      <c r="K122" s="66"/>
      <c r="L122" s="66"/>
      <c r="M122" s="66"/>
      <c r="N122" s="66"/>
      <c r="O122" s="66"/>
      <c r="P122" s="66"/>
      <c r="Q122" s="66"/>
      <c r="R122" s="66"/>
      <c r="S122" s="66"/>
      <c r="T122" s="66"/>
      <c r="U122" s="66"/>
      <c r="V122" s="66"/>
      <c r="W122" s="66"/>
      <c r="X122" s="66"/>
      <c r="Y122" s="66"/>
      <c r="Z122" s="66"/>
      <c r="AA122" s="66"/>
    </row>
    <row r="123" ht="15.75" customHeight="1">
      <c r="A123" s="66"/>
      <c r="B123" s="66"/>
      <c r="C123" s="70"/>
      <c r="D123" s="66"/>
      <c r="E123" s="66"/>
      <c r="F123" s="68" t="str">
        <f t="array" ref="F123">IF(INDEX('Binder Data'!$A$1252:$A$1501,ROW()-1)="","",IF(INDEX('Binder Data'!$D$1252:$D$1501,ROW()-1)="Needed",INDEX('Binder Data'!$B$1252:$B$1501,ROW()-1),INDEX('Binder Data'!$D$1252:$D$1501,ROW()-1)))</f>
        <v/>
      </c>
      <c r="G123" s="66"/>
      <c r="H123" s="66"/>
      <c r="I123" s="66"/>
      <c r="J123" s="66"/>
      <c r="K123" s="66"/>
      <c r="L123" s="66"/>
      <c r="M123" s="66"/>
      <c r="N123" s="66"/>
      <c r="O123" s="66"/>
      <c r="P123" s="66"/>
      <c r="Q123" s="66"/>
      <c r="R123" s="66"/>
      <c r="S123" s="66"/>
      <c r="T123" s="66"/>
      <c r="U123" s="66"/>
      <c r="V123" s="66"/>
      <c r="W123" s="66"/>
      <c r="X123" s="66"/>
      <c r="Y123" s="66"/>
      <c r="Z123" s="66"/>
      <c r="AA123" s="66"/>
    </row>
    <row r="124" ht="15.75" customHeight="1">
      <c r="A124" s="66"/>
      <c r="B124" s="66"/>
      <c r="C124" s="70"/>
      <c r="D124" s="66"/>
      <c r="E124" s="66"/>
      <c r="F124" s="68" t="str">
        <f t="array" ref="F124">IF(INDEX('Binder Data'!$A$1252:$A$1501,ROW()-1)="","",IF(INDEX('Binder Data'!$D$1252:$D$1501,ROW()-1)="Needed",INDEX('Binder Data'!$B$1252:$B$1501,ROW()-1),INDEX('Binder Data'!$D$1252:$D$1501,ROW()-1)))</f>
        <v/>
      </c>
      <c r="G124" s="66"/>
      <c r="H124" s="66"/>
      <c r="I124" s="66"/>
      <c r="J124" s="66"/>
      <c r="K124" s="66"/>
      <c r="L124" s="66"/>
      <c r="M124" s="66"/>
      <c r="N124" s="66"/>
      <c r="O124" s="66"/>
      <c r="P124" s="66"/>
      <c r="Q124" s="66"/>
      <c r="R124" s="66"/>
      <c r="S124" s="66"/>
      <c r="T124" s="66"/>
      <c r="U124" s="66"/>
      <c r="V124" s="66"/>
      <c r="W124" s="66"/>
      <c r="X124" s="66"/>
      <c r="Y124" s="66"/>
      <c r="Z124" s="66"/>
      <c r="AA124" s="66"/>
    </row>
    <row r="125" ht="15.75" customHeight="1">
      <c r="A125" s="66"/>
      <c r="B125" s="66"/>
      <c r="C125" s="70"/>
      <c r="D125" s="66"/>
      <c r="E125" s="66"/>
      <c r="F125" s="68" t="str">
        <f t="array" ref="F125">IF(INDEX('Binder Data'!$A$1252:$A$1501,ROW()-1)="","",IF(INDEX('Binder Data'!$D$1252:$D$1501,ROW()-1)="Needed",INDEX('Binder Data'!$B$1252:$B$1501,ROW()-1),INDEX('Binder Data'!$D$1252:$D$1501,ROW()-1)))</f>
        <v/>
      </c>
      <c r="G125" s="66"/>
      <c r="H125" s="66"/>
      <c r="I125" s="66"/>
      <c r="J125" s="66"/>
      <c r="K125" s="66"/>
      <c r="L125" s="66"/>
      <c r="M125" s="66"/>
      <c r="N125" s="66"/>
      <c r="O125" s="66"/>
      <c r="P125" s="66"/>
      <c r="Q125" s="66"/>
      <c r="R125" s="66"/>
      <c r="S125" s="66"/>
      <c r="T125" s="66"/>
      <c r="U125" s="66"/>
      <c r="V125" s="66"/>
      <c r="W125" s="66"/>
      <c r="X125" s="66"/>
      <c r="Y125" s="66"/>
      <c r="Z125" s="66"/>
      <c r="AA125" s="66"/>
    </row>
    <row r="126" ht="15.75" customHeight="1">
      <c r="A126" s="66"/>
      <c r="B126" s="66"/>
      <c r="C126" s="70"/>
      <c r="D126" s="66"/>
      <c r="E126" s="66"/>
      <c r="F126" s="68" t="str">
        <f t="array" ref="F126">IF(INDEX('Binder Data'!$A$1252:$A$1501,ROW()-1)="","",IF(INDEX('Binder Data'!$D$1252:$D$1501,ROW()-1)="Needed",INDEX('Binder Data'!$B$1252:$B$1501,ROW()-1),INDEX('Binder Data'!$D$1252:$D$1501,ROW()-1)))</f>
        <v/>
      </c>
      <c r="G126" s="66"/>
      <c r="H126" s="66"/>
      <c r="I126" s="66"/>
      <c r="J126" s="66"/>
      <c r="K126" s="66"/>
      <c r="L126" s="66"/>
      <c r="M126" s="66"/>
      <c r="N126" s="66"/>
      <c r="O126" s="66"/>
      <c r="P126" s="66"/>
      <c r="Q126" s="66"/>
      <c r="R126" s="66"/>
      <c r="S126" s="66"/>
      <c r="T126" s="66"/>
      <c r="U126" s="66"/>
      <c r="V126" s="66"/>
      <c r="W126" s="66"/>
      <c r="X126" s="66"/>
      <c r="Y126" s="66"/>
      <c r="Z126" s="66"/>
      <c r="AA126" s="66"/>
    </row>
    <row r="127" ht="15.75" customHeight="1">
      <c r="A127" s="66"/>
      <c r="B127" s="66"/>
      <c r="C127" s="70"/>
      <c r="D127" s="66"/>
      <c r="E127" s="66"/>
      <c r="F127" s="68" t="str">
        <f t="array" ref="F127">IF(INDEX('Binder Data'!$A$1252:$A$1501,ROW()-1)="","",IF(INDEX('Binder Data'!$D$1252:$D$1501,ROW()-1)="Needed",INDEX('Binder Data'!$B$1252:$B$1501,ROW()-1),INDEX('Binder Data'!$D$1252:$D$1501,ROW()-1)))</f>
        <v/>
      </c>
      <c r="G127" s="66"/>
      <c r="H127" s="66"/>
      <c r="I127" s="66"/>
      <c r="J127" s="66"/>
      <c r="K127" s="66"/>
      <c r="L127" s="66"/>
      <c r="M127" s="66"/>
      <c r="N127" s="66"/>
      <c r="O127" s="66"/>
      <c r="P127" s="66"/>
      <c r="Q127" s="66"/>
      <c r="R127" s="66"/>
      <c r="S127" s="66"/>
      <c r="T127" s="66"/>
      <c r="U127" s="66"/>
      <c r="V127" s="66"/>
      <c r="W127" s="66"/>
      <c r="X127" s="66"/>
      <c r="Y127" s="66"/>
      <c r="Z127" s="66"/>
      <c r="AA127" s="66"/>
    </row>
    <row r="128" ht="15.75" customHeight="1">
      <c r="A128" s="66"/>
      <c r="B128" s="66"/>
      <c r="C128" s="70"/>
      <c r="D128" s="66"/>
      <c r="E128" s="66"/>
      <c r="F128" s="68" t="str">
        <f t="array" ref="F128">IF(INDEX('Binder Data'!$A$1252:$A$1501,ROW()-1)="","",IF(INDEX('Binder Data'!$D$1252:$D$1501,ROW()-1)="Needed",INDEX('Binder Data'!$B$1252:$B$1501,ROW()-1),INDEX('Binder Data'!$D$1252:$D$1501,ROW()-1)))</f>
        <v/>
      </c>
      <c r="G128" s="66"/>
      <c r="H128" s="66"/>
      <c r="I128" s="66"/>
      <c r="J128" s="66"/>
      <c r="K128" s="66"/>
      <c r="L128" s="66"/>
      <c r="M128" s="66"/>
      <c r="N128" s="66"/>
      <c r="O128" s="66"/>
      <c r="P128" s="66"/>
      <c r="Q128" s="66"/>
      <c r="R128" s="66"/>
      <c r="S128" s="66"/>
      <c r="T128" s="66"/>
      <c r="U128" s="66"/>
      <c r="V128" s="66"/>
      <c r="W128" s="66"/>
      <c r="X128" s="66"/>
      <c r="Y128" s="66"/>
      <c r="Z128" s="66"/>
      <c r="AA128" s="66"/>
    </row>
    <row r="129" ht="15.75" customHeight="1">
      <c r="A129" s="66"/>
      <c r="B129" s="66"/>
      <c r="C129" s="70"/>
      <c r="D129" s="66"/>
      <c r="E129" s="66"/>
      <c r="F129" s="68" t="str">
        <f t="array" ref="F129">IF(INDEX('Binder Data'!$A$1252:$A$1501,ROW()-1)="","",IF(INDEX('Binder Data'!$D$1252:$D$1501,ROW()-1)="Needed",INDEX('Binder Data'!$B$1252:$B$1501,ROW()-1),INDEX('Binder Data'!$D$1252:$D$1501,ROW()-1)))</f>
        <v/>
      </c>
      <c r="G129" s="66"/>
      <c r="H129" s="66"/>
      <c r="I129" s="66"/>
      <c r="J129" s="66"/>
      <c r="K129" s="66"/>
      <c r="L129" s="66"/>
      <c r="M129" s="66"/>
      <c r="N129" s="66"/>
      <c r="O129" s="66"/>
      <c r="P129" s="66"/>
      <c r="Q129" s="66"/>
      <c r="R129" s="66"/>
      <c r="S129" s="66"/>
      <c r="T129" s="66"/>
      <c r="U129" s="66"/>
      <c r="V129" s="66"/>
      <c r="W129" s="66"/>
      <c r="X129" s="66"/>
      <c r="Y129" s="66"/>
      <c r="Z129" s="66"/>
      <c r="AA129" s="66"/>
    </row>
    <row r="130" ht="15.75" customHeight="1">
      <c r="A130" s="66"/>
      <c r="B130" s="66"/>
      <c r="C130" s="70"/>
      <c r="D130" s="66"/>
      <c r="E130" s="66"/>
      <c r="F130" s="68" t="str">
        <f t="array" ref="F130">IF(INDEX('Binder Data'!$A$1252:$A$1501,ROW()-1)="","",IF(INDEX('Binder Data'!$D$1252:$D$1501,ROW()-1)="Needed",INDEX('Binder Data'!$B$1252:$B$1501,ROW()-1),INDEX('Binder Data'!$D$1252:$D$1501,ROW()-1)))</f>
        <v/>
      </c>
      <c r="G130" s="66"/>
      <c r="H130" s="66"/>
      <c r="I130" s="66"/>
      <c r="J130" s="66"/>
      <c r="K130" s="66"/>
      <c r="L130" s="66"/>
      <c r="M130" s="66"/>
      <c r="N130" s="66"/>
      <c r="O130" s="66"/>
      <c r="P130" s="66"/>
      <c r="Q130" s="66"/>
      <c r="R130" s="66"/>
      <c r="S130" s="66"/>
      <c r="T130" s="66"/>
      <c r="U130" s="66"/>
      <c r="V130" s="66"/>
      <c r="W130" s="66"/>
      <c r="X130" s="66"/>
      <c r="Y130" s="66"/>
      <c r="Z130" s="66"/>
      <c r="AA130" s="66"/>
    </row>
    <row r="131" ht="15.75" customHeight="1">
      <c r="A131" s="66"/>
      <c r="B131" s="66"/>
      <c r="C131" s="70"/>
      <c r="D131" s="66"/>
      <c r="E131" s="66"/>
      <c r="F131" s="68" t="str">
        <f t="array" ref="F131">IF(INDEX('Binder Data'!$A$1252:$A$1501,ROW()-1)="","",IF(INDEX('Binder Data'!$D$1252:$D$1501,ROW()-1)="Needed",INDEX('Binder Data'!$B$1252:$B$1501,ROW()-1),INDEX('Binder Data'!$D$1252:$D$1501,ROW()-1)))</f>
        <v/>
      </c>
      <c r="G131" s="66"/>
      <c r="H131" s="66"/>
      <c r="I131" s="66"/>
      <c r="J131" s="66"/>
      <c r="K131" s="66"/>
      <c r="L131" s="66"/>
      <c r="M131" s="66"/>
      <c r="N131" s="66"/>
      <c r="O131" s="66"/>
      <c r="P131" s="66"/>
      <c r="Q131" s="66"/>
      <c r="R131" s="66"/>
      <c r="S131" s="66"/>
      <c r="T131" s="66"/>
      <c r="U131" s="66"/>
      <c r="V131" s="66"/>
      <c r="W131" s="66"/>
      <c r="X131" s="66"/>
      <c r="Y131" s="66"/>
      <c r="Z131" s="66"/>
      <c r="AA131" s="66"/>
    </row>
    <row r="132" ht="15.75" customHeight="1">
      <c r="A132" s="66"/>
      <c r="B132" s="66"/>
      <c r="C132" s="70"/>
      <c r="D132" s="66"/>
      <c r="E132" s="66"/>
      <c r="F132" s="68" t="str">
        <f t="array" ref="F132">IF(INDEX('Binder Data'!$A$1252:$A$1501,ROW()-1)="","",IF(INDEX('Binder Data'!$D$1252:$D$1501,ROW()-1)="Needed",INDEX('Binder Data'!$B$1252:$B$1501,ROW()-1),INDEX('Binder Data'!$D$1252:$D$1501,ROW()-1)))</f>
        <v/>
      </c>
      <c r="G132" s="66"/>
      <c r="H132" s="66"/>
      <c r="I132" s="66"/>
      <c r="J132" s="66"/>
      <c r="K132" s="66"/>
      <c r="L132" s="66"/>
      <c r="M132" s="66"/>
      <c r="N132" s="66"/>
      <c r="O132" s="66"/>
      <c r="P132" s="66"/>
      <c r="Q132" s="66"/>
      <c r="R132" s="66"/>
      <c r="S132" s="66"/>
      <c r="T132" s="66"/>
      <c r="U132" s="66"/>
      <c r="V132" s="66"/>
      <c r="W132" s="66"/>
      <c r="X132" s="66"/>
      <c r="Y132" s="66"/>
      <c r="Z132" s="66"/>
      <c r="AA132" s="66"/>
    </row>
    <row r="133" ht="15.75" customHeight="1">
      <c r="A133" s="66"/>
      <c r="B133" s="66"/>
      <c r="C133" s="70"/>
      <c r="D133" s="66"/>
      <c r="E133" s="66"/>
      <c r="F133" s="68" t="str">
        <f t="array" ref="F133">IF(INDEX('Binder Data'!$A$1252:$A$1501,ROW()-1)="","",IF(INDEX('Binder Data'!$D$1252:$D$1501,ROW()-1)="Needed",INDEX('Binder Data'!$B$1252:$B$1501,ROW()-1),INDEX('Binder Data'!$D$1252:$D$1501,ROW()-1)))</f>
        <v/>
      </c>
      <c r="G133" s="66"/>
      <c r="H133" s="66"/>
      <c r="I133" s="66"/>
      <c r="J133" s="66"/>
      <c r="K133" s="66"/>
      <c r="L133" s="66"/>
      <c r="M133" s="66"/>
      <c r="N133" s="66"/>
      <c r="O133" s="66"/>
      <c r="P133" s="66"/>
      <c r="Q133" s="66"/>
      <c r="R133" s="66"/>
      <c r="S133" s="66"/>
      <c r="T133" s="66"/>
      <c r="U133" s="66"/>
      <c r="V133" s="66"/>
      <c r="W133" s="66"/>
      <c r="X133" s="66"/>
      <c r="Y133" s="66"/>
      <c r="Z133" s="66"/>
      <c r="AA133" s="66"/>
    </row>
    <row r="134" ht="15.75" customHeight="1">
      <c r="A134" s="66"/>
      <c r="B134" s="66"/>
      <c r="C134" s="70"/>
      <c r="D134" s="66"/>
      <c r="E134" s="66"/>
      <c r="F134" s="68" t="str">
        <f t="array" ref="F134">IF(INDEX('Binder Data'!$A$1252:$A$1501,ROW()-1)="","",IF(INDEX('Binder Data'!$D$1252:$D$1501,ROW()-1)="Needed",INDEX('Binder Data'!$B$1252:$B$1501,ROW()-1),INDEX('Binder Data'!$D$1252:$D$1501,ROW()-1)))</f>
        <v/>
      </c>
      <c r="G134" s="66"/>
      <c r="H134" s="66"/>
      <c r="I134" s="66"/>
      <c r="J134" s="66"/>
      <c r="K134" s="66"/>
      <c r="L134" s="66"/>
      <c r="M134" s="66"/>
      <c r="N134" s="66"/>
      <c r="O134" s="66"/>
      <c r="P134" s="66"/>
      <c r="Q134" s="66"/>
      <c r="R134" s="66"/>
      <c r="S134" s="66"/>
      <c r="T134" s="66"/>
      <c r="U134" s="66"/>
      <c r="V134" s="66"/>
      <c r="W134" s="66"/>
      <c r="X134" s="66"/>
      <c r="Y134" s="66"/>
      <c r="Z134" s="66"/>
      <c r="AA134" s="66"/>
    </row>
    <row r="135" ht="15.75" customHeight="1">
      <c r="A135" s="66"/>
      <c r="B135" s="66"/>
      <c r="C135" s="70"/>
      <c r="D135" s="66"/>
      <c r="E135" s="66"/>
      <c r="F135" s="68" t="str">
        <f t="array" ref="F135">IF(INDEX('Binder Data'!$A$1252:$A$1501,ROW()-1)="","",IF(INDEX('Binder Data'!$D$1252:$D$1501,ROW()-1)="Needed",INDEX('Binder Data'!$B$1252:$B$1501,ROW()-1),INDEX('Binder Data'!$D$1252:$D$1501,ROW()-1)))</f>
        <v/>
      </c>
      <c r="G135" s="66"/>
      <c r="H135" s="66"/>
      <c r="I135" s="66"/>
      <c r="J135" s="66"/>
      <c r="K135" s="66"/>
      <c r="L135" s="66"/>
      <c r="M135" s="66"/>
      <c r="N135" s="66"/>
      <c r="O135" s="66"/>
      <c r="P135" s="66"/>
      <c r="Q135" s="66"/>
      <c r="R135" s="66"/>
      <c r="S135" s="66"/>
      <c r="T135" s="66"/>
      <c r="U135" s="66"/>
      <c r="V135" s="66"/>
      <c r="W135" s="66"/>
      <c r="X135" s="66"/>
      <c r="Y135" s="66"/>
      <c r="Z135" s="66"/>
      <c r="AA135" s="66"/>
    </row>
    <row r="136" ht="15.75" customHeight="1">
      <c r="A136" s="66"/>
      <c r="B136" s="66"/>
      <c r="C136" s="70"/>
      <c r="D136" s="66"/>
      <c r="E136" s="66"/>
      <c r="F136" s="68" t="str">
        <f t="array" ref="F136">IF(INDEX('Binder Data'!$A$1252:$A$1501,ROW()-1)="","",IF(INDEX('Binder Data'!$D$1252:$D$1501,ROW()-1)="Needed",INDEX('Binder Data'!$B$1252:$B$1501,ROW()-1),INDEX('Binder Data'!$D$1252:$D$1501,ROW()-1)))</f>
        <v/>
      </c>
      <c r="G136" s="66"/>
      <c r="H136" s="66"/>
      <c r="I136" s="66"/>
      <c r="J136" s="66"/>
      <c r="K136" s="66"/>
      <c r="L136" s="66"/>
      <c r="M136" s="66"/>
      <c r="N136" s="66"/>
      <c r="O136" s="66"/>
      <c r="P136" s="66"/>
      <c r="Q136" s="66"/>
      <c r="R136" s="66"/>
      <c r="S136" s="66"/>
      <c r="T136" s="66"/>
      <c r="U136" s="66"/>
      <c r="V136" s="66"/>
      <c r="W136" s="66"/>
      <c r="X136" s="66"/>
      <c r="Y136" s="66"/>
      <c r="Z136" s="66"/>
      <c r="AA136" s="66"/>
    </row>
    <row r="137" ht="15.75" customHeight="1">
      <c r="A137" s="66"/>
      <c r="B137" s="66"/>
      <c r="C137" s="70"/>
      <c r="D137" s="66"/>
      <c r="E137" s="66"/>
      <c r="F137" s="68" t="str">
        <f t="array" ref="F137">IF(INDEX('Binder Data'!$A$1252:$A$1501,ROW()-1)="","",IF(INDEX('Binder Data'!$D$1252:$D$1501,ROW()-1)="Needed",INDEX('Binder Data'!$B$1252:$B$1501,ROW()-1),INDEX('Binder Data'!$D$1252:$D$1501,ROW()-1)))</f>
        <v/>
      </c>
      <c r="G137" s="66"/>
      <c r="H137" s="66"/>
      <c r="I137" s="66"/>
      <c r="J137" s="66"/>
      <c r="K137" s="66"/>
      <c r="L137" s="66"/>
      <c r="M137" s="66"/>
      <c r="N137" s="66"/>
      <c r="O137" s="66"/>
      <c r="P137" s="66"/>
      <c r="Q137" s="66"/>
      <c r="R137" s="66"/>
      <c r="S137" s="66"/>
      <c r="T137" s="66"/>
      <c r="U137" s="66"/>
      <c r="V137" s="66"/>
      <c r="W137" s="66"/>
      <c r="X137" s="66"/>
      <c r="Y137" s="66"/>
      <c r="Z137" s="66"/>
      <c r="AA137" s="66"/>
    </row>
    <row r="138" ht="15.75" customHeight="1">
      <c r="A138" s="66"/>
      <c r="B138" s="66"/>
      <c r="C138" s="70"/>
      <c r="D138" s="66"/>
      <c r="E138" s="66"/>
      <c r="F138" s="68" t="str">
        <f t="array" ref="F138">IF(INDEX('Binder Data'!$A$1252:$A$1501,ROW()-1)="","",IF(INDEX('Binder Data'!$D$1252:$D$1501,ROW()-1)="Needed",INDEX('Binder Data'!$B$1252:$B$1501,ROW()-1),INDEX('Binder Data'!$D$1252:$D$1501,ROW()-1)))</f>
        <v/>
      </c>
      <c r="G138" s="66"/>
      <c r="H138" s="66"/>
      <c r="I138" s="66"/>
      <c r="J138" s="66"/>
      <c r="K138" s="66"/>
      <c r="L138" s="66"/>
      <c r="M138" s="66"/>
      <c r="N138" s="66"/>
      <c r="O138" s="66"/>
      <c r="P138" s="66"/>
      <c r="Q138" s="66"/>
      <c r="R138" s="66"/>
      <c r="S138" s="66"/>
      <c r="T138" s="66"/>
      <c r="U138" s="66"/>
      <c r="V138" s="66"/>
      <c r="W138" s="66"/>
      <c r="X138" s="66"/>
      <c r="Y138" s="66"/>
      <c r="Z138" s="66"/>
      <c r="AA138" s="66"/>
    </row>
    <row r="139" ht="15.75" customHeight="1">
      <c r="A139" s="66"/>
      <c r="B139" s="66"/>
      <c r="C139" s="70"/>
      <c r="D139" s="66"/>
      <c r="E139" s="66"/>
      <c r="F139" s="68" t="str">
        <f t="array" ref="F139">IF(INDEX('Binder Data'!$A$1252:$A$1501,ROW()-1)="","",IF(INDEX('Binder Data'!$D$1252:$D$1501,ROW()-1)="Needed",INDEX('Binder Data'!$B$1252:$B$1501,ROW()-1),INDEX('Binder Data'!$D$1252:$D$1501,ROW()-1)))</f>
        <v/>
      </c>
      <c r="G139" s="66"/>
      <c r="H139" s="66"/>
      <c r="I139" s="66"/>
      <c r="J139" s="66"/>
      <c r="K139" s="66"/>
      <c r="L139" s="66"/>
      <c r="M139" s="66"/>
      <c r="N139" s="66"/>
      <c r="O139" s="66"/>
      <c r="P139" s="66"/>
      <c r="Q139" s="66"/>
      <c r="R139" s="66"/>
      <c r="S139" s="66"/>
      <c r="T139" s="66"/>
      <c r="U139" s="66"/>
      <c r="V139" s="66"/>
      <c r="W139" s="66"/>
      <c r="X139" s="66"/>
      <c r="Y139" s="66"/>
      <c r="Z139" s="66"/>
      <c r="AA139" s="66"/>
    </row>
    <row r="140" ht="15.75" customHeight="1">
      <c r="A140" s="66"/>
      <c r="B140" s="66"/>
      <c r="C140" s="70"/>
      <c r="D140" s="66"/>
      <c r="E140" s="66"/>
      <c r="F140" s="68" t="str">
        <f t="array" ref="F140">IF(INDEX('Binder Data'!$A$1252:$A$1501,ROW()-1)="","",IF(INDEX('Binder Data'!$D$1252:$D$1501,ROW()-1)="Needed",INDEX('Binder Data'!$B$1252:$B$1501,ROW()-1),INDEX('Binder Data'!$D$1252:$D$1501,ROW()-1)))</f>
        <v/>
      </c>
      <c r="G140" s="66"/>
      <c r="H140" s="66"/>
      <c r="I140" s="66"/>
      <c r="J140" s="66"/>
      <c r="K140" s="66"/>
      <c r="L140" s="66"/>
      <c r="M140" s="66"/>
      <c r="N140" s="66"/>
      <c r="O140" s="66"/>
      <c r="P140" s="66"/>
      <c r="Q140" s="66"/>
      <c r="R140" s="66"/>
      <c r="S140" s="66"/>
      <c r="T140" s="66"/>
      <c r="U140" s="66"/>
      <c r="V140" s="66"/>
      <c r="W140" s="66"/>
      <c r="X140" s="66"/>
      <c r="Y140" s="66"/>
      <c r="Z140" s="66"/>
      <c r="AA140" s="66"/>
    </row>
    <row r="141" ht="15.75" customHeight="1">
      <c r="A141" s="66"/>
      <c r="B141" s="66"/>
      <c r="C141" s="70"/>
      <c r="D141" s="66"/>
      <c r="E141" s="66"/>
      <c r="F141" s="68" t="str">
        <f t="array" ref="F141">IF(INDEX('Binder Data'!$A$1252:$A$1501,ROW()-1)="","",IF(INDEX('Binder Data'!$D$1252:$D$1501,ROW()-1)="Needed",INDEX('Binder Data'!$B$1252:$B$1501,ROW()-1),INDEX('Binder Data'!$D$1252:$D$1501,ROW()-1)))</f>
        <v/>
      </c>
      <c r="G141" s="66"/>
      <c r="H141" s="66"/>
      <c r="I141" s="66"/>
      <c r="J141" s="66"/>
      <c r="K141" s="66"/>
      <c r="L141" s="66"/>
      <c r="M141" s="66"/>
      <c r="N141" s="66"/>
      <c r="O141" s="66"/>
      <c r="P141" s="66"/>
      <c r="Q141" s="66"/>
      <c r="R141" s="66"/>
      <c r="S141" s="66"/>
      <c r="T141" s="66"/>
      <c r="U141" s="66"/>
      <c r="V141" s="66"/>
      <c r="W141" s="66"/>
      <c r="X141" s="66"/>
      <c r="Y141" s="66"/>
      <c r="Z141" s="66"/>
      <c r="AA141" s="66"/>
    </row>
    <row r="142" ht="15.75" customHeight="1">
      <c r="A142" s="66"/>
      <c r="B142" s="66"/>
      <c r="C142" s="70"/>
      <c r="D142" s="66"/>
      <c r="E142" s="66"/>
      <c r="F142" s="68" t="str">
        <f t="array" ref="F142">IF(INDEX('Binder Data'!$A$1252:$A$1501,ROW()-1)="","",IF(INDEX('Binder Data'!$D$1252:$D$1501,ROW()-1)="Needed",INDEX('Binder Data'!$B$1252:$B$1501,ROW()-1),INDEX('Binder Data'!$D$1252:$D$1501,ROW()-1)))</f>
        <v/>
      </c>
      <c r="G142" s="66"/>
      <c r="H142" s="66"/>
      <c r="I142" s="66"/>
      <c r="J142" s="66"/>
      <c r="K142" s="66"/>
      <c r="L142" s="66"/>
      <c r="M142" s="66"/>
      <c r="N142" s="66"/>
      <c r="O142" s="66"/>
      <c r="P142" s="66"/>
      <c r="Q142" s="66"/>
      <c r="R142" s="66"/>
      <c r="S142" s="66"/>
      <c r="T142" s="66"/>
      <c r="U142" s="66"/>
      <c r="V142" s="66"/>
      <c r="W142" s="66"/>
      <c r="X142" s="66"/>
      <c r="Y142" s="66"/>
      <c r="Z142" s="66"/>
      <c r="AA142" s="66"/>
    </row>
    <row r="143" ht="15.75" customHeight="1">
      <c r="A143" s="66"/>
      <c r="B143" s="66"/>
      <c r="C143" s="70"/>
      <c r="D143" s="66"/>
      <c r="E143" s="66"/>
      <c r="F143" s="68" t="str">
        <f t="array" ref="F143">IF(INDEX('Binder Data'!$A$1252:$A$1501,ROW()-1)="","",IF(INDEX('Binder Data'!$D$1252:$D$1501,ROW()-1)="Needed",INDEX('Binder Data'!$B$1252:$B$1501,ROW()-1),INDEX('Binder Data'!$D$1252:$D$1501,ROW()-1)))</f>
        <v/>
      </c>
      <c r="G143" s="66"/>
      <c r="H143" s="66"/>
      <c r="I143" s="66"/>
      <c r="J143" s="66"/>
      <c r="K143" s="66"/>
      <c r="L143" s="66"/>
      <c r="M143" s="66"/>
      <c r="N143" s="66"/>
      <c r="O143" s="66"/>
      <c r="P143" s="66"/>
      <c r="Q143" s="66"/>
      <c r="R143" s="66"/>
      <c r="S143" s="66"/>
      <c r="T143" s="66"/>
      <c r="U143" s="66"/>
      <c r="V143" s="66"/>
      <c r="W143" s="66"/>
      <c r="X143" s="66"/>
      <c r="Y143" s="66"/>
      <c r="Z143" s="66"/>
      <c r="AA143" s="66"/>
    </row>
    <row r="144" ht="15.75" customHeight="1">
      <c r="A144" s="66"/>
      <c r="B144" s="66"/>
      <c r="C144" s="70"/>
      <c r="D144" s="66"/>
      <c r="E144" s="66"/>
      <c r="F144" s="68" t="str">
        <f t="array" ref="F144">IF(INDEX('Binder Data'!$A$1252:$A$1501,ROW()-1)="","",IF(INDEX('Binder Data'!$D$1252:$D$1501,ROW()-1)="Needed",INDEX('Binder Data'!$B$1252:$B$1501,ROW()-1),INDEX('Binder Data'!$D$1252:$D$1501,ROW()-1)))</f>
        <v/>
      </c>
      <c r="G144" s="66"/>
      <c r="H144" s="66"/>
      <c r="I144" s="66"/>
      <c r="J144" s="66"/>
      <c r="K144" s="66"/>
      <c r="L144" s="66"/>
      <c r="M144" s="66"/>
      <c r="N144" s="66"/>
      <c r="O144" s="66"/>
      <c r="P144" s="66"/>
      <c r="Q144" s="66"/>
      <c r="R144" s="66"/>
      <c r="S144" s="66"/>
      <c r="T144" s="66"/>
      <c r="U144" s="66"/>
      <c r="V144" s="66"/>
      <c r="W144" s="66"/>
      <c r="X144" s="66"/>
      <c r="Y144" s="66"/>
      <c r="Z144" s="66"/>
      <c r="AA144" s="66"/>
    </row>
    <row r="145" ht="15.75" customHeight="1">
      <c r="A145" s="66"/>
      <c r="B145" s="66"/>
      <c r="C145" s="70"/>
      <c r="D145" s="66"/>
      <c r="E145" s="66"/>
      <c r="F145" s="68" t="str">
        <f t="array" ref="F145">IF(INDEX('Binder Data'!$A$1252:$A$1501,ROW()-1)="","",IF(INDEX('Binder Data'!$D$1252:$D$1501,ROW()-1)="Needed",INDEX('Binder Data'!$B$1252:$B$1501,ROW()-1),INDEX('Binder Data'!$D$1252:$D$1501,ROW()-1)))</f>
        <v/>
      </c>
      <c r="G145" s="66"/>
      <c r="H145" s="66"/>
      <c r="I145" s="66"/>
      <c r="J145" s="66"/>
      <c r="K145" s="66"/>
      <c r="L145" s="66"/>
      <c r="M145" s="66"/>
      <c r="N145" s="66"/>
      <c r="O145" s="66"/>
      <c r="P145" s="66"/>
      <c r="Q145" s="66"/>
      <c r="R145" s="66"/>
      <c r="S145" s="66"/>
      <c r="T145" s="66"/>
      <c r="U145" s="66"/>
      <c r="V145" s="66"/>
      <c r="W145" s="66"/>
      <c r="X145" s="66"/>
      <c r="Y145" s="66"/>
      <c r="Z145" s="66"/>
      <c r="AA145" s="66"/>
    </row>
    <row r="146" ht="15.75" customHeight="1">
      <c r="A146" s="66"/>
      <c r="B146" s="66"/>
      <c r="C146" s="70"/>
      <c r="D146" s="66"/>
      <c r="E146" s="66"/>
      <c r="F146" s="68" t="str">
        <f t="array" ref="F146">IF(INDEX('Binder Data'!$A$1252:$A$1501,ROW()-1)="","",IF(INDEX('Binder Data'!$D$1252:$D$1501,ROW()-1)="Needed",INDEX('Binder Data'!$B$1252:$B$1501,ROW()-1),INDEX('Binder Data'!$D$1252:$D$1501,ROW()-1)))</f>
        <v/>
      </c>
      <c r="G146" s="66"/>
      <c r="H146" s="66"/>
      <c r="I146" s="66"/>
      <c r="J146" s="66"/>
      <c r="K146" s="66"/>
      <c r="L146" s="66"/>
      <c r="M146" s="66"/>
      <c r="N146" s="66"/>
      <c r="O146" s="66"/>
      <c r="P146" s="66"/>
      <c r="Q146" s="66"/>
      <c r="R146" s="66"/>
      <c r="S146" s="66"/>
      <c r="T146" s="66"/>
      <c r="U146" s="66"/>
      <c r="V146" s="66"/>
      <c r="W146" s="66"/>
      <c r="X146" s="66"/>
      <c r="Y146" s="66"/>
      <c r="Z146" s="66"/>
      <c r="AA146" s="66"/>
    </row>
    <row r="147" ht="15.75" customHeight="1">
      <c r="A147" s="66"/>
      <c r="B147" s="66"/>
      <c r="C147" s="70"/>
      <c r="D147" s="66"/>
      <c r="E147" s="66"/>
      <c r="F147" s="68" t="str">
        <f t="array" ref="F147">IF(INDEX('Binder Data'!$A$1252:$A$1501,ROW()-1)="","",IF(INDEX('Binder Data'!$D$1252:$D$1501,ROW()-1)="Needed",INDEX('Binder Data'!$B$1252:$B$1501,ROW()-1),INDEX('Binder Data'!$D$1252:$D$1501,ROW()-1)))</f>
        <v/>
      </c>
      <c r="G147" s="66"/>
      <c r="H147" s="66"/>
      <c r="I147" s="66"/>
      <c r="J147" s="66"/>
      <c r="K147" s="66"/>
      <c r="L147" s="66"/>
      <c r="M147" s="66"/>
      <c r="N147" s="66"/>
      <c r="O147" s="66"/>
      <c r="P147" s="66"/>
      <c r="Q147" s="66"/>
      <c r="R147" s="66"/>
      <c r="S147" s="66"/>
      <c r="T147" s="66"/>
      <c r="U147" s="66"/>
      <c r="V147" s="66"/>
      <c r="W147" s="66"/>
      <c r="X147" s="66"/>
      <c r="Y147" s="66"/>
      <c r="Z147" s="66"/>
      <c r="AA147" s="66"/>
    </row>
    <row r="148" ht="15.75" customHeight="1">
      <c r="A148" s="66"/>
      <c r="B148" s="66"/>
      <c r="C148" s="70"/>
      <c r="D148" s="66"/>
      <c r="E148" s="66"/>
      <c r="F148" s="68" t="str">
        <f t="array" ref="F148">IF(INDEX('Binder Data'!$A$1252:$A$1501,ROW()-1)="","",IF(INDEX('Binder Data'!$D$1252:$D$1501,ROW()-1)="Needed",INDEX('Binder Data'!$B$1252:$B$1501,ROW()-1),INDEX('Binder Data'!$D$1252:$D$1501,ROW()-1)))</f>
        <v/>
      </c>
      <c r="G148" s="66"/>
      <c r="H148" s="66"/>
      <c r="I148" s="66"/>
      <c r="J148" s="66"/>
      <c r="K148" s="66"/>
      <c r="L148" s="66"/>
      <c r="M148" s="66"/>
      <c r="N148" s="66"/>
      <c r="O148" s="66"/>
      <c r="P148" s="66"/>
      <c r="Q148" s="66"/>
      <c r="R148" s="66"/>
      <c r="S148" s="66"/>
      <c r="T148" s="66"/>
      <c r="U148" s="66"/>
      <c r="V148" s="66"/>
      <c r="W148" s="66"/>
      <c r="X148" s="66"/>
      <c r="Y148" s="66"/>
      <c r="Z148" s="66"/>
      <c r="AA148" s="66"/>
    </row>
    <row r="149" ht="15.75" customHeight="1">
      <c r="A149" s="66"/>
      <c r="B149" s="66"/>
      <c r="C149" s="70"/>
      <c r="D149" s="66"/>
      <c r="E149" s="66"/>
      <c r="F149" s="68" t="str">
        <f t="array" ref="F149">IF(INDEX('Binder Data'!$A$1252:$A$1501,ROW()-1)="","",IF(INDEX('Binder Data'!$D$1252:$D$1501,ROW()-1)="Needed",INDEX('Binder Data'!$B$1252:$B$1501,ROW()-1),INDEX('Binder Data'!$D$1252:$D$1501,ROW()-1)))</f>
        <v/>
      </c>
      <c r="G149" s="66"/>
      <c r="H149" s="66"/>
      <c r="I149" s="66"/>
      <c r="J149" s="66"/>
      <c r="K149" s="66"/>
      <c r="L149" s="66"/>
      <c r="M149" s="66"/>
      <c r="N149" s="66"/>
      <c r="O149" s="66"/>
      <c r="P149" s="66"/>
      <c r="Q149" s="66"/>
      <c r="R149" s="66"/>
      <c r="S149" s="66"/>
      <c r="T149" s="66"/>
      <c r="U149" s="66"/>
      <c r="V149" s="66"/>
      <c r="W149" s="66"/>
      <c r="X149" s="66"/>
      <c r="Y149" s="66"/>
      <c r="Z149" s="66"/>
      <c r="AA149" s="66"/>
    </row>
    <row r="150" ht="15.75" customHeight="1">
      <c r="A150" s="66"/>
      <c r="B150" s="66"/>
      <c r="C150" s="70"/>
      <c r="D150" s="66"/>
      <c r="E150" s="66"/>
      <c r="F150" s="68" t="str">
        <f t="array" ref="F150">IF(INDEX('Binder Data'!$A$1252:$A$1501,ROW()-1)="","",IF(INDEX('Binder Data'!$D$1252:$D$1501,ROW()-1)="Needed",INDEX('Binder Data'!$B$1252:$B$1501,ROW()-1),INDEX('Binder Data'!$D$1252:$D$1501,ROW()-1)))</f>
        <v/>
      </c>
      <c r="G150" s="66"/>
      <c r="H150" s="66"/>
      <c r="I150" s="66"/>
      <c r="J150" s="66"/>
      <c r="K150" s="66"/>
      <c r="L150" s="66"/>
      <c r="M150" s="66"/>
      <c r="N150" s="66"/>
      <c r="O150" s="66"/>
      <c r="P150" s="66"/>
      <c r="Q150" s="66"/>
      <c r="R150" s="66"/>
      <c r="S150" s="66"/>
      <c r="T150" s="66"/>
      <c r="U150" s="66"/>
      <c r="V150" s="66"/>
      <c r="W150" s="66"/>
      <c r="X150" s="66"/>
      <c r="Y150" s="66"/>
      <c r="Z150" s="66"/>
      <c r="AA150" s="66"/>
    </row>
    <row r="151" ht="15.75" customHeight="1">
      <c r="A151" s="66"/>
      <c r="B151" s="66"/>
      <c r="C151" s="70"/>
      <c r="D151" s="66"/>
      <c r="E151" s="66"/>
      <c r="F151" s="68" t="str">
        <f t="array" ref="F151">IF(INDEX('Binder Data'!$A$1252:$A$1501,ROW()-1)="","",IF(INDEX('Binder Data'!$D$1252:$D$1501,ROW()-1)="Needed",INDEX('Binder Data'!$B$1252:$B$1501,ROW()-1),INDEX('Binder Data'!$D$1252:$D$1501,ROW()-1)))</f>
        <v/>
      </c>
      <c r="G151" s="66"/>
      <c r="H151" s="66"/>
      <c r="I151" s="66"/>
      <c r="J151" s="66"/>
      <c r="K151" s="66"/>
      <c r="L151" s="66"/>
      <c r="M151" s="66"/>
      <c r="N151" s="66"/>
      <c r="O151" s="66"/>
      <c r="P151" s="66"/>
      <c r="Q151" s="66"/>
      <c r="R151" s="66"/>
      <c r="S151" s="66"/>
      <c r="T151" s="66"/>
      <c r="U151" s="66"/>
      <c r="V151" s="66"/>
      <c r="W151" s="66"/>
      <c r="X151" s="66"/>
      <c r="Y151" s="66"/>
      <c r="Z151" s="66"/>
      <c r="AA151" s="66"/>
    </row>
    <row r="152" ht="15.75" customHeight="1">
      <c r="A152" s="66"/>
      <c r="B152" s="66"/>
      <c r="C152" s="66"/>
      <c r="D152" s="66"/>
      <c r="E152" s="66"/>
      <c r="F152" s="68" t="str">
        <f t="array" ref="F152">IF(INDEX('Binder Data'!$A$1252:$A$1501,ROW()-1)="","",IF(INDEX('Binder Data'!$D$1252:$D$1501,ROW()-1)="Needed",INDEX('Binder Data'!$B$1252:$B$1501,ROW()-1),INDEX('Binder Data'!$D$1252:$D$1501,ROW()-1)))</f>
        <v/>
      </c>
      <c r="G152" s="66"/>
      <c r="H152" s="66"/>
      <c r="I152" s="66"/>
      <c r="J152" s="66"/>
      <c r="K152" s="66"/>
      <c r="L152" s="66"/>
      <c r="M152" s="66"/>
      <c r="N152" s="66"/>
      <c r="O152" s="66"/>
      <c r="P152" s="66"/>
      <c r="Q152" s="66"/>
      <c r="R152" s="66"/>
      <c r="S152" s="66"/>
      <c r="T152" s="66"/>
      <c r="U152" s="66"/>
      <c r="V152" s="66"/>
      <c r="W152" s="66"/>
      <c r="X152" s="66"/>
      <c r="Y152" s="66"/>
      <c r="Z152" s="66"/>
      <c r="AA152" s="66"/>
    </row>
    <row r="153" ht="15.75" customHeight="1">
      <c r="A153" s="66"/>
      <c r="B153" s="66"/>
      <c r="C153" s="66"/>
      <c r="D153" s="66"/>
      <c r="E153" s="66"/>
      <c r="F153" s="68" t="str">
        <f t="array" ref="F153">IF(INDEX('Binder Data'!$A$1252:$A$1501,ROW()-1)="","",IF(INDEX('Binder Data'!$D$1252:$D$1501,ROW()-1)="Needed",INDEX('Binder Data'!$B$1252:$B$1501,ROW()-1),INDEX('Binder Data'!$D$1252:$D$1501,ROW()-1)))</f>
        <v/>
      </c>
      <c r="G153" s="66"/>
      <c r="H153" s="66"/>
      <c r="I153" s="66"/>
      <c r="J153" s="66"/>
      <c r="K153" s="66"/>
      <c r="L153" s="66"/>
      <c r="M153" s="66"/>
      <c r="N153" s="66"/>
      <c r="O153" s="66"/>
      <c r="P153" s="66"/>
      <c r="Q153" s="66"/>
      <c r="R153" s="66"/>
      <c r="S153" s="66"/>
      <c r="T153" s="66"/>
      <c r="U153" s="66"/>
      <c r="V153" s="66"/>
      <c r="W153" s="66"/>
      <c r="X153" s="66"/>
      <c r="Y153" s="66"/>
      <c r="Z153" s="66"/>
      <c r="AA153" s="66"/>
    </row>
    <row r="154" ht="15.75" customHeight="1">
      <c r="A154" s="66"/>
      <c r="B154" s="66"/>
      <c r="C154" s="66"/>
      <c r="D154" s="66"/>
      <c r="E154" s="66"/>
      <c r="F154" s="68" t="str">
        <f t="array" ref="F154">IF(INDEX('Binder Data'!$A$1252:$A$1501,ROW()-1)="","",IF(INDEX('Binder Data'!$D$1252:$D$1501,ROW()-1)="Needed",INDEX('Binder Data'!$B$1252:$B$1501,ROW()-1),INDEX('Binder Data'!$D$1252:$D$1501,ROW()-1)))</f>
        <v/>
      </c>
      <c r="G154" s="66"/>
      <c r="H154" s="66"/>
      <c r="I154" s="66"/>
      <c r="J154" s="66"/>
      <c r="K154" s="66"/>
      <c r="L154" s="66"/>
      <c r="M154" s="66"/>
      <c r="N154" s="66"/>
      <c r="O154" s="66"/>
      <c r="P154" s="66"/>
      <c r="Q154" s="66"/>
      <c r="R154" s="66"/>
      <c r="S154" s="66"/>
      <c r="T154" s="66"/>
      <c r="U154" s="66"/>
      <c r="V154" s="66"/>
      <c r="W154" s="66"/>
      <c r="X154" s="66"/>
      <c r="Y154" s="66"/>
      <c r="Z154" s="66"/>
      <c r="AA154" s="66"/>
    </row>
    <row r="155" ht="15.75" customHeight="1">
      <c r="A155" s="66"/>
      <c r="B155" s="66"/>
      <c r="C155" s="66"/>
      <c r="D155" s="66"/>
      <c r="E155" s="66"/>
      <c r="F155" s="68" t="str">
        <f t="array" ref="F155">IF(INDEX('Binder Data'!$A$1252:$A$1501,ROW()-1)="","",IF(INDEX('Binder Data'!$D$1252:$D$1501,ROW()-1)="Needed",INDEX('Binder Data'!$B$1252:$B$1501,ROW()-1),INDEX('Binder Data'!$D$1252:$D$1501,ROW()-1)))</f>
        <v/>
      </c>
      <c r="G155" s="66"/>
      <c r="H155" s="66"/>
      <c r="I155" s="66"/>
      <c r="J155" s="66"/>
      <c r="K155" s="66"/>
      <c r="L155" s="66"/>
      <c r="M155" s="66"/>
      <c r="N155" s="66"/>
      <c r="O155" s="66"/>
      <c r="P155" s="66"/>
      <c r="Q155" s="66"/>
      <c r="R155" s="66"/>
      <c r="S155" s="66"/>
      <c r="T155" s="66"/>
      <c r="U155" s="66"/>
      <c r="V155" s="66"/>
      <c r="W155" s="66"/>
      <c r="X155" s="66"/>
      <c r="Y155" s="66"/>
      <c r="Z155" s="66"/>
      <c r="AA155" s="66"/>
    </row>
    <row r="156" ht="15.75" customHeight="1">
      <c r="A156" s="66"/>
      <c r="B156" s="66"/>
      <c r="C156" s="66"/>
      <c r="D156" s="66"/>
      <c r="E156" s="66"/>
      <c r="F156" s="68" t="str">
        <f t="array" ref="F156">IF(INDEX('Binder Data'!$A$1252:$A$1501,ROW()-1)="","",IF(INDEX('Binder Data'!$D$1252:$D$1501,ROW()-1)="Needed",INDEX('Binder Data'!$B$1252:$B$1501,ROW()-1),INDEX('Binder Data'!$D$1252:$D$1501,ROW()-1)))</f>
        <v/>
      </c>
      <c r="G156" s="66"/>
      <c r="H156" s="66"/>
      <c r="I156" s="66"/>
      <c r="J156" s="66"/>
      <c r="K156" s="66"/>
      <c r="L156" s="66"/>
      <c r="M156" s="66"/>
      <c r="N156" s="66"/>
      <c r="O156" s="66"/>
      <c r="P156" s="66"/>
      <c r="Q156" s="66"/>
      <c r="R156" s="66"/>
      <c r="S156" s="66"/>
      <c r="T156" s="66"/>
      <c r="U156" s="66"/>
      <c r="V156" s="66"/>
      <c r="W156" s="66"/>
      <c r="X156" s="66"/>
      <c r="Y156" s="66"/>
      <c r="Z156" s="66"/>
      <c r="AA156" s="66"/>
    </row>
    <row r="157" ht="15.75" customHeight="1">
      <c r="A157" s="66"/>
      <c r="B157" s="66"/>
      <c r="C157" s="66"/>
      <c r="D157" s="66"/>
      <c r="E157" s="66"/>
      <c r="F157" s="68" t="str">
        <f t="array" ref="F157">IF(INDEX('Binder Data'!$A$1252:$A$1501,ROW()-1)="","",IF(INDEX('Binder Data'!$D$1252:$D$1501,ROW()-1)="Needed",INDEX('Binder Data'!$B$1252:$B$1501,ROW()-1),INDEX('Binder Data'!$D$1252:$D$1501,ROW()-1)))</f>
        <v/>
      </c>
      <c r="G157" s="66"/>
      <c r="H157" s="66"/>
      <c r="I157" s="66"/>
      <c r="J157" s="66"/>
      <c r="K157" s="66"/>
      <c r="L157" s="66"/>
      <c r="M157" s="66"/>
      <c r="N157" s="66"/>
      <c r="O157" s="66"/>
      <c r="P157" s="66"/>
      <c r="Q157" s="66"/>
      <c r="R157" s="66"/>
      <c r="S157" s="66"/>
      <c r="T157" s="66"/>
      <c r="U157" s="66"/>
      <c r="V157" s="66"/>
      <c r="W157" s="66"/>
      <c r="X157" s="66"/>
      <c r="Y157" s="66"/>
      <c r="Z157" s="66"/>
      <c r="AA157" s="66"/>
    </row>
    <row r="158" ht="15.75" customHeight="1">
      <c r="A158" s="66"/>
      <c r="B158" s="66"/>
      <c r="C158" s="66"/>
      <c r="D158" s="66"/>
      <c r="E158" s="66"/>
      <c r="F158" s="68" t="str">
        <f t="array" ref="F158">IF(INDEX('Binder Data'!$A$1252:$A$1501,ROW()-1)="","",IF(INDEX('Binder Data'!$D$1252:$D$1501,ROW()-1)="Needed",INDEX('Binder Data'!$B$1252:$B$1501,ROW()-1),INDEX('Binder Data'!$D$1252:$D$1501,ROW()-1)))</f>
        <v/>
      </c>
      <c r="G158" s="66"/>
      <c r="H158" s="66"/>
      <c r="I158" s="66"/>
      <c r="J158" s="66"/>
      <c r="K158" s="66"/>
      <c r="L158" s="66"/>
      <c r="M158" s="66"/>
      <c r="N158" s="66"/>
      <c r="O158" s="66"/>
      <c r="P158" s="66"/>
      <c r="Q158" s="66"/>
      <c r="R158" s="66"/>
      <c r="S158" s="66"/>
      <c r="T158" s="66"/>
      <c r="U158" s="66"/>
      <c r="V158" s="66"/>
      <c r="W158" s="66"/>
      <c r="X158" s="66"/>
      <c r="Y158" s="66"/>
      <c r="Z158" s="66"/>
      <c r="AA158" s="66"/>
    </row>
    <row r="159" ht="15.75" customHeight="1">
      <c r="A159" s="66"/>
      <c r="B159" s="66"/>
      <c r="C159" s="66"/>
      <c r="D159" s="66"/>
      <c r="E159" s="66"/>
      <c r="F159" s="68" t="str">
        <f t="array" ref="F159">IF(INDEX('Binder Data'!$A$1252:$A$1501,ROW()-1)="","",IF(INDEX('Binder Data'!$D$1252:$D$1501,ROW()-1)="Needed",INDEX('Binder Data'!$B$1252:$B$1501,ROW()-1),INDEX('Binder Data'!$D$1252:$D$1501,ROW()-1)))</f>
        <v/>
      </c>
      <c r="G159" s="66"/>
      <c r="H159" s="66"/>
      <c r="I159" s="66"/>
      <c r="J159" s="66"/>
      <c r="K159" s="66"/>
      <c r="L159" s="66"/>
      <c r="M159" s="66"/>
      <c r="N159" s="66"/>
      <c r="O159" s="66"/>
      <c r="P159" s="66"/>
      <c r="Q159" s="66"/>
      <c r="R159" s="66"/>
      <c r="S159" s="66"/>
      <c r="T159" s="66"/>
      <c r="U159" s="66"/>
      <c r="V159" s="66"/>
      <c r="W159" s="66"/>
      <c r="X159" s="66"/>
      <c r="Y159" s="66"/>
      <c r="Z159" s="66"/>
      <c r="AA159" s="66"/>
    </row>
    <row r="160" ht="15.75" customHeight="1">
      <c r="A160" s="66"/>
      <c r="B160" s="66"/>
      <c r="C160" s="66"/>
      <c r="D160" s="66"/>
      <c r="E160" s="66"/>
      <c r="F160" s="68" t="str">
        <f t="array" ref="F160">IF(INDEX('Binder Data'!$A$1252:$A$1501,ROW()-1)="","",IF(INDEX('Binder Data'!$D$1252:$D$1501,ROW()-1)="Needed",INDEX('Binder Data'!$B$1252:$B$1501,ROW()-1),INDEX('Binder Data'!$D$1252:$D$1501,ROW()-1)))</f>
        <v/>
      </c>
      <c r="G160" s="66"/>
      <c r="H160" s="66"/>
      <c r="I160" s="66"/>
      <c r="J160" s="66"/>
      <c r="K160" s="66"/>
      <c r="L160" s="66"/>
      <c r="M160" s="66"/>
      <c r="N160" s="66"/>
      <c r="O160" s="66"/>
      <c r="P160" s="66"/>
      <c r="Q160" s="66"/>
      <c r="R160" s="66"/>
      <c r="S160" s="66"/>
      <c r="T160" s="66"/>
      <c r="U160" s="66"/>
      <c r="V160" s="66"/>
      <c r="W160" s="66"/>
      <c r="X160" s="66"/>
      <c r="Y160" s="66"/>
      <c r="Z160" s="66"/>
      <c r="AA160" s="66"/>
    </row>
    <row r="161" ht="15.75" customHeight="1">
      <c r="A161" s="66"/>
      <c r="B161" s="66"/>
      <c r="C161" s="66"/>
      <c r="D161" s="66"/>
      <c r="E161" s="66"/>
      <c r="F161" s="68" t="str">
        <f t="array" ref="F161">IF(INDEX('Binder Data'!$A$1252:$A$1501,ROW()-1)="","",IF(INDEX('Binder Data'!$D$1252:$D$1501,ROW()-1)="Needed",INDEX('Binder Data'!$B$1252:$B$1501,ROW()-1),INDEX('Binder Data'!$D$1252:$D$1501,ROW()-1)))</f>
        <v/>
      </c>
      <c r="G161" s="66"/>
      <c r="H161" s="66"/>
      <c r="I161" s="66"/>
      <c r="J161" s="66"/>
      <c r="K161" s="66"/>
      <c r="L161" s="66"/>
      <c r="M161" s="66"/>
      <c r="N161" s="66"/>
      <c r="O161" s="66"/>
      <c r="P161" s="66"/>
      <c r="Q161" s="66"/>
      <c r="R161" s="66"/>
      <c r="S161" s="66"/>
      <c r="T161" s="66"/>
      <c r="U161" s="66"/>
      <c r="V161" s="66"/>
      <c r="W161" s="66"/>
      <c r="X161" s="66"/>
      <c r="Y161" s="66"/>
      <c r="Z161" s="66"/>
      <c r="AA161" s="66"/>
    </row>
    <row r="162" ht="15.75" customHeight="1">
      <c r="A162" s="66"/>
      <c r="B162" s="66"/>
      <c r="C162" s="66"/>
      <c r="D162" s="66"/>
      <c r="E162" s="66"/>
      <c r="F162" s="68" t="str">
        <f t="array" ref="F162">IF(INDEX('Binder Data'!$A$1252:$A$1501,ROW()-1)="","",IF(INDEX('Binder Data'!$D$1252:$D$1501,ROW()-1)="Needed",INDEX('Binder Data'!$B$1252:$B$1501,ROW()-1),INDEX('Binder Data'!$D$1252:$D$1501,ROW()-1)))</f>
        <v/>
      </c>
      <c r="G162" s="66"/>
      <c r="H162" s="66"/>
      <c r="I162" s="66"/>
      <c r="J162" s="66"/>
      <c r="K162" s="66"/>
      <c r="L162" s="66"/>
      <c r="M162" s="66"/>
      <c r="N162" s="66"/>
      <c r="O162" s="66"/>
      <c r="P162" s="66"/>
      <c r="Q162" s="66"/>
      <c r="R162" s="66"/>
      <c r="S162" s="66"/>
      <c r="T162" s="66"/>
      <c r="U162" s="66"/>
      <c r="V162" s="66"/>
      <c r="W162" s="66"/>
      <c r="X162" s="66"/>
      <c r="Y162" s="66"/>
      <c r="Z162" s="66"/>
      <c r="AA162" s="66"/>
    </row>
    <row r="163" ht="15.75" customHeight="1">
      <c r="A163" s="66"/>
      <c r="B163" s="66"/>
      <c r="C163" s="66"/>
      <c r="D163" s="66"/>
      <c r="E163" s="66"/>
      <c r="F163" s="68" t="str">
        <f t="array" ref="F163">IF(INDEX('Binder Data'!$A$1252:$A$1501,ROW()-1)="","",IF(INDEX('Binder Data'!$D$1252:$D$1501,ROW()-1)="Needed",INDEX('Binder Data'!$B$1252:$B$1501,ROW()-1),INDEX('Binder Data'!$D$1252:$D$1501,ROW()-1)))</f>
        <v/>
      </c>
      <c r="G163" s="66"/>
      <c r="H163" s="66"/>
      <c r="I163" s="66"/>
      <c r="J163" s="66"/>
      <c r="K163" s="66"/>
      <c r="L163" s="66"/>
      <c r="M163" s="66"/>
      <c r="N163" s="66"/>
      <c r="O163" s="66"/>
      <c r="P163" s="66"/>
      <c r="Q163" s="66"/>
      <c r="R163" s="66"/>
      <c r="S163" s="66"/>
      <c r="T163" s="66"/>
      <c r="U163" s="66"/>
      <c r="V163" s="66"/>
      <c r="W163" s="66"/>
      <c r="X163" s="66"/>
      <c r="Y163" s="66"/>
      <c r="Z163" s="66"/>
      <c r="AA163" s="66"/>
    </row>
    <row r="164" ht="15.75" customHeight="1">
      <c r="A164" s="66"/>
      <c r="B164" s="66"/>
      <c r="C164" s="66"/>
      <c r="D164" s="66"/>
      <c r="E164" s="66"/>
      <c r="F164" s="68" t="str">
        <f t="array" ref="F164">IF(INDEX('Binder Data'!$A$1252:$A$1501,ROW()-1)="","",IF(INDEX('Binder Data'!$D$1252:$D$1501,ROW()-1)="Needed",INDEX('Binder Data'!$B$1252:$B$1501,ROW()-1),INDEX('Binder Data'!$D$1252:$D$1501,ROW()-1)))</f>
        <v/>
      </c>
      <c r="G164" s="66"/>
      <c r="H164" s="66"/>
      <c r="I164" s="66"/>
      <c r="J164" s="66"/>
      <c r="K164" s="66"/>
      <c r="L164" s="66"/>
      <c r="M164" s="66"/>
      <c r="N164" s="66"/>
      <c r="O164" s="66"/>
      <c r="P164" s="66"/>
      <c r="Q164" s="66"/>
      <c r="R164" s="66"/>
      <c r="S164" s="66"/>
      <c r="T164" s="66"/>
      <c r="U164" s="66"/>
      <c r="V164" s="66"/>
      <c r="W164" s="66"/>
      <c r="X164" s="66"/>
      <c r="Y164" s="66"/>
      <c r="Z164" s="66"/>
      <c r="AA164" s="66"/>
    </row>
    <row r="165" ht="15.75" customHeight="1">
      <c r="A165" s="66"/>
      <c r="B165" s="66"/>
      <c r="C165" s="66"/>
      <c r="D165" s="66"/>
      <c r="E165" s="66"/>
      <c r="F165" s="68" t="str">
        <f t="array" ref="F165">IF(INDEX('Binder Data'!$A$1252:$A$1501,ROW()-1)="","",IF(INDEX('Binder Data'!$D$1252:$D$1501,ROW()-1)="Needed",INDEX('Binder Data'!$B$1252:$B$1501,ROW()-1),INDEX('Binder Data'!$D$1252:$D$1501,ROW()-1)))</f>
        <v/>
      </c>
      <c r="G165" s="66"/>
      <c r="H165" s="66"/>
      <c r="I165" s="66"/>
      <c r="J165" s="66"/>
      <c r="K165" s="66"/>
      <c r="L165" s="66"/>
      <c r="M165" s="66"/>
      <c r="N165" s="66"/>
      <c r="O165" s="66"/>
      <c r="P165" s="66"/>
      <c r="Q165" s="66"/>
      <c r="R165" s="66"/>
      <c r="S165" s="66"/>
      <c r="T165" s="66"/>
      <c r="U165" s="66"/>
      <c r="V165" s="66"/>
      <c r="W165" s="66"/>
      <c r="X165" s="66"/>
      <c r="Y165" s="66"/>
      <c r="Z165" s="66"/>
      <c r="AA165" s="66"/>
    </row>
    <row r="166" ht="15.75" customHeight="1">
      <c r="A166" s="66"/>
      <c r="B166" s="66"/>
      <c r="C166" s="66"/>
      <c r="D166" s="66"/>
      <c r="E166" s="66"/>
      <c r="F166" s="68" t="str">
        <f t="array" ref="F166">IF(INDEX('Binder Data'!$A$1252:$A$1501,ROW()-1)="","",IF(INDEX('Binder Data'!$D$1252:$D$1501,ROW()-1)="Needed",INDEX('Binder Data'!$B$1252:$B$1501,ROW()-1),INDEX('Binder Data'!$D$1252:$D$1501,ROW()-1)))</f>
        <v/>
      </c>
      <c r="G166" s="66"/>
      <c r="H166" s="66"/>
      <c r="I166" s="66"/>
      <c r="J166" s="66"/>
      <c r="K166" s="66"/>
      <c r="L166" s="66"/>
      <c r="M166" s="66"/>
      <c r="N166" s="66"/>
      <c r="O166" s="66"/>
      <c r="P166" s="66"/>
      <c r="Q166" s="66"/>
      <c r="R166" s="66"/>
      <c r="S166" s="66"/>
      <c r="T166" s="66"/>
      <c r="U166" s="66"/>
      <c r="V166" s="66"/>
      <c r="W166" s="66"/>
      <c r="X166" s="66"/>
      <c r="Y166" s="66"/>
      <c r="Z166" s="66"/>
      <c r="AA166" s="66"/>
    </row>
    <row r="167" ht="15.75" customHeight="1">
      <c r="A167" s="66"/>
      <c r="B167" s="66"/>
      <c r="C167" s="66"/>
      <c r="D167" s="66"/>
      <c r="E167" s="66"/>
      <c r="F167" s="68" t="str">
        <f t="array" ref="F167">IF(INDEX('Binder Data'!$A$1252:$A$1501,ROW()-1)="","",IF(INDEX('Binder Data'!$D$1252:$D$1501,ROW()-1)="Needed",INDEX('Binder Data'!$B$1252:$B$1501,ROW()-1),INDEX('Binder Data'!$D$1252:$D$1501,ROW()-1)))</f>
        <v/>
      </c>
      <c r="G167" s="66"/>
      <c r="H167" s="66"/>
      <c r="I167" s="66"/>
      <c r="J167" s="66"/>
      <c r="K167" s="66"/>
      <c r="L167" s="66"/>
      <c r="M167" s="66"/>
      <c r="N167" s="66"/>
      <c r="O167" s="66"/>
      <c r="P167" s="66"/>
      <c r="Q167" s="66"/>
      <c r="R167" s="66"/>
      <c r="S167" s="66"/>
      <c r="T167" s="66"/>
      <c r="U167" s="66"/>
      <c r="V167" s="66"/>
      <c r="W167" s="66"/>
      <c r="X167" s="66"/>
      <c r="Y167" s="66"/>
      <c r="Z167" s="66"/>
      <c r="AA167" s="66"/>
    </row>
    <row r="168" ht="15.75" customHeight="1">
      <c r="A168" s="66"/>
      <c r="B168" s="66"/>
      <c r="C168" s="66"/>
      <c r="D168" s="66"/>
      <c r="E168" s="66"/>
      <c r="F168" s="68" t="str">
        <f t="array" ref="F168">IF(INDEX('Binder Data'!$A$1252:$A$1501,ROW()-1)="","",IF(INDEX('Binder Data'!$D$1252:$D$1501,ROW()-1)="Needed",INDEX('Binder Data'!$B$1252:$B$1501,ROW()-1),INDEX('Binder Data'!$D$1252:$D$1501,ROW()-1)))</f>
        <v/>
      </c>
      <c r="G168" s="66"/>
      <c r="H168" s="66"/>
      <c r="I168" s="66"/>
      <c r="J168" s="66"/>
      <c r="K168" s="66"/>
      <c r="L168" s="66"/>
      <c r="M168" s="66"/>
      <c r="N168" s="66"/>
      <c r="O168" s="66"/>
      <c r="P168" s="66"/>
      <c r="Q168" s="66"/>
      <c r="R168" s="66"/>
      <c r="S168" s="66"/>
      <c r="T168" s="66"/>
      <c r="U168" s="66"/>
      <c r="V168" s="66"/>
      <c r="W168" s="66"/>
      <c r="X168" s="66"/>
      <c r="Y168" s="66"/>
      <c r="Z168" s="66"/>
      <c r="AA168" s="66"/>
    </row>
    <row r="169" ht="15.75" customHeight="1">
      <c r="A169" s="66"/>
      <c r="B169" s="66"/>
      <c r="C169" s="66"/>
      <c r="D169" s="66"/>
      <c r="E169" s="66"/>
      <c r="F169" s="68" t="str">
        <f t="array" ref="F169">IF(INDEX('Binder Data'!$A$1252:$A$1501,ROW()-1)="","",IF(INDEX('Binder Data'!$D$1252:$D$1501,ROW()-1)="Needed",INDEX('Binder Data'!$B$1252:$B$1501,ROW()-1),INDEX('Binder Data'!$D$1252:$D$1501,ROW()-1)))</f>
        <v/>
      </c>
      <c r="G169" s="66"/>
      <c r="H169" s="66"/>
      <c r="I169" s="66"/>
      <c r="J169" s="66"/>
      <c r="K169" s="66"/>
      <c r="L169" s="66"/>
      <c r="M169" s="66"/>
      <c r="N169" s="66"/>
      <c r="O169" s="66"/>
      <c r="P169" s="66"/>
      <c r="Q169" s="66"/>
      <c r="R169" s="66"/>
      <c r="S169" s="66"/>
      <c r="T169" s="66"/>
      <c r="U169" s="66"/>
      <c r="V169" s="66"/>
      <c r="W169" s="66"/>
      <c r="X169" s="66"/>
      <c r="Y169" s="66"/>
      <c r="Z169" s="66"/>
      <c r="AA169" s="66"/>
    </row>
    <row r="170" ht="15.75" customHeight="1">
      <c r="A170" s="66"/>
      <c r="B170" s="66"/>
      <c r="C170" s="66"/>
      <c r="D170" s="66"/>
      <c r="E170" s="66"/>
      <c r="F170" s="68" t="str">
        <f t="array" ref="F170">IF(INDEX('Binder Data'!$A$1252:$A$1501,ROW()-1)="","",IF(INDEX('Binder Data'!$D$1252:$D$1501,ROW()-1)="Needed",INDEX('Binder Data'!$B$1252:$B$1501,ROW()-1),INDEX('Binder Data'!$D$1252:$D$1501,ROW()-1)))</f>
        <v/>
      </c>
      <c r="G170" s="66"/>
      <c r="H170" s="66"/>
      <c r="I170" s="66"/>
      <c r="J170" s="66"/>
      <c r="K170" s="66"/>
      <c r="L170" s="66"/>
      <c r="M170" s="66"/>
      <c r="N170" s="66"/>
      <c r="O170" s="66"/>
      <c r="P170" s="66"/>
      <c r="Q170" s="66"/>
      <c r="R170" s="66"/>
      <c r="S170" s="66"/>
      <c r="T170" s="66"/>
      <c r="U170" s="66"/>
      <c r="V170" s="66"/>
      <c r="W170" s="66"/>
      <c r="X170" s="66"/>
      <c r="Y170" s="66"/>
      <c r="Z170" s="66"/>
      <c r="AA170" s="66"/>
    </row>
    <row r="171" ht="15.75" customHeight="1">
      <c r="A171" s="66"/>
      <c r="B171" s="66"/>
      <c r="C171" s="66"/>
      <c r="D171" s="66"/>
      <c r="E171" s="66"/>
      <c r="F171" s="68" t="str">
        <f t="array" ref="F171">IF(INDEX('Binder Data'!$A$1252:$A$1501,ROW()-1)="","",IF(INDEX('Binder Data'!$D$1252:$D$1501,ROW()-1)="Needed",INDEX('Binder Data'!$B$1252:$B$1501,ROW()-1),INDEX('Binder Data'!$D$1252:$D$1501,ROW()-1)))</f>
        <v/>
      </c>
      <c r="G171" s="66"/>
      <c r="H171" s="66"/>
      <c r="I171" s="66"/>
      <c r="J171" s="66"/>
      <c r="K171" s="66"/>
      <c r="L171" s="66"/>
      <c r="M171" s="66"/>
      <c r="N171" s="66"/>
      <c r="O171" s="66"/>
      <c r="P171" s="66"/>
      <c r="Q171" s="66"/>
      <c r="R171" s="66"/>
      <c r="S171" s="66"/>
      <c r="T171" s="66"/>
      <c r="U171" s="66"/>
      <c r="V171" s="66"/>
      <c r="W171" s="66"/>
      <c r="X171" s="66"/>
      <c r="Y171" s="66"/>
      <c r="Z171" s="66"/>
      <c r="AA171" s="66"/>
    </row>
    <row r="172" ht="15.75" customHeight="1">
      <c r="A172" s="66"/>
      <c r="B172" s="66"/>
      <c r="C172" s="66"/>
      <c r="D172" s="66"/>
      <c r="E172" s="66"/>
      <c r="F172" s="68" t="str">
        <f t="array" ref="F172">IF(INDEX('Binder Data'!$A$1252:$A$1501,ROW()-1)="","",IF(INDEX('Binder Data'!$D$1252:$D$1501,ROW()-1)="Needed",INDEX('Binder Data'!$B$1252:$B$1501,ROW()-1),INDEX('Binder Data'!$D$1252:$D$1501,ROW()-1)))</f>
        <v/>
      </c>
      <c r="G172" s="66"/>
      <c r="H172" s="66"/>
      <c r="I172" s="66"/>
      <c r="J172" s="66"/>
      <c r="K172" s="66"/>
      <c r="L172" s="66"/>
      <c r="M172" s="66"/>
      <c r="N172" s="66"/>
      <c r="O172" s="66"/>
      <c r="P172" s="66"/>
      <c r="Q172" s="66"/>
      <c r="R172" s="66"/>
      <c r="S172" s="66"/>
      <c r="T172" s="66"/>
      <c r="U172" s="66"/>
      <c r="V172" s="66"/>
      <c r="W172" s="66"/>
      <c r="X172" s="66"/>
      <c r="Y172" s="66"/>
      <c r="Z172" s="66"/>
      <c r="AA172" s="66"/>
    </row>
    <row r="173" ht="15.75" customHeight="1">
      <c r="A173" s="66"/>
      <c r="B173" s="66"/>
      <c r="C173" s="66"/>
      <c r="D173" s="66"/>
      <c r="E173" s="66"/>
      <c r="F173" s="68" t="str">
        <f t="array" ref="F173">IF(INDEX('Binder Data'!$A$1252:$A$1501,ROW()-1)="","",IF(INDEX('Binder Data'!$D$1252:$D$1501,ROW()-1)="Needed",INDEX('Binder Data'!$B$1252:$B$1501,ROW()-1),INDEX('Binder Data'!$D$1252:$D$1501,ROW()-1)))</f>
        <v/>
      </c>
      <c r="G173" s="66"/>
      <c r="H173" s="66"/>
      <c r="I173" s="66"/>
      <c r="J173" s="66"/>
      <c r="K173" s="66"/>
      <c r="L173" s="66"/>
      <c r="M173" s="66"/>
      <c r="N173" s="66"/>
      <c r="O173" s="66"/>
      <c r="P173" s="66"/>
      <c r="Q173" s="66"/>
      <c r="R173" s="66"/>
      <c r="S173" s="66"/>
      <c r="T173" s="66"/>
      <c r="U173" s="66"/>
      <c r="V173" s="66"/>
      <c r="W173" s="66"/>
      <c r="X173" s="66"/>
      <c r="Y173" s="66"/>
      <c r="Z173" s="66"/>
      <c r="AA173" s="66"/>
    </row>
    <row r="174" ht="15.75" customHeight="1">
      <c r="A174" s="66"/>
      <c r="B174" s="66"/>
      <c r="C174" s="66"/>
      <c r="D174" s="66"/>
      <c r="E174" s="66"/>
      <c r="F174" s="68" t="str">
        <f t="array" ref="F174">IF(INDEX('Binder Data'!$A$1252:$A$1501,ROW()-1)="","",IF(INDEX('Binder Data'!$D$1252:$D$1501,ROW()-1)="Needed",INDEX('Binder Data'!$B$1252:$B$1501,ROW()-1),INDEX('Binder Data'!$D$1252:$D$1501,ROW()-1)))</f>
        <v/>
      </c>
      <c r="G174" s="66"/>
      <c r="H174" s="66"/>
      <c r="I174" s="66"/>
      <c r="J174" s="66"/>
      <c r="K174" s="66"/>
      <c r="L174" s="66"/>
      <c r="M174" s="66"/>
      <c r="N174" s="66"/>
      <c r="O174" s="66"/>
      <c r="P174" s="66"/>
      <c r="Q174" s="66"/>
      <c r="R174" s="66"/>
      <c r="S174" s="66"/>
      <c r="T174" s="66"/>
      <c r="U174" s="66"/>
      <c r="V174" s="66"/>
      <c r="W174" s="66"/>
      <c r="X174" s="66"/>
      <c r="Y174" s="66"/>
      <c r="Z174" s="66"/>
      <c r="AA174" s="66"/>
    </row>
    <row r="175" ht="15.75" customHeight="1">
      <c r="A175" s="66"/>
      <c r="B175" s="66"/>
      <c r="C175" s="66"/>
      <c r="D175" s="66"/>
      <c r="E175" s="66"/>
      <c r="F175" s="68" t="str">
        <f t="array" ref="F175">IF(INDEX('Binder Data'!$A$1252:$A$1501,ROW()-1)="","",IF(INDEX('Binder Data'!$D$1252:$D$1501,ROW()-1)="Needed",INDEX('Binder Data'!$B$1252:$B$1501,ROW()-1),INDEX('Binder Data'!$D$1252:$D$1501,ROW()-1)))</f>
        <v/>
      </c>
      <c r="G175" s="66"/>
      <c r="H175" s="66"/>
      <c r="I175" s="66"/>
      <c r="J175" s="66"/>
      <c r="K175" s="66"/>
      <c r="L175" s="66"/>
      <c r="M175" s="66"/>
      <c r="N175" s="66"/>
      <c r="O175" s="66"/>
      <c r="P175" s="66"/>
      <c r="Q175" s="66"/>
      <c r="R175" s="66"/>
      <c r="S175" s="66"/>
      <c r="T175" s="66"/>
      <c r="U175" s="66"/>
      <c r="V175" s="66"/>
      <c r="W175" s="66"/>
      <c r="X175" s="66"/>
      <c r="Y175" s="66"/>
      <c r="Z175" s="66"/>
      <c r="AA175" s="66"/>
    </row>
    <row r="176" ht="15.75" customHeight="1">
      <c r="A176" s="66"/>
      <c r="B176" s="66"/>
      <c r="C176" s="66"/>
      <c r="D176" s="66"/>
      <c r="E176" s="66"/>
      <c r="F176" s="68" t="str">
        <f t="array" ref="F176">IF(INDEX('Binder Data'!$A$1252:$A$1501,ROW()-1)="","",IF(INDEX('Binder Data'!$D$1252:$D$1501,ROW()-1)="Needed",INDEX('Binder Data'!$B$1252:$B$1501,ROW()-1),INDEX('Binder Data'!$D$1252:$D$1501,ROW()-1)))</f>
        <v/>
      </c>
      <c r="G176" s="66"/>
      <c r="H176" s="66"/>
      <c r="I176" s="66"/>
      <c r="J176" s="66"/>
      <c r="K176" s="66"/>
      <c r="L176" s="66"/>
      <c r="M176" s="66"/>
      <c r="N176" s="66"/>
      <c r="O176" s="66"/>
      <c r="P176" s="66"/>
      <c r="Q176" s="66"/>
      <c r="R176" s="66"/>
      <c r="S176" s="66"/>
      <c r="T176" s="66"/>
      <c r="U176" s="66"/>
      <c r="V176" s="66"/>
      <c r="W176" s="66"/>
      <c r="X176" s="66"/>
      <c r="Y176" s="66"/>
      <c r="Z176" s="66"/>
      <c r="AA176" s="66"/>
    </row>
    <row r="177" ht="15.75" customHeight="1">
      <c r="A177" s="66"/>
      <c r="B177" s="66"/>
      <c r="C177" s="66"/>
      <c r="D177" s="66"/>
      <c r="E177" s="66"/>
      <c r="F177" s="68" t="str">
        <f t="array" ref="F177">IF(INDEX('Binder Data'!$A$1252:$A$1501,ROW()-1)="","",IF(INDEX('Binder Data'!$D$1252:$D$1501,ROW()-1)="Needed",INDEX('Binder Data'!$B$1252:$B$1501,ROW()-1),INDEX('Binder Data'!$D$1252:$D$1501,ROW()-1)))</f>
        <v/>
      </c>
      <c r="G177" s="66"/>
      <c r="H177" s="66"/>
      <c r="I177" s="66"/>
      <c r="J177" s="66"/>
      <c r="K177" s="66"/>
      <c r="L177" s="66"/>
      <c r="M177" s="66"/>
      <c r="N177" s="66"/>
      <c r="O177" s="66"/>
      <c r="P177" s="66"/>
      <c r="Q177" s="66"/>
      <c r="R177" s="66"/>
      <c r="S177" s="66"/>
      <c r="T177" s="66"/>
      <c r="U177" s="66"/>
      <c r="V177" s="66"/>
      <c r="W177" s="66"/>
      <c r="X177" s="66"/>
      <c r="Y177" s="66"/>
      <c r="Z177" s="66"/>
      <c r="AA177" s="66"/>
    </row>
    <row r="178" ht="15.75" customHeight="1">
      <c r="A178" s="66"/>
      <c r="B178" s="66"/>
      <c r="C178" s="66"/>
      <c r="D178" s="66"/>
      <c r="E178" s="66"/>
      <c r="F178" s="68" t="str">
        <f t="array" ref="F178">IF(INDEX('Binder Data'!$A$1252:$A$1501,ROW()-1)="","",IF(INDEX('Binder Data'!$D$1252:$D$1501,ROW()-1)="Needed",INDEX('Binder Data'!$B$1252:$B$1501,ROW()-1),INDEX('Binder Data'!$D$1252:$D$1501,ROW()-1)))</f>
        <v/>
      </c>
      <c r="G178" s="66"/>
      <c r="H178" s="66"/>
      <c r="I178" s="66"/>
      <c r="J178" s="66"/>
      <c r="K178" s="66"/>
      <c r="L178" s="66"/>
      <c r="M178" s="66"/>
      <c r="N178" s="66"/>
      <c r="O178" s="66"/>
      <c r="P178" s="66"/>
      <c r="Q178" s="66"/>
      <c r="R178" s="66"/>
      <c r="S178" s="66"/>
      <c r="T178" s="66"/>
      <c r="U178" s="66"/>
      <c r="V178" s="66"/>
      <c r="W178" s="66"/>
      <c r="X178" s="66"/>
      <c r="Y178" s="66"/>
      <c r="Z178" s="66"/>
      <c r="AA178" s="66"/>
    </row>
    <row r="179" ht="15.75" customHeight="1">
      <c r="A179" s="66"/>
      <c r="B179" s="66"/>
      <c r="C179" s="66"/>
      <c r="D179" s="66"/>
      <c r="E179" s="66"/>
      <c r="F179" s="68" t="str">
        <f t="array" ref="F179">IF(INDEX('Binder Data'!$A$1252:$A$1501,ROW()-1)="","",IF(INDEX('Binder Data'!$D$1252:$D$1501,ROW()-1)="Needed",INDEX('Binder Data'!$B$1252:$B$1501,ROW()-1),INDEX('Binder Data'!$D$1252:$D$1501,ROW()-1)))</f>
        <v/>
      </c>
      <c r="G179" s="66"/>
      <c r="H179" s="66"/>
      <c r="I179" s="66"/>
      <c r="J179" s="66"/>
      <c r="K179" s="66"/>
      <c r="L179" s="66"/>
      <c r="M179" s="66"/>
      <c r="N179" s="66"/>
      <c r="O179" s="66"/>
      <c r="P179" s="66"/>
      <c r="Q179" s="66"/>
      <c r="R179" s="66"/>
      <c r="S179" s="66"/>
      <c r="T179" s="66"/>
      <c r="U179" s="66"/>
      <c r="V179" s="66"/>
      <c r="W179" s="66"/>
      <c r="X179" s="66"/>
      <c r="Y179" s="66"/>
      <c r="Z179" s="66"/>
      <c r="AA179" s="66"/>
    </row>
    <row r="180" ht="15.75" customHeight="1">
      <c r="A180" s="66"/>
      <c r="B180" s="66"/>
      <c r="C180" s="66"/>
      <c r="D180" s="66"/>
      <c r="E180" s="66"/>
      <c r="F180" s="68" t="str">
        <f t="array" ref="F180">IF(INDEX('Binder Data'!$A$1252:$A$1501,ROW()-1)="","",IF(INDEX('Binder Data'!$D$1252:$D$1501,ROW()-1)="Needed",INDEX('Binder Data'!$B$1252:$B$1501,ROW()-1),INDEX('Binder Data'!$D$1252:$D$1501,ROW()-1)))</f>
        <v/>
      </c>
      <c r="G180" s="66"/>
      <c r="H180" s="66"/>
      <c r="I180" s="66"/>
      <c r="J180" s="66"/>
      <c r="K180" s="66"/>
      <c r="L180" s="66"/>
      <c r="M180" s="66"/>
      <c r="N180" s="66"/>
      <c r="O180" s="66"/>
      <c r="P180" s="66"/>
      <c r="Q180" s="66"/>
      <c r="R180" s="66"/>
      <c r="S180" s="66"/>
      <c r="T180" s="66"/>
      <c r="U180" s="66"/>
      <c r="V180" s="66"/>
      <c r="W180" s="66"/>
      <c r="X180" s="66"/>
      <c r="Y180" s="66"/>
      <c r="Z180" s="66"/>
      <c r="AA180" s="66"/>
    </row>
    <row r="181" ht="15.75" customHeight="1">
      <c r="A181" s="66"/>
      <c r="B181" s="66"/>
      <c r="C181" s="66"/>
      <c r="D181" s="66"/>
      <c r="E181" s="66"/>
      <c r="F181" s="68" t="str">
        <f t="array" ref="F181">IF(INDEX('Binder Data'!$A$1252:$A$1501,ROW()-1)="","",IF(INDEX('Binder Data'!$D$1252:$D$1501,ROW()-1)="Needed",INDEX('Binder Data'!$B$1252:$B$1501,ROW()-1),INDEX('Binder Data'!$D$1252:$D$1501,ROW()-1)))</f>
        <v/>
      </c>
      <c r="G181" s="66"/>
      <c r="H181" s="66"/>
      <c r="I181" s="66"/>
      <c r="J181" s="66"/>
      <c r="K181" s="66"/>
      <c r="L181" s="66"/>
      <c r="M181" s="66"/>
      <c r="N181" s="66"/>
      <c r="O181" s="66"/>
      <c r="P181" s="66"/>
      <c r="Q181" s="66"/>
      <c r="R181" s="66"/>
      <c r="S181" s="66"/>
      <c r="T181" s="66"/>
      <c r="U181" s="66"/>
      <c r="V181" s="66"/>
      <c r="W181" s="66"/>
      <c r="X181" s="66"/>
      <c r="Y181" s="66"/>
      <c r="Z181" s="66"/>
      <c r="AA181" s="66"/>
    </row>
    <row r="182" ht="15.75" customHeight="1">
      <c r="A182" s="66"/>
      <c r="B182" s="66"/>
      <c r="C182" s="66"/>
      <c r="D182" s="66"/>
      <c r="E182" s="66"/>
      <c r="F182" s="68" t="str">
        <f t="array" ref="F182">IF(INDEX('Binder Data'!$A$1252:$A$1501,ROW()-1)="","",IF(INDEX('Binder Data'!$D$1252:$D$1501,ROW()-1)="Needed",INDEX('Binder Data'!$B$1252:$B$1501,ROW()-1),INDEX('Binder Data'!$D$1252:$D$1501,ROW()-1)))</f>
        <v/>
      </c>
      <c r="G182" s="66"/>
      <c r="H182" s="66"/>
      <c r="I182" s="66"/>
      <c r="J182" s="66"/>
      <c r="K182" s="66"/>
      <c r="L182" s="66"/>
      <c r="M182" s="66"/>
      <c r="N182" s="66"/>
      <c r="O182" s="66"/>
      <c r="P182" s="66"/>
      <c r="Q182" s="66"/>
      <c r="R182" s="66"/>
      <c r="S182" s="66"/>
      <c r="T182" s="66"/>
      <c r="U182" s="66"/>
      <c r="V182" s="66"/>
      <c r="W182" s="66"/>
      <c r="X182" s="66"/>
      <c r="Y182" s="66"/>
      <c r="Z182" s="66"/>
      <c r="AA182" s="66"/>
    </row>
    <row r="183" ht="15.75" customHeight="1">
      <c r="A183" s="66"/>
      <c r="B183" s="66"/>
      <c r="C183" s="66"/>
      <c r="D183" s="66"/>
      <c r="E183" s="66"/>
      <c r="F183" s="68" t="str">
        <f t="array" ref="F183">IF(INDEX('Binder Data'!$A$1252:$A$1501,ROW()-1)="","",IF(INDEX('Binder Data'!$D$1252:$D$1501,ROW()-1)="Needed",INDEX('Binder Data'!$B$1252:$B$1501,ROW()-1),INDEX('Binder Data'!$D$1252:$D$1501,ROW()-1)))</f>
        <v/>
      </c>
      <c r="G183" s="66"/>
      <c r="H183" s="66"/>
      <c r="I183" s="66"/>
      <c r="J183" s="66"/>
      <c r="K183" s="66"/>
      <c r="L183" s="66"/>
      <c r="M183" s="66"/>
      <c r="N183" s="66"/>
      <c r="O183" s="66"/>
      <c r="P183" s="66"/>
      <c r="Q183" s="66"/>
      <c r="R183" s="66"/>
      <c r="S183" s="66"/>
      <c r="T183" s="66"/>
      <c r="U183" s="66"/>
      <c r="V183" s="66"/>
      <c r="W183" s="66"/>
      <c r="X183" s="66"/>
      <c r="Y183" s="66"/>
      <c r="Z183" s="66"/>
      <c r="AA183" s="66"/>
    </row>
    <row r="184" ht="15.75" customHeight="1">
      <c r="A184" s="66"/>
      <c r="B184" s="66"/>
      <c r="C184" s="66"/>
      <c r="D184" s="66"/>
      <c r="E184" s="66"/>
      <c r="F184" s="68" t="str">
        <f t="array" ref="F184">IF(INDEX('Binder Data'!$A$1252:$A$1501,ROW()-1)="","",IF(INDEX('Binder Data'!$D$1252:$D$1501,ROW()-1)="Needed",INDEX('Binder Data'!$B$1252:$B$1501,ROW()-1),INDEX('Binder Data'!$D$1252:$D$1501,ROW()-1)))</f>
        <v/>
      </c>
      <c r="G184" s="66"/>
      <c r="H184" s="66"/>
      <c r="I184" s="66"/>
      <c r="J184" s="66"/>
      <c r="K184" s="66"/>
      <c r="L184" s="66"/>
      <c r="M184" s="66"/>
      <c r="N184" s="66"/>
      <c r="O184" s="66"/>
      <c r="P184" s="66"/>
      <c r="Q184" s="66"/>
      <c r="R184" s="66"/>
      <c r="S184" s="66"/>
      <c r="T184" s="66"/>
      <c r="U184" s="66"/>
      <c r="V184" s="66"/>
      <c r="W184" s="66"/>
      <c r="X184" s="66"/>
      <c r="Y184" s="66"/>
      <c r="Z184" s="66"/>
      <c r="AA184" s="66"/>
    </row>
    <row r="185" ht="15.75" customHeight="1">
      <c r="A185" s="66"/>
      <c r="B185" s="66"/>
      <c r="C185" s="66"/>
      <c r="D185" s="66"/>
      <c r="E185" s="66"/>
      <c r="F185" s="68" t="str">
        <f t="array" ref="F185">IF(INDEX('Binder Data'!$A$1252:$A$1501,ROW()-1)="","",IF(INDEX('Binder Data'!$D$1252:$D$1501,ROW()-1)="Needed",INDEX('Binder Data'!$B$1252:$B$1501,ROW()-1),INDEX('Binder Data'!$D$1252:$D$1501,ROW()-1)))</f>
        <v/>
      </c>
      <c r="G185" s="66"/>
      <c r="H185" s="66"/>
      <c r="I185" s="66"/>
      <c r="J185" s="66"/>
      <c r="K185" s="66"/>
      <c r="L185" s="66"/>
      <c r="M185" s="66"/>
      <c r="N185" s="66"/>
      <c r="O185" s="66"/>
      <c r="P185" s="66"/>
      <c r="Q185" s="66"/>
      <c r="R185" s="66"/>
      <c r="S185" s="66"/>
      <c r="T185" s="66"/>
      <c r="U185" s="66"/>
      <c r="V185" s="66"/>
      <c r="W185" s="66"/>
      <c r="X185" s="66"/>
      <c r="Y185" s="66"/>
      <c r="Z185" s="66"/>
      <c r="AA185" s="66"/>
    </row>
    <row r="186" ht="15.75" customHeight="1">
      <c r="A186" s="66"/>
      <c r="B186" s="66"/>
      <c r="C186" s="66"/>
      <c r="D186" s="66"/>
      <c r="E186" s="66"/>
      <c r="F186" s="68" t="str">
        <f t="array" ref="F186">IF(INDEX('Binder Data'!$A$1252:$A$1501,ROW()-1)="","",IF(INDEX('Binder Data'!$D$1252:$D$1501,ROW()-1)="Needed",INDEX('Binder Data'!$B$1252:$B$1501,ROW()-1),INDEX('Binder Data'!$D$1252:$D$1501,ROW()-1)))</f>
        <v/>
      </c>
      <c r="G186" s="66"/>
      <c r="H186" s="66"/>
      <c r="I186" s="66"/>
      <c r="J186" s="66"/>
      <c r="K186" s="66"/>
      <c r="L186" s="66"/>
      <c r="M186" s="66"/>
      <c r="N186" s="66"/>
      <c r="O186" s="66"/>
      <c r="P186" s="66"/>
      <c r="Q186" s="66"/>
      <c r="R186" s="66"/>
      <c r="S186" s="66"/>
      <c r="T186" s="66"/>
      <c r="U186" s="66"/>
      <c r="V186" s="66"/>
      <c r="W186" s="66"/>
      <c r="X186" s="66"/>
      <c r="Y186" s="66"/>
      <c r="Z186" s="66"/>
      <c r="AA186" s="66"/>
    </row>
    <row r="187" ht="15.75" customHeight="1">
      <c r="A187" s="66"/>
      <c r="B187" s="66"/>
      <c r="C187" s="66"/>
      <c r="D187" s="66"/>
      <c r="E187" s="66"/>
      <c r="F187" s="68" t="str">
        <f t="array" ref="F187">IF(INDEX('Binder Data'!$A$1252:$A$1501,ROW()-1)="","",IF(INDEX('Binder Data'!$D$1252:$D$1501,ROW()-1)="Needed",INDEX('Binder Data'!$B$1252:$B$1501,ROW()-1),INDEX('Binder Data'!$D$1252:$D$1501,ROW()-1)))</f>
        <v/>
      </c>
      <c r="G187" s="66"/>
      <c r="H187" s="66"/>
      <c r="I187" s="66"/>
      <c r="J187" s="66"/>
      <c r="K187" s="66"/>
      <c r="L187" s="66"/>
      <c r="M187" s="66"/>
      <c r="N187" s="66"/>
      <c r="O187" s="66"/>
      <c r="P187" s="66"/>
      <c r="Q187" s="66"/>
      <c r="R187" s="66"/>
      <c r="S187" s="66"/>
      <c r="T187" s="66"/>
      <c r="U187" s="66"/>
      <c r="V187" s="66"/>
      <c r="W187" s="66"/>
      <c r="X187" s="66"/>
      <c r="Y187" s="66"/>
      <c r="Z187" s="66"/>
      <c r="AA187" s="66"/>
    </row>
    <row r="188" ht="15.75" customHeight="1">
      <c r="A188" s="66"/>
      <c r="B188" s="66"/>
      <c r="C188" s="66"/>
      <c r="D188" s="66"/>
      <c r="E188" s="66"/>
      <c r="F188" s="68" t="str">
        <f t="array" ref="F188">IF(INDEX('Binder Data'!$A$1252:$A$1501,ROW()-1)="","",IF(INDEX('Binder Data'!$D$1252:$D$1501,ROW()-1)="Needed",INDEX('Binder Data'!$B$1252:$B$1501,ROW()-1),INDEX('Binder Data'!$D$1252:$D$1501,ROW()-1)))</f>
        <v/>
      </c>
      <c r="G188" s="66"/>
      <c r="H188" s="66"/>
      <c r="I188" s="66"/>
      <c r="J188" s="66"/>
      <c r="K188" s="66"/>
      <c r="L188" s="66"/>
      <c r="M188" s="66"/>
      <c r="N188" s="66"/>
      <c r="O188" s="66"/>
      <c r="P188" s="66"/>
      <c r="Q188" s="66"/>
      <c r="R188" s="66"/>
      <c r="S188" s="66"/>
      <c r="T188" s="66"/>
      <c r="U188" s="66"/>
      <c r="V188" s="66"/>
      <c r="W188" s="66"/>
      <c r="X188" s="66"/>
      <c r="Y188" s="66"/>
      <c r="Z188" s="66"/>
      <c r="AA188" s="66"/>
    </row>
    <row r="189" ht="15.75" customHeight="1">
      <c r="A189" s="66"/>
      <c r="B189" s="66"/>
      <c r="C189" s="66"/>
      <c r="D189" s="66"/>
      <c r="E189" s="66"/>
      <c r="F189" s="68" t="str">
        <f t="array" ref="F189">IF(INDEX('Binder Data'!$A$1252:$A$1501,ROW()-1)="","",IF(INDEX('Binder Data'!$D$1252:$D$1501,ROW()-1)="Needed",INDEX('Binder Data'!$B$1252:$B$1501,ROW()-1),INDEX('Binder Data'!$D$1252:$D$1501,ROW()-1)))</f>
        <v/>
      </c>
      <c r="G189" s="66"/>
      <c r="H189" s="66"/>
      <c r="I189" s="66"/>
      <c r="J189" s="66"/>
      <c r="K189" s="66"/>
      <c r="L189" s="66"/>
      <c r="M189" s="66"/>
      <c r="N189" s="66"/>
      <c r="O189" s="66"/>
      <c r="P189" s="66"/>
      <c r="Q189" s="66"/>
      <c r="R189" s="66"/>
      <c r="S189" s="66"/>
      <c r="T189" s="66"/>
      <c r="U189" s="66"/>
      <c r="V189" s="66"/>
      <c r="W189" s="66"/>
      <c r="X189" s="66"/>
      <c r="Y189" s="66"/>
      <c r="Z189" s="66"/>
      <c r="AA189" s="66"/>
    </row>
    <row r="190" ht="15.75" customHeight="1">
      <c r="A190" s="66"/>
      <c r="B190" s="66"/>
      <c r="C190" s="66"/>
      <c r="D190" s="66"/>
      <c r="E190" s="66"/>
      <c r="F190" s="68" t="str">
        <f t="array" ref="F190">IF(INDEX('Binder Data'!$A$1252:$A$1501,ROW()-1)="","",IF(INDEX('Binder Data'!$D$1252:$D$1501,ROW()-1)="Needed",INDEX('Binder Data'!$B$1252:$B$1501,ROW()-1),INDEX('Binder Data'!$D$1252:$D$1501,ROW()-1)))</f>
        <v/>
      </c>
      <c r="G190" s="66"/>
      <c r="H190" s="66"/>
      <c r="I190" s="66"/>
      <c r="J190" s="66"/>
      <c r="K190" s="66"/>
      <c r="L190" s="66"/>
      <c r="M190" s="66"/>
      <c r="N190" s="66"/>
      <c r="O190" s="66"/>
      <c r="P190" s="66"/>
      <c r="Q190" s="66"/>
      <c r="R190" s="66"/>
      <c r="S190" s="66"/>
      <c r="T190" s="66"/>
      <c r="U190" s="66"/>
      <c r="V190" s="66"/>
      <c r="W190" s="66"/>
      <c r="X190" s="66"/>
      <c r="Y190" s="66"/>
      <c r="Z190" s="66"/>
      <c r="AA190" s="66"/>
    </row>
    <row r="191" ht="15.75" customHeight="1">
      <c r="A191" s="66"/>
      <c r="B191" s="66"/>
      <c r="C191" s="66"/>
      <c r="D191" s="66"/>
      <c r="E191" s="66"/>
      <c r="F191" s="68" t="str">
        <f t="array" ref="F191">IF(INDEX('Binder Data'!$A$1252:$A$1501,ROW()-1)="","",IF(INDEX('Binder Data'!$D$1252:$D$1501,ROW()-1)="Needed",INDEX('Binder Data'!$B$1252:$B$1501,ROW()-1),INDEX('Binder Data'!$D$1252:$D$1501,ROW()-1)))</f>
        <v/>
      </c>
      <c r="G191" s="66"/>
      <c r="H191" s="66"/>
      <c r="I191" s="66"/>
      <c r="J191" s="66"/>
      <c r="K191" s="66"/>
      <c r="L191" s="66"/>
      <c r="M191" s="66"/>
      <c r="N191" s="66"/>
      <c r="O191" s="66"/>
      <c r="P191" s="66"/>
      <c r="Q191" s="66"/>
      <c r="R191" s="66"/>
      <c r="S191" s="66"/>
      <c r="T191" s="66"/>
      <c r="U191" s="66"/>
      <c r="V191" s="66"/>
      <c r="W191" s="66"/>
      <c r="X191" s="66"/>
      <c r="Y191" s="66"/>
      <c r="Z191" s="66"/>
      <c r="AA191" s="66"/>
    </row>
    <row r="192" ht="15.75" customHeight="1">
      <c r="A192" s="66"/>
      <c r="B192" s="66"/>
      <c r="C192" s="66"/>
      <c r="D192" s="66"/>
      <c r="E192" s="66"/>
      <c r="F192" s="68" t="str">
        <f t="array" ref="F192">IF(INDEX('Binder Data'!$A$1252:$A$1501,ROW()-1)="","",IF(INDEX('Binder Data'!$D$1252:$D$1501,ROW()-1)="Needed",INDEX('Binder Data'!$B$1252:$B$1501,ROW()-1),INDEX('Binder Data'!$D$1252:$D$1501,ROW()-1)))</f>
        <v/>
      </c>
      <c r="G192" s="66"/>
      <c r="H192" s="66"/>
      <c r="I192" s="66"/>
      <c r="J192" s="66"/>
      <c r="K192" s="66"/>
      <c r="L192" s="66"/>
      <c r="M192" s="66"/>
      <c r="N192" s="66"/>
      <c r="O192" s="66"/>
      <c r="P192" s="66"/>
      <c r="Q192" s="66"/>
      <c r="R192" s="66"/>
      <c r="S192" s="66"/>
      <c r="T192" s="66"/>
      <c r="U192" s="66"/>
      <c r="V192" s="66"/>
      <c r="W192" s="66"/>
      <c r="X192" s="66"/>
      <c r="Y192" s="66"/>
      <c r="Z192" s="66"/>
      <c r="AA192" s="66"/>
    </row>
    <row r="193" ht="15.75" customHeight="1">
      <c r="A193" s="66"/>
      <c r="B193" s="66"/>
      <c r="C193" s="66"/>
      <c r="D193" s="66"/>
      <c r="E193" s="66"/>
      <c r="F193" s="68" t="str">
        <f t="array" ref="F193">IF(INDEX('Binder Data'!$A$1252:$A$1501,ROW()-1)="","",IF(INDEX('Binder Data'!$D$1252:$D$1501,ROW()-1)="Needed",INDEX('Binder Data'!$B$1252:$B$1501,ROW()-1),INDEX('Binder Data'!$D$1252:$D$1501,ROW()-1)))</f>
        <v/>
      </c>
      <c r="G193" s="66"/>
      <c r="H193" s="66"/>
      <c r="I193" s="66"/>
      <c r="J193" s="66"/>
      <c r="K193" s="66"/>
      <c r="L193" s="66"/>
      <c r="M193" s="66"/>
      <c r="N193" s="66"/>
      <c r="O193" s="66"/>
      <c r="P193" s="66"/>
      <c r="Q193" s="66"/>
      <c r="R193" s="66"/>
      <c r="S193" s="66"/>
      <c r="T193" s="66"/>
      <c r="U193" s="66"/>
      <c r="V193" s="66"/>
      <c r="W193" s="66"/>
      <c r="X193" s="66"/>
      <c r="Y193" s="66"/>
      <c r="Z193" s="66"/>
      <c r="AA193" s="66"/>
    </row>
    <row r="194" ht="15.75" customHeight="1">
      <c r="A194" s="66"/>
      <c r="B194" s="66"/>
      <c r="C194" s="66"/>
      <c r="D194" s="66"/>
      <c r="E194" s="66"/>
      <c r="F194" s="68" t="str">
        <f t="array" ref="F194">IF(INDEX('Binder Data'!$A$1252:$A$1501,ROW()-1)="","",IF(INDEX('Binder Data'!$D$1252:$D$1501,ROW()-1)="Needed",INDEX('Binder Data'!$B$1252:$B$1501,ROW()-1),INDEX('Binder Data'!$D$1252:$D$1501,ROW()-1)))</f>
        <v/>
      </c>
      <c r="G194" s="66"/>
      <c r="H194" s="66"/>
      <c r="I194" s="66"/>
      <c r="J194" s="66"/>
      <c r="K194" s="66"/>
      <c r="L194" s="66"/>
      <c r="M194" s="66"/>
      <c r="N194" s="66"/>
      <c r="O194" s="66"/>
      <c r="P194" s="66"/>
      <c r="Q194" s="66"/>
      <c r="R194" s="66"/>
      <c r="S194" s="66"/>
      <c r="T194" s="66"/>
      <c r="U194" s="66"/>
      <c r="V194" s="66"/>
      <c r="W194" s="66"/>
      <c r="X194" s="66"/>
      <c r="Y194" s="66"/>
      <c r="Z194" s="66"/>
      <c r="AA194" s="66"/>
    </row>
    <row r="195" ht="15.75" customHeight="1">
      <c r="A195" s="66"/>
      <c r="B195" s="66"/>
      <c r="C195" s="66"/>
      <c r="D195" s="66"/>
      <c r="E195" s="66"/>
      <c r="F195" s="68" t="str">
        <f t="array" ref="F195">IF(INDEX('Binder Data'!$A$1252:$A$1501,ROW()-1)="","",IF(INDEX('Binder Data'!$D$1252:$D$1501,ROW()-1)="Needed",INDEX('Binder Data'!$B$1252:$B$1501,ROW()-1),INDEX('Binder Data'!$D$1252:$D$1501,ROW()-1)))</f>
        <v/>
      </c>
      <c r="G195" s="66"/>
      <c r="H195" s="66"/>
      <c r="I195" s="66"/>
      <c r="J195" s="66"/>
      <c r="K195" s="66"/>
      <c r="L195" s="66"/>
      <c r="M195" s="66"/>
      <c r="N195" s="66"/>
      <c r="O195" s="66"/>
      <c r="P195" s="66"/>
      <c r="Q195" s="66"/>
      <c r="R195" s="66"/>
      <c r="S195" s="66"/>
      <c r="T195" s="66"/>
      <c r="U195" s="66"/>
      <c r="V195" s="66"/>
      <c r="W195" s="66"/>
      <c r="X195" s="66"/>
      <c r="Y195" s="66"/>
      <c r="Z195" s="66"/>
      <c r="AA195" s="66"/>
    </row>
    <row r="196" ht="15.75" customHeight="1">
      <c r="A196" s="66"/>
      <c r="B196" s="66"/>
      <c r="C196" s="66"/>
      <c r="D196" s="66"/>
      <c r="E196" s="66"/>
      <c r="F196" s="68" t="str">
        <f t="array" ref="F196">IF(INDEX('Binder Data'!$A$1252:$A$1501,ROW()-1)="","",IF(INDEX('Binder Data'!$D$1252:$D$1501,ROW()-1)="Needed",INDEX('Binder Data'!$B$1252:$B$1501,ROW()-1),INDEX('Binder Data'!$D$1252:$D$1501,ROW()-1)))</f>
        <v/>
      </c>
      <c r="G196" s="66"/>
      <c r="H196" s="66"/>
      <c r="I196" s="66"/>
      <c r="J196" s="66"/>
      <c r="K196" s="66"/>
      <c r="L196" s="66"/>
      <c r="M196" s="66"/>
      <c r="N196" s="66"/>
      <c r="O196" s="66"/>
      <c r="P196" s="66"/>
      <c r="Q196" s="66"/>
      <c r="R196" s="66"/>
      <c r="S196" s="66"/>
      <c r="T196" s="66"/>
      <c r="U196" s="66"/>
      <c r="V196" s="66"/>
      <c r="W196" s="66"/>
      <c r="X196" s="66"/>
      <c r="Y196" s="66"/>
      <c r="Z196" s="66"/>
      <c r="AA196" s="66"/>
    </row>
    <row r="197" ht="15.75" customHeight="1">
      <c r="A197" s="66"/>
      <c r="B197" s="66"/>
      <c r="C197" s="66"/>
      <c r="D197" s="66"/>
      <c r="E197" s="66"/>
      <c r="F197" s="68" t="str">
        <f t="array" ref="F197">IF(INDEX('Binder Data'!$A$1252:$A$1501,ROW()-1)="","",IF(INDEX('Binder Data'!$D$1252:$D$1501,ROW()-1)="Needed",INDEX('Binder Data'!$B$1252:$B$1501,ROW()-1),INDEX('Binder Data'!$D$1252:$D$1501,ROW()-1)))</f>
        <v/>
      </c>
      <c r="G197" s="66"/>
      <c r="H197" s="66"/>
      <c r="I197" s="66"/>
      <c r="J197" s="66"/>
      <c r="K197" s="66"/>
      <c r="L197" s="66"/>
      <c r="M197" s="66"/>
      <c r="N197" s="66"/>
      <c r="O197" s="66"/>
      <c r="P197" s="66"/>
      <c r="Q197" s="66"/>
      <c r="R197" s="66"/>
      <c r="S197" s="66"/>
      <c r="T197" s="66"/>
      <c r="U197" s="66"/>
      <c r="V197" s="66"/>
      <c r="W197" s="66"/>
      <c r="X197" s="66"/>
      <c r="Y197" s="66"/>
      <c r="Z197" s="66"/>
      <c r="AA197" s="66"/>
    </row>
    <row r="198" ht="15.75" customHeight="1">
      <c r="A198" s="66"/>
      <c r="B198" s="66"/>
      <c r="C198" s="66"/>
      <c r="D198" s="66"/>
      <c r="E198" s="66"/>
      <c r="F198" s="68" t="str">
        <f t="array" ref="F198">IF(INDEX('Binder Data'!$A$1252:$A$1501,ROW()-1)="","",IF(INDEX('Binder Data'!$D$1252:$D$1501,ROW()-1)="Needed",INDEX('Binder Data'!$B$1252:$B$1501,ROW()-1),INDEX('Binder Data'!$D$1252:$D$1501,ROW()-1)))</f>
        <v/>
      </c>
      <c r="G198" s="66"/>
      <c r="H198" s="66"/>
      <c r="I198" s="66"/>
      <c r="J198" s="66"/>
      <c r="K198" s="66"/>
      <c r="L198" s="66"/>
      <c r="M198" s="66"/>
      <c r="N198" s="66"/>
      <c r="O198" s="66"/>
      <c r="P198" s="66"/>
      <c r="Q198" s="66"/>
      <c r="R198" s="66"/>
      <c r="S198" s="66"/>
      <c r="T198" s="66"/>
      <c r="U198" s="66"/>
      <c r="V198" s="66"/>
      <c r="W198" s="66"/>
      <c r="X198" s="66"/>
      <c r="Y198" s="66"/>
      <c r="Z198" s="66"/>
      <c r="AA198" s="66"/>
    </row>
    <row r="199" ht="15.75" customHeight="1">
      <c r="A199" s="66"/>
      <c r="B199" s="66"/>
      <c r="C199" s="66"/>
      <c r="D199" s="66"/>
      <c r="E199" s="66"/>
      <c r="F199" s="68" t="str">
        <f t="array" ref="F199">IF(INDEX('Binder Data'!$A$1252:$A$1501,ROW()-1)="","",IF(INDEX('Binder Data'!$D$1252:$D$1501,ROW()-1)="Needed",INDEX('Binder Data'!$B$1252:$B$1501,ROW()-1),INDEX('Binder Data'!$D$1252:$D$1501,ROW()-1)))</f>
        <v/>
      </c>
      <c r="G199" s="66"/>
      <c r="H199" s="66"/>
      <c r="I199" s="66"/>
      <c r="J199" s="66"/>
      <c r="K199" s="66"/>
      <c r="L199" s="66"/>
      <c r="M199" s="66"/>
      <c r="N199" s="66"/>
      <c r="O199" s="66"/>
      <c r="P199" s="66"/>
      <c r="Q199" s="66"/>
      <c r="R199" s="66"/>
      <c r="S199" s="66"/>
      <c r="T199" s="66"/>
      <c r="U199" s="66"/>
      <c r="V199" s="66"/>
      <c r="W199" s="66"/>
      <c r="X199" s="66"/>
      <c r="Y199" s="66"/>
      <c r="Z199" s="66"/>
      <c r="AA199" s="66"/>
    </row>
    <row r="200" ht="15.75" customHeight="1">
      <c r="A200" s="66"/>
      <c r="B200" s="66"/>
      <c r="C200" s="66"/>
      <c r="D200" s="66"/>
      <c r="E200" s="66"/>
      <c r="F200" s="68" t="str">
        <f t="array" ref="F200">IF(INDEX('Binder Data'!$A$1252:$A$1501,ROW()-1)="","",IF(INDEX('Binder Data'!$D$1252:$D$1501,ROW()-1)="Needed",INDEX('Binder Data'!$B$1252:$B$1501,ROW()-1),INDEX('Binder Data'!$D$1252:$D$1501,ROW()-1)))</f>
        <v/>
      </c>
      <c r="G200" s="66"/>
      <c r="H200" s="66"/>
      <c r="I200" s="66"/>
      <c r="J200" s="66"/>
      <c r="K200" s="66"/>
      <c r="L200" s="66"/>
      <c r="M200" s="66"/>
      <c r="N200" s="66"/>
      <c r="O200" s="66"/>
      <c r="P200" s="66"/>
      <c r="Q200" s="66"/>
      <c r="R200" s="66"/>
      <c r="S200" s="66"/>
      <c r="T200" s="66"/>
      <c r="U200" s="66"/>
      <c r="V200" s="66"/>
      <c r="W200" s="66"/>
      <c r="X200" s="66"/>
      <c r="Y200" s="66"/>
      <c r="Z200" s="66"/>
      <c r="AA200" s="66"/>
    </row>
    <row r="201" ht="15.75" customHeight="1">
      <c r="A201" s="66"/>
      <c r="B201" s="66"/>
      <c r="C201" s="66"/>
      <c r="D201" s="66"/>
      <c r="E201" s="66"/>
      <c r="F201" s="68" t="str">
        <f t="array" ref="F201">IF(INDEX('Binder Data'!$A$1252:$A$1501,ROW()-1)="","",IF(INDEX('Binder Data'!$D$1252:$D$1501,ROW()-1)="Needed",INDEX('Binder Data'!$B$1252:$B$1501,ROW()-1),INDEX('Binder Data'!$D$1252:$D$1501,ROW()-1)))</f>
        <v/>
      </c>
      <c r="G201" s="66"/>
      <c r="H201" s="66"/>
      <c r="I201" s="66"/>
      <c r="J201" s="66"/>
      <c r="K201" s="66"/>
      <c r="L201" s="66"/>
      <c r="M201" s="66"/>
      <c r="N201" s="66"/>
      <c r="O201" s="66"/>
      <c r="P201" s="66"/>
      <c r="Q201" s="66"/>
      <c r="R201" s="66"/>
      <c r="S201" s="66"/>
      <c r="T201" s="66"/>
      <c r="U201" s="66"/>
      <c r="V201" s="66"/>
      <c r="W201" s="66"/>
      <c r="X201" s="66"/>
      <c r="Y201" s="66"/>
      <c r="Z201" s="66"/>
      <c r="AA201" s="66"/>
    </row>
    <row r="202" ht="15.75" customHeight="1">
      <c r="A202" s="66"/>
      <c r="B202" s="66"/>
      <c r="C202" s="66"/>
      <c r="D202" s="66"/>
      <c r="E202" s="66"/>
      <c r="F202" s="68" t="str">
        <f t="array" ref="F202">IF(INDEX('Binder Data'!$A$1252:$A$1501,ROW()-1)="","",IF(INDEX('Binder Data'!$D$1252:$D$1501,ROW()-1)="Needed",INDEX('Binder Data'!$B$1252:$B$1501,ROW()-1),INDEX('Binder Data'!$D$1252:$D$1501,ROW()-1)))</f>
        <v/>
      </c>
      <c r="G202" s="66"/>
      <c r="H202" s="66"/>
      <c r="I202" s="66"/>
      <c r="J202" s="66"/>
      <c r="K202" s="66"/>
      <c r="L202" s="66"/>
      <c r="M202" s="66"/>
      <c r="N202" s="66"/>
      <c r="O202" s="66"/>
      <c r="P202" s="66"/>
      <c r="Q202" s="66"/>
      <c r="R202" s="66"/>
      <c r="S202" s="66"/>
      <c r="T202" s="66"/>
      <c r="U202" s="66"/>
      <c r="V202" s="66"/>
      <c r="W202" s="66"/>
      <c r="X202" s="66"/>
      <c r="Y202" s="66"/>
      <c r="Z202" s="66"/>
      <c r="AA202" s="66"/>
    </row>
    <row r="203" ht="15.75" customHeight="1">
      <c r="A203" s="66"/>
      <c r="B203" s="66"/>
      <c r="C203" s="66"/>
      <c r="D203" s="66"/>
      <c r="E203" s="66"/>
      <c r="F203" s="68" t="str">
        <f t="array" ref="F203">IF(INDEX('Binder Data'!$A$1252:$A$1501,ROW()-1)="","",IF(INDEX('Binder Data'!$D$1252:$D$1501,ROW()-1)="Needed",INDEX('Binder Data'!$B$1252:$B$1501,ROW()-1),INDEX('Binder Data'!$D$1252:$D$1501,ROW()-1)))</f>
        <v/>
      </c>
      <c r="G203" s="66"/>
      <c r="H203" s="66"/>
      <c r="I203" s="66"/>
      <c r="J203" s="66"/>
      <c r="K203" s="66"/>
      <c r="L203" s="66"/>
      <c r="M203" s="66"/>
      <c r="N203" s="66"/>
      <c r="O203" s="66"/>
      <c r="P203" s="66"/>
      <c r="Q203" s="66"/>
      <c r="R203" s="66"/>
      <c r="S203" s="66"/>
      <c r="T203" s="66"/>
      <c r="U203" s="66"/>
      <c r="V203" s="66"/>
      <c r="W203" s="66"/>
      <c r="X203" s="66"/>
      <c r="Y203" s="66"/>
      <c r="Z203" s="66"/>
      <c r="AA203" s="66"/>
    </row>
    <row r="204" ht="15.75" customHeight="1">
      <c r="A204" s="66"/>
      <c r="B204" s="66"/>
      <c r="C204" s="66"/>
      <c r="D204" s="66"/>
      <c r="E204" s="66"/>
      <c r="F204" s="68" t="str">
        <f t="array" ref="F204">IF(INDEX('Binder Data'!$A$1252:$A$1501,ROW()-1)="","",IF(INDEX('Binder Data'!$D$1252:$D$1501,ROW()-1)="Needed",INDEX('Binder Data'!$B$1252:$B$1501,ROW()-1),INDEX('Binder Data'!$D$1252:$D$1501,ROW()-1)))</f>
        <v/>
      </c>
      <c r="G204" s="66"/>
      <c r="H204" s="66"/>
      <c r="I204" s="66"/>
      <c r="J204" s="66"/>
      <c r="K204" s="66"/>
      <c r="L204" s="66"/>
      <c r="M204" s="66"/>
      <c r="N204" s="66"/>
      <c r="O204" s="66"/>
      <c r="P204" s="66"/>
      <c r="Q204" s="66"/>
      <c r="R204" s="66"/>
      <c r="S204" s="66"/>
      <c r="T204" s="66"/>
      <c r="U204" s="66"/>
      <c r="V204" s="66"/>
      <c r="W204" s="66"/>
      <c r="X204" s="66"/>
      <c r="Y204" s="66"/>
      <c r="Z204" s="66"/>
      <c r="AA204" s="66"/>
    </row>
    <row r="205" ht="15.75" customHeight="1">
      <c r="A205" s="66"/>
      <c r="B205" s="66"/>
      <c r="C205" s="66"/>
      <c r="D205" s="66"/>
      <c r="E205" s="66"/>
      <c r="F205" s="68" t="str">
        <f t="array" ref="F205">IF(INDEX('Binder Data'!$A$1252:$A$1501,ROW()-1)="","",IF(INDEX('Binder Data'!$D$1252:$D$1501,ROW()-1)="Needed",INDEX('Binder Data'!$B$1252:$B$1501,ROW()-1),INDEX('Binder Data'!$D$1252:$D$1501,ROW()-1)))</f>
        <v/>
      </c>
      <c r="G205" s="66"/>
      <c r="H205" s="66"/>
      <c r="I205" s="66"/>
      <c r="J205" s="66"/>
      <c r="K205" s="66"/>
      <c r="L205" s="66"/>
      <c r="M205" s="66"/>
      <c r="N205" s="66"/>
      <c r="O205" s="66"/>
      <c r="P205" s="66"/>
      <c r="Q205" s="66"/>
      <c r="R205" s="66"/>
      <c r="S205" s="66"/>
      <c r="T205" s="66"/>
      <c r="U205" s="66"/>
      <c r="V205" s="66"/>
      <c r="W205" s="66"/>
      <c r="X205" s="66"/>
      <c r="Y205" s="66"/>
      <c r="Z205" s="66"/>
      <c r="AA205" s="66"/>
    </row>
    <row r="206" ht="15.75" customHeight="1">
      <c r="A206" s="66"/>
      <c r="B206" s="66"/>
      <c r="C206" s="66"/>
      <c r="D206" s="66"/>
      <c r="E206" s="66"/>
      <c r="F206" s="68" t="str">
        <f t="array" ref="F206">IF(INDEX('Binder Data'!$A$1252:$A$1501,ROW()-1)="","",IF(INDEX('Binder Data'!$D$1252:$D$1501,ROW()-1)="Needed",INDEX('Binder Data'!$B$1252:$B$1501,ROW()-1),INDEX('Binder Data'!$D$1252:$D$1501,ROW()-1)))</f>
        <v/>
      </c>
      <c r="G206" s="66"/>
      <c r="H206" s="66"/>
      <c r="I206" s="66"/>
      <c r="J206" s="66"/>
      <c r="K206" s="66"/>
      <c r="L206" s="66"/>
      <c r="M206" s="66"/>
      <c r="N206" s="66"/>
      <c r="O206" s="66"/>
      <c r="P206" s="66"/>
      <c r="Q206" s="66"/>
      <c r="R206" s="66"/>
      <c r="S206" s="66"/>
      <c r="T206" s="66"/>
      <c r="U206" s="66"/>
      <c r="V206" s="66"/>
      <c r="W206" s="66"/>
      <c r="X206" s="66"/>
      <c r="Y206" s="66"/>
      <c r="Z206" s="66"/>
      <c r="AA206" s="66"/>
    </row>
    <row r="207" ht="15.75" customHeight="1">
      <c r="A207" s="66"/>
      <c r="B207" s="66"/>
      <c r="C207" s="66"/>
      <c r="D207" s="66"/>
      <c r="E207" s="66"/>
      <c r="F207" s="68" t="str">
        <f t="array" ref="F207">IF(INDEX('Binder Data'!$A$1252:$A$1501,ROW()-1)="","",IF(INDEX('Binder Data'!$D$1252:$D$1501,ROW()-1)="Needed",INDEX('Binder Data'!$B$1252:$B$1501,ROW()-1),INDEX('Binder Data'!$D$1252:$D$1501,ROW()-1)))</f>
        <v/>
      </c>
      <c r="G207" s="66"/>
      <c r="H207" s="66"/>
      <c r="I207" s="66"/>
      <c r="J207" s="66"/>
      <c r="K207" s="66"/>
      <c r="L207" s="66"/>
      <c r="M207" s="66"/>
      <c r="N207" s="66"/>
      <c r="O207" s="66"/>
      <c r="P207" s="66"/>
      <c r="Q207" s="66"/>
      <c r="R207" s="66"/>
      <c r="S207" s="66"/>
      <c r="T207" s="66"/>
      <c r="U207" s="66"/>
      <c r="V207" s="66"/>
      <c r="W207" s="66"/>
      <c r="X207" s="66"/>
      <c r="Y207" s="66"/>
      <c r="Z207" s="66"/>
      <c r="AA207" s="66"/>
    </row>
    <row r="208" ht="15.75" customHeight="1">
      <c r="A208" s="66"/>
      <c r="B208" s="66"/>
      <c r="C208" s="66"/>
      <c r="D208" s="66"/>
      <c r="E208" s="66"/>
      <c r="F208" s="68" t="str">
        <f t="array" ref="F208">IF(INDEX('Binder Data'!$A$1252:$A$1501,ROW()-1)="","",IF(INDEX('Binder Data'!$D$1252:$D$1501,ROW()-1)="Needed",INDEX('Binder Data'!$B$1252:$B$1501,ROW()-1),INDEX('Binder Data'!$D$1252:$D$1501,ROW()-1)))</f>
        <v/>
      </c>
      <c r="G208" s="66"/>
      <c r="H208" s="66"/>
      <c r="I208" s="66"/>
      <c r="J208" s="66"/>
      <c r="K208" s="66"/>
      <c r="L208" s="66"/>
      <c r="M208" s="66"/>
      <c r="N208" s="66"/>
      <c r="O208" s="66"/>
      <c r="P208" s="66"/>
      <c r="Q208" s="66"/>
      <c r="R208" s="66"/>
      <c r="S208" s="66"/>
      <c r="T208" s="66"/>
      <c r="U208" s="66"/>
      <c r="V208" s="66"/>
      <c r="W208" s="66"/>
      <c r="X208" s="66"/>
      <c r="Y208" s="66"/>
      <c r="Z208" s="66"/>
      <c r="AA208" s="66"/>
    </row>
    <row r="209" ht="15.75" customHeight="1">
      <c r="A209" s="66"/>
      <c r="B209" s="66"/>
      <c r="C209" s="66"/>
      <c r="D209" s="66"/>
      <c r="E209" s="66"/>
      <c r="F209" s="68" t="str">
        <f t="array" ref="F209">IF(INDEX('Binder Data'!$A$1252:$A$1501,ROW()-1)="","",IF(INDEX('Binder Data'!$D$1252:$D$1501,ROW()-1)="Needed",INDEX('Binder Data'!$B$1252:$B$1501,ROW()-1),INDEX('Binder Data'!$D$1252:$D$1501,ROW()-1)))</f>
        <v/>
      </c>
      <c r="G209" s="66"/>
      <c r="H209" s="66"/>
      <c r="I209" s="66"/>
      <c r="J209" s="66"/>
      <c r="K209" s="66"/>
      <c r="L209" s="66"/>
      <c r="M209" s="66"/>
      <c r="N209" s="66"/>
      <c r="O209" s="66"/>
      <c r="P209" s="66"/>
      <c r="Q209" s="66"/>
      <c r="R209" s="66"/>
      <c r="S209" s="66"/>
      <c r="T209" s="66"/>
      <c r="U209" s="66"/>
      <c r="V209" s="66"/>
      <c r="W209" s="66"/>
      <c r="X209" s="66"/>
      <c r="Y209" s="66"/>
      <c r="Z209" s="66"/>
      <c r="AA209" s="66"/>
    </row>
    <row r="210" ht="15.75" customHeight="1">
      <c r="A210" s="66"/>
      <c r="B210" s="66"/>
      <c r="C210" s="66"/>
      <c r="D210" s="66"/>
      <c r="E210" s="66"/>
      <c r="F210" s="68" t="str">
        <f t="array" ref="F210">IF(INDEX('Binder Data'!$A$1252:$A$1501,ROW()-1)="","",IF(INDEX('Binder Data'!$D$1252:$D$1501,ROW()-1)="Needed",INDEX('Binder Data'!$B$1252:$B$1501,ROW()-1),INDEX('Binder Data'!$D$1252:$D$1501,ROW()-1)))</f>
        <v/>
      </c>
      <c r="G210" s="66"/>
      <c r="H210" s="66"/>
      <c r="I210" s="66"/>
      <c r="J210" s="66"/>
      <c r="K210" s="66"/>
      <c r="L210" s="66"/>
      <c r="M210" s="66"/>
      <c r="N210" s="66"/>
      <c r="O210" s="66"/>
      <c r="P210" s="66"/>
      <c r="Q210" s="66"/>
      <c r="R210" s="66"/>
      <c r="S210" s="66"/>
      <c r="T210" s="66"/>
      <c r="U210" s="66"/>
      <c r="V210" s="66"/>
      <c r="W210" s="66"/>
      <c r="X210" s="66"/>
      <c r="Y210" s="66"/>
      <c r="Z210" s="66"/>
      <c r="AA210" s="66"/>
    </row>
    <row r="211" ht="15.75" customHeight="1">
      <c r="A211" s="66"/>
      <c r="B211" s="66"/>
      <c r="C211" s="66"/>
      <c r="D211" s="66"/>
      <c r="E211" s="66"/>
      <c r="F211" s="68" t="str">
        <f t="array" ref="F211">IF(INDEX('Binder Data'!$A$1252:$A$1501,ROW()-1)="","",IF(INDEX('Binder Data'!$D$1252:$D$1501,ROW()-1)="Needed",INDEX('Binder Data'!$B$1252:$B$1501,ROW()-1),INDEX('Binder Data'!$D$1252:$D$1501,ROW()-1)))</f>
        <v/>
      </c>
      <c r="G211" s="66"/>
      <c r="H211" s="66"/>
      <c r="I211" s="66"/>
      <c r="J211" s="66"/>
      <c r="K211" s="66"/>
      <c r="L211" s="66"/>
      <c r="M211" s="66"/>
      <c r="N211" s="66"/>
      <c r="O211" s="66"/>
      <c r="P211" s="66"/>
      <c r="Q211" s="66"/>
      <c r="R211" s="66"/>
      <c r="S211" s="66"/>
      <c r="T211" s="66"/>
      <c r="U211" s="66"/>
      <c r="V211" s="66"/>
      <c r="W211" s="66"/>
      <c r="X211" s="66"/>
      <c r="Y211" s="66"/>
      <c r="Z211" s="66"/>
      <c r="AA211" s="66"/>
    </row>
    <row r="212" ht="15.75" customHeight="1">
      <c r="A212" s="66"/>
      <c r="B212" s="66"/>
      <c r="C212" s="66"/>
      <c r="D212" s="66"/>
      <c r="E212" s="66"/>
      <c r="F212" s="68" t="str">
        <f t="array" ref="F212">IF(INDEX('Binder Data'!$A$1252:$A$1501,ROW()-1)="","",IF(INDEX('Binder Data'!$D$1252:$D$1501,ROW()-1)="Needed",INDEX('Binder Data'!$B$1252:$B$1501,ROW()-1),INDEX('Binder Data'!$D$1252:$D$1501,ROW()-1)))</f>
        <v/>
      </c>
      <c r="G212" s="66"/>
      <c r="H212" s="66"/>
      <c r="I212" s="66"/>
      <c r="J212" s="66"/>
      <c r="K212" s="66"/>
      <c r="L212" s="66"/>
      <c r="M212" s="66"/>
      <c r="N212" s="66"/>
      <c r="O212" s="66"/>
      <c r="P212" s="66"/>
      <c r="Q212" s="66"/>
      <c r="R212" s="66"/>
      <c r="S212" s="66"/>
      <c r="T212" s="66"/>
      <c r="U212" s="66"/>
      <c r="V212" s="66"/>
      <c r="W212" s="66"/>
      <c r="X212" s="66"/>
      <c r="Y212" s="66"/>
      <c r="Z212" s="66"/>
      <c r="AA212" s="66"/>
    </row>
    <row r="213" ht="15.75" customHeight="1">
      <c r="A213" s="66"/>
      <c r="B213" s="66"/>
      <c r="C213" s="66"/>
      <c r="D213" s="66"/>
      <c r="E213" s="66"/>
      <c r="F213" s="68" t="str">
        <f t="array" ref="F213">IF(INDEX('Binder Data'!$A$1252:$A$1501,ROW()-1)="","",IF(INDEX('Binder Data'!$D$1252:$D$1501,ROW()-1)="Needed",INDEX('Binder Data'!$B$1252:$B$1501,ROW()-1),INDEX('Binder Data'!$D$1252:$D$1501,ROW()-1)))</f>
        <v/>
      </c>
      <c r="G213" s="66"/>
      <c r="H213" s="66"/>
      <c r="I213" s="66"/>
      <c r="J213" s="66"/>
      <c r="K213" s="66"/>
      <c r="L213" s="66"/>
      <c r="M213" s="66"/>
      <c r="N213" s="66"/>
      <c r="O213" s="66"/>
      <c r="P213" s="66"/>
      <c r="Q213" s="66"/>
      <c r="R213" s="66"/>
      <c r="S213" s="66"/>
      <c r="T213" s="66"/>
      <c r="U213" s="66"/>
      <c r="V213" s="66"/>
      <c r="W213" s="66"/>
      <c r="X213" s="66"/>
      <c r="Y213" s="66"/>
      <c r="Z213" s="66"/>
      <c r="AA213" s="66"/>
    </row>
    <row r="214" ht="15.75" customHeight="1">
      <c r="A214" s="66"/>
      <c r="B214" s="66"/>
      <c r="C214" s="66"/>
      <c r="D214" s="66"/>
      <c r="E214" s="66"/>
      <c r="F214" s="68" t="str">
        <f t="array" ref="F214">IF(INDEX('Binder Data'!$A$1252:$A$1501,ROW()-1)="","",IF(INDEX('Binder Data'!$D$1252:$D$1501,ROW()-1)="Needed",INDEX('Binder Data'!$B$1252:$B$1501,ROW()-1),INDEX('Binder Data'!$D$1252:$D$1501,ROW()-1)))</f>
        <v/>
      </c>
      <c r="G214" s="66"/>
      <c r="H214" s="66"/>
      <c r="I214" s="66"/>
      <c r="J214" s="66"/>
      <c r="K214" s="66"/>
      <c r="L214" s="66"/>
      <c r="M214" s="66"/>
      <c r="N214" s="66"/>
      <c r="O214" s="66"/>
      <c r="P214" s="66"/>
      <c r="Q214" s="66"/>
      <c r="R214" s="66"/>
      <c r="S214" s="66"/>
      <c r="T214" s="66"/>
      <c r="U214" s="66"/>
      <c r="V214" s="66"/>
      <c r="W214" s="66"/>
      <c r="X214" s="66"/>
      <c r="Y214" s="66"/>
      <c r="Z214" s="66"/>
      <c r="AA214" s="66"/>
    </row>
    <row r="215" ht="15.75" customHeight="1">
      <c r="A215" s="66"/>
      <c r="B215" s="66"/>
      <c r="C215" s="66"/>
      <c r="D215" s="66"/>
      <c r="E215" s="66"/>
      <c r="F215" s="68" t="str">
        <f t="array" ref="F215">IF(INDEX('Binder Data'!$A$1252:$A$1501,ROW()-1)="","",IF(INDEX('Binder Data'!$D$1252:$D$1501,ROW()-1)="Needed",INDEX('Binder Data'!$B$1252:$B$1501,ROW()-1),INDEX('Binder Data'!$D$1252:$D$1501,ROW()-1)))</f>
        <v/>
      </c>
      <c r="G215" s="66"/>
      <c r="H215" s="66"/>
      <c r="I215" s="66"/>
      <c r="J215" s="66"/>
      <c r="K215" s="66"/>
      <c r="L215" s="66"/>
      <c r="M215" s="66"/>
      <c r="N215" s="66"/>
      <c r="O215" s="66"/>
      <c r="P215" s="66"/>
      <c r="Q215" s="66"/>
      <c r="R215" s="66"/>
      <c r="S215" s="66"/>
      <c r="T215" s="66"/>
      <c r="U215" s="66"/>
      <c r="V215" s="66"/>
      <c r="W215" s="66"/>
      <c r="X215" s="66"/>
      <c r="Y215" s="66"/>
      <c r="Z215" s="66"/>
      <c r="AA215" s="66"/>
    </row>
    <row r="216" ht="15.75" customHeight="1">
      <c r="A216" s="66"/>
      <c r="B216" s="66"/>
      <c r="C216" s="66"/>
      <c r="D216" s="66"/>
      <c r="E216" s="66"/>
      <c r="F216" s="68" t="str">
        <f t="array" ref="F216">IF(INDEX('Binder Data'!$A$1252:$A$1501,ROW()-1)="","",IF(INDEX('Binder Data'!$D$1252:$D$1501,ROW()-1)="Needed",INDEX('Binder Data'!$B$1252:$B$1501,ROW()-1),INDEX('Binder Data'!$D$1252:$D$1501,ROW()-1)))</f>
        <v/>
      </c>
      <c r="G216" s="66"/>
      <c r="H216" s="66"/>
      <c r="I216" s="66"/>
      <c r="J216" s="66"/>
      <c r="K216" s="66"/>
      <c r="L216" s="66"/>
      <c r="M216" s="66"/>
      <c r="N216" s="66"/>
      <c r="O216" s="66"/>
      <c r="P216" s="66"/>
      <c r="Q216" s="66"/>
      <c r="R216" s="66"/>
      <c r="S216" s="66"/>
      <c r="T216" s="66"/>
      <c r="U216" s="66"/>
      <c r="V216" s="66"/>
      <c r="W216" s="66"/>
      <c r="X216" s="66"/>
      <c r="Y216" s="66"/>
      <c r="Z216" s="66"/>
      <c r="AA216" s="66"/>
    </row>
    <row r="217" ht="15.75" customHeight="1">
      <c r="A217" s="66"/>
      <c r="B217" s="66"/>
      <c r="C217" s="66"/>
      <c r="D217" s="66"/>
      <c r="E217" s="66"/>
      <c r="F217" s="68" t="str">
        <f t="array" ref="F217">IF(INDEX('Binder Data'!$A$1252:$A$1501,ROW()-1)="","",IF(INDEX('Binder Data'!$D$1252:$D$1501,ROW()-1)="Needed",INDEX('Binder Data'!$B$1252:$B$1501,ROW()-1),INDEX('Binder Data'!$D$1252:$D$1501,ROW()-1)))</f>
        <v/>
      </c>
      <c r="G217" s="66"/>
      <c r="H217" s="66"/>
      <c r="I217" s="66"/>
      <c r="J217" s="66"/>
      <c r="K217" s="66"/>
      <c r="L217" s="66"/>
      <c r="M217" s="66"/>
      <c r="N217" s="66"/>
      <c r="O217" s="66"/>
      <c r="P217" s="66"/>
      <c r="Q217" s="66"/>
      <c r="R217" s="66"/>
      <c r="S217" s="66"/>
      <c r="T217" s="66"/>
      <c r="U217" s="66"/>
      <c r="V217" s="66"/>
      <c r="W217" s="66"/>
      <c r="X217" s="66"/>
      <c r="Y217" s="66"/>
      <c r="Z217" s="66"/>
      <c r="AA217" s="66"/>
    </row>
    <row r="218" ht="15.75" customHeight="1">
      <c r="A218" s="66"/>
      <c r="B218" s="66"/>
      <c r="C218" s="66"/>
      <c r="D218" s="66"/>
      <c r="E218" s="66"/>
      <c r="F218" s="68" t="str">
        <f t="array" ref="F218">IF(INDEX('Binder Data'!$A$1252:$A$1501,ROW()-1)="","",IF(INDEX('Binder Data'!$D$1252:$D$1501,ROW()-1)="Needed",INDEX('Binder Data'!$B$1252:$B$1501,ROW()-1),INDEX('Binder Data'!$D$1252:$D$1501,ROW()-1)))</f>
        <v/>
      </c>
      <c r="G218" s="66"/>
      <c r="H218" s="66"/>
      <c r="I218" s="66"/>
      <c r="J218" s="66"/>
      <c r="K218" s="66"/>
      <c r="L218" s="66"/>
      <c r="M218" s="66"/>
      <c r="N218" s="66"/>
      <c r="O218" s="66"/>
      <c r="P218" s="66"/>
      <c r="Q218" s="66"/>
      <c r="R218" s="66"/>
      <c r="S218" s="66"/>
      <c r="T218" s="66"/>
      <c r="U218" s="66"/>
      <c r="V218" s="66"/>
      <c r="W218" s="66"/>
      <c r="X218" s="66"/>
      <c r="Y218" s="66"/>
      <c r="Z218" s="66"/>
      <c r="AA218" s="66"/>
    </row>
    <row r="219" ht="15.75" customHeight="1">
      <c r="A219" s="66"/>
      <c r="B219" s="66"/>
      <c r="C219" s="66"/>
      <c r="D219" s="66"/>
      <c r="E219" s="66"/>
      <c r="F219" s="68" t="str">
        <f t="array" ref="F219">IF(INDEX('Binder Data'!$A$1252:$A$1501,ROW()-1)="","",IF(INDEX('Binder Data'!$D$1252:$D$1501,ROW()-1)="Needed",INDEX('Binder Data'!$B$1252:$B$1501,ROW()-1),INDEX('Binder Data'!$D$1252:$D$1501,ROW()-1)))</f>
        <v/>
      </c>
      <c r="G219" s="66"/>
      <c r="H219" s="66"/>
      <c r="I219" s="66"/>
      <c r="J219" s="66"/>
      <c r="K219" s="66"/>
      <c r="L219" s="66"/>
      <c r="M219" s="66"/>
      <c r="N219" s="66"/>
      <c r="O219" s="66"/>
      <c r="P219" s="66"/>
      <c r="Q219" s="66"/>
      <c r="R219" s="66"/>
      <c r="S219" s="66"/>
      <c r="T219" s="66"/>
      <c r="U219" s="66"/>
      <c r="V219" s="66"/>
      <c r="W219" s="66"/>
      <c r="X219" s="66"/>
      <c r="Y219" s="66"/>
      <c r="Z219" s="66"/>
      <c r="AA219" s="66"/>
    </row>
    <row r="220" ht="15.75" customHeight="1">
      <c r="A220" s="66"/>
      <c r="B220" s="66"/>
      <c r="C220" s="66"/>
      <c r="D220" s="66"/>
      <c r="E220" s="66"/>
      <c r="F220" s="68" t="str">
        <f t="array" ref="F220">IF(INDEX('Binder Data'!$A$1252:$A$1501,ROW()-1)="","",IF(INDEX('Binder Data'!$D$1252:$D$1501,ROW()-1)="Needed",INDEX('Binder Data'!$B$1252:$B$1501,ROW()-1),INDEX('Binder Data'!$D$1252:$D$1501,ROW()-1)))</f>
        <v/>
      </c>
      <c r="G220" s="66"/>
      <c r="H220" s="66"/>
      <c r="I220" s="66"/>
      <c r="J220" s="66"/>
      <c r="K220" s="66"/>
      <c r="L220" s="66"/>
      <c r="M220" s="66"/>
      <c r="N220" s="66"/>
      <c r="O220" s="66"/>
      <c r="P220" s="66"/>
      <c r="Q220" s="66"/>
      <c r="R220" s="66"/>
      <c r="S220" s="66"/>
      <c r="T220" s="66"/>
      <c r="U220" s="66"/>
      <c r="V220" s="66"/>
      <c r="W220" s="66"/>
      <c r="X220" s="66"/>
      <c r="Y220" s="66"/>
      <c r="Z220" s="66"/>
      <c r="AA220" s="66"/>
    </row>
    <row r="221" ht="15.75" customHeight="1">
      <c r="A221" s="66"/>
      <c r="B221" s="66"/>
      <c r="C221" s="66"/>
      <c r="D221" s="66"/>
      <c r="E221" s="66"/>
      <c r="F221" s="68" t="str">
        <f t="array" ref="F221">IF(INDEX('Binder Data'!$A$1252:$A$1501,ROW()-1)="","",IF(INDEX('Binder Data'!$D$1252:$D$1501,ROW()-1)="Needed",INDEX('Binder Data'!$B$1252:$B$1501,ROW()-1),INDEX('Binder Data'!$D$1252:$D$1501,ROW()-1)))</f>
        <v/>
      </c>
      <c r="G221" s="66"/>
      <c r="H221" s="66"/>
      <c r="I221" s="66"/>
      <c r="J221" s="66"/>
      <c r="K221" s="66"/>
      <c r="L221" s="66"/>
      <c r="M221" s="66"/>
      <c r="N221" s="66"/>
      <c r="O221" s="66"/>
      <c r="P221" s="66"/>
      <c r="Q221" s="66"/>
      <c r="R221" s="66"/>
      <c r="S221" s="66"/>
      <c r="T221" s="66"/>
      <c r="U221" s="66"/>
      <c r="V221" s="66"/>
      <c r="W221" s="66"/>
      <c r="X221" s="66"/>
      <c r="Y221" s="66"/>
      <c r="Z221" s="66"/>
      <c r="AA221" s="66"/>
    </row>
    <row r="222" ht="15.75" customHeight="1">
      <c r="A222" s="66"/>
      <c r="B222" s="66"/>
      <c r="C222" s="66"/>
      <c r="D222" s="66"/>
      <c r="E222" s="66"/>
      <c r="F222" s="68" t="str">
        <f t="array" ref="F222">IF(INDEX('Binder Data'!$A$1252:$A$1501,ROW()-1)="","",IF(INDEX('Binder Data'!$D$1252:$D$1501,ROW()-1)="Needed",INDEX('Binder Data'!$B$1252:$B$1501,ROW()-1),INDEX('Binder Data'!$D$1252:$D$1501,ROW()-1)))</f>
        <v/>
      </c>
      <c r="G222" s="66"/>
      <c r="H222" s="66"/>
      <c r="I222" s="66"/>
      <c r="J222" s="66"/>
      <c r="K222" s="66"/>
      <c r="L222" s="66"/>
      <c r="M222" s="66"/>
      <c r="N222" s="66"/>
      <c r="O222" s="66"/>
      <c r="P222" s="66"/>
      <c r="Q222" s="66"/>
      <c r="R222" s="66"/>
      <c r="S222" s="66"/>
      <c r="T222" s="66"/>
      <c r="U222" s="66"/>
      <c r="V222" s="66"/>
      <c r="W222" s="66"/>
      <c r="X222" s="66"/>
      <c r="Y222" s="66"/>
      <c r="Z222" s="66"/>
      <c r="AA222" s="66"/>
    </row>
    <row r="223" ht="15.75" customHeight="1">
      <c r="A223" s="66"/>
      <c r="B223" s="66"/>
      <c r="C223" s="66"/>
      <c r="D223" s="66"/>
      <c r="E223" s="66"/>
      <c r="F223" s="68" t="str">
        <f t="array" ref="F223">IF(INDEX('Binder Data'!$A$1252:$A$1501,ROW()-1)="","",IF(INDEX('Binder Data'!$D$1252:$D$1501,ROW()-1)="Needed",INDEX('Binder Data'!$B$1252:$B$1501,ROW()-1),INDEX('Binder Data'!$D$1252:$D$1501,ROW()-1)))</f>
        <v/>
      </c>
      <c r="G223" s="66"/>
      <c r="H223" s="66"/>
      <c r="I223" s="66"/>
      <c r="J223" s="66"/>
      <c r="K223" s="66"/>
      <c r="L223" s="66"/>
      <c r="M223" s="66"/>
      <c r="N223" s="66"/>
      <c r="O223" s="66"/>
      <c r="P223" s="66"/>
      <c r="Q223" s="66"/>
      <c r="R223" s="66"/>
      <c r="S223" s="66"/>
      <c r="T223" s="66"/>
      <c r="U223" s="66"/>
      <c r="V223" s="66"/>
      <c r="W223" s="66"/>
      <c r="X223" s="66"/>
      <c r="Y223" s="66"/>
      <c r="Z223" s="66"/>
      <c r="AA223" s="66"/>
    </row>
    <row r="224" ht="15.75" customHeight="1">
      <c r="A224" s="66"/>
      <c r="B224" s="66"/>
      <c r="C224" s="66"/>
      <c r="D224" s="66"/>
      <c r="E224" s="66"/>
      <c r="F224" s="68" t="str">
        <f t="array" ref="F224">IF(INDEX('Binder Data'!$A$1252:$A$1501,ROW()-1)="","",IF(INDEX('Binder Data'!$D$1252:$D$1501,ROW()-1)="Needed",INDEX('Binder Data'!$B$1252:$B$1501,ROW()-1),INDEX('Binder Data'!$D$1252:$D$1501,ROW()-1)))</f>
        <v/>
      </c>
      <c r="G224" s="66"/>
      <c r="H224" s="66"/>
      <c r="I224" s="66"/>
      <c r="J224" s="66"/>
      <c r="K224" s="66"/>
      <c r="L224" s="66"/>
      <c r="M224" s="66"/>
      <c r="N224" s="66"/>
      <c r="O224" s="66"/>
      <c r="P224" s="66"/>
      <c r="Q224" s="66"/>
      <c r="R224" s="66"/>
      <c r="S224" s="66"/>
      <c r="T224" s="66"/>
      <c r="U224" s="66"/>
      <c r="V224" s="66"/>
      <c r="W224" s="66"/>
      <c r="X224" s="66"/>
      <c r="Y224" s="66"/>
      <c r="Z224" s="66"/>
      <c r="AA224" s="66"/>
    </row>
    <row r="225" ht="15.75" customHeight="1">
      <c r="A225" s="66"/>
      <c r="B225" s="66"/>
      <c r="C225" s="66"/>
      <c r="D225" s="66"/>
      <c r="E225" s="66"/>
      <c r="F225" s="68" t="str">
        <f t="array" ref="F225">IF(INDEX('Binder Data'!$A$1252:$A$1501,ROW()-1)="","",IF(INDEX('Binder Data'!$D$1252:$D$1501,ROW()-1)="Needed",INDEX('Binder Data'!$B$1252:$B$1501,ROW()-1),INDEX('Binder Data'!$D$1252:$D$1501,ROW()-1)))</f>
        <v/>
      </c>
      <c r="G225" s="66"/>
      <c r="H225" s="66"/>
      <c r="I225" s="66"/>
      <c r="J225" s="66"/>
      <c r="K225" s="66"/>
      <c r="L225" s="66"/>
      <c r="M225" s="66"/>
      <c r="N225" s="66"/>
      <c r="O225" s="66"/>
      <c r="P225" s="66"/>
      <c r="Q225" s="66"/>
      <c r="R225" s="66"/>
      <c r="S225" s="66"/>
      <c r="T225" s="66"/>
      <c r="U225" s="66"/>
      <c r="V225" s="66"/>
      <c r="W225" s="66"/>
      <c r="X225" s="66"/>
      <c r="Y225" s="66"/>
      <c r="Z225" s="66"/>
      <c r="AA225" s="66"/>
    </row>
    <row r="226" ht="15.75" customHeight="1">
      <c r="A226" s="66"/>
      <c r="B226" s="66"/>
      <c r="C226" s="66"/>
      <c r="D226" s="66"/>
      <c r="E226" s="66"/>
      <c r="F226" s="68" t="str">
        <f t="array" ref="F226">IF(INDEX('Binder Data'!$A$1252:$A$1501,ROW()-1)="","",IF(INDEX('Binder Data'!$D$1252:$D$1501,ROW()-1)="Needed",INDEX('Binder Data'!$B$1252:$B$1501,ROW()-1),INDEX('Binder Data'!$D$1252:$D$1501,ROW()-1)))</f>
        <v/>
      </c>
      <c r="G226" s="66"/>
      <c r="H226" s="66"/>
      <c r="I226" s="66"/>
      <c r="J226" s="66"/>
      <c r="K226" s="66"/>
      <c r="L226" s="66"/>
      <c r="M226" s="66"/>
      <c r="N226" s="66"/>
      <c r="O226" s="66"/>
      <c r="P226" s="66"/>
      <c r="Q226" s="66"/>
      <c r="R226" s="66"/>
      <c r="S226" s="66"/>
      <c r="T226" s="66"/>
      <c r="U226" s="66"/>
      <c r="V226" s="66"/>
      <c r="W226" s="66"/>
      <c r="X226" s="66"/>
      <c r="Y226" s="66"/>
      <c r="Z226" s="66"/>
      <c r="AA226" s="66"/>
    </row>
    <row r="227" ht="15.75" customHeight="1">
      <c r="A227" s="66"/>
      <c r="B227" s="66"/>
      <c r="C227" s="66"/>
      <c r="D227" s="66"/>
      <c r="E227" s="66"/>
      <c r="F227" s="68" t="str">
        <f t="array" ref="F227">IF(INDEX('Binder Data'!$A$1252:$A$1501,ROW()-1)="","",IF(INDEX('Binder Data'!$D$1252:$D$1501,ROW()-1)="Needed",INDEX('Binder Data'!$B$1252:$B$1501,ROW()-1),INDEX('Binder Data'!$D$1252:$D$1501,ROW()-1)))</f>
        <v/>
      </c>
      <c r="G227" s="66"/>
      <c r="H227" s="66"/>
      <c r="I227" s="66"/>
      <c r="J227" s="66"/>
      <c r="K227" s="66"/>
      <c r="L227" s="66"/>
      <c r="M227" s="66"/>
      <c r="N227" s="66"/>
      <c r="O227" s="66"/>
      <c r="P227" s="66"/>
      <c r="Q227" s="66"/>
      <c r="R227" s="66"/>
      <c r="S227" s="66"/>
      <c r="T227" s="66"/>
      <c r="U227" s="66"/>
      <c r="V227" s="66"/>
      <c r="W227" s="66"/>
      <c r="X227" s="66"/>
      <c r="Y227" s="66"/>
      <c r="Z227" s="66"/>
      <c r="AA227" s="66"/>
    </row>
    <row r="228" ht="15.75" customHeight="1">
      <c r="A228" s="66"/>
      <c r="B228" s="66"/>
      <c r="C228" s="66"/>
      <c r="D228" s="66"/>
      <c r="E228" s="66"/>
      <c r="F228" s="68" t="str">
        <f t="array" ref="F228">IF(INDEX('Binder Data'!$A$1252:$A$1501,ROW()-1)="","",IF(INDEX('Binder Data'!$D$1252:$D$1501,ROW()-1)="Needed",INDEX('Binder Data'!$B$1252:$B$1501,ROW()-1),INDEX('Binder Data'!$D$1252:$D$1501,ROW()-1)))</f>
        <v/>
      </c>
      <c r="G228" s="66"/>
      <c r="H228" s="66"/>
      <c r="I228" s="66"/>
      <c r="J228" s="66"/>
      <c r="K228" s="66"/>
      <c r="L228" s="66"/>
      <c r="M228" s="66"/>
      <c r="N228" s="66"/>
      <c r="O228" s="66"/>
      <c r="P228" s="66"/>
      <c r="Q228" s="66"/>
      <c r="R228" s="66"/>
      <c r="S228" s="66"/>
      <c r="T228" s="66"/>
      <c r="U228" s="66"/>
      <c r="V228" s="66"/>
      <c r="W228" s="66"/>
      <c r="X228" s="66"/>
      <c r="Y228" s="66"/>
      <c r="Z228" s="66"/>
      <c r="AA228" s="66"/>
    </row>
    <row r="229" ht="15.75" customHeight="1">
      <c r="A229" s="66"/>
      <c r="B229" s="66"/>
      <c r="C229" s="66"/>
      <c r="D229" s="66"/>
      <c r="E229" s="66"/>
      <c r="F229" s="68" t="str">
        <f t="array" ref="F229">IF(INDEX('Binder Data'!$A$1252:$A$1501,ROW()-1)="","",IF(INDEX('Binder Data'!$D$1252:$D$1501,ROW()-1)="Needed",INDEX('Binder Data'!$B$1252:$B$1501,ROW()-1),INDEX('Binder Data'!$D$1252:$D$1501,ROW()-1)))</f>
        <v/>
      </c>
      <c r="G229" s="66"/>
      <c r="H229" s="66"/>
      <c r="I229" s="66"/>
      <c r="J229" s="66"/>
      <c r="K229" s="66"/>
      <c r="L229" s="66"/>
      <c r="M229" s="66"/>
      <c r="N229" s="66"/>
      <c r="O229" s="66"/>
      <c r="P229" s="66"/>
      <c r="Q229" s="66"/>
      <c r="R229" s="66"/>
      <c r="S229" s="66"/>
      <c r="T229" s="66"/>
      <c r="U229" s="66"/>
      <c r="V229" s="66"/>
      <c r="W229" s="66"/>
      <c r="X229" s="66"/>
      <c r="Y229" s="66"/>
      <c r="Z229" s="66"/>
      <c r="AA229" s="66"/>
    </row>
    <row r="230" ht="15.75" customHeight="1">
      <c r="A230" s="66"/>
      <c r="B230" s="66"/>
      <c r="C230" s="66"/>
      <c r="D230" s="66"/>
      <c r="E230" s="66"/>
      <c r="F230" s="68" t="str">
        <f t="array" ref="F230">IF(INDEX('Binder Data'!$A$1252:$A$1501,ROW()-1)="","",IF(INDEX('Binder Data'!$D$1252:$D$1501,ROW()-1)="Needed",INDEX('Binder Data'!$B$1252:$B$1501,ROW()-1),INDEX('Binder Data'!$D$1252:$D$1501,ROW()-1)))</f>
        <v/>
      </c>
      <c r="G230" s="66"/>
      <c r="H230" s="66"/>
      <c r="I230" s="66"/>
      <c r="J230" s="66"/>
      <c r="K230" s="66"/>
      <c r="L230" s="66"/>
      <c r="M230" s="66"/>
      <c r="N230" s="66"/>
      <c r="O230" s="66"/>
      <c r="P230" s="66"/>
      <c r="Q230" s="66"/>
      <c r="R230" s="66"/>
      <c r="S230" s="66"/>
      <c r="T230" s="66"/>
      <c r="U230" s="66"/>
      <c r="V230" s="66"/>
      <c r="W230" s="66"/>
      <c r="X230" s="66"/>
      <c r="Y230" s="66"/>
      <c r="Z230" s="66"/>
      <c r="AA230" s="66"/>
    </row>
    <row r="231" ht="15.75" customHeight="1">
      <c r="A231" s="66"/>
      <c r="B231" s="66"/>
      <c r="C231" s="66"/>
      <c r="D231" s="66"/>
      <c r="E231" s="66"/>
      <c r="F231" s="68" t="str">
        <f t="array" ref="F231">IF(INDEX('Binder Data'!$A$1252:$A$1501,ROW()-1)="","",IF(INDEX('Binder Data'!$D$1252:$D$1501,ROW()-1)="Needed",INDEX('Binder Data'!$B$1252:$B$1501,ROW()-1),INDEX('Binder Data'!$D$1252:$D$1501,ROW()-1)))</f>
        <v/>
      </c>
      <c r="G231" s="66"/>
      <c r="H231" s="66"/>
      <c r="I231" s="66"/>
      <c r="J231" s="66"/>
      <c r="K231" s="66"/>
      <c r="L231" s="66"/>
      <c r="M231" s="66"/>
      <c r="N231" s="66"/>
      <c r="O231" s="66"/>
      <c r="P231" s="66"/>
      <c r="Q231" s="66"/>
      <c r="R231" s="66"/>
      <c r="S231" s="66"/>
      <c r="T231" s="66"/>
      <c r="U231" s="66"/>
      <c r="V231" s="66"/>
      <c r="W231" s="66"/>
      <c r="X231" s="66"/>
      <c r="Y231" s="66"/>
      <c r="Z231" s="66"/>
      <c r="AA231" s="66"/>
    </row>
    <row r="232" ht="15.75" customHeight="1">
      <c r="A232" s="66"/>
      <c r="B232" s="66"/>
      <c r="C232" s="66"/>
      <c r="D232" s="66"/>
      <c r="E232" s="66"/>
      <c r="F232" s="68" t="str">
        <f t="array" ref="F232">IF(INDEX('Binder Data'!$A$1252:$A$1501,ROW()-1)="","",IF(INDEX('Binder Data'!$D$1252:$D$1501,ROW()-1)="Needed",INDEX('Binder Data'!$B$1252:$B$1501,ROW()-1),INDEX('Binder Data'!$D$1252:$D$1501,ROW()-1)))</f>
        <v/>
      </c>
      <c r="G232" s="66"/>
      <c r="H232" s="66"/>
      <c r="I232" s="66"/>
      <c r="J232" s="66"/>
      <c r="K232" s="66"/>
      <c r="L232" s="66"/>
      <c r="M232" s="66"/>
      <c r="N232" s="66"/>
      <c r="O232" s="66"/>
      <c r="P232" s="66"/>
      <c r="Q232" s="66"/>
      <c r="R232" s="66"/>
      <c r="S232" s="66"/>
      <c r="T232" s="66"/>
      <c r="U232" s="66"/>
      <c r="V232" s="66"/>
      <c r="W232" s="66"/>
      <c r="X232" s="66"/>
      <c r="Y232" s="66"/>
      <c r="Z232" s="66"/>
      <c r="AA232" s="66"/>
    </row>
    <row r="233" ht="15.75" customHeight="1">
      <c r="A233" s="66"/>
      <c r="B233" s="66"/>
      <c r="C233" s="66"/>
      <c r="D233" s="66"/>
      <c r="E233" s="66"/>
      <c r="F233" s="68" t="str">
        <f t="array" ref="F233">IF(INDEX('Binder Data'!$A$1252:$A$1501,ROW()-1)="","",IF(INDEX('Binder Data'!$D$1252:$D$1501,ROW()-1)="Needed",INDEX('Binder Data'!$B$1252:$B$1501,ROW()-1),INDEX('Binder Data'!$D$1252:$D$1501,ROW()-1)))</f>
        <v/>
      </c>
      <c r="G233" s="66"/>
      <c r="H233" s="66"/>
      <c r="I233" s="66"/>
      <c r="J233" s="66"/>
      <c r="K233" s="66"/>
      <c r="L233" s="66"/>
      <c r="M233" s="66"/>
      <c r="N233" s="66"/>
      <c r="O233" s="66"/>
      <c r="P233" s="66"/>
      <c r="Q233" s="66"/>
      <c r="R233" s="66"/>
      <c r="S233" s="66"/>
      <c r="T233" s="66"/>
      <c r="U233" s="66"/>
      <c r="V233" s="66"/>
      <c r="W233" s="66"/>
      <c r="X233" s="66"/>
      <c r="Y233" s="66"/>
      <c r="Z233" s="66"/>
      <c r="AA233" s="66"/>
    </row>
    <row r="234" ht="15.75" customHeight="1">
      <c r="A234" s="66"/>
      <c r="B234" s="66"/>
      <c r="C234" s="66"/>
      <c r="D234" s="66"/>
      <c r="E234" s="66"/>
      <c r="F234" s="68" t="str">
        <f t="array" ref="F234">IF(INDEX('Binder Data'!$A$1252:$A$1501,ROW()-1)="","",IF(INDEX('Binder Data'!$D$1252:$D$1501,ROW()-1)="Needed",INDEX('Binder Data'!$B$1252:$B$1501,ROW()-1),INDEX('Binder Data'!$D$1252:$D$1501,ROW()-1)))</f>
        <v/>
      </c>
      <c r="G234" s="66"/>
      <c r="H234" s="66"/>
      <c r="I234" s="66"/>
      <c r="J234" s="66"/>
      <c r="K234" s="66"/>
      <c r="L234" s="66"/>
      <c r="M234" s="66"/>
      <c r="N234" s="66"/>
      <c r="O234" s="66"/>
      <c r="P234" s="66"/>
      <c r="Q234" s="66"/>
      <c r="R234" s="66"/>
      <c r="S234" s="66"/>
      <c r="T234" s="66"/>
      <c r="U234" s="66"/>
      <c r="V234" s="66"/>
      <c r="W234" s="66"/>
      <c r="X234" s="66"/>
      <c r="Y234" s="66"/>
      <c r="Z234" s="66"/>
      <c r="AA234" s="66"/>
    </row>
    <row r="235" ht="15.75" customHeight="1">
      <c r="A235" s="66"/>
      <c r="B235" s="66"/>
      <c r="C235" s="66"/>
      <c r="D235" s="66"/>
      <c r="E235" s="66"/>
      <c r="F235" s="68" t="str">
        <f t="array" ref="F235">IF(INDEX('Binder Data'!$A$1252:$A$1501,ROW()-1)="","",IF(INDEX('Binder Data'!$D$1252:$D$1501,ROW()-1)="Needed",INDEX('Binder Data'!$B$1252:$B$1501,ROW()-1),INDEX('Binder Data'!$D$1252:$D$1501,ROW()-1)))</f>
        <v/>
      </c>
      <c r="G235" s="66"/>
      <c r="H235" s="66"/>
      <c r="I235" s="66"/>
      <c r="J235" s="66"/>
      <c r="K235" s="66"/>
      <c r="L235" s="66"/>
      <c r="M235" s="66"/>
      <c r="N235" s="66"/>
      <c r="O235" s="66"/>
      <c r="P235" s="66"/>
      <c r="Q235" s="66"/>
      <c r="R235" s="66"/>
      <c r="S235" s="66"/>
      <c r="T235" s="66"/>
      <c r="U235" s="66"/>
      <c r="V235" s="66"/>
      <c r="W235" s="66"/>
      <c r="X235" s="66"/>
      <c r="Y235" s="66"/>
      <c r="Z235" s="66"/>
      <c r="AA235" s="66"/>
    </row>
    <row r="236" ht="15.75" customHeight="1">
      <c r="A236" s="66"/>
      <c r="B236" s="66"/>
      <c r="C236" s="66"/>
      <c r="D236" s="66"/>
      <c r="E236" s="66"/>
      <c r="F236" s="68" t="str">
        <f t="array" ref="F236">IF(INDEX('Binder Data'!$A$1252:$A$1501,ROW()-1)="","",IF(INDEX('Binder Data'!$D$1252:$D$1501,ROW()-1)="Needed",INDEX('Binder Data'!$B$1252:$B$1501,ROW()-1),INDEX('Binder Data'!$D$1252:$D$1501,ROW()-1)))</f>
        <v/>
      </c>
      <c r="G236" s="66"/>
      <c r="H236" s="66"/>
      <c r="I236" s="66"/>
      <c r="J236" s="66"/>
      <c r="K236" s="66"/>
      <c r="L236" s="66"/>
      <c r="M236" s="66"/>
      <c r="N236" s="66"/>
      <c r="O236" s="66"/>
      <c r="P236" s="66"/>
      <c r="Q236" s="66"/>
      <c r="R236" s="66"/>
      <c r="S236" s="66"/>
      <c r="T236" s="66"/>
      <c r="U236" s="66"/>
      <c r="V236" s="66"/>
      <c r="W236" s="66"/>
      <c r="X236" s="66"/>
      <c r="Y236" s="66"/>
      <c r="Z236" s="66"/>
      <c r="AA236" s="66"/>
    </row>
    <row r="237" ht="15.75" customHeight="1">
      <c r="A237" s="66"/>
      <c r="B237" s="66"/>
      <c r="C237" s="66"/>
      <c r="D237" s="66"/>
      <c r="E237" s="66"/>
      <c r="F237" s="68" t="str">
        <f t="array" ref="F237">IF(INDEX('Binder Data'!$A$1252:$A$1501,ROW()-1)="","",IF(INDEX('Binder Data'!$D$1252:$D$1501,ROW()-1)="Needed",INDEX('Binder Data'!$B$1252:$B$1501,ROW()-1),INDEX('Binder Data'!$D$1252:$D$1501,ROW()-1)))</f>
        <v/>
      </c>
      <c r="G237" s="66"/>
      <c r="H237" s="66"/>
      <c r="I237" s="66"/>
      <c r="J237" s="66"/>
      <c r="K237" s="66"/>
      <c r="L237" s="66"/>
      <c r="M237" s="66"/>
      <c r="N237" s="66"/>
      <c r="O237" s="66"/>
      <c r="P237" s="66"/>
      <c r="Q237" s="66"/>
      <c r="R237" s="66"/>
      <c r="S237" s="66"/>
      <c r="T237" s="66"/>
      <c r="U237" s="66"/>
      <c r="V237" s="66"/>
      <c r="W237" s="66"/>
      <c r="X237" s="66"/>
      <c r="Y237" s="66"/>
      <c r="Z237" s="66"/>
      <c r="AA237" s="66"/>
    </row>
    <row r="238" ht="15.75" customHeight="1">
      <c r="A238" s="66"/>
      <c r="B238" s="66"/>
      <c r="C238" s="66"/>
      <c r="D238" s="66"/>
      <c r="E238" s="66"/>
      <c r="F238" s="68" t="str">
        <f t="array" ref="F238">IF(INDEX('Binder Data'!$A$1252:$A$1501,ROW()-1)="","",IF(INDEX('Binder Data'!$D$1252:$D$1501,ROW()-1)="Needed",INDEX('Binder Data'!$B$1252:$B$1501,ROW()-1),INDEX('Binder Data'!$D$1252:$D$1501,ROW()-1)))</f>
        <v/>
      </c>
      <c r="G238" s="66"/>
      <c r="H238" s="66"/>
      <c r="I238" s="66"/>
      <c r="J238" s="66"/>
      <c r="K238" s="66"/>
      <c r="L238" s="66"/>
      <c r="M238" s="66"/>
      <c r="N238" s="66"/>
      <c r="O238" s="66"/>
      <c r="P238" s="66"/>
      <c r="Q238" s="66"/>
      <c r="R238" s="66"/>
      <c r="S238" s="66"/>
      <c r="T238" s="66"/>
      <c r="U238" s="66"/>
      <c r="V238" s="66"/>
      <c r="W238" s="66"/>
      <c r="X238" s="66"/>
      <c r="Y238" s="66"/>
      <c r="Z238" s="66"/>
      <c r="AA238" s="66"/>
    </row>
    <row r="239" ht="15.75" customHeight="1">
      <c r="A239" s="66"/>
      <c r="B239" s="66"/>
      <c r="C239" s="66"/>
      <c r="D239" s="66"/>
      <c r="E239" s="66"/>
      <c r="F239" s="68" t="str">
        <f t="array" ref="F239">IF(INDEX('Binder Data'!$A$1252:$A$1501,ROW()-1)="","",IF(INDEX('Binder Data'!$D$1252:$D$1501,ROW()-1)="Needed",INDEX('Binder Data'!$B$1252:$B$1501,ROW()-1),INDEX('Binder Data'!$D$1252:$D$1501,ROW()-1)))</f>
        <v/>
      </c>
      <c r="G239" s="66"/>
      <c r="H239" s="66"/>
      <c r="I239" s="66"/>
      <c r="J239" s="66"/>
      <c r="K239" s="66"/>
      <c r="L239" s="66"/>
      <c r="M239" s="66"/>
      <c r="N239" s="66"/>
      <c r="O239" s="66"/>
      <c r="P239" s="66"/>
      <c r="Q239" s="66"/>
      <c r="R239" s="66"/>
      <c r="S239" s="66"/>
      <c r="T239" s="66"/>
      <c r="U239" s="66"/>
      <c r="V239" s="66"/>
      <c r="W239" s="66"/>
      <c r="X239" s="66"/>
      <c r="Y239" s="66"/>
      <c r="Z239" s="66"/>
      <c r="AA239" s="66"/>
    </row>
    <row r="240" ht="15.75" customHeight="1">
      <c r="A240" s="66"/>
      <c r="B240" s="66"/>
      <c r="C240" s="66"/>
      <c r="D240" s="66"/>
      <c r="E240" s="66"/>
      <c r="F240" s="68" t="str">
        <f t="array" ref="F240">IF(INDEX('Binder Data'!$A$1252:$A$1501,ROW()-1)="","",IF(INDEX('Binder Data'!$D$1252:$D$1501,ROW()-1)="Needed",INDEX('Binder Data'!$B$1252:$B$1501,ROW()-1),INDEX('Binder Data'!$D$1252:$D$1501,ROW()-1)))</f>
        <v/>
      </c>
      <c r="G240" s="66"/>
      <c r="H240" s="66"/>
      <c r="I240" s="66"/>
      <c r="J240" s="66"/>
      <c r="K240" s="66"/>
      <c r="L240" s="66"/>
      <c r="M240" s="66"/>
      <c r="N240" s="66"/>
      <c r="O240" s="66"/>
      <c r="P240" s="66"/>
      <c r="Q240" s="66"/>
      <c r="R240" s="66"/>
      <c r="S240" s="66"/>
      <c r="T240" s="66"/>
      <c r="U240" s="66"/>
      <c r="V240" s="66"/>
      <c r="W240" s="66"/>
      <c r="X240" s="66"/>
      <c r="Y240" s="66"/>
      <c r="Z240" s="66"/>
      <c r="AA240" s="66"/>
    </row>
    <row r="241" ht="15.75" customHeight="1">
      <c r="A241" s="66"/>
      <c r="B241" s="66"/>
      <c r="C241" s="66"/>
      <c r="D241" s="66"/>
      <c r="E241" s="66"/>
      <c r="F241" s="68" t="str">
        <f t="array" ref="F241">IF(INDEX('Binder Data'!$A$1252:$A$1501,ROW()-1)="","",IF(INDEX('Binder Data'!$D$1252:$D$1501,ROW()-1)="Needed",INDEX('Binder Data'!$B$1252:$B$1501,ROW()-1),INDEX('Binder Data'!$D$1252:$D$1501,ROW()-1)))</f>
        <v/>
      </c>
      <c r="G241" s="66"/>
      <c r="H241" s="66"/>
      <c r="I241" s="66"/>
      <c r="J241" s="66"/>
      <c r="K241" s="66"/>
      <c r="L241" s="66"/>
      <c r="M241" s="66"/>
      <c r="N241" s="66"/>
      <c r="O241" s="66"/>
      <c r="P241" s="66"/>
      <c r="Q241" s="66"/>
      <c r="R241" s="66"/>
      <c r="S241" s="66"/>
      <c r="T241" s="66"/>
      <c r="U241" s="66"/>
      <c r="V241" s="66"/>
      <c r="W241" s="66"/>
      <c r="X241" s="66"/>
      <c r="Y241" s="66"/>
      <c r="Z241" s="66"/>
      <c r="AA241" s="66"/>
    </row>
    <row r="242" ht="15.75" customHeight="1">
      <c r="A242" s="66"/>
      <c r="B242" s="66"/>
      <c r="C242" s="66"/>
      <c r="D242" s="66"/>
      <c r="E242" s="66"/>
      <c r="F242" s="68" t="str">
        <f t="array" ref="F242">IF(INDEX('Binder Data'!$A$1252:$A$1501,ROW()-1)="","",IF(INDEX('Binder Data'!$D$1252:$D$1501,ROW()-1)="Needed",INDEX('Binder Data'!$B$1252:$B$1501,ROW()-1),INDEX('Binder Data'!$D$1252:$D$1501,ROW()-1)))</f>
        <v/>
      </c>
      <c r="G242" s="66"/>
      <c r="H242" s="66"/>
      <c r="I242" s="66"/>
      <c r="J242" s="66"/>
      <c r="K242" s="66"/>
      <c r="L242" s="66"/>
      <c r="M242" s="66"/>
      <c r="N242" s="66"/>
      <c r="O242" s="66"/>
      <c r="P242" s="66"/>
      <c r="Q242" s="66"/>
      <c r="R242" s="66"/>
      <c r="S242" s="66"/>
      <c r="T242" s="66"/>
      <c r="U242" s="66"/>
      <c r="V242" s="66"/>
      <c r="W242" s="66"/>
      <c r="X242" s="66"/>
      <c r="Y242" s="66"/>
      <c r="Z242" s="66"/>
      <c r="AA242" s="66"/>
    </row>
    <row r="243" ht="15.75" customHeight="1">
      <c r="A243" s="66"/>
      <c r="B243" s="66"/>
      <c r="C243" s="66"/>
      <c r="D243" s="66"/>
      <c r="E243" s="66"/>
      <c r="F243" s="68" t="str">
        <f t="array" ref="F243">IF(INDEX('Binder Data'!$A$1252:$A$1501,ROW()-1)="","",IF(INDEX('Binder Data'!$D$1252:$D$1501,ROW()-1)="Needed",INDEX('Binder Data'!$B$1252:$B$1501,ROW()-1),INDEX('Binder Data'!$D$1252:$D$1501,ROW()-1)))</f>
        <v/>
      </c>
      <c r="G243" s="66"/>
      <c r="H243" s="66"/>
      <c r="I243" s="66"/>
      <c r="J243" s="66"/>
      <c r="K243" s="66"/>
      <c r="L243" s="66"/>
      <c r="M243" s="66"/>
      <c r="N243" s="66"/>
      <c r="O243" s="66"/>
      <c r="P243" s="66"/>
      <c r="Q243" s="66"/>
      <c r="R243" s="66"/>
      <c r="S243" s="66"/>
      <c r="T243" s="66"/>
      <c r="U243" s="66"/>
      <c r="V243" s="66"/>
      <c r="W243" s="66"/>
      <c r="X243" s="66"/>
      <c r="Y243" s="66"/>
      <c r="Z243" s="66"/>
      <c r="AA243" s="66"/>
    </row>
    <row r="244" ht="15.75" customHeight="1">
      <c r="A244" s="66"/>
      <c r="B244" s="66"/>
      <c r="C244" s="66"/>
      <c r="D244" s="66"/>
      <c r="E244" s="66"/>
      <c r="F244" s="68" t="str">
        <f t="array" ref="F244">IF(INDEX('Binder Data'!$A$1252:$A$1501,ROW()-1)="","",IF(INDEX('Binder Data'!$D$1252:$D$1501,ROW()-1)="Needed",INDEX('Binder Data'!$B$1252:$B$1501,ROW()-1),INDEX('Binder Data'!$D$1252:$D$1501,ROW()-1)))</f>
        <v/>
      </c>
      <c r="G244" s="66"/>
      <c r="H244" s="66"/>
      <c r="I244" s="66"/>
      <c r="J244" s="66"/>
      <c r="K244" s="66"/>
      <c r="L244" s="66"/>
      <c r="M244" s="66"/>
      <c r="N244" s="66"/>
      <c r="O244" s="66"/>
      <c r="P244" s="66"/>
      <c r="Q244" s="66"/>
      <c r="R244" s="66"/>
      <c r="S244" s="66"/>
      <c r="T244" s="66"/>
      <c r="U244" s="66"/>
      <c r="V244" s="66"/>
      <c r="W244" s="66"/>
      <c r="X244" s="66"/>
      <c r="Y244" s="66"/>
      <c r="Z244" s="66"/>
      <c r="AA244" s="66"/>
    </row>
    <row r="245" ht="15.75" customHeight="1">
      <c r="A245" s="66"/>
      <c r="B245" s="66"/>
      <c r="C245" s="66"/>
      <c r="D245" s="66"/>
      <c r="E245" s="66"/>
      <c r="F245" s="68" t="str">
        <f t="array" ref="F245">IF(INDEX('Binder Data'!$A$1252:$A$1501,ROW()-1)="","",IF(INDEX('Binder Data'!$D$1252:$D$1501,ROW()-1)="Needed",INDEX('Binder Data'!$B$1252:$B$1501,ROW()-1),INDEX('Binder Data'!$D$1252:$D$1501,ROW()-1)))</f>
        <v/>
      </c>
      <c r="G245" s="66"/>
      <c r="H245" s="66"/>
      <c r="I245" s="66"/>
      <c r="J245" s="66"/>
      <c r="K245" s="66"/>
      <c r="L245" s="66"/>
      <c r="M245" s="66"/>
      <c r="N245" s="66"/>
      <c r="O245" s="66"/>
      <c r="P245" s="66"/>
      <c r="Q245" s="66"/>
      <c r="R245" s="66"/>
      <c r="S245" s="66"/>
      <c r="T245" s="66"/>
      <c r="U245" s="66"/>
      <c r="V245" s="66"/>
      <c r="W245" s="66"/>
      <c r="X245" s="66"/>
      <c r="Y245" s="66"/>
      <c r="Z245" s="66"/>
      <c r="AA245" s="66"/>
    </row>
    <row r="246" ht="15.75" customHeight="1">
      <c r="A246" s="66"/>
      <c r="B246" s="66"/>
      <c r="C246" s="66"/>
      <c r="D246" s="66"/>
      <c r="E246" s="66"/>
      <c r="F246" s="68" t="str">
        <f t="array" ref="F246">IF(INDEX('Binder Data'!$A$1252:$A$1501,ROW()-1)="","",IF(INDEX('Binder Data'!$D$1252:$D$1501,ROW()-1)="Needed",INDEX('Binder Data'!$B$1252:$B$1501,ROW()-1),INDEX('Binder Data'!$D$1252:$D$1501,ROW()-1)))</f>
        <v/>
      </c>
      <c r="G246" s="66"/>
      <c r="H246" s="66"/>
      <c r="I246" s="66"/>
      <c r="J246" s="66"/>
      <c r="K246" s="66"/>
      <c r="L246" s="66"/>
      <c r="M246" s="66"/>
      <c r="N246" s="66"/>
      <c r="O246" s="66"/>
      <c r="P246" s="66"/>
      <c r="Q246" s="66"/>
      <c r="R246" s="66"/>
      <c r="S246" s="66"/>
      <c r="T246" s="66"/>
      <c r="U246" s="66"/>
      <c r="V246" s="66"/>
      <c r="W246" s="66"/>
      <c r="X246" s="66"/>
      <c r="Y246" s="66"/>
      <c r="Z246" s="66"/>
      <c r="AA246" s="66"/>
    </row>
    <row r="247" ht="15.75" customHeight="1">
      <c r="A247" s="66"/>
      <c r="B247" s="66"/>
      <c r="C247" s="66"/>
      <c r="D247" s="66"/>
      <c r="E247" s="66"/>
      <c r="F247" s="68" t="str">
        <f t="array" ref="F247">IF(INDEX('Binder Data'!$A$1252:$A$1501,ROW()-1)="","",IF(INDEX('Binder Data'!$D$1252:$D$1501,ROW()-1)="Needed",INDEX('Binder Data'!$B$1252:$B$1501,ROW()-1),INDEX('Binder Data'!$D$1252:$D$1501,ROW()-1)))</f>
        <v/>
      </c>
      <c r="G247" s="66"/>
      <c r="H247" s="66"/>
      <c r="I247" s="66"/>
      <c r="J247" s="66"/>
      <c r="K247" s="66"/>
      <c r="L247" s="66"/>
      <c r="M247" s="66"/>
      <c r="N247" s="66"/>
      <c r="O247" s="66"/>
      <c r="P247" s="66"/>
      <c r="Q247" s="66"/>
      <c r="R247" s="66"/>
      <c r="S247" s="66"/>
      <c r="T247" s="66"/>
      <c r="U247" s="66"/>
      <c r="V247" s="66"/>
      <c r="W247" s="66"/>
      <c r="X247" s="66"/>
      <c r="Y247" s="66"/>
      <c r="Z247" s="66"/>
      <c r="AA247" s="66"/>
    </row>
    <row r="248" ht="15.75" customHeight="1">
      <c r="A248" s="66"/>
      <c r="B248" s="66"/>
      <c r="C248" s="66"/>
      <c r="D248" s="66"/>
      <c r="E248" s="66"/>
      <c r="F248" s="68" t="str">
        <f t="array" ref="F248">IF(INDEX('Binder Data'!$A$1252:$A$1501,ROW()-1)="","",IF(INDEX('Binder Data'!$D$1252:$D$1501,ROW()-1)="Needed",INDEX('Binder Data'!$B$1252:$B$1501,ROW()-1),INDEX('Binder Data'!$D$1252:$D$1501,ROW()-1)))</f>
        <v/>
      </c>
      <c r="G248" s="66"/>
      <c r="H248" s="66"/>
      <c r="I248" s="66"/>
      <c r="J248" s="66"/>
      <c r="K248" s="66"/>
      <c r="L248" s="66"/>
      <c r="M248" s="66"/>
      <c r="N248" s="66"/>
      <c r="O248" s="66"/>
      <c r="P248" s="66"/>
      <c r="Q248" s="66"/>
      <c r="R248" s="66"/>
      <c r="S248" s="66"/>
      <c r="T248" s="66"/>
      <c r="U248" s="66"/>
      <c r="V248" s="66"/>
      <c r="W248" s="66"/>
      <c r="X248" s="66"/>
      <c r="Y248" s="66"/>
      <c r="Z248" s="66"/>
      <c r="AA248" s="66"/>
    </row>
    <row r="249" ht="15.75" customHeight="1">
      <c r="A249" s="66"/>
      <c r="B249" s="66"/>
      <c r="C249" s="66"/>
      <c r="D249" s="66"/>
      <c r="E249" s="66"/>
      <c r="F249" s="68" t="str">
        <f t="array" ref="F249">IF(INDEX('Binder Data'!$A$1252:$A$1501,ROW()-1)="","",IF(INDEX('Binder Data'!$D$1252:$D$1501,ROW()-1)="Needed",INDEX('Binder Data'!$B$1252:$B$1501,ROW()-1),INDEX('Binder Data'!$D$1252:$D$1501,ROW()-1)))</f>
        <v/>
      </c>
      <c r="G249" s="66"/>
      <c r="H249" s="66"/>
      <c r="I249" s="66"/>
      <c r="J249" s="66"/>
      <c r="K249" s="66"/>
      <c r="L249" s="66"/>
      <c r="M249" s="66"/>
      <c r="N249" s="66"/>
      <c r="O249" s="66"/>
      <c r="P249" s="66"/>
      <c r="Q249" s="66"/>
      <c r="R249" s="66"/>
      <c r="S249" s="66"/>
      <c r="T249" s="66"/>
      <c r="U249" s="66"/>
      <c r="V249" s="66"/>
      <c r="W249" s="66"/>
      <c r="X249" s="66"/>
      <c r="Y249" s="66"/>
      <c r="Z249" s="66"/>
      <c r="AA249" s="66"/>
    </row>
    <row r="250" ht="15.75" customHeight="1">
      <c r="A250" s="66"/>
      <c r="B250" s="66"/>
      <c r="C250" s="66"/>
      <c r="D250" s="66"/>
      <c r="E250" s="66"/>
      <c r="F250" s="68" t="str">
        <f t="array" ref="F250">IF(INDEX('Binder Data'!$A$1252:$A$1501,ROW()-1)="","",IF(INDEX('Binder Data'!$D$1252:$D$1501,ROW()-1)="Needed",INDEX('Binder Data'!$B$1252:$B$1501,ROW()-1),INDEX('Binder Data'!$D$1252:$D$1501,ROW()-1)))</f>
        <v/>
      </c>
      <c r="G250" s="66"/>
      <c r="H250" s="66"/>
      <c r="I250" s="66"/>
      <c r="J250" s="66"/>
      <c r="K250" s="66"/>
      <c r="L250" s="66"/>
      <c r="M250" s="66"/>
      <c r="N250" s="66"/>
      <c r="O250" s="66"/>
      <c r="P250" s="66"/>
      <c r="Q250" s="66"/>
      <c r="R250" s="66"/>
      <c r="S250" s="66"/>
      <c r="T250" s="66"/>
      <c r="U250" s="66"/>
      <c r="V250" s="66"/>
      <c r="W250" s="66"/>
      <c r="X250" s="66"/>
      <c r="Y250" s="66"/>
      <c r="Z250" s="66"/>
      <c r="AA250" s="66"/>
    </row>
    <row r="251" ht="15.75" customHeight="1">
      <c r="A251" s="66"/>
      <c r="B251" s="66"/>
      <c r="C251" s="66"/>
      <c r="D251" s="66"/>
      <c r="E251" s="66"/>
      <c r="F251" s="68" t="str">
        <f t="array" ref="F251">IF(INDEX('Binder Data'!$A$1252:$A$1501,ROW()-1)="","",IF(INDEX('Binder Data'!$D$1252:$D$1501,ROW()-1)="Needed",INDEX('Binder Data'!$B$1252:$B$1501,ROW()-1),INDEX('Binder Data'!$D$1252:$D$1501,ROW()-1)))</f>
        <v/>
      </c>
      <c r="G251" s="66"/>
      <c r="H251" s="66"/>
      <c r="I251" s="66"/>
      <c r="J251" s="66"/>
      <c r="K251" s="66"/>
      <c r="L251" s="66"/>
      <c r="M251" s="66"/>
      <c r="N251" s="66"/>
      <c r="O251" s="66"/>
      <c r="P251" s="66"/>
      <c r="Q251" s="66"/>
      <c r="R251" s="66"/>
      <c r="S251" s="66"/>
      <c r="T251" s="66"/>
      <c r="U251" s="66"/>
      <c r="V251" s="66"/>
      <c r="W251" s="66"/>
      <c r="X251" s="66"/>
      <c r="Y251" s="66"/>
      <c r="Z251" s="66"/>
      <c r="AA251" s="66"/>
    </row>
    <row r="252" ht="15.7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c r="AA252" s="66"/>
    </row>
    <row r="253" ht="15.7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c r="AA253" s="66"/>
    </row>
    <row r="254" ht="15.7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c r="AA254" s="66"/>
    </row>
    <row r="255" ht="15.7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c r="AA255" s="66"/>
    </row>
    <row r="256" ht="15.7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c r="AA256" s="66"/>
    </row>
    <row r="257" ht="15.7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c r="AA257" s="66"/>
    </row>
    <row r="258" ht="15.7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c r="AA258" s="66"/>
    </row>
    <row r="259" ht="15.7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c r="AA259" s="66"/>
    </row>
    <row r="260" ht="15.7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c r="AA260" s="66"/>
    </row>
    <row r="261" ht="15.7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c r="AA261" s="66"/>
    </row>
    <row r="262" ht="15.7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c r="AA262" s="66"/>
    </row>
    <row r="263" ht="15.7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c r="AA263" s="66"/>
    </row>
    <row r="264" ht="15.7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c r="AA264" s="66"/>
    </row>
    <row r="265" ht="15.7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c r="AA265" s="66"/>
    </row>
    <row r="266" ht="15.7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c r="AA266" s="66"/>
    </row>
    <row r="267" ht="15.7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c r="AA267" s="66"/>
    </row>
    <row r="268" ht="15.7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c r="AA268" s="66"/>
    </row>
    <row r="269" ht="15.7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c r="AA269" s="66"/>
    </row>
    <row r="270" ht="15.7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c r="AA270" s="66"/>
    </row>
    <row r="271" ht="15.7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c r="AA271" s="66"/>
    </row>
    <row r="272" ht="15.7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c r="AA272" s="66"/>
    </row>
    <row r="273" ht="15.7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c r="AA273" s="66"/>
    </row>
    <row r="274" ht="15.7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c r="AA274" s="66"/>
    </row>
    <row r="275" ht="15.7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c r="AA275" s="66"/>
    </row>
    <row r="276" ht="15.7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c r="AA276" s="66"/>
    </row>
    <row r="277" ht="15.7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c r="AA277" s="66"/>
    </row>
    <row r="278" ht="15.7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c r="AA278" s="66"/>
    </row>
    <row r="279" ht="15.7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c r="AA279" s="66"/>
    </row>
    <row r="280" ht="15.7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c r="AA280" s="66"/>
    </row>
    <row r="281" ht="15.7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c r="AA281" s="66"/>
    </row>
    <row r="282" ht="15.7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c r="AA282" s="66"/>
    </row>
    <row r="283" ht="15.7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c r="AA283" s="66"/>
    </row>
    <row r="284" ht="15.7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c r="AA284" s="66"/>
    </row>
    <row r="285" ht="15.7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c r="AA285" s="66"/>
    </row>
    <row r="286" ht="15.7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c r="AA286" s="66"/>
    </row>
    <row r="287" ht="15.7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c r="AA287" s="66"/>
    </row>
    <row r="288" ht="15.7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c r="AA288" s="66"/>
    </row>
    <row r="289" ht="15.7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c r="AA289" s="66"/>
    </row>
    <row r="290" ht="15.7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c r="AA290" s="66"/>
    </row>
    <row r="291" ht="15.7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c r="AA291" s="66"/>
    </row>
    <row r="292" ht="15.7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c r="AA292" s="66"/>
    </row>
    <row r="293" ht="15.7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c r="AA293" s="66"/>
    </row>
    <row r="294" ht="15.7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c r="AA294" s="66"/>
    </row>
    <row r="295" ht="15.7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c r="AA295" s="66"/>
    </row>
    <row r="296" ht="15.7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c r="AA296" s="66"/>
    </row>
    <row r="297" ht="15.7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c r="AA297" s="66"/>
    </row>
    <row r="298" ht="15.7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c r="AA298" s="66"/>
    </row>
    <row r="299" ht="15.7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c r="AA299" s="66"/>
    </row>
    <row r="300" ht="15.7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c r="AA300" s="66"/>
    </row>
    <row r="301" ht="15.7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c r="AA301" s="66"/>
    </row>
    <row r="302" ht="15.7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c r="AA302" s="66"/>
    </row>
    <row r="303" ht="15.7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c r="AA303" s="66"/>
    </row>
    <row r="304" ht="15.7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c r="AA304" s="66"/>
    </row>
    <row r="305" ht="15.7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c r="AA305" s="66"/>
    </row>
    <row r="306" ht="15.7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c r="AA306" s="66"/>
    </row>
    <row r="307" ht="15.7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c r="AA307" s="66"/>
    </row>
    <row r="308" ht="15.7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c r="AA308" s="66"/>
    </row>
    <row r="309" ht="15.7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c r="AA309" s="66"/>
    </row>
    <row r="310" ht="15.7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c r="AA310" s="66"/>
    </row>
    <row r="311" ht="15.7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c r="AA311" s="66"/>
    </row>
    <row r="312" ht="15.7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c r="AA312" s="66"/>
    </row>
    <row r="313" ht="15.7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c r="AA313" s="66"/>
    </row>
    <row r="314" ht="15.7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c r="AA314" s="66"/>
    </row>
    <row r="315" ht="15.7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c r="AA315" s="66"/>
    </row>
    <row r="316" ht="15.7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c r="AA316" s="66"/>
    </row>
    <row r="317" ht="15.7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c r="AA317" s="66"/>
    </row>
    <row r="318" ht="15.7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c r="AA318" s="66"/>
    </row>
    <row r="319" ht="15.7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c r="AA319" s="66"/>
    </row>
    <row r="320" ht="15.7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c r="AA320" s="66"/>
    </row>
    <row r="321" ht="15.7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c r="AA321" s="66"/>
    </row>
    <row r="322" ht="15.7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c r="AA322" s="66"/>
    </row>
    <row r="323" ht="15.7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c r="AA323" s="66"/>
    </row>
    <row r="324" ht="15.7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c r="AA324" s="66"/>
    </row>
    <row r="325" ht="15.7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c r="AA325" s="66"/>
    </row>
    <row r="326" ht="15.7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c r="AA326" s="66"/>
    </row>
    <row r="327" ht="15.7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c r="AA327" s="66"/>
    </row>
    <row r="328" ht="15.7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c r="AA328" s="66"/>
    </row>
    <row r="329" ht="15.7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c r="AA329" s="66"/>
    </row>
    <row r="330" ht="15.7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c r="AA330" s="66"/>
    </row>
    <row r="331" ht="15.7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c r="AA331" s="66"/>
    </row>
    <row r="332" ht="15.7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c r="AA332" s="66"/>
    </row>
    <row r="333" ht="15.7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c r="AA333" s="66"/>
    </row>
    <row r="334" ht="15.7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c r="AA334" s="66"/>
    </row>
    <row r="335" ht="15.7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c r="AA335" s="66"/>
    </row>
    <row r="336" ht="15.7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c r="AA336" s="66"/>
    </row>
    <row r="337" ht="15.7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c r="AA337" s="66"/>
    </row>
    <row r="338" ht="15.7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c r="AA338" s="66"/>
    </row>
    <row r="339" ht="15.7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c r="AA339" s="66"/>
    </row>
    <row r="340" ht="15.7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c r="AA340" s="66"/>
    </row>
    <row r="341" ht="15.7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c r="AA341" s="66"/>
    </row>
    <row r="342" ht="15.7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c r="AA342" s="66"/>
    </row>
    <row r="343" ht="15.7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c r="AA343" s="66"/>
    </row>
    <row r="344" ht="15.7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c r="AA344" s="66"/>
    </row>
    <row r="345" ht="15.7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c r="AA345" s="66"/>
    </row>
    <row r="346" ht="15.7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c r="AA346" s="66"/>
    </row>
    <row r="347" ht="15.7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c r="AA347" s="66"/>
    </row>
    <row r="348" ht="15.7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c r="AA348" s="66"/>
    </row>
    <row r="349" ht="15.7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c r="AA349" s="66"/>
    </row>
    <row r="350" ht="15.7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c r="AA350" s="66"/>
    </row>
    <row r="351" ht="15.7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c r="AA351" s="66"/>
    </row>
    <row r="352" ht="15.7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c r="AA352" s="66"/>
    </row>
    <row r="353" ht="15.7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row>
    <row r="354" ht="15.7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c r="AA354" s="66"/>
    </row>
    <row r="355" ht="15.7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c r="AA355" s="66"/>
    </row>
    <row r="356" ht="15.7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c r="AA356" s="66"/>
    </row>
    <row r="357" ht="15.7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c r="AA357" s="66"/>
    </row>
    <row r="358" ht="15.7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c r="AA358" s="66"/>
    </row>
    <row r="359" ht="15.7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row>
    <row r="360" ht="15.7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c r="AA360" s="66"/>
    </row>
    <row r="361" ht="15.7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c r="AA361" s="66"/>
    </row>
    <row r="362" ht="15.7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row>
    <row r="363" ht="15.7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c r="AA363" s="66"/>
    </row>
    <row r="364" ht="15.7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c r="AA364" s="66"/>
    </row>
    <row r="365" ht="15.7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c r="AA365" s="66"/>
    </row>
    <row r="366" ht="15.7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c r="AA366" s="66"/>
    </row>
    <row r="367" ht="15.7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c r="AA367" s="66"/>
    </row>
    <row r="368" ht="15.7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c r="AA368" s="66"/>
    </row>
    <row r="369" ht="15.7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c r="AA369" s="66"/>
    </row>
    <row r="370" ht="15.7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c r="AA370" s="66"/>
    </row>
    <row r="371" ht="15.7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c r="AA371" s="66"/>
    </row>
    <row r="372" ht="15.7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c r="AA372" s="66"/>
    </row>
    <row r="373" ht="15.7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c r="AA373" s="66"/>
    </row>
    <row r="374" ht="15.7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c r="AA374" s="66"/>
    </row>
    <row r="375" ht="15.7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c r="AA375" s="66"/>
    </row>
    <row r="376" ht="15.7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c r="AA376" s="66"/>
    </row>
    <row r="377" ht="15.7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c r="AA377" s="66"/>
    </row>
    <row r="378" ht="15.7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c r="AA378" s="66"/>
    </row>
    <row r="379" ht="15.7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c r="AA379" s="66"/>
    </row>
    <row r="380" ht="15.7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c r="AA380" s="66"/>
    </row>
    <row r="381" ht="15.7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c r="AA381" s="66"/>
    </row>
    <row r="382" ht="15.7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c r="AA382" s="66"/>
    </row>
    <row r="383" ht="15.7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c r="AA383" s="66"/>
    </row>
    <row r="384" ht="15.7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c r="AA384" s="66"/>
    </row>
    <row r="385" ht="15.7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c r="AA385" s="66"/>
    </row>
    <row r="386" ht="15.7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c r="AA386" s="66"/>
    </row>
    <row r="387" ht="15.7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c r="AA387" s="66"/>
    </row>
    <row r="388" ht="15.7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c r="AA388" s="66"/>
    </row>
    <row r="389" ht="15.7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c r="AA389" s="66"/>
    </row>
    <row r="390" ht="15.7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c r="AA390" s="66"/>
    </row>
    <row r="391" ht="15.7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c r="AA391" s="66"/>
    </row>
    <row r="392" ht="15.7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c r="AA392" s="66"/>
    </row>
    <row r="393" ht="15.7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c r="AA393" s="66"/>
    </row>
    <row r="394" ht="15.7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c r="AA394" s="66"/>
    </row>
    <row r="395" ht="15.7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c r="AA395" s="66"/>
    </row>
    <row r="396" ht="15.7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c r="AA396" s="66"/>
    </row>
    <row r="397" ht="15.7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c r="AA397" s="66"/>
    </row>
    <row r="398" ht="15.7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c r="AA398" s="66"/>
    </row>
    <row r="399" ht="15.7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c r="AA399" s="66"/>
    </row>
    <row r="400" ht="15.7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c r="AA400" s="66"/>
    </row>
    <row r="401" ht="15.7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c r="AA401" s="66"/>
    </row>
    <row r="402" ht="15.7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c r="AA402" s="66"/>
    </row>
    <row r="403" ht="15.7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c r="AA403" s="66"/>
    </row>
    <row r="404" ht="15.7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c r="AA404" s="66"/>
    </row>
    <row r="405" ht="15.7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c r="AA405" s="66"/>
    </row>
    <row r="406" ht="15.7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c r="AA406" s="66"/>
    </row>
    <row r="407" ht="15.7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c r="AA407" s="66"/>
    </row>
    <row r="408" ht="15.7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c r="AA408" s="66"/>
    </row>
    <row r="409" ht="15.7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c r="AA409" s="66"/>
    </row>
    <row r="410" ht="15.7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c r="AA410" s="66"/>
    </row>
    <row r="411" ht="15.7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c r="AA411" s="66"/>
    </row>
    <row r="412" ht="15.7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c r="AA412" s="66"/>
    </row>
    <row r="413" ht="15.7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c r="AA413" s="66"/>
    </row>
    <row r="414" ht="15.7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c r="AA414" s="66"/>
    </row>
    <row r="415" ht="15.7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c r="AA415" s="66"/>
    </row>
    <row r="416" ht="15.7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c r="AA416" s="66"/>
    </row>
    <row r="417" ht="15.7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c r="AA417" s="66"/>
    </row>
    <row r="418" ht="15.7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c r="AA418" s="66"/>
    </row>
    <row r="419" ht="15.7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c r="AA419" s="66"/>
    </row>
    <row r="420" ht="15.7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c r="AA420" s="66"/>
    </row>
    <row r="421" ht="15.7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c r="AA421" s="66"/>
    </row>
    <row r="422" ht="15.7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c r="AA422" s="66"/>
    </row>
    <row r="423" ht="15.7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c r="AA423" s="66"/>
    </row>
    <row r="424" ht="15.7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c r="AA424" s="66"/>
    </row>
    <row r="425" ht="15.7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c r="AA425" s="66"/>
    </row>
    <row r="426" ht="15.7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c r="AA426" s="66"/>
    </row>
    <row r="427" ht="15.7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c r="AA427" s="66"/>
    </row>
    <row r="428" ht="15.7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c r="AA428" s="66"/>
    </row>
    <row r="429" ht="15.7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c r="AA429" s="66"/>
    </row>
    <row r="430" ht="15.7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c r="AA430" s="66"/>
    </row>
    <row r="431" ht="15.7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c r="AA431" s="66"/>
    </row>
    <row r="432" ht="15.7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c r="AA432" s="66"/>
    </row>
    <row r="433" ht="15.7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c r="AA433" s="66"/>
    </row>
    <row r="434" ht="15.7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c r="AA434" s="66"/>
    </row>
    <row r="435" ht="15.7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c r="AA435" s="66"/>
    </row>
    <row r="436" ht="15.7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c r="AA436" s="66"/>
    </row>
    <row r="437" ht="15.7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c r="AA437" s="66"/>
    </row>
    <row r="438" ht="15.7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c r="AA438" s="66"/>
    </row>
    <row r="439" ht="15.7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c r="AA439" s="66"/>
    </row>
    <row r="440" ht="15.7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c r="AA440" s="66"/>
    </row>
    <row r="441" ht="15.7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c r="AA441" s="66"/>
    </row>
    <row r="442" ht="15.7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c r="AA442" s="66"/>
    </row>
    <row r="443" ht="15.7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c r="AA443" s="66"/>
    </row>
    <row r="444" ht="15.7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c r="AA444" s="66"/>
    </row>
    <row r="445" ht="15.7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c r="AA445" s="66"/>
    </row>
    <row r="446" ht="15.7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c r="AA446" s="66"/>
    </row>
    <row r="447" ht="15.7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c r="AA447" s="66"/>
    </row>
    <row r="448" ht="15.7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c r="AA448" s="66"/>
    </row>
    <row r="449" ht="15.7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c r="AA449" s="66"/>
    </row>
    <row r="450" ht="15.7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c r="AA450" s="66"/>
    </row>
    <row r="451" ht="15.7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c r="AA451" s="66"/>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autoFilter ref="$A$1:$O$1000"/>
  <dataValidations>
    <dataValidation type="list" allowBlank="1" sqref="A2:A251">
      <formula1>"FALSE,TRUE,ORDERED,PROXY,OUT OF DECK"</formula1>
    </dataValidation>
  </dataValidations>
  <printOptions/>
  <pageMargins bottom="1.0" footer="0.0" header="0.0" left="0.75" right="0.75" top="1.0"/>
  <pageSetup paperSize="9" orientation="portrait"/>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A6A6"/>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2.0"/>
    <col customWidth="1" min="2" max="2" width="40.0"/>
    <col customWidth="1" min="3" max="3" width="11.0"/>
    <col customWidth="1" min="4" max="4" width="14.0"/>
    <col customWidth="1" min="5" max="5" width="3.0"/>
    <col customWidth="1" min="6" max="6" width="70.0"/>
  </cols>
  <sheetData>
    <row r="1" ht="30.0" customHeight="1">
      <c r="A1" s="15" t="s">
        <v>570</v>
      </c>
      <c r="B1" s="15" t="s">
        <v>571</v>
      </c>
      <c r="C1" s="15" t="s">
        <v>572</v>
      </c>
      <c r="D1" s="15" t="s">
        <v>573</v>
      </c>
      <c r="E1" s="19"/>
      <c r="F1" s="15" t="s">
        <v>574</v>
      </c>
      <c r="G1" s="19"/>
      <c r="H1" s="19"/>
      <c r="I1" s="19"/>
      <c r="J1" s="19"/>
      <c r="K1" s="19"/>
      <c r="L1" s="19"/>
      <c r="M1" s="19"/>
      <c r="N1" s="19"/>
      <c r="O1" s="19"/>
      <c r="P1" s="19"/>
      <c r="Q1" s="19"/>
      <c r="R1" s="19"/>
      <c r="S1" s="19"/>
      <c r="T1" s="19"/>
      <c r="U1" s="19"/>
      <c r="V1" s="19"/>
      <c r="W1" s="19"/>
      <c r="X1" s="19"/>
      <c r="Y1" s="19"/>
      <c r="Z1" s="19"/>
    </row>
    <row r="2" ht="15.0" customHeight="1">
      <c r="A2" s="72" t="s">
        <v>457</v>
      </c>
      <c r="B2" s="72" t="s">
        <v>575</v>
      </c>
      <c r="C2" s="73">
        <f t="array" ref="C2">IF(OR(A2="",B2=""),999,IFERROR(IF(INDEX('Binder Setup'!$C$2:$C$401,MATCH(B2,'Binder Setup'!$B$2:$B$401,0))=TRUE(),999,MATCH(B2,'Binder Setup'!$B$2:$B$401,0)),999))</f>
        <v>2</v>
      </c>
      <c r="D2" s="74"/>
      <c r="E2" s="19"/>
      <c r="F2" s="75" t="s">
        <v>576</v>
      </c>
      <c r="G2" s="19"/>
      <c r="H2" s="19"/>
      <c r="I2" s="19"/>
      <c r="J2" s="19"/>
      <c r="K2" s="19"/>
      <c r="L2" s="19"/>
      <c r="M2" s="19"/>
      <c r="N2" s="19"/>
      <c r="O2" s="19"/>
      <c r="P2" s="19"/>
      <c r="Q2" s="19"/>
      <c r="R2" s="19"/>
      <c r="S2" s="19"/>
      <c r="T2" s="19"/>
      <c r="U2" s="19"/>
      <c r="V2" s="19"/>
      <c r="W2" s="19"/>
      <c r="X2" s="19"/>
      <c r="Y2" s="19"/>
      <c r="Z2" s="19"/>
    </row>
    <row r="3" ht="15.0" customHeight="1">
      <c r="A3" s="72" t="s">
        <v>59</v>
      </c>
      <c r="B3" s="72" t="s">
        <v>59</v>
      </c>
      <c r="C3" s="73">
        <f t="array" ref="C3">IF(OR(A3="",B3=""),999,IFERROR(IF(INDEX('Binder Setup'!$C$2:$C$401,MATCH(B3,'Binder Setup'!$B$2:$B$401,0))=TRUE(),999,MATCH(B3,'Binder Setup'!$B$2:$B$401,0)),999))</f>
        <v>1</v>
      </c>
      <c r="D3" s="76"/>
      <c r="E3" s="19"/>
      <c r="G3" s="19"/>
      <c r="H3" s="19"/>
      <c r="I3" s="19"/>
      <c r="J3" s="19"/>
      <c r="K3" s="19"/>
      <c r="L3" s="19"/>
      <c r="M3" s="19"/>
      <c r="N3" s="19"/>
      <c r="O3" s="19"/>
      <c r="P3" s="19"/>
      <c r="Q3" s="19"/>
      <c r="R3" s="19"/>
      <c r="S3" s="19"/>
      <c r="T3" s="19"/>
      <c r="U3" s="19"/>
      <c r="V3" s="19"/>
      <c r="W3" s="19"/>
      <c r="X3" s="19"/>
      <c r="Y3" s="19"/>
      <c r="Z3" s="19"/>
    </row>
    <row r="4" ht="15.0" customHeight="1">
      <c r="A4" s="72" t="s">
        <v>577</v>
      </c>
      <c r="B4" s="72" t="s">
        <v>59</v>
      </c>
      <c r="C4" s="73">
        <f t="array" ref="C4">IF(OR(A4="",B4=""),999,IFERROR(IF(INDEX('Binder Setup'!$C$2:$C$401,MATCH(B4,'Binder Setup'!$B$2:$B$401,0))=TRUE(),999,MATCH(B4,'Binder Setup'!$B$2:$B$401,0)),999))</f>
        <v>1</v>
      </c>
      <c r="D4" s="76"/>
      <c r="E4" s="19"/>
      <c r="G4" s="19"/>
      <c r="H4" s="19"/>
      <c r="I4" s="19"/>
      <c r="J4" s="19"/>
      <c r="K4" s="19"/>
      <c r="L4" s="19"/>
      <c r="M4" s="19"/>
      <c r="N4" s="19"/>
      <c r="O4" s="19"/>
      <c r="P4" s="19"/>
      <c r="Q4" s="19"/>
      <c r="R4" s="19"/>
      <c r="S4" s="19"/>
      <c r="T4" s="19"/>
      <c r="U4" s="19"/>
      <c r="V4" s="19"/>
      <c r="W4" s="19"/>
      <c r="X4" s="19"/>
      <c r="Y4" s="19"/>
      <c r="Z4" s="19"/>
    </row>
    <row r="5" ht="15.0" customHeight="1">
      <c r="A5" s="72" t="s">
        <v>578</v>
      </c>
      <c r="B5" s="72" t="s">
        <v>59</v>
      </c>
      <c r="C5" s="73">
        <f t="array" ref="C5">IF(OR(A5="",B5=""),999,IFERROR(IF(INDEX('Binder Setup'!$C$2:$C$401,MATCH(B5,'Binder Setup'!$B$2:$B$401,0))=TRUE(),999,MATCH(B5,'Binder Setup'!$B$2:$B$401,0)),999))</f>
        <v>1</v>
      </c>
      <c r="D5" s="76"/>
      <c r="E5" s="19"/>
      <c r="G5" s="19"/>
      <c r="H5" s="19"/>
      <c r="I5" s="19"/>
      <c r="J5" s="19"/>
      <c r="K5" s="19"/>
      <c r="L5" s="19"/>
      <c r="M5" s="19"/>
      <c r="N5" s="19"/>
      <c r="O5" s="19"/>
      <c r="P5" s="19"/>
      <c r="Q5" s="19"/>
      <c r="R5" s="19"/>
      <c r="S5" s="19"/>
      <c r="T5" s="19"/>
      <c r="U5" s="19"/>
      <c r="V5" s="19"/>
      <c r="W5" s="19"/>
      <c r="X5" s="19"/>
      <c r="Y5" s="19"/>
      <c r="Z5" s="19"/>
    </row>
    <row r="6" ht="15.0" customHeight="1">
      <c r="A6" s="77"/>
      <c r="B6" s="78"/>
      <c r="C6" s="73">
        <f t="array" ref="C6">IF(OR(A6="",B6=""),999,IFERROR(IF(INDEX('Binder Setup'!$C$2:$C$401,MATCH(B6,'Binder Setup'!$B$2:$B$401,0))=TRUE(),999,MATCH(B6,'Binder Setup'!$B$2:$B$401,0)),999))</f>
        <v>999</v>
      </c>
      <c r="D6" s="76"/>
      <c r="E6" s="19"/>
      <c r="G6" s="19"/>
      <c r="H6" s="19"/>
      <c r="I6" s="19"/>
      <c r="J6" s="19"/>
      <c r="K6" s="19"/>
      <c r="L6" s="19"/>
      <c r="M6" s="19"/>
      <c r="N6" s="19"/>
      <c r="O6" s="19"/>
      <c r="P6" s="19"/>
      <c r="Q6" s="19"/>
      <c r="R6" s="19"/>
      <c r="S6" s="19"/>
      <c r="T6" s="19"/>
      <c r="U6" s="19"/>
      <c r="V6" s="19"/>
      <c r="W6" s="19"/>
      <c r="X6" s="19"/>
      <c r="Y6" s="19"/>
      <c r="Z6" s="19"/>
    </row>
    <row r="7" ht="15.0" customHeight="1">
      <c r="A7" s="77"/>
      <c r="B7" s="78"/>
      <c r="C7" s="73">
        <f t="array" ref="C7">IF(OR(A7="",B7=""),999,IFERROR(IF(INDEX('Binder Setup'!$C$2:$C$401,MATCH(B7,'Binder Setup'!$B$2:$B$401,0))=TRUE(),999,MATCH(B7,'Binder Setup'!$B$2:$B$401,0)),999))</f>
        <v>999</v>
      </c>
      <c r="D7" s="76"/>
      <c r="E7" s="19"/>
      <c r="G7" s="19"/>
      <c r="H7" s="19"/>
      <c r="I7" s="19"/>
      <c r="J7" s="19"/>
      <c r="K7" s="19"/>
      <c r="L7" s="19"/>
      <c r="M7" s="19"/>
      <c r="N7" s="19"/>
      <c r="O7" s="19"/>
      <c r="P7" s="19"/>
      <c r="Q7" s="19"/>
      <c r="R7" s="19"/>
      <c r="S7" s="19"/>
      <c r="T7" s="19"/>
      <c r="U7" s="19"/>
      <c r="V7" s="19"/>
      <c r="W7" s="19"/>
      <c r="X7" s="19"/>
      <c r="Y7" s="19"/>
      <c r="Z7" s="19"/>
    </row>
    <row r="8" ht="15.0" customHeight="1">
      <c r="A8" s="79"/>
      <c r="B8" s="78"/>
      <c r="C8" s="73">
        <f t="array" ref="C8">IF(OR(A8="",B8=""),999,IFERROR(IF(INDEX('Binder Setup'!$C$2:$C$401,MATCH(B8,'Binder Setup'!$B$2:$B$401,0))=TRUE(),999,MATCH(B8,'Binder Setup'!$B$2:$B$401,0)),999))</f>
        <v>999</v>
      </c>
      <c r="D8" s="76"/>
      <c r="E8" s="19"/>
      <c r="G8" s="19"/>
      <c r="H8" s="19"/>
      <c r="I8" s="19"/>
      <c r="J8" s="19"/>
      <c r="K8" s="19"/>
      <c r="L8" s="19"/>
      <c r="M8" s="19"/>
      <c r="N8" s="19"/>
      <c r="O8" s="19"/>
      <c r="P8" s="19"/>
      <c r="Q8" s="19"/>
      <c r="R8" s="19"/>
      <c r="S8" s="19"/>
      <c r="T8" s="19"/>
      <c r="U8" s="19"/>
      <c r="V8" s="19"/>
      <c r="W8" s="19"/>
      <c r="X8" s="19"/>
      <c r="Y8" s="19"/>
      <c r="Z8" s="19"/>
    </row>
    <row r="9" ht="15.0" customHeight="1">
      <c r="A9" s="78"/>
      <c r="B9" s="78"/>
      <c r="C9" s="73">
        <f t="array" ref="C9">IF(OR(A9="",B9=""),999,IFERROR(IF(INDEX('Binder Setup'!$C$2:$C$401,MATCH(B9,'Binder Setup'!$B$2:$B$401,0))=TRUE(),999,MATCH(B9,'Binder Setup'!$B$2:$B$401,0)),999))</f>
        <v>999</v>
      </c>
      <c r="D9" s="73"/>
      <c r="E9" s="19"/>
      <c r="G9" s="19"/>
      <c r="H9" s="19"/>
      <c r="I9" s="19"/>
      <c r="J9" s="19"/>
      <c r="K9" s="19"/>
      <c r="L9" s="19"/>
      <c r="M9" s="19"/>
      <c r="N9" s="19"/>
      <c r="O9" s="19"/>
      <c r="P9" s="19"/>
      <c r="Q9" s="19"/>
      <c r="R9" s="19"/>
      <c r="S9" s="19"/>
      <c r="T9" s="19"/>
      <c r="U9" s="19"/>
      <c r="V9" s="19"/>
      <c r="W9" s="19"/>
      <c r="X9" s="19"/>
      <c r="Y9" s="19"/>
      <c r="Z9" s="19"/>
    </row>
    <row r="10" ht="15.0" customHeight="1">
      <c r="A10" s="78"/>
      <c r="B10" s="78"/>
      <c r="C10" s="73">
        <f t="array" ref="C10">IF(OR(A10="",B10=""),999,IFERROR(IF(INDEX('Binder Setup'!$C$2:$C$401,MATCH(B10,'Binder Setup'!$B$2:$B$401,0))=TRUE(),999,MATCH(B10,'Binder Setup'!$B$2:$B$401,0)),999))</f>
        <v>999</v>
      </c>
      <c r="D10" s="73"/>
      <c r="E10" s="19"/>
      <c r="G10" s="19"/>
      <c r="H10" s="19"/>
      <c r="I10" s="19"/>
      <c r="J10" s="19"/>
      <c r="K10" s="19"/>
      <c r="L10" s="19"/>
      <c r="M10" s="19"/>
      <c r="N10" s="19"/>
      <c r="O10" s="19"/>
      <c r="P10" s="19"/>
      <c r="Q10" s="19"/>
      <c r="R10" s="19"/>
      <c r="S10" s="19"/>
      <c r="T10" s="19"/>
      <c r="U10" s="19"/>
      <c r="V10" s="19"/>
      <c r="W10" s="19"/>
      <c r="X10" s="19"/>
      <c r="Y10" s="19"/>
      <c r="Z10" s="19"/>
    </row>
    <row r="11" ht="15.0" customHeight="1">
      <c r="A11" s="78"/>
      <c r="B11" s="78"/>
      <c r="C11" s="73">
        <f t="array" ref="C11">IF(OR(A11="",B11=""),999,IFERROR(IF(INDEX('Binder Setup'!$C$2:$C$401,MATCH(B11,'Binder Setup'!$B$2:$B$401,0))=TRUE(),999,MATCH(B11,'Binder Setup'!$B$2:$B$401,0)),999))</f>
        <v>999</v>
      </c>
      <c r="D11" s="73"/>
      <c r="E11" s="19"/>
      <c r="G11" s="19"/>
      <c r="H11" s="19"/>
      <c r="I11" s="19"/>
      <c r="J11" s="19"/>
      <c r="K11" s="19"/>
      <c r="L11" s="19"/>
      <c r="M11" s="19"/>
      <c r="N11" s="19"/>
      <c r="O11" s="19"/>
      <c r="P11" s="19"/>
      <c r="Q11" s="19"/>
      <c r="R11" s="19"/>
      <c r="S11" s="19"/>
      <c r="T11" s="19"/>
      <c r="U11" s="19"/>
      <c r="V11" s="19"/>
      <c r="W11" s="19"/>
      <c r="X11" s="19"/>
      <c r="Y11" s="19"/>
      <c r="Z11" s="19"/>
    </row>
    <row r="12" ht="15.0" customHeight="1">
      <c r="A12" s="78"/>
      <c r="B12" s="78"/>
      <c r="C12" s="73">
        <f t="array" ref="C12">IF(OR(A12="",B12=""),999,IFERROR(IF(INDEX('Binder Setup'!$C$2:$C$401,MATCH(B12,'Binder Setup'!$B$2:$B$401,0))=TRUE(),999,MATCH(B12,'Binder Setup'!$B$2:$B$401,0)),999))</f>
        <v>999</v>
      </c>
      <c r="D12" s="73"/>
      <c r="E12" s="19"/>
      <c r="G12" s="19"/>
      <c r="H12" s="19"/>
      <c r="I12" s="19"/>
      <c r="J12" s="19"/>
      <c r="K12" s="19"/>
      <c r="L12" s="19"/>
      <c r="M12" s="19"/>
      <c r="N12" s="19"/>
      <c r="O12" s="19"/>
      <c r="P12" s="19"/>
      <c r="Q12" s="19"/>
      <c r="R12" s="19"/>
      <c r="S12" s="19"/>
      <c r="T12" s="19"/>
      <c r="U12" s="19"/>
      <c r="V12" s="19"/>
      <c r="W12" s="19"/>
      <c r="X12" s="19"/>
      <c r="Y12" s="19"/>
      <c r="Z12" s="19"/>
    </row>
    <row r="13" ht="15.0" customHeight="1">
      <c r="A13" s="78"/>
      <c r="B13" s="78"/>
      <c r="C13" s="73">
        <f t="array" ref="C13">IF(OR(A13="",B13=""),999,IFERROR(IF(INDEX('Binder Setup'!$C$2:$C$401,MATCH(B13,'Binder Setup'!$B$2:$B$401,0))=TRUE(),999,MATCH(B13,'Binder Setup'!$B$2:$B$401,0)),999))</f>
        <v>999</v>
      </c>
      <c r="D13" s="73"/>
      <c r="E13" s="19"/>
      <c r="F13" s="19"/>
      <c r="G13" s="19"/>
      <c r="H13" s="19"/>
      <c r="I13" s="19"/>
      <c r="J13" s="19"/>
      <c r="K13" s="19"/>
      <c r="L13" s="19"/>
      <c r="M13" s="19"/>
      <c r="N13" s="19"/>
      <c r="O13" s="19"/>
      <c r="P13" s="19"/>
      <c r="Q13" s="19"/>
      <c r="R13" s="19"/>
      <c r="S13" s="19"/>
      <c r="T13" s="19"/>
      <c r="U13" s="19"/>
      <c r="V13" s="19"/>
      <c r="W13" s="19"/>
      <c r="X13" s="19"/>
      <c r="Y13" s="19"/>
      <c r="Z13" s="19"/>
    </row>
    <row r="14" ht="15.0" customHeight="1">
      <c r="A14" s="78"/>
      <c r="B14" s="78"/>
      <c r="C14" s="73">
        <f t="array" ref="C14">IF(OR(A14="",B14=""),999,IFERROR(IF(INDEX('Binder Setup'!$C$2:$C$401,MATCH(B14,'Binder Setup'!$B$2:$B$401,0))=TRUE(),999,MATCH(B14,'Binder Setup'!$B$2:$B$401,0)),999))</f>
        <v>999</v>
      </c>
      <c r="D14" s="73"/>
      <c r="E14" s="19"/>
      <c r="F14" s="19"/>
      <c r="G14" s="19"/>
      <c r="H14" s="19"/>
      <c r="I14" s="19"/>
      <c r="J14" s="19"/>
      <c r="K14" s="19"/>
      <c r="L14" s="19"/>
      <c r="M14" s="19"/>
      <c r="N14" s="19"/>
      <c r="O14" s="19"/>
      <c r="P14" s="19"/>
      <c r="Q14" s="19"/>
      <c r="R14" s="19"/>
      <c r="S14" s="19"/>
      <c r="T14" s="19"/>
      <c r="U14" s="19"/>
      <c r="V14" s="19"/>
      <c r="W14" s="19"/>
      <c r="X14" s="19"/>
      <c r="Y14" s="19"/>
      <c r="Z14" s="19"/>
    </row>
    <row r="15" ht="15.0" customHeight="1">
      <c r="A15" s="78"/>
      <c r="B15" s="78"/>
      <c r="C15" s="73">
        <f t="array" ref="C15">IF(OR(A15="",B15=""),999,IFERROR(IF(INDEX('Binder Setup'!$C$2:$C$401,MATCH(B15,'Binder Setup'!$B$2:$B$401,0))=TRUE(),999,MATCH(B15,'Binder Setup'!$B$2:$B$401,0)),999))</f>
        <v>999</v>
      </c>
      <c r="D15" s="73"/>
      <c r="E15" s="19"/>
      <c r="F15" s="19"/>
      <c r="G15" s="19"/>
      <c r="H15" s="19"/>
      <c r="I15" s="19"/>
      <c r="J15" s="19"/>
      <c r="K15" s="19"/>
      <c r="L15" s="19"/>
      <c r="M15" s="19"/>
      <c r="N15" s="19"/>
      <c r="O15" s="19"/>
      <c r="P15" s="19"/>
      <c r="Q15" s="19"/>
      <c r="R15" s="19"/>
      <c r="S15" s="19"/>
      <c r="T15" s="19"/>
      <c r="U15" s="19"/>
      <c r="V15" s="19"/>
      <c r="W15" s="19"/>
      <c r="X15" s="19"/>
      <c r="Y15" s="19"/>
      <c r="Z15" s="19"/>
    </row>
    <row r="16" ht="15.0" customHeight="1">
      <c r="A16" s="78"/>
      <c r="B16" s="78"/>
      <c r="C16" s="73">
        <f t="array" ref="C16">IF(OR(A16="",B16=""),999,IFERROR(IF(INDEX('Binder Setup'!$C$2:$C$401,MATCH(B16,'Binder Setup'!$B$2:$B$401,0))=TRUE(),999,MATCH(B16,'Binder Setup'!$B$2:$B$401,0)),999))</f>
        <v>999</v>
      </c>
      <c r="D16" s="73"/>
      <c r="E16" s="19"/>
      <c r="F16" s="19"/>
      <c r="G16" s="19"/>
      <c r="H16" s="19"/>
      <c r="I16" s="19"/>
      <c r="J16" s="19"/>
      <c r="K16" s="19"/>
      <c r="L16" s="19"/>
      <c r="M16" s="19"/>
      <c r="N16" s="19"/>
      <c r="O16" s="19"/>
      <c r="P16" s="19"/>
      <c r="Q16" s="19"/>
      <c r="R16" s="19"/>
      <c r="S16" s="19"/>
      <c r="T16" s="19"/>
      <c r="U16" s="19"/>
      <c r="V16" s="19"/>
      <c r="W16" s="19"/>
      <c r="X16" s="19"/>
      <c r="Y16" s="19"/>
      <c r="Z16" s="19"/>
    </row>
    <row r="17" ht="15.0" customHeight="1">
      <c r="A17" s="78"/>
      <c r="B17" s="78"/>
      <c r="C17" s="73">
        <f t="array" ref="C17">IF(OR(A17="",B17=""),999,IFERROR(IF(INDEX('Binder Setup'!$C$2:$C$401,MATCH(B17,'Binder Setup'!$B$2:$B$401,0))=TRUE(),999,MATCH(B17,'Binder Setup'!$B$2:$B$401,0)),999))</f>
        <v>999</v>
      </c>
      <c r="D17" s="73"/>
      <c r="E17" s="19"/>
      <c r="F17" s="19"/>
      <c r="G17" s="19"/>
      <c r="H17" s="19"/>
      <c r="I17" s="19"/>
      <c r="J17" s="19"/>
      <c r="K17" s="19"/>
      <c r="L17" s="19"/>
      <c r="M17" s="19"/>
      <c r="N17" s="19"/>
      <c r="O17" s="19"/>
      <c r="P17" s="19"/>
      <c r="Q17" s="19"/>
      <c r="R17" s="19"/>
      <c r="S17" s="19"/>
      <c r="T17" s="19"/>
      <c r="U17" s="19"/>
      <c r="V17" s="19"/>
      <c r="W17" s="19"/>
      <c r="X17" s="19"/>
      <c r="Y17" s="19"/>
      <c r="Z17" s="19"/>
    </row>
    <row r="18" ht="15.0" customHeight="1">
      <c r="A18" s="78"/>
      <c r="B18" s="78"/>
      <c r="C18" s="73">
        <f t="array" ref="C18">IF(OR(A18="",B18=""),999,IFERROR(IF(INDEX('Binder Setup'!$C$2:$C$401,MATCH(B18,'Binder Setup'!$B$2:$B$401,0))=TRUE(),999,MATCH(B18,'Binder Setup'!$B$2:$B$401,0)),999))</f>
        <v>999</v>
      </c>
      <c r="D18" s="73"/>
      <c r="E18" s="19"/>
      <c r="F18" s="19"/>
      <c r="G18" s="19"/>
      <c r="H18" s="19"/>
      <c r="I18" s="19"/>
      <c r="J18" s="19"/>
      <c r="K18" s="19"/>
      <c r="L18" s="19"/>
      <c r="M18" s="19"/>
      <c r="N18" s="19"/>
      <c r="O18" s="19"/>
      <c r="P18" s="19"/>
      <c r="Q18" s="19"/>
      <c r="R18" s="19"/>
      <c r="S18" s="19"/>
      <c r="T18" s="19"/>
      <c r="U18" s="19"/>
      <c r="V18" s="19"/>
      <c r="W18" s="19"/>
      <c r="X18" s="19"/>
      <c r="Y18" s="19"/>
      <c r="Z18" s="19"/>
    </row>
    <row r="19" ht="15.0" customHeight="1">
      <c r="A19" s="78"/>
      <c r="B19" s="78"/>
      <c r="C19" s="73">
        <f t="array" ref="C19">IF(OR(A19="",B19=""),999,IFERROR(IF(INDEX('Binder Setup'!$C$2:$C$401,MATCH(B19,'Binder Setup'!$B$2:$B$401,0))=TRUE(),999,MATCH(B19,'Binder Setup'!$B$2:$B$401,0)),999))</f>
        <v>999</v>
      </c>
      <c r="D19" s="73"/>
      <c r="E19" s="19"/>
      <c r="F19" s="19"/>
      <c r="G19" s="19"/>
      <c r="H19" s="19"/>
      <c r="I19" s="19"/>
      <c r="J19" s="19"/>
      <c r="K19" s="19"/>
      <c r="L19" s="19"/>
      <c r="M19" s="19"/>
      <c r="N19" s="19"/>
      <c r="O19" s="19"/>
      <c r="P19" s="19"/>
      <c r="Q19" s="19"/>
      <c r="R19" s="19"/>
      <c r="S19" s="19"/>
      <c r="T19" s="19"/>
      <c r="U19" s="19"/>
      <c r="V19" s="19"/>
      <c r="W19" s="19"/>
      <c r="X19" s="19"/>
      <c r="Y19" s="19"/>
      <c r="Z19" s="19"/>
    </row>
    <row r="20" ht="15.0" customHeight="1">
      <c r="A20" s="78"/>
      <c r="B20" s="78"/>
      <c r="C20" s="73">
        <f t="array" ref="C20">IF(OR(A20="",B20=""),999,IFERROR(IF(INDEX('Binder Setup'!$C$2:$C$401,MATCH(B20,'Binder Setup'!$B$2:$B$401,0))=TRUE(),999,MATCH(B20,'Binder Setup'!$B$2:$B$401,0)),999))</f>
        <v>999</v>
      </c>
      <c r="D20" s="73"/>
      <c r="E20" s="19"/>
      <c r="F20" s="19"/>
      <c r="G20" s="19"/>
      <c r="H20" s="19"/>
      <c r="I20" s="19"/>
      <c r="J20" s="19"/>
      <c r="K20" s="19"/>
      <c r="L20" s="19"/>
      <c r="M20" s="19"/>
      <c r="N20" s="19"/>
      <c r="O20" s="19"/>
      <c r="P20" s="19"/>
      <c r="Q20" s="19"/>
      <c r="R20" s="19"/>
      <c r="S20" s="19"/>
      <c r="T20" s="19"/>
      <c r="U20" s="19"/>
      <c r="V20" s="19"/>
      <c r="W20" s="19"/>
      <c r="X20" s="19"/>
      <c r="Y20" s="19"/>
      <c r="Z20" s="19"/>
    </row>
    <row r="21" ht="15.0" customHeight="1">
      <c r="A21" s="78"/>
      <c r="B21" s="78"/>
      <c r="C21" s="73">
        <f t="array" ref="C21">IF(OR(A21="",B21=""),999,IFERROR(IF(INDEX('Binder Setup'!$C$2:$C$401,MATCH(B21,'Binder Setup'!$B$2:$B$401,0))=TRUE(),999,MATCH(B21,'Binder Setup'!$B$2:$B$401,0)),999))</f>
        <v>999</v>
      </c>
      <c r="D21" s="73"/>
      <c r="E21" s="19"/>
      <c r="F21" s="19"/>
      <c r="G21" s="19"/>
      <c r="H21" s="19"/>
      <c r="I21" s="19"/>
      <c r="J21" s="19"/>
      <c r="K21" s="19"/>
      <c r="L21" s="19"/>
      <c r="M21" s="19"/>
      <c r="N21" s="19"/>
      <c r="O21" s="19"/>
      <c r="P21" s="19"/>
      <c r="Q21" s="19"/>
      <c r="R21" s="19"/>
      <c r="S21" s="19"/>
      <c r="T21" s="19"/>
      <c r="U21" s="19"/>
      <c r="V21" s="19"/>
      <c r="W21" s="19"/>
      <c r="X21" s="19"/>
      <c r="Y21" s="19"/>
      <c r="Z21" s="19"/>
    </row>
    <row r="22" ht="15.0" customHeight="1">
      <c r="A22" s="78"/>
      <c r="B22" s="78"/>
      <c r="C22" s="73">
        <f t="array" ref="C22">IF(OR(A22="",B22=""),999,IFERROR(IF(INDEX('Binder Setup'!$C$2:$C$401,MATCH(B22,'Binder Setup'!$B$2:$B$401,0))=TRUE(),999,MATCH(B22,'Binder Setup'!$B$2:$B$401,0)),999))</f>
        <v>999</v>
      </c>
      <c r="D22" s="73"/>
      <c r="E22" s="19"/>
      <c r="F22" s="19"/>
      <c r="G22" s="19"/>
      <c r="H22" s="19"/>
      <c r="I22" s="19"/>
      <c r="J22" s="19"/>
      <c r="K22" s="19"/>
      <c r="L22" s="19"/>
      <c r="M22" s="19"/>
      <c r="N22" s="19"/>
      <c r="O22" s="19"/>
      <c r="P22" s="19"/>
      <c r="Q22" s="19"/>
      <c r="R22" s="19"/>
      <c r="S22" s="19"/>
      <c r="T22" s="19"/>
      <c r="U22" s="19"/>
      <c r="V22" s="19"/>
      <c r="W22" s="19"/>
      <c r="X22" s="19"/>
      <c r="Y22" s="19"/>
      <c r="Z22" s="19"/>
    </row>
    <row r="23" ht="15.0" customHeight="1">
      <c r="A23" s="78"/>
      <c r="B23" s="78"/>
      <c r="C23" s="73">
        <f t="array" ref="C23">IF(OR(A23="",B23=""),999,IFERROR(IF(INDEX('Binder Setup'!$C$2:$C$401,MATCH(B23,'Binder Setup'!$B$2:$B$401,0))=TRUE(),999,MATCH(B23,'Binder Setup'!$B$2:$B$401,0)),999))</f>
        <v>999</v>
      </c>
      <c r="D23" s="73"/>
      <c r="E23" s="19"/>
      <c r="F23" s="19"/>
      <c r="G23" s="19"/>
      <c r="H23" s="19"/>
      <c r="I23" s="19"/>
      <c r="J23" s="19"/>
      <c r="K23" s="19"/>
      <c r="L23" s="19"/>
      <c r="M23" s="19"/>
      <c r="N23" s="19"/>
      <c r="O23" s="19"/>
      <c r="P23" s="19"/>
      <c r="Q23" s="19"/>
      <c r="R23" s="19"/>
      <c r="S23" s="19"/>
      <c r="T23" s="19"/>
      <c r="U23" s="19"/>
      <c r="V23" s="19"/>
      <c r="W23" s="19"/>
      <c r="X23" s="19"/>
      <c r="Y23" s="19"/>
      <c r="Z23" s="19"/>
    </row>
    <row r="24" ht="15.0" customHeight="1">
      <c r="A24" s="78"/>
      <c r="B24" s="78"/>
      <c r="C24" s="73">
        <f t="array" ref="C24">IF(OR(A24="",B24=""),999,IFERROR(IF(INDEX('Binder Setup'!$C$2:$C$401,MATCH(B24,'Binder Setup'!$B$2:$B$401,0))=TRUE(),999,MATCH(B24,'Binder Setup'!$B$2:$B$401,0)),999))</f>
        <v>999</v>
      </c>
      <c r="D24" s="73"/>
      <c r="E24" s="19"/>
      <c r="F24" s="19"/>
      <c r="G24" s="19"/>
      <c r="H24" s="19"/>
      <c r="I24" s="19"/>
      <c r="J24" s="19"/>
      <c r="K24" s="19"/>
      <c r="L24" s="19"/>
      <c r="M24" s="19"/>
      <c r="N24" s="19"/>
      <c r="O24" s="19"/>
      <c r="P24" s="19"/>
      <c r="Q24" s="19"/>
      <c r="R24" s="19"/>
      <c r="S24" s="19"/>
      <c r="T24" s="19"/>
      <c r="U24" s="19"/>
      <c r="V24" s="19"/>
      <c r="W24" s="19"/>
      <c r="X24" s="19"/>
      <c r="Y24" s="19"/>
      <c r="Z24" s="19"/>
    </row>
    <row r="25" ht="15.0" customHeight="1">
      <c r="A25" s="78"/>
      <c r="B25" s="78"/>
      <c r="C25" s="73">
        <f t="array" ref="C25">IF(OR(A25="",B25=""),999,IFERROR(IF(INDEX('Binder Setup'!$C$2:$C$401,MATCH(B25,'Binder Setup'!$B$2:$B$401,0))=TRUE(),999,MATCH(B25,'Binder Setup'!$B$2:$B$401,0)),999))</f>
        <v>999</v>
      </c>
      <c r="D25" s="73"/>
      <c r="E25" s="19"/>
      <c r="F25" s="19"/>
      <c r="G25" s="19"/>
      <c r="H25" s="19"/>
      <c r="I25" s="19"/>
      <c r="J25" s="19"/>
      <c r="K25" s="19"/>
      <c r="L25" s="19"/>
      <c r="M25" s="19"/>
      <c r="N25" s="19"/>
      <c r="O25" s="19"/>
      <c r="P25" s="19"/>
      <c r="Q25" s="19"/>
      <c r="R25" s="19"/>
      <c r="S25" s="19"/>
      <c r="T25" s="19"/>
      <c r="U25" s="19"/>
      <c r="V25" s="19"/>
      <c r="W25" s="19"/>
      <c r="X25" s="19"/>
      <c r="Y25" s="19"/>
      <c r="Z25" s="19"/>
    </row>
    <row r="26" ht="15.0" customHeight="1">
      <c r="A26" s="78"/>
      <c r="B26" s="78"/>
      <c r="C26" s="73">
        <f t="array" ref="C26">IF(OR(A26="",B26=""),999,IFERROR(IF(INDEX('Binder Setup'!$C$2:$C$401,MATCH(B26,'Binder Setup'!$B$2:$B$401,0))=TRUE(),999,MATCH(B26,'Binder Setup'!$B$2:$B$401,0)),999))</f>
        <v>999</v>
      </c>
      <c r="D26" s="73"/>
      <c r="E26" s="19"/>
      <c r="F26" s="19"/>
      <c r="G26" s="19"/>
      <c r="H26" s="19"/>
      <c r="I26" s="19"/>
      <c r="J26" s="19"/>
      <c r="K26" s="19"/>
      <c r="L26" s="19"/>
      <c r="M26" s="19"/>
      <c r="N26" s="19"/>
      <c r="O26" s="19"/>
      <c r="P26" s="19"/>
      <c r="Q26" s="19"/>
      <c r="R26" s="19"/>
      <c r="S26" s="19"/>
      <c r="T26" s="19"/>
      <c r="U26" s="19"/>
      <c r="V26" s="19"/>
      <c r="W26" s="19"/>
      <c r="X26" s="19"/>
      <c r="Y26" s="19"/>
      <c r="Z26" s="19"/>
    </row>
    <row r="27" ht="15.0" customHeight="1">
      <c r="A27" s="78"/>
      <c r="B27" s="78"/>
      <c r="C27" s="73">
        <f t="array" ref="C27">IF(OR(A27="",B27=""),999,IFERROR(IF(INDEX('Binder Setup'!$C$2:$C$401,MATCH(B27,'Binder Setup'!$B$2:$B$401,0))=TRUE(),999,MATCH(B27,'Binder Setup'!$B$2:$B$401,0)),999))</f>
        <v>999</v>
      </c>
      <c r="D27" s="73"/>
      <c r="E27" s="19"/>
      <c r="F27" s="19"/>
      <c r="G27" s="19"/>
      <c r="H27" s="19"/>
      <c r="I27" s="19"/>
      <c r="J27" s="19"/>
      <c r="K27" s="19"/>
      <c r="L27" s="19"/>
      <c r="M27" s="19"/>
      <c r="N27" s="19"/>
      <c r="O27" s="19"/>
      <c r="P27" s="19"/>
      <c r="Q27" s="19"/>
      <c r="R27" s="19"/>
      <c r="S27" s="19"/>
      <c r="T27" s="19"/>
      <c r="U27" s="19"/>
      <c r="V27" s="19"/>
      <c r="W27" s="19"/>
      <c r="X27" s="19"/>
      <c r="Y27" s="19"/>
      <c r="Z27" s="19"/>
    </row>
    <row r="28" ht="15.0" customHeight="1">
      <c r="A28" s="78"/>
      <c r="B28" s="78"/>
      <c r="C28" s="73">
        <f t="array" ref="C28">IF(OR(A28="",B28=""),999,IFERROR(IF(INDEX('Binder Setup'!$C$2:$C$401,MATCH(B28,'Binder Setup'!$B$2:$B$401,0))=TRUE(),999,MATCH(B28,'Binder Setup'!$B$2:$B$401,0)),999))</f>
        <v>999</v>
      </c>
      <c r="D28" s="73"/>
      <c r="E28" s="19"/>
      <c r="F28" s="19"/>
      <c r="G28" s="19"/>
      <c r="H28" s="19"/>
      <c r="I28" s="19"/>
      <c r="J28" s="19"/>
      <c r="K28" s="19"/>
      <c r="L28" s="19"/>
      <c r="M28" s="19"/>
      <c r="N28" s="19"/>
      <c r="O28" s="19"/>
      <c r="P28" s="19"/>
      <c r="Q28" s="19"/>
      <c r="R28" s="19"/>
      <c r="S28" s="19"/>
      <c r="T28" s="19"/>
      <c r="U28" s="19"/>
      <c r="V28" s="19"/>
      <c r="W28" s="19"/>
      <c r="X28" s="19"/>
      <c r="Y28" s="19"/>
      <c r="Z28" s="19"/>
    </row>
    <row r="29" ht="15.0" customHeight="1">
      <c r="A29" s="78"/>
      <c r="B29" s="78"/>
      <c r="C29" s="73">
        <f t="array" ref="C29">IF(OR(A29="",B29=""),999,IFERROR(IF(INDEX('Binder Setup'!$C$2:$C$401,MATCH(B29,'Binder Setup'!$B$2:$B$401,0))=TRUE(),999,MATCH(B29,'Binder Setup'!$B$2:$B$401,0)),999))</f>
        <v>999</v>
      </c>
      <c r="D29" s="73"/>
      <c r="E29" s="19"/>
      <c r="F29" s="19"/>
      <c r="G29" s="19"/>
      <c r="H29" s="19"/>
      <c r="I29" s="19"/>
      <c r="J29" s="19"/>
      <c r="K29" s="19"/>
      <c r="L29" s="19"/>
      <c r="M29" s="19"/>
      <c r="N29" s="19"/>
      <c r="O29" s="19"/>
      <c r="P29" s="19"/>
      <c r="Q29" s="19"/>
      <c r="R29" s="19"/>
      <c r="S29" s="19"/>
      <c r="T29" s="19"/>
      <c r="U29" s="19"/>
      <c r="V29" s="19"/>
      <c r="W29" s="19"/>
      <c r="X29" s="19"/>
      <c r="Y29" s="19"/>
      <c r="Z29" s="19"/>
    </row>
    <row r="30" ht="15.0" customHeight="1">
      <c r="A30" s="78"/>
      <c r="B30" s="78"/>
      <c r="C30" s="73">
        <f t="array" ref="C30">IF(OR(A30="",B30=""),999,IFERROR(IF(INDEX('Binder Setup'!$C$2:$C$401,MATCH(B30,'Binder Setup'!$B$2:$B$401,0))=TRUE(),999,MATCH(B30,'Binder Setup'!$B$2:$B$401,0)),999))</f>
        <v>999</v>
      </c>
      <c r="D30" s="73"/>
      <c r="E30" s="19"/>
      <c r="F30" s="19"/>
      <c r="G30" s="19"/>
      <c r="H30" s="19"/>
      <c r="I30" s="19"/>
      <c r="J30" s="19"/>
      <c r="K30" s="19"/>
      <c r="L30" s="19"/>
      <c r="M30" s="19"/>
      <c r="N30" s="19"/>
      <c r="O30" s="19"/>
      <c r="P30" s="19"/>
      <c r="Q30" s="19"/>
      <c r="R30" s="19"/>
      <c r="S30" s="19"/>
      <c r="T30" s="19"/>
      <c r="U30" s="19"/>
      <c r="V30" s="19"/>
      <c r="W30" s="19"/>
      <c r="X30" s="19"/>
      <c r="Y30" s="19"/>
      <c r="Z30" s="19"/>
    </row>
    <row r="31" ht="15.0" customHeight="1">
      <c r="A31" s="78"/>
      <c r="B31" s="78"/>
      <c r="C31" s="73">
        <f t="array" ref="C31">IF(OR(A31="",B31=""),999,IFERROR(IF(INDEX('Binder Setup'!$C$2:$C$401,MATCH(B31,'Binder Setup'!$B$2:$B$401,0))=TRUE(),999,MATCH(B31,'Binder Setup'!$B$2:$B$401,0)),999))</f>
        <v>999</v>
      </c>
      <c r="D31" s="73"/>
      <c r="E31" s="19"/>
      <c r="F31" s="19"/>
      <c r="G31" s="19"/>
      <c r="H31" s="19"/>
      <c r="I31" s="19"/>
      <c r="J31" s="19"/>
      <c r="K31" s="19"/>
      <c r="L31" s="19"/>
      <c r="M31" s="19"/>
      <c r="N31" s="19"/>
      <c r="O31" s="19"/>
      <c r="P31" s="19"/>
      <c r="Q31" s="19"/>
      <c r="R31" s="19"/>
      <c r="S31" s="19"/>
      <c r="T31" s="19"/>
      <c r="U31" s="19"/>
      <c r="V31" s="19"/>
      <c r="W31" s="19"/>
      <c r="X31" s="19"/>
      <c r="Y31" s="19"/>
      <c r="Z31" s="19"/>
    </row>
    <row r="32" ht="15.0" customHeight="1">
      <c r="A32" s="78"/>
      <c r="B32" s="78"/>
      <c r="C32" s="73">
        <f t="array" ref="C32">IF(OR(A32="",B32=""),999,IFERROR(IF(INDEX('Binder Setup'!$C$2:$C$401,MATCH(B32,'Binder Setup'!$B$2:$B$401,0))=TRUE(),999,MATCH(B32,'Binder Setup'!$B$2:$B$401,0)),999))</f>
        <v>999</v>
      </c>
      <c r="D32" s="73"/>
      <c r="E32" s="19"/>
      <c r="F32" s="19"/>
      <c r="G32" s="19"/>
      <c r="H32" s="19"/>
      <c r="I32" s="19"/>
      <c r="J32" s="19"/>
      <c r="K32" s="19"/>
      <c r="L32" s="19"/>
      <c r="M32" s="19"/>
      <c r="N32" s="19"/>
      <c r="O32" s="19"/>
      <c r="P32" s="19"/>
      <c r="Q32" s="19"/>
      <c r="R32" s="19"/>
      <c r="S32" s="19"/>
      <c r="T32" s="19"/>
      <c r="U32" s="19"/>
      <c r="V32" s="19"/>
      <c r="W32" s="19"/>
      <c r="X32" s="19"/>
      <c r="Y32" s="19"/>
      <c r="Z32" s="19"/>
    </row>
    <row r="33" ht="15.0" customHeight="1">
      <c r="A33" s="78"/>
      <c r="B33" s="78"/>
      <c r="C33" s="73">
        <f t="array" ref="C33">IF(OR(A33="",B33=""),999,IFERROR(IF(INDEX('Binder Setup'!$C$2:$C$401,MATCH(B33,'Binder Setup'!$B$2:$B$401,0))=TRUE(),999,MATCH(B33,'Binder Setup'!$B$2:$B$401,0)),999))</f>
        <v>999</v>
      </c>
      <c r="D33" s="73"/>
      <c r="E33" s="19"/>
      <c r="F33" s="19"/>
      <c r="G33" s="19"/>
      <c r="H33" s="19"/>
      <c r="I33" s="19"/>
      <c r="J33" s="19"/>
      <c r="K33" s="19"/>
      <c r="L33" s="19"/>
      <c r="M33" s="19"/>
      <c r="N33" s="19"/>
      <c r="O33" s="19"/>
      <c r="P33" s="19"/>
      <c r="Q33" s="19"/>
      <c r="R33" s="19"/>
      <c r="S33" s="19"/>
      <c r="T33" s="19"/>
      <c r="U33" s="19"/>
      <c r="V33" s="19"/>
      <c r="W33" s="19"/>
      <c r="X33" s="19"/>
      <c r="Y33" s="19"/>
      <c r="Z33" s="19"/>
    </row>
    <row r="34" ht="15.0" customHeight="1">
      <c r="A34" s="78"/>
      <c r="B34" s="78"/>
      <c r="C34" s="73">
        <f t="array" ref="C34">IF(OR(A34="",B34=""),999,IFERROR(IF(INDEX('Binder Setup'!$C$2:$C$401,MATCH(B34,'Binder Setup'!$B$2:$B$401,0))=TRUE(),999,MATCH(B34,'Binder Setup'!$B$2:$B$401,0)),999))</f>
        <v>999</v>
      </c>
      <c r="D34" s="73"/>
      <c r="E34" s="19"/>
      <c r="F34" s="19"/>
      <c r="G34" s="19"/>
      <c r="H34" s="19"/>
      <c r="I34" s="19"/>
      <c r="J34" s="19"/>
      <c r="K34" s="19"/>
      <c r="L34" s="19"/>
      <c r="M34" s="19"/>
      <c r="N34" s="19"/>
      <c r="O34" s="19"/>
      <c r="P34" s="19"/>
      <c r="Q34" s="19"/>
      <c r="R34" s="19"/>
      <c r="S34" s="19"/>
      <c r="T34" s="19"/>
      <c r="U34" s="19"/>
      <c r="V34" s="19"/>
      <c r="W34" s="19"/>
      <c r="X34" s="19"/>
      <c r="Y34" s="19"/>
      <c r="Z34" s="19"/>
    </row>
    <row r="35" ht="15.0" customHeight="1">
      <c r="A35" s="78"/>
      <c r="B35" s="78"/>
      <c r="C35" s="73">
        <f t="array" ref="C35">IF(OR(A35="",B35=""),999,IFERROR(IF(INDEX('Binder Setup'!$C$2:$C$401,MATCH(B35,'Binder Setup'!$B$2:$B$401,0))=TRUE(),999,MATCH(B35,'Binder Setup'!$B$2:$B$401,0)),999))</f>
        <v>999</v>
      </c>
      <c r="D35" s="73"/>
      <c r="E35" s="19"/>
      <c r="F35" s="19"/>
      <c r="G35" s="19"/>
      <c r="H35" s="19"/>
      <c r="I35" s="19"/>
      <c r="J35" s="19"/>
      <c r="K35" s="19"/>
      <c r="L35" s="19"/>
      <c r="M35" s="19"/>
      <c r="N35" s="19"/>
      <c r="O35" s="19"/>
      <c r="P35" s="19"/>
      <c r="Q35" s="19"/>
      <c r="R35" s="19"/>
      <c r="S35" s="19"/>
      <c r="T35" s="19"/>
      <c r="U35" s="19"/>
      <c r="V35" s="19"/>
      <c r="W35" s="19"/>
      <c r="X35" s="19"/>
      <c r="Y35" s="19"/>
      <c r="Z35" s="19"/>
    </row>
    <row r="36" ht="15.0" customHeight="1">
      <c r="A36" s="78"/>
      <c r="B36" s="78"/>
      <c r="C36" s="73">
        <f t="array" ref="C36">IF(OR(A36="",B36=""),999,IFERROR(IF(INDEX('Binder Setup'!$C$2:$C$401,MATCH(B36,'Binder Setup'!$B$2:$B$401,0))=TRUE(),999,MATCH(B36,'Binder Setup'!$B$2:$B$401,0)),999))</f>
        <v>999</v>
      </c>
      <c r="D36" s="73"/>
      <c r="E36" s="19"/>
      <c r="F36" s="19"/>
      <c r="G36" s="19"/>
      <c r="H36" s="19"/>
      <c r="I36" s="19"/>
      <c r="J36" s="19"/>
      <c r="K36" s="19"/>
      <c r="L36" s="19"/>
      <c r="M36" s="19"/>
      <c r="N36" s="19"/>
      <c r="O36" s="19"/>
      <c r="P36" s="19"/>
      <c r="Q36" s="19"/>
      <c r="R36" s="19"/>
      <c r="S36" s="19"/>
      <c r="T36" s="19"/>
      <c r="U36" s="19"/>
      <c r="V36" s="19"/>
      <c r="W36" s="19"/>
      <c r="X36" s="19"/>
      <c r="Y36" s="19"/>
      <c r="Z36" s="19"/>
    </row>
    <row r="37" ht="15.0" customHeight="1">
      <c r="A37" s="78"/>
      <c r="B37" s="78"/>
      <c r="C37" s="73">
        <f t="array" ref="C37">IF(OR(A37="",B37=""),999,IFERROR(IF(INDEX('Binder Setup'!$C$2:$C$401,MATCH(B37,'Binder Setup'!$B$2:$B$401,0))=TRUE(),999,MATCH(B37,'Binder Setup'!$B$2:$B$401,0)),999))</f>
        <v>999</v>
      </c>
      <c r="D37" s="73"/>
      <c r="E37" s="19"/>
      <c r="F37" s="19"/>
      <c r="G37" s="19"/>
      <c r="H37" s="19"/>
      <c r="I37" s="19"/>
      <c r="J37" s="19"/>
      <c r="K37" s="19"/>
      <c r="L37" s="19"/>
      <c r="M37" s="19"/>
      <c r="N37" s="19"/>
      <c r="O37" s="19"/>
      <c r="P37" s="19"/>
      <c r="Q37" s="19"/>
      <c r="R37" s="19"/>
      <c r="S37" s="19"/>
      <c r="T37" s="19"/>
      <c r="U37" s="19"/>
      <c r="V37" s="19"/>
      <c r="W37" s="19"/>
      <c r="X37" s="19"/>
      <c r="Y37" s="19"/>
      <c r="Z37" s="19"/>
    </row>
    <row r="38" ht="15.0" customHeight="1">
      <c r="A38" s="78"/>
      <c r="B38" s="78"/>
      <c r="C38" s="73">
        <f t="array" ref="C38">IF(OR(A38="",B38=""),999,IFERROR(IF(INDEX('Binder Setup'!$C$2:$C$401,MATCH(B38,'Binder Setup'!$B$2:$B$401,0))=TRUE(),999,MATCH(B38,'Binder Setup'!$B$2:$B$401,0)),999))</f>
        <v>999</v>
      </c>
      <c r="D38" s="73"/>
      <c r="E38" s="19"/>
      <c r="F38" s="19"/>
      <c r="G38" s="19"/>
      <c r="H38" s="19"/>
      <c r="I38" s="19"/>
      <c r="J38" s="19"/>
      <c r="K38" s="19"/>
      <c r="L38" s="19"/>
      <c r="M38" s="19"/>
      <c r="N38" s="19"/>
      <c r="O38" s="19"/>
      <c r="P38" s="19"/>
      <c r="Q38" s="19"/>
      <c r="R38" s="19"/>
      <c r="S38" s="19"/>
      <c r="T38" s="19"/>
      <c r="U38" s="19"/>
      <c r="V38" s="19"/>
      <c r="W38" s="19"/>
      <c r="X38" s="19"/>
      <c r="Y38" s="19"/>
      <c r="Z38" s="19"/>
    </row>
    <row r="39" ht="15.0" customHeight="1">
      <c r="A39" s="78"/>
      <c r="B39" s="78"/>
      <c r="C39" s="73">
        <f t="array" ref="C39">IF(OR(A39="",B39=""),999,IFERROR(IF(INDEX('Binder Setup'!$C$2:$C$401,MATCH(B39,'Binder Setup'!$B$2:$B$401,0))=TRUE(),999,MATCH(B39,'Binder Setup'!$B$2:$B$401,0)),999))</f>
        <v>999</v>
      </c>
      <c r="D39" s="73"/>
      <c r="E39" s="19"/>
      <c r="F39" s="19"/>
      <c r="G39" s="19"/>
      <c r="H39" s="19"/>
      <c r="I39" s="19"/>
      <c r="J39" s="19"/>
      <c r="K39" s="19"/>
      <c r="L39" s="19"/>
      <c r="M39" s="19"/>
      <c r="N39" s="19"/>
      <c r="O39" s="19"/>
      <c r="P39" s="19"/>
      <c r="Q39" s="19"/>
      <c r="R39" s="19"/>
      <c r="S39" s="19"/>
      <c r="T39" s="19"/>
      <c r="U39" s="19"/>
      <c r="V39" s="19"/>
      <c r="W39" s="19"/>
      <c r="X39" s="19"/>
      <c r="Y39" s="19"/>
      <c r="Z39" s="19"/>
    </row>
    <row r="40" ht="15.0" customHeight="1">
      <c r="A40" s="78"/>
      <c r="B40" s="78"/>
      <c r="C40" s="73">
        <f t="array" ref="C40">IF(OR(A40="",B40=""),999,IFERROR(IF(INDEX('Binder Setup'!$C$2:$C$401,MATCH(B40,'Binder Setup'!$B$2:$B$401,0))=TRUE(),999,MATCH(B40,'Binder Setup'!$B$2:$B$401,0)),999))</f>
        <v>999</v>
      </c>
      <c r="D40" s="73"/>
      <c r="E40" s="19"/>
      <c r="F40" s="19"/>
      <c r="G40" s="19"/>
      <c r="H40" s="19"/>
      <c r="I40" s="19"/>
      <c r="J40" s="19"/>
      <c r="K40" s="19"/>
      <c r="L40" s="19"/>
      <c r="M40" s="19"/>
      <c r="N40" s="19"/>
      <c r="O40" s="19"/>
      <c r="P40" s="19"/>
      <c r="Q40" s="19"/>
      <c r="R40" s="19"/>
      <c r="S40" s="19"/>
      <c r="T40" s="19"/>
      <c r="U40" s="19"/>
      <c r="V40" s="19"/>
      <c r="W40" s="19"/>
      <c r="X40" s="19"/>
      <c r="Y40" s="19"/>
      <c r="Z40" s="19"/>
    </row>
    <row r="41" ht="15.0" customHeight="1">
      <c r="A41" s="78"/>
      <c r="B41" s="78"/>
      <c r="C41" s="73">
        <f t="array" ref="C41">IF(OR(A41="",B41=""),999,IFERROR(IF(INDEX('Binder Setup'!$C$2:$C$401,MATCH(B41,'Binder Setup'!$B$2:$B$401,0))=TRUE(),999,MATCH(B41,'Binder Setup'!$B$2:$B$401,0)),999))</f>
        <v>999</v>
      </c>
      <c r="D41" s="73"/>
      <c r="E41" s="19"/>
      <c r="F41" s="19"/>
      <c r="G41" s="19"/>
      <c r="H41" s="19"/>
      <c r="I41" s="19"/>
      <c r="J41" s="19"/>
      <c r="K41" s="19"/>
      <c r="L41" s="19"/>
      <c r="M41" s="19"/>
      <c r="N41" s="19"/>
      <c r="O41" s="19"/>
      <c r="P41" s="19"/>
      <c r="Q41" s="19"/>
      <c r="R41" s="19"/>
      <c r="S41" s="19"/>
      <c r="T41" s="19"/>
      <c r="U41" s="19"/>
      <c r="V41" s="19"/>
      <c r="W41" s="19"/>
      <c r="X41" s="19"/>
      <c r="Y41" s="19"/>
      <c r="Z41" s="19"/>
    </row>
    <row r="42" ht="15.0" customHeight="1">
      <c r="A42" s="78"/>
      <c r="B42" s="78"/>
      <c r="C42" s="73">
        <f t="array" ref="C42">IF(OR(A42="",B42=""),999,IFERROR(IF(INDEX('Binder Setup'!$C$2:$C$401,MATCH(B42,'Binder Setup'!$B$2:$B$401,0))=TRUE(),999,MATCH(B42,'Binder Setup'!$B$2:$B$401,0)),999))</f>
        <v>999</v>
      </c>
      <c r="D42" s="73"/>
      <c r="E42" s="19"/>
      <c r="F42" s="19"/>
      <c r="G42" s="19"/>
      <c r="H42" s="19"/>
      <c r="I42" s="19"/>
      <c r="J42" s="19"/>
      <c r="K42" s="19"/>
      <c r="L42" s="19"/>
      <c r="M42" s="19"/>
      <c r="N42" s="19"/>
      <c r="O42" s="19"/>
      <c r="P42" s="19"/>
      <c r="Q42" s="19"/>
      <c r="R42" s="19"/>
      <c r="S42" s="19"/>
      <c r="T42" s="19"/>
      <c r="U42" s="19"/>
      <c r="V42" s="19"/>
      <c r="W42" s="19"/>
      <c r="X42" s="19"/>
      <c r="Y42" s="19"/>
      <c r="Z42" s="19"/>
    </row>
    <row r="43" ht="15.0" customHeight="1">
      <c r="A43" s="78"/>
      <c r="B43" s="78"/>
      <c r="C43" s="73">
        <f t="array" ref="C43">IF(OR(A43="",B43=""),999,IFERROR(IF(INDEX('Binder Setup'!$C$2:$C$401,MATCH(B43,'Binder Setup'!$B$2:$B$401,0))=TRUE(),999,MATCH(B43,'Binder Setup'!$B$2:$B$401,0)),999))</f>
        <v>999</v>
      </c>
      <c r="D43" s="73"/>
      <c r="E43" s="19"/>
      <c r="F43" s="19"/>
      <c r="G43" s="19"/>
      <c r="H43" s="19"/>
      <c r="I43" s="19"/>
      <c r="J43" s="19"/>
      <c r="K43" s="19"/>
      <c r="L43" s="19"/>
      <c r="M43" s="19"/>
      <c r="N43" s="19"/>
      <c r="O43" s="19"/>
      <c r="P43" s="19"/>
      <c r="Q43" s="19"/>
      <c r="R43" s="19"/>
      <c r="S43" s="19"/>
      <c r="T43" s="19"/>
      <c r="U43" s="19"/>
      <c r="V43" s="19"/>
      <c r="W43" s="19"/>
      <c r="X43" s="19"/>
      <c r="Y43" s="19"/>
      <c r="Z43" s="19"/>
    </row>
    <row r="44" ht="15.0" customHeight="1">
      <c r="A44" s="78"/>
      <c r="B44" s="78"/>
      <c r="C44" s="73">
        <f t="array" ref="C44">IF(OR(A44="",B44=""),999,IFERROR(IF(INDEX('Binder Setup'!$C$2:$C$401,MATCH(B44,'Binder Setup'!$B$2:$B$401,0))=TRUE(),999,MATCH(B44,'Binder Setup'!$B$2:$B$401,0)),999))</f>
        <v>999</v>
      </c>
      <c r="D44" s="73"/>
      <c r="E44" s="19"/>
      <c r="F44" s="19"/>
      <c r="G44" s="19"/>
      <c r="H44" s="19"/>
      <c r="I44" s="19"/>
      <c r="J44" s="19"/>
      <c r="K44" s="19"/>
      <c r="L44" s="19"/>
      <c r="M44" s="19"/>
      <c r="N44" s="19"/>
      <c r="O44" s="19"/>
      <c r="P44" s="19"/>
      <c r="Q44" s="19"/>
      <c r="R44" s="19"/>
      <c r="S44" s="19"/>
      <c r="T44" s="19"/>
      <c r="U44" s="19"/>
      <c r="V44" s="19"/>
      <c r="W44" s="19"/>
      <c r="X44" s="19"/>
      <c r="Y44" s="19"/>
      <c r="Z44" s="19"/>
    </row>
    <row r="45" ht="15.0" customHeight="1">
      <c r="A45" s="78"/>
      <c r="B45" s="78"/>
      <c r="C45" s="73">
        <f t="array" ref="C45">IF(OR(A45="",B45=""),999,IFERROR(IF(INDEX('Binder Setup'!$C$2:$C$401,MATCH(B45,'Binder Setup'!$B$2:$B$401,0))=TRUE(),999,MATCH(B45,'Binder Setup'!$B$2:$B$401,0)),999))</f>
        <v>999</v>
      </c>
      <c r="D45" s="73"/>
      <c r="E45" s="19"/>
      <c r="F45" s="19"/>
      <c r="G45" s="19"/>
      <c r="H45" s="19"/>
      <c r="I45" s="19"/>
      <c r="J45" s="19"/>
      <c r="K45" s="19"/>
      <c r="L45" s="19"/>
      <c r="M45" s="19"/>
      <c r="N45" s="19"/>
      <c r="O45" s="19"/>
      <c r="P45" s="19"/>
      <c r="Q45" s="19"/>
      <c r="R45" s="19"/>
      <c r="S45" s="19"/>
      <c r="T45" s="19"/>
      <c r="U45" s="19"/>
      <c r="V45" s="19"/>
      <c r="W45" s="19"/>
      <c r="X45" s="19"/>
      <c r="Y45" s="19"/>
      <c r="Z45" s="19"/>
    </row>
    <row r="46" ht="15.0" customHeight="1">
      <c r="A46" s="78"/>
      <c r="B46" s="78"/>
      <c r="C46" s="73">
        <f t="array" ref="C46">IF(OR(A46="",B46=""),999,IFERROR(IF(INDEX('Binder Setup'!$C$2:$C$401,MATCH(B46,'Binder Setup'!$B$2:$B$401,0))=TRUE(),999,MATCH(B46,'Binder Setup'!$B$2:$B$401,0)),999))</f>
        <v>999</v>
      </c>
      <c r="D46" s="73"/>
      <c r="E46" s="19"/>
      <c r="F46" s="19"/>
      <c r="G46" s="19"/>
      <c r="H46" s="19"/>
      <c r="I46" s="19"/>
      <c r="J46" s="19"/>
      <c r="K46" s="19"/>
      <c r="L46" s="19"/>
      <c r="M46" s="19"/>
      <c r="N46" s="19"/>
      <c r="O46" s="19"/>
      <c r="P46" s="19"/>
      <c r="Q46" s="19"/>
      <c r="R46" s="19"/>
      <c r="S46" s="19"/>
      <c r="T46" s="19"/>
      <c r="U46" s="19"/>
      <c r="V46" s="19"/>
      <c r="W46" s="19"/>
      <c r="X46" s="19"/>
      <c r="Y46" s="19"/>
      <c r="Z46" s="19"/>
    </row>
    <row r="47" ht="15.0" customHeight="1">
      <c r="A47" s="78"/>
      <c r="B47" s="78"/>
      <c r="C47" s="73">
        <f t="array" ref="C47">IF(OR(A47="",B47=""),999,IFERROR(IF(INDEX('Binder Setup'!$C$2:$C$401,MATCH(B47,'Binder Setup'!$B$2:$B$401,0))=TRUE(),999,MATCH(B47,'Binder Setup'!$B$2:$B$401,0)),999))</f>
        <v>999</v>
      </c>
      <c r="D47" s="73"/>
      <c r="E47" s="19"/>
      <c r="F47" s="19"/>
      <c r="G47" s="19"/>
      <c r="H47" s="19"/>
      <c r="I47" s="19"/>
      <c r="J47" s="19"/>
      <c r="K47" s="19"/>
      <c r="L47" s="19"/>
      <c r="M47" s="19"/>
      <c r="N47" s="19"/>
      <c r="O47" s="19"/>
      <c r="P47" s="19"/>
      <c r="Q47" s="19"/>
      <c r="R47" s="19"/>
      <c r="S47" s="19"/>
      <c r="T47" s="19"/>
      <c r="U47" s="19"/>
      <c r="V47" s="19"/>
      <c r="W47" s="19"/>
      <c r="X47" s="19"/>
      <c r="Y47" s="19"/>
      <c r="Z47" s="19"/>
    </row>
    <row r="48" ht="15.0" customHeight="1">
      <c r="A48" s="78"/>
      <c r="B48" s="78"/>
      <c r="C48" s="73">
        <f t="array" ref="C48">IF(OR(A48="",B48=""),999,IFERROR(IF(INDEX('Binder Setup'!$C$2:$C$401,MATCH(B48,'Binder Setup'!$B$2:$B$401,0))=TRUE(),999,MATCH(B48,'Binder Setup'!$B$2:$B$401,0)),999))</f>
        <v>999</v>
      </c>
      <c r="D48" s="73"/>
      <c r="E48" s="19"/>
      <c r="F48" s="19"/>
      <c r="G48" s="19"/>
      <c r="H48" s="19"/>
      <c r="I48" s="19"/>
      <c r="J48" s="19"/>
      <c r="K48" s="19"/>
      <c r="L48" s="19"/>
      <c r="M48" s="19"/>
      <c r="N48" s="19"/>
      <c r="O48" s="19"/>
      <c r="P48" s="19"/>
      <c r="Q48" s="19"/>
      <c r="R48" s="19"/>
      <c r="S48" s="19"/>
      <c r="T48" s="19"/>
      <c r="U48" s="19"/>
      <c r="V48" s="19"/>
      <c r="W48" s="19"/>
      <c r="X48" s="19"/>
      <c r="Y48" s="19"/>
      <c r="Z48" s="19"/>
    </row>
    <row r="49" ht="15.0" customHeight="1">
      <c r="A49" s="78"/>
      <c r="B49" s="78"/>
      <c r="C49" s="73">
        <f t="array" ref="C49">IF(OR(A49="",B49=""),999,IFERROR(IF(INDEX('Binder Setup'!$C$2:$C$401,MATCH(B49,'Binder Setup'!$B$2:$B$401,0))=TRUE(),999,MATCH(B49,'Binder Setup'!$B$2:$B$401,0)),999))</f>
        <v>999</v>
      </c>
      <c r="D49" s="73"/>
      <c r="E49" s="19"/>
      <c r="F49" s="19"/>
      <c r="G49" s="19"/>
      <c r="H49" s="19"/>
      <c r="I49" s="19"/>
      <c r="J49" s="19"/>
      <c r="K49" s="19"/>
      <c r="L49" s="19"/>
      <c r="M49" s="19"/>
      <c r="N49" s="19"/>
      <c r="O49" s="19"/>
      <c r="P49" s="19"/>
      <c r="Q49" s="19"/>
      <c r="R49" s="19"/>
      <c r="S49" s="19"/>
      <c r="T49" s="19"/>
      <c r="U49" s="19"/>
      <c r="V49" s="19"/>
      <c r="W49" s="19"/>
      <c r="X49" s="19"/>
      <c r="Y49" s="19"/>
      <c r="Z49" s="19"/>
    </row>
    <row r="50" ht="15.0" customHeight="1">
      <c r="A50" s="78"/>
      <c r="B50" s="78"/>
      <c r="C50" s="73">
        <f t="array" ref="C50">IF(OR(A50="",B50=""),999,IFERROR(IF(INDEX('Binder Setup'!$C$2:$C$401,MATCH(B50,'Binder Setup'!$B$2:$B$401,0))=TRUE(),999,MATCH(B50,'Binder Setup'!$B$2:$B$401,0)),999))</f>
        <v>999</v>
      </c>
      <c r="D50" s="73"/>
      <c r="E50" s="19"/>
      <c r="F50" s="19"/>
      <c r="G50" s="19"/>
      <c r="H50" s="19"/>
      <c r="I50" s="19"/>
      <c r="J50" s="19"/>
      <c r="K50" s="19"/>
      <c r="L50" s="19"/>
      <c r="M50" s="19"/>
      <c r="N50" s="19"/>
      <c r="O50" s="19"/>
      <c r="P50" s="19"/>
      <c r="Q50" s="19"/>
      <c r="R50" s="19"/>
      <c r="S50" s="19"/>
      <c r="T50" s="19"/>
      <c r="U50" s="19"/>
      <c r="V50" s="19"/>
      <c r="W50" s="19"/>
      <c r="X50" s="19"/>
      <c r="Y50" s="19"/>
      <c r="Z50" s="19"/>
    </row>
    <row r="51" ht="15.0" customHeight="1">
      <c r="A51" s="78"/>
      <c r="B51" s="78"/>
      <c r="C51" s="73">
        <f t="array" ref="C51">IF(OR(A51="",B51=""),999,IFERROR(IF(INDEX('Binder Setup'!$C$2:$C$401,MATCH(B51,'Binder Setup'!$B$2:$B$401,0))=TRUE(),999,MATCH(B51,'Binder Setup'!$B$2:$B$401,0)),999))</f>
        <v>999</v>
      </c>
      <c r="D51" s="73"/>
      <c r="E51" s="19"/>
      <c r="F51" s="19"/>
      <c r="G51" s="19"/>
      <c r="H51" s="19"/>
      <c r="I51" s="19"/>
      <c r="J51" s="19"/>
      <c r="K51" s="19"/>
      <c r="L51" s="19"/>
      <c r="M51" s="19"/>
      <c r="N51" s="19"/>
      <c r="O51" s="19"/>
      <c r="P51" s="19"/>
      <c r="Q51" s="19"/>
      <c r="R51" s="19"/>
      <c r="S51" s="19"/>
      <c r="T51" s="19"/>
      <c r="U51" s="19"/>
      <c r="V51" s="19"/>
      <c r="W51" s="19"/>
      <c r="X51" s="19"/>
      <c r="Y51" s="19"/>
      <c r="Z51" s="19"/>
    </row>
    <row r="52" ht="15.0" customHeight="1">
      <c r="A52" s="78"/>
      <c r="B52" s="78"/>
      <c r="C52" s="73">
        <f t="array" ref="C52">IF(OR(A52="",B52=""),999,IFERROR(IF(INDEX('Binder Setup'!$C$2:$C$401,MATCH(B52,'Binder Setup'!$B$2:$B$401,0))=TRUE(),999,MATCH(B52,'Binder Setup'!$B$2:$B$401,0)),999))</f>
        <v>999</v>
      </c>
      <c r="D52" s="73"/>
      <c r="E52" s="19"/>
      <c r="F52" s="19"/>
      <c r="G52" s="19"/>
      <c r="H52" s="19"/>
      <c r="I52" s="19"/>
      <c r="J52" s="19"/>
      <c r="K52" s="19"/>
      <c r="L52" s="19"/>
      <c r="M52" s="19"/>
      <c r="N52" s="19"/>
      <c r="O52" s="19"/>
      <c r="P52" s="19"/>
      <c r="Q52" s="19"/>
      <c r="R52" s="19"/>
      <c r="S52" s="19"/>
      <c r="T52" s="19"/>
      <c r="U52" s="19"/>
      <c r="V52" s="19"/>
      <c r="W52" s="19"/>
      <c r="X52" s="19"/>
      <c r="Y52" s="19"/>
      <c r="Z52" s="19"/>
    </row>
    <row r="53" ht="15.0" customHeight="1">
      <c r="A53" s="78"/>
      <c r="B53" s="78"/>
      <c r="C53" s="73">
        <f t="array" ref="C53">IF(OR(A53="",B53=""),999,IFERROR(IF(INDEX('Binder Setup'!$C$2:$C$401,MATCH(B53,'Binder Setup'!$B$2:$B$401,0))=TRUE(),999,MATCH(B53,'Binder Setup'!$B$2:$B$401,0)),999))</f>
        <v>999</v>
      </c>
      <c r="D53" s="73"/>
      <c r="E53" s="19"/>
      <c r="F53" s="19"/>
      <c r="G53" s="19"/>
      <c r="H53" s="19"/>
      <c r="I53" s="19"/>
      <c r="J53" s="19"/>
      <c r="K53" s="19"/>
      <c r="L53" s="19"/>
      <c r="M53" s="19"/>
      <c r="N53" s="19"/>
      <c r="O53" s="19"/>
      <c r="P53" s="19"/>
      <c r="Q53" s="19"/>
      <c r="R53" s="19"/>
      <c r="S53" s="19"/>
      <c r="T53" s="19"/>
      <c r="U53" s="19"/>
      <c r="V53" s="19"/>
      <c r="W53" s="19"/>
      <c r="X53" s="19"/>
      <c r="Y53" s="19"/>
      <c r="Z53" s="19"/>
    </row>
    <row r="54" ht="15.0" customHeight="1">
      <c r="A54" s="78"/>
      <c r="B54" s="78"/>
      <c r="C54" s="73">
        <f t="array" ref="C54">IF(OR(A54="",B54=""),999,IFERROR(IF(INDEX('Binder Setup'!$C$2:$C$401,MATCH(B54,'Binder Setup'!$B$2:$B$401,0))=TRUE(),999,MATCH(B54,'Binder Setup'!$B$2:$B$401,0)),999))</f>
        <v>999</v>
      </c>
      <c r="D54" s="73"/>
      <c r="E54" s="19"/>
      <c r="F54" s="19"/>
      <c r="G54" s="19"/>
      <c r="H54" s="19"/>
      <c r="I54" s="19"/>
      <c r="J54" s="19"/>
      <c r="K54" s="19"/>
      <c r="L54" s="19"/>
      <c r="M54" s="19"/>
      <c r="N54" s="19"/>
      <c r="O54" s="19"/>
      <c r="P54" s="19"/>
      <c r="Q54" s="19"/>
      <c r="R54" s="19"/>
      <c r="S54" s="19"/>
      <c r="T54" s="19"/>
      <c r="U54" s="19"/>
      <c r="V54" s="19"/>
      <c r="W54" s="19"/>
      <c r="X54" s="19"/>
      <c r="Y54" s="19"/>
      <c r="Z54" s="19"/>
    </row>
    <row r="55" ht="15.0" customHeight="1">
      <c r="A55" s="78"/>
      <c r="B55" s="78"/>
      <c r="C55" s="73">
        <f t="array" ref="C55">IF(OR(A55="",B55=""),999,IFERROR(IF(INDEX('Binder Setup'!$C$2:$C$401,MATCH(B55,'Binder Setup'!$B$2:$B$401,0))=TRUE(),999,MATCH(B55,'Binder Setup'!$B$2:$B$401,0)),999))</f>
        <v>999</v>
      </c>
      <c r="D55" s="73"/>
      <c r="E55" s="19"/>
      <c r="F55" s="19"/>
      <c r="G55" s="19"/>
      <c r="H55" s="19"/>
      <c r="I55" s="19"/>
      <c r="J55" s="19"/>
      <c r="K55" s="19"/>
      <c r="L55" s="19"/>
      <c r="M55" s="19"/>
      <c r="N55" s="19"/>
      <c r="O55" s="19"/>
      <c r="P55" s="19"/>
      <c r="Q55" s="19"/>
      <c r="R55" s="19"/>
      <c r="S55" s="19"/>
      <c r="T55" s="19"/>
      <c r="U55" s="19"/>
      <c r="V55" s="19"/>
      <c r="W55" s="19"/>
      <c r="X55" s="19"/>
      <c r="Y55" s="19"/>
      <c r="Z55" s="19"/>
    </row>
    <row r="56" ht="15.0" customHeight="1">
      <c r="A56" s="78"/>
      <c r="B56" s="78"/>
      <c r="C56" s="73">
        <f t="array" ref="C56">IF(OR(A56="",B56=""),999,IFERROR(IF(INDEX('Binder Setup'!$C$2:$C$401,MATCH(B56,'Binder Setup'!$B$2:$B$401,0))=TRUE(),999,MATCH(B56,'Binder Setup'!$B$2:$B$401,0)),999))</f>
        <v>999</v>
      </c>
      <c r="D56" s="73"/>
      <c r="E56" s="19"/>
      <c r="F56" s="19"/>
      <c r="G56" s="19"/>
      <c r="H56" s="19"/>
      <c r="I56" s="19"/>
      <c r="J56" s="19"/>
      <c r="K56" s="19"/>
      <c r="L56" s="19"/>
      <c r="M56" s="19"/>
      <c r="N56" s="19"/>
      <c r="O56" s="19"/>
      <c r="P56" s="19"/>
      <c r="Q56" s="19"/>
      <c r="R56" s="19"/>
      <c r="S56" s="19"/>
      <c r="T56" s="19"/>
      <c r="U56" s="19"/>
      <c r="V56" s="19"/>
      <c r="W56" s="19"/>
      <c r="X56" s="19"/>
      <c r="Y56" s="19"/>
      <c r="Z56" s="19"/>
    </row>
    <row r="57" ht="15.0" customHeight="1">
      <c r="A57" s="78"/>
      <c r="B57" s="78"/>
      <c r="C57" s="73">
        <f t="array" ref="C57">IF(OR(A57="",B57=""),999,IFERROR(IF(INDEX('Binder Setup'!$C$2:$C$401,MATCH(B57,'Binder Setup'!$B$2:$B$401,0))=TRUE(),999,MATCH(B57,'Binder Setup'!$B$2:$B$401,0)),999))</f>
        <v>999</v>
      </c>
      <c r="D57" s="73"/>
      <c r="E57" s="19"/>
      <c r="F57" s="19"/>
      <c r="G57" s="19"/>
      <c r="H57" s="19"/>
      <c r="I57" s="19"/>
      <c r="J57" s="19"/>
      <c r="K57" s="19"/>
      <c r="L57" s="19"/>
      <c r="M57" s="19"/>
      <c r="N57" s="19"/>
      <c r="O57" s="19"/>
      <c r="P57" s="19"/>
      <c r="Q57" s="19"/>
      <c r="R57" s="19"/>
      <c r="S57" s="19"/>
      <c r="T57" s="19"/>
      <c r="U57" s="19"/>
      <c r="V57" s="19"/>
      <c r="W57" s="19"/>
      <c r="X57" s="19"/>
      <c r="Y57" s="19"/>
      <c r="Z57" s="19"/>
    </row>
    <row r="58" ht="15.0" customHeight="1">
      <c r="A58" s="78"/>
      <c r="B58" s="78"/>
      <c r="C58" s="73">
        <f t="array" ref="C58">IF(OR(A58="",B58=""),999,IFERROR(IF(INDEX('Binder Setup'!$C$2:$C$401,MATCH(B58,'Binder Setup'!$B$2:$B$401,0))=TRUE(),999,MATCH(B58,'Binder Setup'!$B$2:$B$401,0)),999))</f>
        <v>999</v>
      </c>
      <c r="D58" s="73"/>
      <c r="E58" s="19"/>
      <c r="F58" s="19"/>
      <c r="G58" s="19"/>
      <c r="H58" s="19"/>
      <c r="I58" s="19"/>
      <c r="J58" s="19"/>
      <c r="K58" s="19"/>
      <c r="L58" s="19"/>
      <c r="M58" s="19"/>
      <c r="N58" s="19"/>
      <c r="O58" s="19"/>
      <c r="P58" s="19"/>
      <c r="Q58" s="19"/>
      <c r="R58" s="19"/>
      <c r="S58" s="19"/>
      <c r="T58" s="19"/>
      <c r="U58" s="19"/>
      <c r="V58" s="19"/>
      <c r="W58" s="19"/>
      <c r="X58" s="19"/>
      <c r="Y58" s="19"/>
      <c r="Z58" s="19"/>
    </row>
    <row r="59" ht="15.0" customHeight="1">
      <c r="A59" s="78"/>
      <c r="B59" s="78"/>
      <c r="C59" s="73">
        <f t="array" ref="C59">IF(OR(A59="",B59=""),999,IFERROR(IF(INDEX('Binder Setup'!$C$2:$C$401,MATCH(B59,'Binder Setup'!$B$2:$B$401,0))=TRUE(),999,MATCH(B59,'Binder Setup'!$B$2:$B$401,0)),999))</f>
        <v>999</v>
      </c>
      <c r="D59" s="73"/>
      <c r="E59" s="19"/>
      <c r="F59" s="19"/>
      <c r="G59" s="19"/>
      <c r="H59" s="19"/>
      <c r="I59" s="19"/>
      <c r="J59" s="19"/>
      <c r="K59" s="19"/>
      <c r="L59" s="19"/>
      <c r="M59" s="19"/>
      <c r="N59" s="19"/>
      <c r="O59" s="19"/>
      <c r="P59" s="19"/>
      <c r="Q59" s="19"/>
      <c r="R59" s="19"/>
      <c r="S59" s="19"/>
      <c r="T59" s="19"/>
      <c r="U59" s="19"/>
      <c r="V59" s="19"/>
      <c r="W59" s="19"/>
      <c r="X59" s="19"/>
      <c r="Y59" s="19"/>
      <c r="Z59" s="19"/>
    </row>
    <row r="60" ht="15.0" customHeight="1">
      <c r="A60" s="78"/>
      <c r="B60" s="78"/>
      <c r="C60" s="73">
        <f t="array" ref="C60">IF(OR(A60="",B60=""),999,IFERROR(IF(INDEX('Binder Setup'!$C$2:$C$401,MATCH(B60,'Binder Setup'!$B$2:$B$401,0))=TRUE(),999,MATCH(B60,'Binder Setup'!$B$2:$B$401,0)),999))</f>
        <v>999</v>
      </c>
      <c r="D60" s="73"/>
      <c r="E60" s="19"/>
      <c r="F60" s="19"/>
      <c r="G60" s="19"/>
      <c r="H60" s="19"/>
      <c r="I60" s="19"/>
      <c r="J60" s="19"/>
      <c r="K60" s="19"/>
      <c r="L60" s="19"/>
      <c r="M60" s="19"/>
      <c r="N60" s="19"/>
      <c r="O60" s="19"/>
      <c r="P60" s="19"/>
      <c r="Q60" s="19"/>
      <c r="R60" s="19"/>
      <c r="S60" s="19"/>
      <c r="T60" s="19"/>
      <c r="U60" s="19"/>
      <c r="V60" s="19"/>
      <c r="W60" s="19"/>
      <c r="X60" s="19"/>
      <c r="Y60" s="19"/>
      <c r="Z60" s="19"/>
    </row>
    <row r="61" ht="15.75" customHeight="1">
      <c r="A61" s="19"/>
      <c r="B61" s="19"/>
      <c r="C61" s="73">
        <f t="array" ref="C61">IF(OR(A61="",B61=""),999,IFERROR(IF(INDEX('Binder Setup'!$C$2:$C$401,MATCH(B61,'Binder Setup'!$B$2:$B$401,0))=TRUE(),999,MATCH(B61,'Binder Setup'!$B$2:$B$401,0)),999))</f>
        <v>999</v>
      </c>
      <c r="D61" s="73"/>
      <c r="E61" s="19"/>
      <c r="F61" s="19"/>
      <c r="G61" s="19"/>
      <c r="H61" s="19"/>
      <c r="I61" s="19"/>
      <c r="J61" s="19"/>
      <c r="K61" s="19"/>
      <c r="L61" s="19"/>
      <c r="M61" s="19"/>
      <c r="N61" s="19"/>
      <c r="O61" s="19"/>
      <c r="P61" s="19"/>
      <c r="Q61" s="19"/>
      <c r="R61" s="19"/>
      <c r="S61" s="19"/>
      <c r="T61" s="19"/>
      <c r="U61" s="19"/>
      <c r="V61" s="19"/>
      <c r="W61" s="19"/>
      <c r="X61" s="19"/>
      <c r="Y61" s="19"/>
      <c r="Z61" s="19"/>
    </row>
    <row r="62" ht="15.75" customHeight="1">
      <c r="A62" s="19"/>
      <c r="B62" s="19"/>
      <c r="C62" s="73">
        <f t="array" ref="C62">IF(OR(A62="",B62=""),999,IFERROR(IF(INDEX('Binder Setup'!$C$2:$C$401,MATCH(B62,'Binder Setup'!$B$2:$B$401,0))=TRUE(),999,MATCH(B62,'Binder Setup'!$B$2:$B$401,0)),999))</f>
        <v>999</v>
      </c>
      <c r="D62" s="73"/>
      <c r="E62" s="19"/>
      <c r="F62" s="19"/>
      <c r="G62" s="19"/>
      <c r="H62" s="19"/>
      <c r="I62" s="19"/>
      <c r="J62" s="19"/>
      <c r="K62" s="19"/>
      <c r="L62" s="19"/>
      <c r="M62" s="19"/>
      <c r="N62" s="19"/>
      <c r="O62" s="19"/>
      <c r="P62" s="19"/>
      <c r="Q62" s="19"/>
      <c r="R62" s="19"/>
      <c r="S62" s="19"/>
      <c r="T62" s="19"/>
      <c r="U62" s="19"/>
      <c r="V62" s="19"/>
      <c r="W62" s="19"/>
      <c r="X62" s="19"/>
      <c r="Y62" s="19"/>
      <c r="Z62" s="19"/>
    </row>
    <row r="63" ht="15.75" customHeight="1">
      <c r="A63" s="19"/>
      <c r="B63" s="19"/>
      <c r="C63" s="73">
        <f t="array" ref="C63">IF(OR(A63="",B63=""),999,IFERROR(IF(INDEX('Binder Setup'!$C$2:$C$401,MATCH(B63,'Binder Setup'!$B$2:$B$401,0))=TRUE(),999,MATCH(B63,'Binder Setup'!$B$2:$B$401,0)),999))</f>
        <v>999</v>
      </c>
      <c r="D63" s="73"/>
      <c r="E63" s="19"/>
      <c r="F63" s="19"/>
      <c r="G63" s="19"/>
      <c r="H63" s="19"/>
      <c r="I63" s="19"/>
      <c r="J63" s="19"/>
      <c r="K63" s="19"/>
      <c r="L63" s="19"/>
      <c r="M63" s="19"/>
      <c r="N63" s="19"/>
      <c r="O63" s="19"/>
      <c r="P63" s="19"/>
      <c r="Q63" s="19"/>
      <c r="R63" s="19"/>
      <c r="S63" s="19"/>
      <c r="T63" s="19"/>
      <c r="U63" s="19"/>
      <c r="V63" s="19"/>
      <c r="W63" s="19"/>
      <c r="X63" s="19"/>
      <c r="Y63" s="19"/>
      <c r="Z63" s="19"/>
    </row>
    <row r="64" ht="15.75" customHeight="1">
      <c r="A64" s="19"/>
      <c r="B64" s="19"/>
      <c r="C64" s="73">
        <f t="array" ref="C64">IF(OR(A64="",B64=""),999,IFERROR(IF(INDEX('Binder Setup'!$C$2:$C$401,MATCH(B64,'Binder Setup'!$B$2:$B$401,0))=TRUE(),999,MATCH(B64,'Binder Setup'!$B$2:$B$401,0)),999))</f>
        <v>999</v>
      </c>
      <c r="D64" s="73"/>
      <c r="E64" s="19"/>
      <c r="F64" s="19"/>
      <c r="G64" s="19"/>
      <c r="H64" s="19"/>
      <c r="I64" s="19"/>
      <c r="J64" s="19"/>
      <c r="K64" s="19"/>
      <c r="L64" s="19"/>
      <c r="M64" s="19"/>
      <c r="N64" s="19"/>
      <c r="O64" s="19"/>
      <c r="P64" s="19"/>
      <c r="Q64" s="19"/>
      <c r="R64" s="19"/>
      <c r="S64" s="19"/>
      <c r="T64" s="19"/>
      <c r="U64" s="19"/>
      <c r="V64" s="19"/>
      <c r="W64" s="19"/>
      <c r="X64" s="19"/>
      <c r="Y64" s="19"/>
      <c r="Z64" s="19"/>
    </row>
    <row r="65" ht="15.75" customHeight="1">
      <c r="A65" s="19"/>
      <c r="B65" s="19"/>
      <c r="C65" s="73">
        <f t="array" ref="C65">IF(OR(A65="",B65=""),999,IFERROR(IF(INDEX('Binder Setup'!$C$2:$C$401,MATCH(B65,'Binder Setup'!$B$2:$B$401,0))=TRUE(),999,MATCH(B65,'Binder Setup'!$B$2:$B$401,0)),999))</f>
        <v>999</v>
      </c>
      <c r="D65" s="73"/>
      <c r="E65" s="19"/>
      <c r="F65" s="19"/>
      <c r="G65" s="19"/>
      <c r="H65" s="19"/>
      <c r="I65" s="19"/>
      <c r="J65" s="19"/>
      <c r="K65" s="19"/>
      <c r="L65" s="19"/>
      <c r="M65" s="19"/>
      <c r="N65" s="19"/>
      <c r="O65" s="19"/>
      <c r="P65" s="19"/>
      <c r="Q65" s="19"/>
      <c r="R65" s="19"/>
      <c r="S65" s="19"/>
      <c r="T65" s="19"/>
      <c r="U65" s="19"/>
      <c r="V65" s="19"/>
      <c r="W65" s="19"/>
      <c r="X65" s="19"/>
      <c r="Y65" s="19"/>
      <c r="Z65" s="19"/>
    </row>
    <row r="66" ht="15.75" customHeight="1">
      <c r="A66" s="19"/>
      <c r="B66" s="19"/>
      <c r="C66" s="73">
        <f t="array" ref="C66">IF(OR(A66="",B66=""),999,IFERROR(IF(INDEX('Binder Setup'!$C$2:$C$401,MATCH(B66,'Binder Setup'!$B$2:$B$401,0))=TRUE(),999,MATCH(B66,'Binder Setup'!$B$2:$B$401,0)),999))</f>
        <v>999</v>
      </c>
      <c r="D66" s="73"/>
      <c r="E66" s="19"/>
      <c r="F66" s="19"/>
      <c r="G66" s="19"/>
      <c r="H66" s="19"/>
      <c r="I66" s="19"/>
      <c r="J66" s="19"/>
      <c r="K66" s="19"/>
      <c r="L66" s="19"/>
      <c r="M66" s="19"/>
      <c r="N66" s="19"/>
      <c r="O66" s="19"/>
      <c r="P66" s="19"/>
      <c r="Q66" s="19"/>
      <c r="R66" s="19"/>
      <c r="S66" s="19"/>
      <c r="T66" s="19"/>
      <c r="U66" s="19"/>
      <c r="V66" s="19"/>
      <c r="W66" s="19"/>
      <c r="X66" s="19"/>
      <c r="Y66" s="19"/>
      <c r="Z66" s="19"/>
    </row>
    <row r="67" ht="15.75" customHeight="1">
      <c r="A67" s="19"/>
      <c r="B67" s="19"/>
      <c r="C67" s="73">
        <f t="array" ref="C67">IF(OR(A67="",B67=""),999,IFERROR(IF(INDEX('Binder Setup'!$C$2:$C$401,MATCH(B67,'Binder Setup'!$B$2:$B$401,0))=TRUE(),999,MATCH(B67,'Binder Setup'!$B$2:$B$401,0)),999))</f>
        <v>999</v>
      </c>
      <c r="D67" s="73"/>
      <c r="E67" s="19"/>
      <c r="F67" s="19"/>
      <c r="G67" s="19"/>
      <c r="H67" s="19"/>
      <c r="I67" s="19"/>
      <c r="J67" s="19"/>
      <c r="K67" s="19"/>
      <c r="L67" s="19"/>
      <c r="M67" s="19"/>
      <c r="N67" s="19"/>
      <c r="O67" s="19"/>
      <c r="P67" s="19"/>
      <c r="Q67" s="19"/>
      <c r="R67" s="19"/>
      <c r="S67" s="19"/>
      <c r="T67" s="19"/>
      <c r="U67" s="19"/>
      <c r="V67" s="19"/>
      <c r="W67" s="19"/>
      <c r="X67" s="19"/>
      <c r="Y67" s="19"/>
      <c r="Z67" s="19"/>
    </row>
    <row r="68" ht="15.75" customHeight="1">
      <c r="A68" s="19"/>
      <c r="B68" s="19"/>
      <c r="C68" s="73">
        <f t="array" ref="C68">IF(OR(A68="",B68=""),999,IFERROR(IF(INDEX('Binder Setup'!$C$2:$C$401,MATCH(B68,'Binder Setup'!$B$2:$B$401,0))=TRUE(),999,MATCH(B68,'Binder Setup'!$B$2:$B$401,0)),999))</f>
        <v>999</v>
      </c>
      <c r="D68" s="73"/>
      <c r="E68" s="19"/>
      <c r="F68" s="19"/>
      <c r="G68" s="19"/>
      <c r="H68" s="19"/>
      <c r="I68" s="19"/>
      <c r="J68" s="19"/>
      <c r="K68" s="19"/>
      <c r="L68" s="19"/>
      <c r="M68" s="19"/>
      <c r="N68" s="19"/>
      <c r="O68" s="19"/>
      <c r="P68" s="19"/>
      <c r="Q68" s="19"/>
      <c r="R68" s="19"/>
      <c r="S68" s="19"/>
      <c r="T68" s="19"/>
      <c r="U68" s="19"/>
      <c r="V68" s="19"/>
      <c r="W68" s="19"/>
      <c r="X68" s="19"/>
      <c r="Y68" s="19"/>
      <c r="Z68" s="19"/>
    </row>
    <row r="69" ht="15.75" customHeight="1">
      <c r="A69" s="19"/>
      <c r="B69" s="19"/>
      <c r="C69" s="73">
        <f t="array" ref="C69">IF(OR(A69="",B69=""),999,IFERROR(IF(INDEX('Binder Setup'!$C$2:$C$401,MATCH(B69,'Binder Setup'!$B$2:$B$401,0))=TRUE(),999,MATCH(B69,'Binder Setup'!$B$2:$B$401,0)),999))</f>
        <v>999</v>
      </c>
      <c r="D69" s="73"/>
      <c r="E69" s="19"/>
      <c r="F69" s="19"/>
      <c r="G69" s="19"/>
      <c r="H69" s="19"/>
      <c r="I69" s="19"/>
      <c r="J69" s="19"/>
      <c r="K69" s="19"/>
      <c r="L69" s="19"/>
      <c r="M69" s="19"/>
      <c r="N69" s="19"/>
      <c r="O69" s="19"/>
      <c r="P69" s="19"/>
      <c r="Q69" s="19"/>
      <c r="R69" s="19"/>
      <c r="S69" s="19"/>
      <c r="T69" s="19"/>
      <c r="U69" s="19"/>
      <c r="V69" s="19"/>
      <c r="W69" s="19"/>
      <c r="X69" s="19"/>
      <c r="Y69" s="19"/>
      <c r="Z69" s="19"/>
    </row>
    <row r="70" ht="15.75" customHeight="1">
      <c r="A70" s="19"/>
      <c r="B70" s="19"/>
      <c r="C70" s="73">
        <f t="array" ref="C70">IF(OR(A70="",B70=""),999,IFERROR(IF(INDEX('Binder Setup'!$C$2:$C$401,MATCH(B70,'Binder Setup'!$B$2:$B$401,0))=TRUE(),999,MATCH(B70,'Binder Setup'!$B$2:$B$401,0)),999))</f>
        <v>999</v>
      </c>
      <c r="D70" s="73"/>
      <c r="E70" s="19"/>
      <c r="F70" s="19"/>
      <c r="G70" s="19"/>
      <c r="H70" s="19"/>
      <c r="I70" s="19"/>
      <c r="J70" s="19"/>
      <c r="K70" s="19"/>
      <c r="L70" s="19"/>
      <c r="M70" s="19"/>
      <c r="N70" s="19"/>
      <c r="O70" s="19"/>
      <c r="P70" s="19"/>
      <c r="Q70" s="19"/>
      <c r="R70" s="19"/>
      <c r="S70" s="19"/>
      <c r="T70" s="19"/>
      <c r="U70" s="19"/>
      <c r="V70" s="19"/>
      <c r="W70" s="19"/>
      <c r="X70" s="19"/>
      <c r="Y70" s="19"/>
      <c r="Z70" s="19"/>
    </row>
    <row r="71" ht="15.75" customHeight="1">
      <c r="A71" s="19"/>
      <c r="B71" s="19"/>
      <c r="C71" s="73">
        <f t="array" ref="C71">IF(OR(A71="",B71=""),999,IFERROR(IF(INDEX('Binder Setup'!$C$2:$C$401,MATCH(B71,'Binder Setup'!$B$2:$B$401,0))=TRUE(),999,MATCH(B71,'Binder Setup'!$B$2:$B$401,0)),999))</f>
        <v>999</v>
      </c>
      <c r="D71" s="73"/>
      <c r="E71" s="19"/>
      <c r="F71" s="19"/>
      <c r="G71" s="19"/>
      <c r="H71" s="19"/>
      <c r="I71" s="19"/>
      <c r="J71" s="19"/>
      <c r="K71" s="19"/>
      <c r="L71" s="19"/>
      <c r="M71" s="19"/>
      <c r="N71" s="19"/>
      <c r="O71" s="19"/>
      <c r="P71" s="19"/>
      <c r="Q71" s="19"/>
      <c r="R71" s="19"/>
      <c r="S71" s="19"/>
      <c r="T71" s="19"/>
      <c r="U71" s="19"/>
      <c r="V71" s="19"/>
      <c r="W71" s="19"/>
      <c r="X71" s="19"/>
      <c r="Y71" s="19"/>
      <c r="Z71" s="19"/>
    </row>
    <row r="72" ht="15.75" customHeight="1">
      <c r="A72" s="19"/>
      <c r="B72" s="19"/>
      <c r="C72" s="73">
        <f t="array" ref="C72">IF(OR(A72="",B72=""),999,IFERROR(IF(INDEX('Binder Setup'!$C$2:$C$401,MATCH(B72,'Binder Setup'!$B$2:$B$401,0))=TRUE(),999,MATCH(B72,'Binder Setup'!$B$2:$B$401,0)),999))</f>
        <v>999</v>
      </c>
      <c r="D72" s="73"/>
      <c r="E72" s="19"/>
      <c r="F72" s="19"/>
      <c r="G72" s="19"/>
      <c r="H72" s="19"/>
      <c r="I72" s="19"/>
      <c r="J72" s="19"/>
      <c r="K72" s="19"/>
      <c r="L72" s="19"/>
      <c r="M72" s="19"/>
      <c r="N72" s="19"/>
      <c r="O72" s="19"/>
      <c r="P72" s="19"/>
      <c r="Q72" s="19"/>
      <c r="R72" s="19"/>
      <c r="S72" s="19"/>
      <c r="T72" s="19"/>
      <c r="U72" s="19"/>
      <c r="V72" s="19"/>
      <c r="W72" s="19"/>
      <c r="X72" s="19"/>
      <c r="Y72" s="19"/>
      <c r="Z72" s="19"/>
    </row>
    <row r="73" ht="15.75" customHeight="1">
      <c r="A73" s="19"/>
      <c r="B73" s="19"/>
      <c r="C73" s="73">
        <f t="array" ref="C73">IF(OR(A73="",B73=""),999,IFERROR(IF(INDEX('Binder Setup'!$C$2:$C$401,MATCH(B73,'Binder Setup'!$B$2:$B$401,0))=TRUE(),999,MATCH(B73,'Binder Setup'!$B$2:$B$401,0)),999))</f>
        <v>999</v>
      </c>
      <c r="D73" s="73"/>
      <c r="E73" s="19"/>
      <c r="F73" s="19"/>
      <c r="G73" s="19"/>
      <c r="H73" s="19"/>
      <c r="I73" s="19"/>
      <c r="J73" s="19"/>
      <c r="K73" s="19"/>
      <c r="L73" s="19"/>
      <c r="M73" s="19"/>
      <c r="N73" s="19"/>
      <c r="O73" s="19"/>
      <c r="P73" s="19"/>
      <c r="Q73" s="19"/>
      <c r="R73" s="19"/>
      <c r="S73" s="19"/>
      <c r="T73" s="19"/>
      <c r="U73" s="19"/>
      <c r="V73" s="19"/>
      <c r="W73" s="19"/>
      <c r="X73" s="19"/>
      <c r="Y73" s="19"/>
      <c r="Z73" s="19"/>
    </row>
    <row r="74" ht="15.75" customHeight="1">
      <c r="A74" s="19"/>
      <c r="B74" s="19"/>
      <c r="C74" s="73">
        <f t="array" ref="C74">IF(OR(A74="",B74=""),999,IFERROR(IF(INDEX('Binder Setup'!$C$2:$C$401,MATCH(B74,'Binder Setup'!$B$2:$B$401,0))=TRUE(),999,MATCH(B74,'Binder Setup'!$B$2:$B$401,0)),999))</f>
        <v>999</v>
      </c>
      <c r="D74" s="73"/>
      <c r="E74" s="19"/>
      <c r="F74" s="19"/>
      <c r="G74" s="19"/>
      <c r="H74" s="19"/>
      <c r="I74" s="19"/>
      <c r="J74" s="19"/>
      <c r="K74" s="19"/>
      <c r="L74" s="19"/>
      <c r="M74" s="19"/>
      <c r="N74" s="19"/>
      <c r="O74" s="19"/>
      <c r="P74" s="19"/>
      <c r="Q74" s="19"/>
      <c r="R74" s="19"/>
      <c r="S74" s="19"/>
      <c r="T74" s="19"/>
      <c r="U74" s="19"/>
      <c r="V74" s="19"/>
      <c r="W74" s="19"/>
      <c r="X74" s="19"/>
      <c r="Y74" s="19"/>
      <c r="Z74" s="19"/>
    </row>
    <row r="75" ht="15.75" customHeight="1">
      <c r="A75" s="19"/>
      <c r="B75" s="19"/>
      <c r="C75" s="73">
        <f t="array" ref="C75">IF(OR(A75="",B75=""),999,IFERROR(IF(INDEX('Binder Setup'!$C$2:$C$401,MATCH(B75,'Binder Setup'!$B$2:$B$401,0))=TRUE(),999,MATCH(B75,'Binder Setup'!$B$2:$B$401,0)),999))</f>
        <v>999</v>
      </c>
      <c r="D75" s="73"/>
      <c r="E75" s="19"/>
      <c r="F75" s="19"/>
      <c r="G75" s="19"/>
      <c r="H75" s="19"/>
      <c r="I75" s="19"/>
      <c r="J75" s="19"/>
      <c r="K75" s="19"/>
      <c r="L75" s="19"/>
      <c r="M75" s="19"/>
      <c r="N75" s="19"/>
      <c r="O75" s="19"/>
      <c r="P75" s="19"/>
      <c r="Q75" s="19"/>
      <c r="R75" s="19"/>
      <c r="S75" s="19"/>
      <c r="T75" s="19"/>
      <c r="U75" s="19"/>
      <c r="V75" s="19"/>
      <c r="W75" s="19"/>
      <c r="X75" s="19"/>
      <c r="Y75" s="19"/>
      <c r="Z75" s="19"/>
    </row>
    <row r="76" ht="15.75" customHeight="1">
      <c r="A76" s="19"/>
      <c r="B76" s="19"/>
      <c r="C76" s="73">
        <f t="array" ref="C76">IF(OR(A76="",B76=""),999,IFERROR(IF(INDEX('Binder Setup'!$C$2:$C$401,MATCH(B76,'Binder Setup'!$B$2:$B$401,0))=TRUE(),999,MATCH(B76,'Binder Setup'!$B$2:$B$401,0)),999))</f>
        <v>999</v>
      </c>
      <c r="D76" s="73"/>
      <c r="E76" s="19"/>
      <c r="F76" s="19"/>
      <c r="G76" s="19"/>
      <c r="H76" s="19"/>
      <c r="I76" s="19"/>
      <c r="J76" s="19"/>
      <c r="K76" s="19"/>
      <c r="L76" s="19"/>
      <c r="M76" s="19"/>
      <c r="N76" s="19"/>
      <c r="O76" s="19"/>
      <c r="P76" s="19"/>
      <c r="Q76" s="19"/>
      <c r="R76" s="19"/>
      <c r="S76" s="19"/>
      <c r="T76" s="19"/>
      <c r="U76" s="19"/>
      <c r="V76" s="19"/>
      <c r="W76" s="19"/>
      <c r="X76" s="19"/>
      <c r="Y76" s="19"/>
      <c r="Z76" s="19"/>
    </row>
    <row r="77" ht="15.75" customHeight="1">
      <c r="A77" s="19"/>
      <c r="B77" s="19"/>
      <c r="C77" s="73">
        <f t="array" ref="C77">IF(OR(A77="",B77=""),999,IFERROR(IF(INDEX('Binder Setup'!$C$2:$C$401,MATCH(B77,'Binder Setup'!$B$2:$B$401,0))=TRUE(),999,MATCH(B77,'Binder Setup'!$B$2:$B$401,0)),999))</f>
        <v>999</v>
      </c>
      <c r="D77" s="73"/>
      <c r="E77" s="19"/>
      <c r="F77" s="19"/>
      <c r="G77" s="19"/>
      <c r="H77" s="19"/>
      <c r="I77" s="19"/>
      <c r="J77" s="19"/>
      <c r="K77" s="19"/>
      <c r="L77" s="19"/>
      <c r="M77" s="19"/>
      <c r="N77" s="19"/>
      <c r="O77" s="19"/>
      <c r="P77" s="19"/>
      <c r="Q77" s="19"/>
      <c r="R77" s="19"/>
      <c r="S77" s="19"/>
      <c r="T77" s="19"/>
      <c r="U77" s="19"/>
      <c r="V77" s="19"/>
      <c r="W77" s="19"/>
      <c r="X77" s="19"/>
      <c r="Y77" s="19"/>
      <c r="Z77" s="19"/>
    </row>
    <row r="78" ht="15.75" customHeight="1">
      <c r="A78" s="19"/>
      <c r="B78" s="19"/>
      <c r="C78" s="73">
        <f t="array" ref="C78">IF(OR(A78="",B78=""),999,IFERROR(IF(INDEX('Binder Setup'!$C$2:$C$401,MATCH(B78,'Binder Setup'!$B$2:$B$401,0))=TRUE(),999,MATCH(B78,'Binder Setup'!$B$2:$B$401,0)),999))</f>
        <v>999</v>
      </c>
      <c r="D78" s="73"/>
      <c r="E78" s="19"/>
      <c r="F78" s="19"/>
      <c r="G78" s="19"/>
      <c r="H78" s="19"/>
      <c r="I78" s="19"/>
      <c r="J78" s="19"/>
      <c r="K78" s="19"/>
      <c r="L78" s="19"/>
      <c r="M78" s="19"/>
      <c r="N78" s="19"/>
      <c r="O78" s="19"/>
      <c r="P78" s="19"/>
      <c r="Q78" s="19"/>
      <c r="R78" s="19"/>
      <c r="S78" s="19"/>
      <c r="T78" s="19"/>
      <c r="U78" s="19"/>
      <c r="V78" s="19"/>
      <c r="W78" s="19"/>
      <c r="X78" s="19"/>
      <c r="Y78" s="19"/>
      <c r="Z78" s="19"/>
    </row>
    <row r="79" ht="15.75" customHeight="1">
      <c r="A79" s="19"/>
      <c r="B79" s="19"/>
      <c r="C79" s="73">
        <f t="array" ref="C79">IF(OR(A79="",B79=""),999,IFERROR(IF(INDEX('Binder Setup'!$C$2:$C$401,MATCH(B79,'Binder Setup'!$B$2:$B$401,0))=TRUE(),999,MATCH(B79,'Binder Setup'!$B$2:$B$401,0)),999))</f>
        <v>999</v>
      </c>
      <c r="D79" s="73"/>
      <c r="E79" s="19"/>
      <c r="F79" s="19"/>
      <c r="G79" s="19"/>
      <c r="H79" s="19"/>
      <c r="I79" s="19"/>
      <c r="J79" s="19"/>
      <c r="K79" s="19"/>
      <c r="L79" s="19"/>
      <c r="M79" s="19"/>
      <c r="N79" s="19"/>
      <c r="O79" s="19"/>
      <c r="P79" s="19"/>
      <c r="Q79" s="19"/>
      <c r="R79" s="19"/>
      <c r="S79" s="19"/>
      <c r="T79" s="19"/>
      <c r="U79" s="19"/>
      <c r="V79" s="19"/>
      <c r="W79" s="19"/>
      <c r="X79" s="19"/>
      <c r="Y79" s="19"/>
      <c r="Z79" s="19"/>
    </row>
    <row r="80" ht="15.75" customHeight="1">
      <c r="A80" s="19"/>
      <c r="B80" s="19"/>
      <c r="C80" s="73">
        <f t="array" ref="C80">IF(OR(A80="",B80=""),999,IFERROR(IF(INDEX('Binder Setup'!$C$2:$C$401,MATCH(B80,'Binder Setup'!$B$2:$B$401,0))=TRUE(),999,MATCH(B80,'Binder Setup'!$B$2:$B$401,0)),999))</f>
        <v>999</v>
      </c>
      <c r="D80" s="73"/>
      <c r="E80" s="19"/>
      <c r="F80" s="19"/>
      <c r="G80" s="19"/>
      <c r="H80" s="19"/>
      <c r="I80" s="19"/>
      <c r="J80" s="19"/>
      <c r="K80" s="19"/>
      <c r="L80" s="19"/>
      <c r="M80" s="19"/>
      <c r="N80" s="19"/>
      <c r="O80" s="19"/>
      <c r="P80" s="19"/>
      <c r="Q80" s="19"/>
      <c r="R80" s="19"/>
      <c r="S80" s="19"/>
      <c r="T80" s="19"/>
      <c r="U80" s="19"/>
      <c r="V80" s="19"/>
      <c r="W80" s="19"/>
      <c r="X80" s="19"/>
      <c r="Y80" s="19"/>
      <c r="Z80" s="19"/>
    </row>
    <row r="81" ht="15.75" customHeight="1">
      <c r="A81" s="19"/>
      <c r="B81" s="19"/>
      <c r="C81" s="73">
        <f t="array" ref="C81">IF(OR(A81="",B81=""),999,IFERROR(IF(INDEX('Binder Setup'!$C$2:$C$401,MATCH(B81,'Binder Setup'!$B$2:$B$401,0))=TRUE(),999,MATCH(B81,'Binder Setup'!$B$2:$B$401,0)),999))</f>
        <v>999</v>
      </c>
      <c r="D81" s="73"/>
      <c r="E81" s="19"/>
      <c r="F81" s="19"/>
      <c r="G81" s="19"/>
      <c r="H81" s="19"/>
      <c r="I81" s="19"/>
      <c r="J81" s="19"/>
      <c r="K81" s="19"/>
      <c r="L81" s="19"/>
      <c r="M81" s="19"/>
      <c r="N81" s="19"/>
      <c r="O81" s="19"/>
      <c r="P81" s="19"/>
      <c r="Q81" s="19"/>
      <c r="R81" s="19"/>
      <c r="S81" s="19"/>
      <c r="T81" s="19"/>
      <c r="U81" s="19"/>
      <c r="V81" s="19"/>
      <c r="W81" s="19"/>
      <c r="X81" s="19"/>
      <c r="Y81" s="19"/>
      <c r="Z81" s="19"/>
    </row>
    <row r="82" ht="15.75" customHeight="1">
      <c r="A82" s="19"/>
      <c r="B82" s="19"/>
      <c r="C82" s="73">
        <f t="array" ref="C82">IF(OR(A82="",B82=""),999,IFERROR(IF(INDEX('Binder Setup'!$C$2:$C$401,MATCH(B82,'Binder Setup'!$B$2:$B$401,0))=TRUE(),999,MATCH(B82,'Binder Setup'!$B$2:$B$401,0)),999))</f>
        <v>999</v>
      </c>
      <c r="D82" s="73"/>
      <c r="E82" s="19"/>
      <c r="F82" s="19"/>
      <c r="G82" s="19"/>
      <c r="H82" s="19"/>
      <c r="I82" s="19"/>
      <c r="J82" s="19"/>
      <c r="K82" s="19"/>
      <c r="L82" s="19"/>
      <c r="M82" s="19"/>
      <c r="N82" s="19"/>
      <c r="O82" s="19"/>
      <c r="P82" s="19"/>
      <c r="Q82" s="19"/>
      <c r="R82" s="19"/>
      <c r="S82" s="19"/>
      <c r="T82" s="19"/>
      <c r="U82" s="19"/>
      <c r="V82" s="19"/>
      <c r="W82" s="19"/>
      <c r="X82" s="19"/>
      <c r="Y82" s="19"/>
      <c r="Z82" s="19"/>
    </row>
    <row r="83" ht="15.75" customHeight="1">
      <c r="A83" s="19"/>
      <c r="B83" s="19"/>
      <c r="C83" s="73">
        <f t="array" ref="C83">IF(OR(A83="",B83=""),999,IFERROR(IF(INDEX('Binder Setup'!$C$2:$C$401,MATCH(B83,'Binder Setup'!$B$2:$B$401,0))=TRUE(),999,MATCH(B83,'Binder Setup'!$B$2:$B$401,0)),999))</f>
        <v>999</v>
      </c>
      <c r="D83" s="73"/>
      <c r="E83" s="19"/>
      <c r="F83" s="19"/>
      <c r="G83" s="19"/>
      <c r="H83" s="19"/>
      <c r="I83" s="19"/>
      <c r="J83" s="19"/>
      <c r="K83" s="19"/>
      <c r="L83" s="19"/>
      <c r="M83" s="19"/>
      <c r="N83" s="19"/>
      <c r="O83" s="19"/>
      <c r="P83" s="19"/>
      <c r="Q83" s="19"/>
      <c r="R83" s="19"/>
      <c r="S83" s="19"/>
      <c r="T83" s="19"/>
      <c r="U83" s="19"/>
      <c r="V83" s="19"/>
      <c r="W83" s="19"/>
      <c r="X83" s="19"/>
      <c r="Y83" s="19"/>
      <c r="Z83" s="19"/>
    </row>
    <row r="84" ht="15.75" customHeight="1">
      <c r="A84" s="19"/>
      <c r="B84" s="19"/>
      <c r="C84" s="73">
        <f t="array" ref="C84">IF(OR(A84="",B84=""),999,IFERROR(IF(INDEX('Binder Setup'!$C$2:$C$401,MATCH(B84,'Binder Setup'!$B$2:$B$401,0))=TRUE(),999,MATCH(B84,'Binder Setup'!$B$2:$B$401,0)),999))</f>
        <v>999</v>
      </c>
      <c r="D84" s="73"/>
      <c r="E84" s="19"/>
      <c r="F84" s="19"/>
      <c r="G84" s="19"/>
      <c r="H84" s="19"/>
      <c r="I84" s="19"/>
      <c r="J84" s="19"/>
      <c r="K84" s="19"/>
      <c r="L84" s="19"/>
      <c r="M84" s="19"/>
      <c r="N84" s="19"/>
      <c r="O84" s="19"/>
      <c r="P84" s="19"/>
      <c r="Q84" s="19"/>
      <c r="R84" s="19"/>
      <c r="S84" s="19"/>
      <c r="T84" s="19"/>
      <c r="U84" s="19"/>
      <c r="V84" s="19"/>
      <c r="W84" s="19"/>
      <c r="X84" s="19"/>
      <c r="Y84" s="19"/>
      <c r="Z84" s="19"/>
    </row>
    <row r="85" ht="15.75" customHeight="1">
      <c r="A85" s="19"/>
      <c r="B85" s="19"/>
      <c r="C85" s="73">
        <f t="array" ref="C85">IF(OR(A85="",B85=""),999,IFERROR(IF(INDEX('Binder Setup'!$C$2:$C$401,MATCH(B85,'Binder Setup'!$B$2:$B$401,0))=TRUE(),999,MATCH(B85,'Binder Setup'!$B$2:$B$401,0)),999))</f>
        <v>999</v>
      </c>
      <c r="D85" s="73"/>
      <c r="E85" s="19"/>
      <c r="F85" s="19"/>
      <c r="G85" s="19"/>
      <c r="H85" s="19"/>
      <c r="I85" s="19"/>
      <c r="J85" s="19"/>
      <c r="K85" s="19"/>
      <c r="L85" s="19"/>
      <c r="M85" s="19"/>
      <c r="N85" s="19"/>
      <c r="O85" s="19"/>
      <c r="P85" s="19"/>
      <c r="Q85" s="19"/>
      <c r="R85" s="19"/>
      <c r="S85" s="19"/>
      <c r="T85" s="19"/>
      <c r="U85" s="19"/>
      <c r="V85" s="19"/>
      <c r="W85" s="19"/>
      <c r="X85" s="19"/>
      <c r="Y85" s="19"/>
      <c r="Z85" s="19"/>
    </row>
    <row r="86" ht="15.75" customHeight="1">
      <c r="A86" s="19"/>
      <c r="B86" s="19"/>
      <c r="C86" s="73">
        <f t="array" ref="C86">IF(OR(A86="",B86=""),999,IFERROR(IF(INDEX('Binder Setup'!$C$2:$C$401,MATCH(B86,'Binder Setup'!$B$2:$B$401,0))=TRUE(),999,MATCH(B86,'Binder Setup'!$B$2:$B$401,0)),999))</f>
        <v>999</v>
      </c>
      <c r="D86" s="73"/>
      <c r="E86" s="19"/>
      <c r="F86" s="19"/>
      <c r="G86" s="19"/>
      <c r="H86" s="19"/>
      <c r="I86" s="19"/>
      <c r="J86" s="19"/>
      <c r="K86" s="19"/>
      <c r="L86" s="19"/>
      <c r="M86" s="19"/>
      <c r="N86" s="19"/>
      <c r="O86" s="19"/>
      <c r="P86" s="19"/>
      <c r="Q86" s="19"/>
      <c r="R86" s="19"/>
      <c r="S86" s="19"/>
      <c r="T86" s="19"/>
      <c r="U86" s="19"/>
      <c r="V86" s="19"/>
      <c r="W86" s="19"/>
      <c r="X86" s="19"/>
      <c r="Y86" s="19"/>
      <c r="Z86" s="19"/>
    </row>
    <row r="87" ht="15.75" customHeight="1">
      <c r="A87" s="19"/>
      <c r="B87" s="19"/>
      <c r="C87" s="73">
        <f t="array" ref="C87">IF(OR(A87="",B87=""),999,IFERROR(IF(INDEX('Binder Setup'!$C$2:$C$401,MATCH(B87,'Binder Setup'!$B$2:$B$401,0))=TRUE(),999,MATCH(B87,'Binder Setup'!$B$2:$B$401,0)),999))</f>
        <v>999</v>
      </c>
      <c r="D87" s="73"/>
      <c r="E87" s="19"/>
      <c r="F87" s="19"/>
      <c r="G87" s="19"/>
      <c r="H87" s="19"/>
      <c r="I87" s="19"/>
      <c r="J87" s="19"/>
      <c r="K87" s="19"/>
      <c r="L87" s="19"/>
      <c r="M87" s="19"/>
      <c r="N87" s="19"/>
      <c r="O87" s="19"/>
      <c r="P87" s="19"/>
      <c r="Q87" s="19"/>
      <c r="R87" s="19"/>
      <c r="S87" s="19"/>
      <c r="T87" s="19"/>
      <c r="U87" s="19"/>
      <c r="V87" s="19"/>
      <c r="W87" s="19"/>
      <c r="X87" s="19"/>
      <c r="Y87" s="19"/>
      <c r="Z87" s="19"/>
    </row>
    <row r="88" ht="15.75" customHeight="1">
      <c r="A88" s="19"/>
      <c r="B88" s="19"/>
      <c r="C88" s="73">
        <f t="array" ref="C88">IF(OR(A88="",B88=""),999,IFERROR(IF(INDEX('Binder Setup'!$C$2:$C$401,MATCH(B88,'Binder Setup'!$B$2:$B$401,0))=TRUE(),999,MATCH(B88,'Binder Setup'!$B$2:$B$401,0)),999))</f>
        <v>999</v>
      </c>
      <c r="D88" s="73"/>
      <c r="E88" s="19"/>
      <c r="F88" s="19"/>
      <c r="G88" s="19"/>
      <c r="H88" s="19"/>
      <c r="I88" s="19"/>
      <c r="J88" s="19"/>
      <c r="K88" s="19"/>
      <c r="L88" s="19"/>
      <c r="M88" s="19"/>
      <c r="N88" s="19"/>
      <c r="O88" s="19"/>
      <c r="P88" s="19"/>
      <c r="Q88" s="19"/>
      <c r="R88" s="19"/>
      <c r="S88" s="19"/>
      <c r="T88" s="19"/>
      <c r="U88" s="19"/>
      <c r="V88" s="19"/>
      <c r="W88" s="19"/>
      <c r="X88" s="19"/>
      <c r="Y88" s="19"/>
      <c r="Z88" s="19"/>
    </row>
    <row r="89" ht="15.75" customHeight="1">
      <c r="A89" s="19"/>
      <c r="B89" s="19"/>
      <c r="C89" s="73">
        <f t="array" ref="C89">IF(OR(A89="",B89=""),999,IFERROR(IF(INDEX('Binder Setup'!$C$2:$C$401,MATCH(B89,'Binder Setup'!$B$2:$B$401,0))=TRUE(),999,MATCH(B89,'Binder Setup'!$B$2:$B$401,0)),999))</f>
        <v>999</v>
      </c>
      <c r="D89" s="73"/>
      <c r="E89" s="19"/>
      <c r="F89" s="19"/>
      <c r="G89" s="19"/>
      <c r="H89" s="19"/>
      <c r="I89" s="19"/>
      <c r="J89" s="19"/>
      <c r="K89" s="19"/>
      <c r="L89" s="19"/>
      <c r="M89" s="19"/>
      <c r="N89" s="19"/>
      <c r="O89" s="19"/>
      <c r="P89" s="19"/>
      <c r="Q89" s="19"/>
      <c r="R89" s="19"/>
      <c r="S89" s="19"/>
      <c r="T89" s="19"/>
      <c r="U89" s="19"/>
      <c r="V89" s="19"/>
      <c r="W89" s="19"/>
      <c r="X89" s="19"/>
      <c r="Y89" s="19"/>
      <c r="Z89" s="19"/>
    </row>
    <row r="90" ht="15.75" customHeight="1">
      <c r="A90" s="19"/>
      <c r="B90" s="19"/>
      <c r="C90" s="73">
        <f t="array" ref="C90">IF(OR(A90="",B90=""),999,IFERROR(IF(INDEX('Binder Setup'!$C$2:$C$401,MATCH(B90,'Binder Setup'!$B$2:$B$401,0))=TRUE(),999,MATCH(B90,'Binder Setup'!$B$2:$B$401,0)),999))</f>
        <v>999</v>
      </c>
      <c r="D90" s="73"/>
      <c r="E90" s="19"/>
      <c r="F90" s="19"/>
      <c r="G90" s="19"/>
      <c r="H90" s="19"/>
      <c r="I90" s="19"/>
      <c r="J90" s="19"/>
      <c r="K90" s="19"/>
      <c r="L90" s="19"/>
      <c r="M90" s="19"/>
      <c r="N90" s="19"/>
      <c r="O90" s="19"/>
      <c r="P90" s="19"/>
      <c r="Q90" s="19"/>
      <c r="R90" s="19"/>
      <c r="S90" s="19"/>
      <c r="T90" s="19"/>
      <c r="U90" s="19"/>
      <c r="V90" s="19"/>
      <c r="W90" s="19"/>
      <c r="X90" s="19"/>
      <c r="Y90" s="19"/>
      <c r="Z90" s="19"/>
    </row>
    <row r="91" ht="15.75" customHeight="1">
      <c r="A91" s="19"/>
      <c r="B91" s="19"/>
      <c r="C91" s="73">
        <f t="array" ref="C91">IF(OR(A91="",B91=""),999,IFERROR(IF(INDEX('Binder Setup'!$C$2:$C$401,MATCH(B91,'Binder Setup'!$B$2:$B$401,0))=TRUE(),999,MATCH(B91,'Binder Setup'!$B$2:$B$401,0)),999))</f>
        <v>999</v>
      </c>
      <c r="D91" s="73"/>
      <c r="E91" s="19"/>
      <c r="F91" s="19"/>
      <c r="G91" s="19"/>
      <c r="H91" s="19"/>
      <c r="I91" s="19"/>
      <c r="J91" s="19"/>
      <c r="K91" s="19"/>
      <c r="L91" s="19"/>
      <c r="M91" s="19"/>
      <c r="N91" s="19"/>
      <c r="O91" s="19"/>
      <c r="P91" s="19"/>
      <c r="Q91" s="19"/>
      <c r="R91" s="19"/>
      <c r="S91" s="19"/>
      <c r="T91" s="19"/>
      <c r="U91" s="19"/>
      <c r="V91" s="19"/>
      <c r="W91" s="19"/>
      <c r="X91" s="19"/>
      <c r="Y91" s="19"/>
      <c r="Z91" s="19"/>
    </row>
    <row r="92" ht="15.75" customHeight="1">
      <c r="A92" s="19"/>
      <c r="B92" s="19"/>
      <c r="C92" s="73">
        <f t="array" ref="C92">IF(OR(A92="",B92=""),999,IFERROR(IF(INDEX('Binder Setup'!$C$2:$C$401,MATCH(B92,'Binder Setup'!$B$2:$B$401,0))=TRUE(),999,MATCH(B92,'Binder Setup'!$B$2:$B$401,0)),999))</f>
        <v>999</v>
      </c>
      <c r="D92" s="73"/>
      <c r="E92" s="19"/>
      <c r="F92" s="19"/>
      <c r="G92" s="19"/>
      <c r="H92" s="19"/>
      <c r="I92" s="19"/>
      <c r="J92" s="19"/>
      <c r="K92" s="19"/>
      <c r="L92" s="19"/>
      <c r="M92" s="19"/>
      <c r="N92" s="19"/>
      <c r="O92" s="19"/>
      <c r="P92" s="19"/>
      <c r="Q92" s="19"/>
      <c r="R92" s="19"/>
      <c r="S92" s="19"/>
      <c r="T92" s="19"/>
      <c r="U92" s="19"/>
      <c r="V92" s="19"/>
      <c r="W92" s="19"/>
      <c r="X92" s="19"/>
      <c r="Y92" s="19"/>
      <c r="Z92" s="19"/>
    </row>
    <row r="93" ht="15.75" customHeight="1">
      <c r="A93" s="19"/>
      <c r="B93" s="19"/>
      <c r="C93" s="73">
        <f t="array" ref="C93">IF(OR(A93="",B93=""),999,IFERROR(IF(INDEX('Binder Setup'!$C$2:$C$401,MATCH(B93,'Binder Setup'!$B$2:$B$401,0))=TRUE(),999,MATCH(B93,'Binder Setup'!$B$2:$B$401,0)),999))</f>
        <v>999</v>
      </c>
      <c r="D93" s="73"/>
      <c r="E93" s="19"/>
      <c r="F93" s="19"/>
      <c r="G93" s="19"/>
      <c r="H93" s="19"/>
      <c r="I93" s="19"/>
      <c r="J93" s="19"/>
      <c r="K93" s="19"/>
      <c r="L93" s="19"/>
      <c r="M93" s="19"/>
      <c r="N93" s="19"/>
      <c r="O93" s="19"/>
      <c r="P93" s="19"/>
      <c r="Q93" s="19"/>
      <c r="R93" s="19"/>
      <c r="S93" s="19"/>
      <c r="T93" s="19"/>
      <c r="U93" s="19"/>
      <c r="V93" s="19"/>
      <c r="W93" s="19"/>
      <c r="X93" s="19"/>
      <c r="Y93" s="19"/>
      <c r="Z93" s="19"/>
    </row>
    <row r="94" ht="15.75" customHeight="1">
      <c r="A94" s="19"/>
      <c r="B94" s="19"/>
      <c r="C94" s="73">
        <f t="array" ref="C94">IF(OR(A94="",B94=""),999,IFERROR(IF(INDEX('Binder Setup'!$C$2:$C$401,MATCH(B94,'Binder Setup'!$B$2:$B$401,0))=TRUE(),999,MATCH(B94,'Binder Setup'!$B$2:$B$401,0)),999))</f>
        <v>999</v>
      </c>
      <c r="D94" s="73"/>
      <c r="E94" s="19"/>
      <c r="F94" s="19"/>
      <c r="G94" s="19"/>
      <c r="H94" s="19"/>
      <c r="I94" s="19"/>
      <c r="J94" s="19"/>
      <c r="K94" s="19"/>
      <c r="L94" s="19"/>
      <c r="M94" s="19"/>
      <c r="N94" s="19"/>
      <c r="O94" s="19"/>
      <c r="P94" s="19"/>
      <c r="Q94" s="19"/>
      <c r="R94" s="19"/>
      <c r="S94" s="19"/>
      <c r="T94" s="19"/>
      <c r="U94" s="19"/>
      <c r="V94" s="19"/>
      <c r="W94" s="19"/>
      <c r="X94" s="19"/>
      <c r="Y94" s="19"/>
      <c r="Z94" s="19"/>
    </row>
    <row r="95" ht="15.75" customHeight="1">
      <c r="A95" s="19"/>
      <c r="B95" s="19"/>
      <c r="C95" s="73">
        <f t="array" ref="C95">IF(OR(A95="",B95=""),999,IFERROR(IF(INDEX('Binder Setup'!$C$2:$C$401,MATCH(B95,'Binder Setup'!$B$2:$B$401,0))=TRUE(),999,MATCH(B95,'Binder Setup'!$B$2:$B$401,0)),999))</f>
        <v>999</v>
      </c>
      <c r="D95" s="73"/>
      <c r="E95" s="19"/>
      <c r="F95" s="19"/>
      <c r="G95" s="19"/>
      <c r="H95" s="19"/>
      <c r="I95" s="19"/>
      <c r="J95" s="19"/>
      <c r="K95" s="19"/>
      <c r="L95" s="19"/>
      <c r="M95" s="19"/>
      <c r="N95" s="19"/>
      <c r="O95" s="19"/>
      <c r="P95" s="19"/>
      <c r="Q95" s="19"/>
      <c r="R95" s="19"/>
      <c r="S95" s="19"/>
      <c r="T95" s="19"/>
      <c r="U95" s="19"/>
      <c r="V95" s="19"/>
      <c r="W95" s="19"/>
      <c r="X95" s="19"/>
      <c r="Y95" s="19"/>
      <c r="Z95" s="19"/>
    </row>
    <row r="96" ht="15.75" customHeight="1">
      <c r="A96" s="19"/>
      <c r="B96" s="19"/>
      <c r="C96" s="73">
        <f t="array" ref="C96">IF(OR(A96="",B96=""),999,IFERROR(IF(INDEX('Binder Setup'!$C$2:$C$401,MATCH(B96,'Binder Setup'!$B$2:$B$401,0))=TRUE(),999,MATCH(B96,'Binder Setup'!$B$2:$B$401,0)),999))</f>
        <v>999</v>
      </c>
      <c r="D96" s="73"/>
      <c r="E96" s="19"/>
      <c r="F96" s="19"/>
      <c r="G96" s="19"/>
      <c r="H96" s="19"/>
      <c r="I96" s="19"/>
      <c r="J96" s="19"/>
      <c r="K96" s="19"/>
      <c r="L96" s="19"/>
      <c r="M96" s="19"/>
      <c r="N96" s="19"/>
      <c r="O96" s="19"/>
      <c r="P96" s="19"/>
      <c r="Q96" s="19"/>
      <c r="R96" s="19"/>
      <c r="S96" s="19"/>
      <c r="T96" s="19"/>
      <c r="U96" s="19"/>
      <c r="V96" s="19"/>
      <c r="W96" s="19"/>
      <c r="X96" s="19"/>
      <c r="Y96" s="19"/>
      <c r="Z96" s="19"/>
    </row>
    <row r="97" ht="15.75" customHeight="1">
      <c r="A97" s="19"/>
      <c r="B97" s="19"/>
      <c r="C97" s="73">
        <f t="array" ref="C97">IF(OR(A97="",B97=""),999,IFERROR(IF(INDEX('Binder Setup'!$C$2:$C$401,MATCH(B97,'Binder Setup'!$B$2:$B$401,0))=TRUE(),999,MATCH(B97,'Binder Setup'!$B$2:$B$401,0)),999))</f>
        <v>999</v>
      </c>
      <c r="D97" s="73"/>
      <c r="E97" s="19"/>
      <c r="F97" s="19"/>
      <c r="G97" s="19"/>
      <c r="H97" s="19"/>
      <c r="I97" s="19"/>
      <c r="J97" s="19"/>
      <c r="K97" s="19"/>
      <c r="L97" s="19"/>
      <c r="M97" s="19"/>
      <c r="N97" s="19"/>
      <c r="O97" s="19"/>
      <c r="P97" s="19"/>
      <c r="Q97" s="19"/>
      <c r="R97" s="19"/>
      <c r="S97" s="19"/>
      <c r="T97" s="19"/>
      <c r="U97" s="19"/>
      <c r="V97" s="19"/>
      <c r="W97" s="19"/>
      <c r="X97" s="19"/>
      <c r="Y97" s="19"/>
      <c r="Z97" s="19"/>
    </row>
    <row r="98" ht="15.75" customHeight="1">
      <c r="A98" s="19"/>
      <c r="B98" s="19"/>
      <c r="C98" s="73">
        <f t="array" ref="C98">IF(OR(A98="",B98=""),999,IFERROR(IF(INDEX('Binder Setup'!$C$2:$C$401,MATCH(B98,'Binder Setup'!$B$2:$B$401,0))=TRUE(),999,MATCH(B98,'Binder Setup'!$B$2:$B$401,0)),999))</f>
        <v>999</v>
      </c>
      <c r="D98" s="73"/>
      <c r="E98" s="19"/>
      <c r="F98" s="19"/>
      <c r="G98" s="19"/>
      <c r="H98" s="19"/>
      <c r="I98" s="19"/>
      <c r="J98" s="19"/>
      <c r="K98" s="19"/>
      <c r="L98" s="19"/>
      <c r="M98" s="19"/>
      <c r="N98" s="19"/>
      <c r="O98" s="19"/>
      <c r="P98" s="19"/>
      <c r="Q98" s="19"/>
      <c r="R98" s="19"/>
      <c r="S98" s="19"/>
      <c r="T98" s="19"/>
      <c r="U98" s="19"/>
      <c r="V98" s="19"/>
      <c r="W98" s="19"/>
      <c r="X98" s="19"/>
      <c r="Y98" s="19"/>
      <c r="Z98" s="19"/>
    </row>
    <row r="99" ht="15.75" customHeight="1">
      <c r="A99" s="19"/>
      <c r="B99" s="19"/>
      <c r="C99" s="73">
        <f t="array" ref="C99">IF(OR(A99="",B99=""),999,IFERROR(IF(INDEX('Binder Setup'!$C$2:$C$401,MATCH(B99,'Binder Setup'!$B$2:$B$401,0))=TRUE(),999,MATCH(B99,'Binder Setup'!$B$2:$B$401,0)),999))</f>
        <v>999</v>
      </c>
      <c r="D99" s="73"/>
      <c r="E99" s="19"/>
      <c r="F99" s="19"/>
      <c r="G99" s="19"/>
      <c r="H99" s="19"/>
      <c r="I99" s="19"/>
      <c r="J99" s="19"/>
      <c r="K99" s="19"/>
      <c r="L99" s="19"/>
      <c r="M99" s="19"/>
      <c r="N99" s="19"/>
      <c r="O99" s="19"/>
      <c r="P99" s="19"/>
      <c r="Q99" s="19"/>
      <c r="R99" s="19"/>
      <c r="S99" s="19"/>
      <c r="T99" s="19"/>
      <c r="U99" s="19"/>
      <c r="V99" s="19"/>
      <c r="W99" s="19"/>
      <c r="X99" s="19"/>
      <c r="Y99" s="19"/>
      <c r="Z99" s="19"/>
    </row>
    <row r="100" ht="15.75" customHeight="1">
      <c r="A100" s="19"/>
      <c r="B100" s="19"/>
      <c r="C100" s="73">
        <f t="array" ref="C100">IF(OR(A100="",B100=""),999,IFERROR(IF(INDEX('Binder Setup'!$C$2:$C$401,MATCH(B100,'Binder Setup'!$B$2:$B$401,0))=TRUE(),999,MATCH(B100,'Binder Setup'!$B$2:$B$401,0)),999))</f>
        <v>999</v>
      </c>
      <c r="D100" s="73"/>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5.75" customHeight="1">
      <c r="A101" s="19"/>
      <c r="B101" s="19"/>
      <c r="C101" s="73">
        <f t="array" ref="C101">IF(OR(A101="",B101=""),999,IFERROR(IF(INDEX('Binder Setup'!$C$2:$C$401,MATCH(B101,'Binder Setup'!$B$2:$B$401,0))=TRUE(),999,MATCH(B101,'Binder Setup'!$B$2:$B$401,0)),999))</f>
        <v>999</v>
      </c>
      <c r="D101" s="73"/>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5.75" customHeight="1">
      <c r="A102" s="19"/>
      <c r="B102" s="19"/>
      <c r="C102" s="73">
        <f t="array" ref="C102">IF(OR(A102="",B102=""),999,IFERROR(IF(INDEX('Binder Setup'!$C$2:$C$401,MATCH(B102,'Binder Setup'!$B$2:$B$401,0))=TRUE(),999,MATCH(B102,'Binder Setup'!$B$2:$B$401,0)),999))</f>
        <v>999</v>
      </c>
      <c r="D102" s="73"/>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5.75" customHeight="1">
      <c r="A103" s="19"/>
      <c r="B103" s="19"/>
      <c r="C103" s="73">
        <f t="array" ref="C103">IF(OR(A103="",B103=""),999,IFERROR(IF(INDEX('Binder Setup'!$C$2:$C$401,MATCH(B103,'Binder Setup'!$B$2:$B$401,0))=TRUE(),999,MATCH(B103,'Binder Setup'!$B$2:$B$401,0)),999))</f>
        <v>999</v>
      </c>
      <c r="D103" s="73"/>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19"/>
      <c r="B104" s="19"/>
      <c r="C104" s="73">
        <f t="array" ref="C104">IF(OR(A104="",B104=""),999,IFERROR(IF(INDEX('Binder Setup'!$C$2:$C$401,MATCH(B104,'Binder Setup'!$B$2:$B$401,0))=TRUE(),999,MATCH(B104,'Binder Setup'!$B$2:$B$401,0)),999))</f>
        <v>999</v>
      </c>
      <c r="D104" s="73"/>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5.75" customHeight="1">
      <c r="A105" s="19"/>
      <c r="B105" s="19"/>
      <c r="C105" s="73">
        <f t="array" ref="C105">IF(OR(A105="",B105=""),999,IFERROR(IF(INDEX('Binder Setup'!$C$2:$C$401,MATCH(B105,'Binder Setup'!$B$2:$B$401,0))=TRUE(),999,MATCH(B105,'Binder Setup'!$B$2:$B$401,0)),999))</f>
        <v>999</v>
      </c>
      <c r="D105" s="73"/>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19"/>
      <c r="B106" s="19"/>
      <c r="C106" s="73">
        <f t="array" ref="C106">IF(OR(A106="",B106=""),999,IFERROR(IF(INDEX('Binder Setup'!$C$2:$C$401,MATCH(B106,'Binder Setup'!$B$2:$B$401,0))=TRUE(),999,MATCH(B106,'Binder Setup'!$B$2:$B$401,0)),999))</f>
        <v>999</v>
      </c>
      <c r="D106" s="73"/>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5.75" customHeight="1">
      <c r="A107" s="19"/>
      <c r="B107" s="19"/>
      <c r="C107" s="73">
        <f t="array" ref="C107">IF(OR(A107="",B107=""),999,IFERROR(IF(INDEX('Binder Setup'!$C$2:$C$401,MATCH(B107,'Binder Setup'!$B$2:$B$401,0))=TRUE(),999,MATCH(B107,'Binder Setup'!$B$2:$B$401,0)),999))</f>
        <v>999</v>
      </c>
      <c r="D107" s="73"/>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19"/>
      <c r="B108" s="19"/>
      <c r="C108" s="73">
        <f t="array" ref="C108">IF(OR(A108="",B108=""),999,IFERROR(IF(INDEX('Binder Setup'!$C$2:$C$401,MATCH(B108,'Binder Setup'!$B$2:$B$401,0))=TRUE(),999,MATCH(B108,'Binder Setup'!$B$2:$B$401,0)),999))</f>
        <v>999</v>
      </c>
      <c r="D108" s="73"/>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5.75" customHeight="1">
      <c r="A109" s="19"/>
      <c r="B109" s="19"/>
      <c r="C109" s="73">
        <f t="array" ref="C109">IF(OR(A109="",B109=""),999,IFERROR(IF(INDEX('Binder Setup'!$C$2:$C$401,MATCH(B109,'Binder Setup'!$B$2:$B$401,0))=TRUE(),999,MATCH(B109,'Binder Setup'!$B$2:$B$401,0)),999))</f>
        <v>999</v>
      </c>
      <c r="D109" s="73"/>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5.75" customHeight="1">
      <c r="A110" s="19"/>
      <c r="B110" s="19"/>
      <c r="C110" s="73">
        <f t="array" ref="C110">IF(OR(A110="",B110=""),999,IFERROR(IF(INDEX('Binder Setup'!$C$2:$C$401,MATCH(B110,'Binder Setup'!$B$2:$B$401,0))=TRUE(),999,MATCH(B110,'Binder Setup'!$B$2:$B$401,0)),999))</f>
        <v>999</v>
      </c>
      <c r="D110" s="73"/>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5.75" customHeight="1">
      <c r="A111" s="19"/>
      <c r="B111" s="19"/>
      <c r="C111" s="73">
        <f t="array" ref="C111">IF(OR(A111="",B111=""),999,IFERROR(IF(INDEX('Binder Setup'!$C$2:$C$401,MATCH(B111,'Binder Setup'!$B$2:$B$401,0))=TRUE(),999,MATCH(B111,'Binder Setup'!$B$2:$B$401,0)),999))</f>
        <v>999</v>
      </c>
      <c r="D111" s="73"/>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5.75" customHeight="1">
      <c r="A112" s="19"/>
      <c r="B112" s="19"/>
      <c r="C112" s="73">
        <f t="array" ref="C112">IF(OR(A112="",B112=""),999,IFERROR(IF(INDEX('Binder Setup'!$C$2:$C$401,MATCH(B112,'Binder Setup'!$B$2:$B$401,0))=TRUE(),999,MATCH(B112,'Binder Setup'!$B$2:$B$401,0)),999))</f>
        <v>999</v>
      </c>
      <c r="D112" s="73"/>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5.75" customHeight="1">
      <c r="A113" s="19"/>
      <c r="B113" s="19"/>
      <c r="C113" s="73">
        <f t="array" ref="C113">IF(OR(A113="",B113=""),999,IFERROR(IF(INDEX('Binder Setup'!$C$2:$C$401,MATCH(B113,'Binder Setup'!$B$2:$B$401,0))=TRUE(),999,MATCH(B113,'Binder Setup'!$B$2:$B$401,0)),999))</f>
        <v>999</v>
      </c>
      <c r="D113" s="73"/>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5.75" customHeight="1">
      <c r="A114" s="19"/>
      <c r="B114" s="19"/>
      <c r="C114" s="73">
        <f t="array" ref="C114">IF(OR(A114="",B114=""),999,IFERROR(IF(INDEX('Binder Setup'!$C$2:$C$401,MATCH(B114,'Binder Setup'!$B$2:$B$401,0))=TRUE(),999,MATCH(B114,'Binder Setup'!$B$2:$B$401,0)),999))</f>
        <v>999</v>
      </c>
      <c r="D114" s="73"/>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5.75" customHeight="1">
      <c r="A115" s="19"/>
      <c r="B115" s="19"/>
      <c r="C115" s="73">
        <f t="array" ref="C115">IF(OR(A115="",B115=""),999,IFERROR(IF(INDEX('Binder Setup'!$C$2:$C$401,MATCH(B115,'Binder Setup'!$B$2:$B$401,0))=TRUE(),999,MATCH(B115,'Binder Setup'!$B$2:$B$401,0)),999))</f>
        <v>999</v>
      </c>
      <c r="D115" s="73"/>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5.75" customHeight="1">
      <c r="A116" s="19"/>
      <c r="B116" s="19"/>
      <c r="C116" s="73">
        <f t="array" ref="C116">IF(OR(A116="",B116=""),999,IFERROR(IF(INDEX('Binder Setup'!$C$2:$C$401,MATCH(B116,'Binder Setup'!$B$2:$B$401,0))=TRUE(),999,MATCH(B116,'Binder Setup'!$B$2:$B$401,0)),999))</f>
        <v>999</v>
      </c>
      <c r="D116" s="73"/>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5.75" customHeight="1">
      <c r="A117" s="19"/>
      <c r="B117" s="19"/>
      <c r="C117" s="73">
        <f t="array" ref="C117">IF(OR(A117="",B117=""),999,IFERROR(IF(INDEX('Binder Setup'!$C$2:$C$401,MATCH(B117,'Binder Setup'!$B$2:$B$401,0))=TRUE(),999,MATCH(B117,'Binder Setup'!$B$2:$B$401,0)),999))</f>
        <v>999</v>
      </c>
      <c r="D117" s="73"/>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5.75" customHeight="1">
      <c r="A118" s="19"/>
      <c r="B118" s="19"/>
      <c r="C118" s="73">
        <f t="array" ref="C118">IF(OR(A118="",B118=""),999,IFERROR(IF(INDEX('Binder Setup'!$C$2:$C$401,MATCH(B118,'Binder Setup'!$B$2:$B$401,0))=TRUE(),999,MATCH(B118,'Binder Setup'!$B$2:$B$401,0)),999))</f>
        <v>999</v>
      </c>
      <c r="D118" s="73"/>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5.75" customHeight="1">
      <c r="A119" s="19"/>
      <c r="B119" s="19"/>
      <c r="C119" s="73">
        <f t="array" ref="C119">IF(OR(A119="",B119=""),999,IFERROR(IF(INDEX('Binder Setup'!$C$2:$C$401,MATCH(B119,'Binder Setup'!$B$2:$B$401,0))=TRUE(),999,MATCH(B119,'Binder Setup'!$B$2:$B$401,0)),999))</f>
        <v>999</v>
      </c>
      <c r="D119" s="73"/>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19"/>
      <c r="B120" s="19"/>
      <c r="C120" s="73">
        <f t="array" ref="C120">IF(OR(A120="",B120=""),999,IFERROR(IF(INDEX('Binder Setup'!$C$2:$C$401,MATCH(B120,'Binder Setup'!$B$2:$B$401,0))=TRUE(),999,MATCH(B120,'Binder Setup'!$B$2:$B$401,0)),999))</f>
        <v>999</v>
      </c>
      <c r="D120" s="73"/>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5.75" customHeight="1">
      <c r="A121" s="19"/>
      <c r="B121" s="19"/>
      <c r="C121" s="73">
        <f t="array" ref="C121">IF(OR(A121="",B121=""),999,IFERROR(IF(INDEX('Binder Setup'!$C$2:$C$401,MATCH(B121,'Binder Setup'!$B$2:$B$401,0))=TRUE(),999,MATCH(B121,'Binder Setup'!$B$2:$B$401,0)),999))</f>
        <v>999</v>
      </c>
      <c r="D121" s="73"/>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19"/>
      <c r="B122" s="19"/>
      <c r="C122" s="73">
        <f t="array" ref="C122">IF(OR(A122="",B122=""),999,IFERROR(IF(INDEX('Binder Setup'!$C$2:$C$401,MATCH(B122,'Binder Setup'!$B$2:$B$401,0))=TRUE(),999,MATCH(B122,'Binder Setup'!$B$2:$B$401,0)),999))</f>
        <v>999</v>
      </c>
      <c r="D122" s="73"/>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5.75" customHeight="1">
      <c r="A123" s="19"/>
      <c r="B123" s="19"/>
      <c r="C123" s="73">
        <f t="array" ref="C123">IF(OR(A123="",B123=""),999,IFERROR(IF(INDEX('Binder Setup'!$C$2:$C$401,MATCH(B123,'Binder Setup'!$B$2:$B$401,0))=TRUE(),999,MATCH(B123,'Binder Setup'!$B$2:$B$401,0)),999))</f>
        <v>999</v>
      </c>
      <c r="D123" s="73"/>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19"/>
      <c r="B124" s="19"/>
      <c r="C124" s="73">
        <f t="array" ref="C124">IF(OR(A124="",B124=""),999,IFERROR(IF(INDEX('Binder Setup'!$C$2:$C$401,MATCH(B124,'Binder Setup'!$B$2:$B$401,0))=TRUE(),999,MATCH(B124,'Binder Setup'!$B$2:$B$401,0)),999))</f>
        <v>999</v>
      </c>
      <c r="D124" s="73"/>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5.75" customHeight="1">
      <c r="A125" s="19"/>
      <c r="B125" s="19"/>
      <c r="C125" s="73">
        <f t="array" ref="C125">IF(OR(A125="",B125=""),999,IFERROR(IF(INDEX('Binder Setup'!$C$2:$C$401,MATCH(B125,'Binder Setup'!$B$2:$B$401,0))=TRUE(),999,MATCH(B125,'Binder Setup'!$B$2:$B$401,0)),999))</f>
        <v>999</v>
      </c>
      <c r="D125" s="73"/>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5.75" customHeight="1">
      <c r="A126" s="19"/>
      <c r="B126" s="19"/>
      <c r="C126" s="73">
        <f t="array" ref="C126">IF(OR(A126="",B126=""),999,IFERROR(IF(INDEX('Binder Setup'!$C$2:$C$401,MATCH(B126,'Binder Setup'!$B$2:$B$401,0))=TRUE(),999,MATCH(B126,'Binder Setup'!$B$2:$B$401,0)),999))</f>
        <v>999</v>
      </c>
      <c r="D126" s="73"/>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5.75" customHeight="1">
      <c r="A127" s="19"/>
      <c r="B127" s="19"/>
      <c r="C127" s="73">
        <f t="array" ref="C127">IF(OR(A127="",B127=""),999,IFERROR(IF(INDEX('Binder Setup'!$C$2:$C$401,MATCH(B127,'Binder Setup'!$B$2:$B$401,0))=TRUE(),999,MATCH(B127,'Binder Setup'!$B$2:$B$401,0)),999))</f>
        <v>999</v>
      </c>
      <c r="D127" s="73"/>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5.75" customHeight="1">
      <c r="A128" s="19"/>
      <c r="B128" s="19"/>
      <c r="C128" s="73">
        <f t="array" ref="C128">IF(OR(A128="",B128=""),999,IFERROR(IF(INDEX('Binder Setup'!$C$2:$C$401,MATCH(B128,'Binder Setup'!$B$2:$B$401,0))=TRUE(),999,MATCH(B128,'Binder Setup'!$B$2:$B$401,0)),999))</f>
        <v>999</v>
      </c>
      <c r="D128" s="73"/>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5.75" customHeight="1">
      <c r="A129" s="19"/>
      <c r="B129" s="19"/>
      <c r="C129" s="73">
        <f t="array" ref="C129">IF(OR(A129="",B129=""),999,IFERROR(IF(INDEX('Binder Setup'!$C$2:$C$401,MATCH(B129,'Binder Setup'!$B$2:$B$401,0))=TRUE(),999,MATCH(B129,'Binder Setup'!$B$2:$B$401,0)),999))</f>
        <v>999</v>
      </c>
      <c r="D129" s="73"/>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5.75" customHeight="1">
      <c r="A130" s="19"/>
      <c r="B130" s="19"/>
      <c r="C130" s="73">
        <f t="array" ref="C130">IF(OR(A130="",B130=""),999,IFERROR(IF(INDEX('Binder Setup'!$C$2:$C$401,MATCH(B130,'Binder Setup'!$B$2:$B$401,0))=TRUE(),999,MATCH(B130,'Binder Setup'!$B$2:$B$401,0)),999))</f>
        <v>999</v>
      </c>
      <c r="D130" s="73"/>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5.75" customHeight="1">
      <c r="A131" s="19"/>
      <c r="B131" s="19"/>
      <c r="C131" s="73">
        <f t="array" ref="C131">IF(OR(A131="",B131=""),999,IFERROR(IF(INDEX('Binder Setup'!$C$2:$C$401,MATCH(B131,'Binder Setup'!$B$2:$B$401,0))=TRUE(),999,MATCH(B131,'Binder Setup'!$B$2:$B$401,0)),999))</f>
        <v>999</v>
      </c>
      <c r="D131" s="73"/>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5.75" customHeight="1">
      <c r="A132" s="19"/>
      <c r="B132" s="19"/>
      <c r="C132" s="73">
        <f t="array" ref="C132">IF(OR(A132="",B132=""),999,IFERROR(IF(INDEX('Binder Setup'!$C$2:$C$401,MATCH(B132,'Binder Setup'!$B$2:$B$401,0))=TRUE(),999,MATCH(B132,'Binder Setup'!$B$2:$B$401,0)),999))</f>
        <v>999</v>
      </c>
      <c r="D132" s="73"/>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5.75" customHeight="1">
      <c r="A133" s="19"/>
      <c r="B133" s="19"/>
      <c r="C133" s="73">
        <f t="array" ref="C133">IF(OR(A133="",B133=""),999,IFERROR(IF(INDEX('Binder Setup'!$C$2:$C$401,MATCH(B133,'Binder Setup'!$B$2:$B$401,0))=TRUE(),999,MATCH(B133,'Binder Setup'!$B$2:$B$401,0)),999))</f>
        <v>999</v>
      </c>
      <c r="D133" s="73"/>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5.75" customHeight="1">
      <c r="A134" s="19"/>
      <c r="B134" s="19"/>
      <c r="C134" s="73">
        <f t="array" ref="C134">IF(OR(A134="",B134=""),999,IFERROR(IF(INDEX('Binder Setup'!$C$2:$C$401,MATCH(B134,'Binder Setup'!$B$2:$B$401,0))=TRUE(),999,MATCH(B134,'Binder Setup'!$B$2:$B$401,0)),999))</f>
        <v>999</v>
      </c>
      <c r="D134" s="73"/>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5.75" customHeight="1">
      <c r="A135" s="19"/>
      <c r="B135" s="19"/>
      <c r="C135" s="73">
        <f t="array" ref="C135">IF(OR(A135="",B135=""),999,IFERROR(IF(INDEX('Binder Setup'!$C$2:$C$401,MATCH(B135,'Binder Setup'!$B$2:$B$401,0))=TRUE(),999,MATCH(B135,'Binder Setup'!$B$2:$B$401,0)),999))</f>
        <v>999</v>
      </c>
      <c r="D135" s="73"/>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5.75" customHeight="1">
      <c r="A136" s="19"/>
      <c r="B136" s="19"/>
      <c r="C136" s="73">
        <f t="array" ref="C136">IF(OR(A136="",B136=""),999,IFERROR(IF(INDEX('Binder Setup'!$C$2:$C$401,MATCH(B136,'Binder Setup'!$B$2:$B$401,0))=TRUE(),999,MATCH(B136,'Binder Setup'!$B$2:$B$401,0)),999))</f>
        <v>999</v>
      </c>
      <c r="D136" s="73"/>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5.75" customHeight="1">
      <c r="A137" s="19"/>
      <c r="B137" s="19"/>
      <c r="C137" s="73">
        <f t="array" ref="C137">IF(OR(A137="",B137=""),999,IFERROR(IF(INDEX('Binder Setup'!$C$2:$C$401,MATCH(B137,'Binder Setup'!$B$2:$B$401,0))=TRUE(),999,MATCH(B137,'Binder Setup'!$B$2:$B$401,0)),999))</f>
        <v>999</v>
      </c>
      <c r="D137" s="73"/>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5.75" customHeight="1">
      <c r="A138" s="19"/>
      <c r="B138" s="19"/>
      <c r="C138" s="73">
        <f t="array" ref="C138">IF(OR(A138="",B138=""),999,IFERROR(IF(INDEX('Binder Setup'!$C$2:$C$401,MATCH(B138,'Binder Setup'!$B$2:$B$401,0))=TRUE(),999,MATCH(B138,'Binder Setup'!$B$2:$B$401,0)),999))</f>
        <v>999</v>
      </c>
      <c r="D138" s="73"/>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5.75" customHeight="1">
      <c r="A139" s="19"/>
      <c r="B139" s="19"/>
      <c r="C139" s="73">
        <f t="array" ref="C139">IF(OR(A139="",B139=""),999,IFERROR(IF(INDEX('Binder Setup'!$C$2:$C$401,MATCH(B139,'Binder Setup'!$B$2:$B$401,0))=TRUE(),999,MATCH(B139,'Binder Setup'!$B$2:$B$401,0)),999))</f>
        <v>999</v>
      </c>
      <c r="D139" s="73"/>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5.75" customHeight="1">
      <c r="A140" s="19"/>
      <c r="B140" s="19"/>
      <c r="C140" s="73">
        <f t="array" ref="C140">IF(OR(A140="",B140=""),999,IFERROR(IF(INDEX('Binder Setup'!$C$2:$C$401,MATCH(B140,'Binder Setup'!$B$2:$B$401,0))=TRUE(),999,MATCH(B140,'Binder Setup'!$B$2:$B$401,0)),999))</f>
        <v>999</v>
      </c>
      <c r="D140" s="73"/>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5.75" customHeight="1">
      <c r="A141" s="19"/>
      <c r="B141" s="19"/>
      <c r="C141" s="73">
        <f t="array" ref="C141">IF(OR(A141="",B141=""),999,IFERROR(IF(INDEX('Binder Setup'!$C$2:$C$401,MATCH(B141,'Binder Setup'!$B$2:$B$401,0))=TRUE(),999,MATCH(B141,'Binder Setup'!$B$2:$B$401,0)),999))</f>
        <v>999</v>
      </c>
      <c r="D141" s="73"/>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5.75" customHeight="1">
      <c r="A142" s="19"/>
      <c r="B142" s="19"/>
      <c r="C142" s="73">
        <f t="array" ref="C142">IF(OR(A142="",B142=""),999,IFERROR(IF(INDEX('Binder Setup'!$C$2:$C$401,MATCH(B142,'Binder Setup'!$B$2:$B$401,0))=TRUE(),999,MATCH(B142,'Binder Setup'!$B$2:$B$401,0)),999))</f>
        <v>999</v>
      </c>
      <c r="D142" s="73"/>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5.75" customHeight="1">
      <c r="A143" s="19"/>
      <c r="B143" s="19"/>
      <c r="C143" s="73">
        <f t="array" ref="C143">IF(OR(A143="",B143=""),999,IFERROR(IF(INDEX('Binder Setup'!$C$2:$C$401,MATCH(B143,'Binder Setup'!$B$2:$B$401,0))=TRUE(),999,MATCH(B143,'Binder Setup'!$B$2:$B$401,0)),999))</f>
        <v>999</v>
      </c>
      <c r="D143" s="73"/>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5.75" customHeight="1">
      <c r="A144" s="19"/>
      <c r="B144" s="19"/>
      <c r="C144" s="73">
        <f t="array" ref="C144">IF(OR(A144="",B144=""),999,IFERROR(IF(INDEX('Binder Setup'!$C$2:$C$401,MATCH(B144,'Binder Setup'!$B$2:$B$401,0))=TRUE(),999,MATCH(B144,'Binder Setup'!$B$2:$B$401,0)),999))</f>
        <v>999</v>
      </c>
      <c r="D144" s="73"/>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5.75" customHeight="1">
      <c r="A145" s="19"/>
      <c r="B145" s="19"/>
      <c r="C145" s="73">
        <f t="array" ref="C145">IF(OR(A145="",B145=""),999,IFERROR(IF(INDEX('Binder Setup'!$C$2:$C$401,MATCH(B145,'Binder Setup'!$B$2:$B$401,0))=TRUE(),999,MATCH(B145,'Binder Setup'!$B$2:$B$401,0)),999))</f>
        <v>999</v>
      </c>
      <c r="D145" s="73"/>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5.75" customHeight="1">
      <c r="A146" s="19"/>
      <c r="B146" s="19"/>
      <c r="C146" s="73">
        <f t="array" ref="C146">IF(OR(A146="",B146=""),999,IFERROR(IF(INDEX('Binder Setup'!$C$2:$C$401,MATCH(B146,'Binder Setup'!$B$2:$B$401,0))=TRUE(),999,MATCH(B146,'Binder Setup'!$B$2:$B$401,0)),999))</f>
        <v>999</v>
      </c>
      <c r="D146" s="73"/>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5.75" customHeight="1">
      <c r="A147" s="19"/>
      <c r="B147" s="19"/>
      <c r="C147" s="73">
        <f t="array" ref="C147">IF(OR(A147="",B147=""),999,IFERROR(IF(INDEX('Binder Setup'!$C$2:$C$401,MATCH(B147,'Binder Setup'!$B$2:$B$401,0))=TRUE(),999,MATCH(B147,'Binder Setup'!$B$2:$B$401,0)),999))</f>
        <v>999</v>
      </c>
      <c r="D147" s="73"/>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5.75" customHeight="1">
      <c r="A148" s="19"/>
      <c r="B148" s="19"/>
      <c r="C148" s="73">
        <f t="array" ref="C148">IF(OR(A148="",B148=""),999,IFERROR(IF(INDEX('Binder Setup'!$C$2:$C$401,MATCH(B148,'Binder Setup'!$B$2:$B$401,0))=TRUE(),999,MATCH(B148,'Binder Setup'!$B$2:$B$401,0)),999))</f>
        <v>999</v>
      </c>
      <c r="D148" s="73"/>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5.75" customHeight="1">
      <c r="A149" s="19"/>
      <c r="B149" s="19"/>
      <c r="C149" s="73">
        <f t="array" ref="C149">IF(OR(A149="",B149=""),999,IFERROR(IF(INDEX('Binder Setup'!$C$2:$C$401,MATCH(B149,'Binder Setup'!$B$2:$B$401,0))=TRUE(),999,MATCH(B149,'Binder Setup'!$B$2:$B$401,0)),999))</f>
        <v>999</v>
      </c>
      <c r="D149" s="73"/>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5.75" customHeight="1">
      <c r="A150" s="19"/>
      <c r="B150" s="19"/>
      <c r="C150" s="73">
        <f t="array" ref="C150">IF(OR(A150="",B150=""),999,IFERROR(IF(INDEX('Binder Setup'!$C$2:$C$401,MATCH(B150,'Binder Setup'!$B$2:$B$401,0))=TRUE(),999,MATCH(B150,'Binder Setup'!$B$2:$B$401,0)),999))</f>
        <v>999</v>
      </c>
      <c r="D150" s="73"/>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19"/>
      <c r="B151" s="19"/>
      <c r="C151" s="73">
        <f t="array" ref="C151">IF(OR(A151="",B151=""),999,IFERROR(IF(INDEX('Binder Setup'!$C$2:$C$401,MATCH(B151,'Binder Setup'!$B$2:$B$401,0))=TRUE(),999,MATCH(B151,'Binder Setup'!$B$2:$B$401,0)),999))</f>
        <v>999</v>
      </c>
      <c r="D151" s="73"/>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19"/>
      <c r="B152" s="19"/>
      <c r="C152" s="73">
        <f t="array" ref="C152">IF(OR(A152="",B152=""),999,IFERROR(IF(INDEX('Binder Setup'!$C$2:$C$401,MATCH(B152,'Binder Setup'!$B$2:$B$401,0))=TRUE(),999,MATCH(B152,'Binder Setup'!$B$2:$B$401,0)),999))</f>
        <v>999</v>
      </c>
      <c r="D152" s="73"/>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19"/>
      <c r="B153" s="19"/>
      <c r="C153" s="73">
        <f t="array" ref="C153">IF(OR(A153="",B153=""),999,IFERROR(IF(INDEX('Binder Setup'!$C$2:$C$401,MATCH(B153,'Binder Setup'!$B$2:$B$401,0))=TRUE(),999,MATCH(B153,'Binder Setup'!$B$2:$B$401,0)),999))</f>
        <v>999</v>
      </c>
      <c r="D153" s="73"/>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19"/>
      <c r="B154" s="19"/>
      <c r="C154" s="73">
        <f t="array" ref="C154">IF(OR(A154="",B154=""),999,IFERROR(IF(INDEX('Binder Setup'!$C$2:$C$401,MATCH(B154,'Binder Setup'!$B$2:$B$401,0))=TRUE(),999,MATCH(B154,'Binder Setup'!$B$2:$B$401,0)),999))</f>
        <v>999</v>
      </c>
      <c r="D154" s="73"/>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5.75" customHeight="1">
      <c r="A155" s="19"/>
      <c r="B155" s="19"/>
      <c r="C155" s="73">
        <f t="array" ref="C155">IF(OR(A155="",B155=""),999,IFERROR(IF(INDEX('Binder Setup'!$C$2:$C$401,MATCH(B155,'Binder Setup'!$B$2:$B$401,0))=TRUE(),999,MATCH(B155,'Binder Setup'!$B$2:$B$401,0)),999))</f>
        <v>999</v>
      </c>
      <c r="D155" s="73"/>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5.75" customHeight="1">
      <c r="A156" s="19"/>
      <c r="B156" s="19"/>
      <c r="C156" s="73">
        <f t="array" ref="C156">IF(OR(A156="",B156=""),999,IFERROR(IF(INDEX('Binder Setup'!$C$2:$C$401,MATCH(B156,'Binder Setup'!$B$2:$B$401,0))=TRUE(),999,MATCH(B156,'Binder Setup'!$B$2:$B$401,0)),999))</f>
        <v>999</v>
      </c>
      <c r="D156" s="73"/>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19"/>
      <c r="B157" s="19"/>
      <c r="C157" s="73">
        <f t="array" ref="C157">IF(OR(A157="",B157=""),999,IFERROR(IF(INDEX('Binder Setup'!$C$2:$C$401,MATCH(B157,'Binder Setup'!$B$2:$B$401,0))=TRUE(),999,MATCH(B157,'Binder Setup'!$B$2:$B$401,0)),999))</f>
        <v>999</v>
      </c>
      <c r="D157" s="73"/>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19"/>
      <c r="B158" s="19"/>
      <c r="C158" s="73">
        <f t="array" ref="C158">IF(OR(A158="",B158=""),999,IFERROR(IF(INDEX('Binder Setup'!$C$2:$C$401,MATCH(B158,'Binder Setup'!$B$2:$B$401,0))=TRUE(),999,MATCH(B158,'Binder Setup'!$B$2:$B$401,0)),999))</f>
        <v>999</v>
      </c>
      <c r="D158" s="73"/>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19"/>
      <c r="B159" s="19"/>
      <c r="C159" s="73">
        <f t="array" ref="C159">IF(OR(A159="",B159=""),999,IFERROR(IF(INDEX('Binder Setup'!$C$2:$C$401,MATCH(B159,'Binder Setup'!$B$2:$B$401,0))=TRUE(),999,MATCH(B159,'Binder Setup'!$B$2:$B$401,0)),999))</f>
        <v>999</v>
      </c>
      <c r="D159" s="73"/>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19"/>
      <c r="B160" s="19"/>
      <c r="C160" s="73">
        <f t="array" ref="C160">IF(OR(A160="",B160=""),999,IFERROR(IF(INDEX('Binder Setup'!$C$2:$C$401,MATCH(B160,'Binder Setup'!$B$2:$B$401,0))=TRUE(),999,MATCH(B160,'Binder Setup'!$B$2:$B$401,0)),999))</f>
        <v>999</v>
      </c>
      <c r="D160" s="73"/>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19"/>
      <c r="B161" s="19"/>
      <c r="C161" s="73">
        <f t="array" ref="C161">IF(OR(A161="",B161=""),999,IFERROR(IF(INDEX('Binder Setup'!$C$2:$C$401,MATCH(B161,'Binder Setup'!$B$2:$B$401,0))=TRUE(),999,MATCH(B161,'Binder Setup'!$B$2:$B$401,0)),999))</f>
        <v>999</v>
      </c>
      <c r="D161" s="73"/>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19"/>
      <c r="B162" s="19"/>
      <c r="C162" s="73">
        <f t="array" ref="C162">IF(OR(A162="",B162=""),999,IFERROR(IF(INDEX('Binder Setup'!$C$2:$C$401,MATCH(B162,'Binder Setup'!$B$2:$B$401,0))=TRUE(),999,MATCH(B162,'Binder Setup'!$B$2:$B$401,0)),999))</f>
        <v>999</v>
      </c>
      <c r="D162" s="73"/>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19"/>
      <c r="B163" s="19"/>
      <c r="C163" s="73">
        <f t="array" ref="C163">IF(OR(A163="",B163=""),999,IFERROR(IF(INDEX('Binder Setup'!$C$2:$C$401,MATCH(B163,'Binder Setup'!$B$2:$B$401,0))=TRUE(),999,MATCH(B163,'Binder Setup'!$B$2:$B$401,0)),999))</f>
        <v>999</v>
      </c>
      <c r="D163" s="73"/>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19"/>
      <c r="B164" s="19"/>
      <c r="C164" s="73">
        <f t="array" ref="C164">IF(OR(A164="",B164=""),999,IFERROR(IF(INDEX('Binder Setup'!$C$2:$C$401,MATCH(B164,'Binder Setup'!$B$2:$B$401,0))=TRUE(),999,MATCH(B164,'Binder Setup'!$B$2:$B$401,0)),999))</f>
        <v>999</v>
      </c>
      <c r="D164" s="73"/>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19"/>
      <c r="B165" s="19"/>
      <c r="C165" s="73">
        <f t="array" ref="C165">IF(OR(A165="",B165=""),999,IFERROR(IF(INDEX('Binder Setup'!$C$2:$C$401,MATCH(B165,'Binder Setup'!$B$2:$B$401,0))=TRUE(),999,MATCH(B165,'Binder Setup'!$B$2:$B$401,0)),999))</f>
        <v>999</v>
      </c>
      <c r="D165" s="73"/>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5.75" customHeight="1">
      <c r="A166" s="19"/>
      <c r="B166" s="19"/>
      <c r="C166" s="73">
        <f t="array" ref="C166">IF(OR(A166="",B166=""),999,IFERROR(IF(INDEX('Binder Setup'!$C$2:$C$401,MATCH(B166,'Binder Setup'!$B$2:$B$401,0))=TRUE(),999,MATCH(B166,'Binder Setup'!$B$2:$B$401,0)),999))</f>
        <v>999</v>
      </c>
      <c r="D166" s="73"/>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5.75" customHeight="1">
      <c r="A167" s="19"/>
      <c r="B167" s="19"/>
      <c r="C167" s="73">
        <f t="array" ref="C167">IF(OR(A167="",B167=""),999,IFERROR(IF(INDEX('Binder Setup'!$C$2:$C$401,MATCH(B167,'Binder Setup'!$B$2:$B$401,0))=TRUE(),999,MATCH(B167,'Binder Setup'!$B$2:$B$401,0)),999))</f>
        <v>999</v>
      </c>
      <c r="D167" s="73"/>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5.75" customHeight="1">
      <c r="A168" s="19"/>
      <c r="B168" s="19"/>
      <c r="C168" s="73">
        <f t="array" ref="C168">IF(OR(A168="",B168=""),999,IFERROR(IF(INDEX('Binder Setup'!$C$2:$C$401,MATCH(B168,'Binder Setup'!$B$2:$B$401,0))=TRUE(),999,MATCH(B168,'Binder Setup'!$B$2:$B$401,0)),999))</f>
        <v>999</v>
      </c>
      <c r="D168" s="73"/>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19"/>
      <c r="B169" s="19"/>
      <c r="C169" s="73">
        <f t="array" ref="C169">IF(OR(A169="",B169=""),999,IFERROR(IF(INDEX('Binder Setup'!$C$2:$C$401,MATCH(B169,'Binder Setup'!$B$2:$B$401,0))=TRUE(),999,MATCH(B169,'Binder Setup'!$B$2:$B$401,0)),999))</f>
        <v>999</v>
      </c>
      <c r="D169" s="73"/>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19"/>
      <c r="B170" s="19"/>
      <c r="C170" s="73">
        <f t="array" ref="C170">IF(OR(A170="",B170=""),999,IFERROR(IF(INDEX('Binder Setup'!$C$2:$C$401,MATCH(B170,'Binder Setup'!$B$2:$B$401,0))=TRUE(),999,MATCH(B170,'Binder Setup'!$B$2:$B$401,0)),999))</f>
        <v>999</v>
      </c>
      <c r="D170" s="73"/>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19"/>
      <c r="B171" s="19"/>
      <c r="C171" s="73">
        <f t="array" ref="C171">IF(OR(A171="",B171=""),999,IFERROR(IF(INDEX('Binder Setup'!$C$2:$C$401,MATCH(B171,'Binder Setup'!$B$2:$B$401,0))=TRUE(),999,MATCH(B171,'Binder Setup'!$B$2:$B$401,0)),999))</f>
        <v>999</v>
      </c>
      <c r="D171" s="73"/>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19"/>
      <c r="B172" s="19"/>
      <c r="C172" s="73">
        <f t="array" ref="C172">IF(OR(A172="",B172=""),999,IFERROR(IF(INDEX('Binder Setup'!$C$2:$C$401,MATCH(B172,'Binder Setup'!$B$2:$B$401,0))=TRUE(),999,MATCH(B172,'Binder Setup'!$B$2:$B$401,0)),999))</f>
        <v>999</v>
      </c>
      <c r="D172" s="73"/>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5.75" customHeight="1">
      <c r="A173" s="19"/>
      <c r="B173" s="19"/>
      <c r="C173" s="73">
        <f t="array" ref="C173">IF(OR(A173="",B173=""),999,IFERROR(IF(INDEX('Binder Setup'!$C$2:$C$401,MATCH(B173,'Binder Setup'!$B$2:$B$401,0))=TRUE(),999,MATCH(B173,'Binder Setup'!$B$2:$B$401,0)),999))</f>
        <v>999</v>
      </c>
      <c r="D173" s="73"/>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19"/>
      <c r="B174" s="19"/>
      <c r="C174" s="73">
        <f t="array" ref="C174">IF(OR(A174="",B174=""),999,IFERROR(IF(INDEX('Binder Setup'!$C$2:$C$401,MATCH(B174,'Binder Setup'!$B$2:$B$401,0))=TRUE(),999,MATCH(B174,'Binder Setup'!$B$2:$B$401,0)),999))</f>
        <v>999</v>
      </c>
      <c r="D174" s="73"/>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5.75" customHeight="1">
      <c r="A175" s="19"/>
      <c r="B175" s="19"/>
      <c r="C175" s="73">
        <f t="array" ref="C175">IF(OR(A175="",B175=""),999,IFERROR(IF(INDEX('Binder Setup'!$C$2:$C$401,MATCH(B175,'Binder Setup'!$B$2:$B$401,0))=TRUE(),999,MATCH(B175,'Binder Setup'!$B$2:$B$401,0)),999))</f>
        <v>999</v>
      </c>
      <c r="D175" s="73"/>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5.75" customHeight="1">
      <c r="A176" s="19"/>
      <c r="B176" s="19"/>
      <c r="C176" s="73">
        <f t="array" ref="C176">IF(OR(A176="",B176=""),999,IFERROR(IF(INDEX('Binder Setup'!$C$2:$C$401,MATCH(B176,'Binder Setup'!$B$2:$B$401,0))=TRUE(),999,MATCH(B176,'Binder Setup'!$B$2:$B$401,0)),999))</f>
        <v>999</v>
      </c>
      <c r="D176" s="73"/>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5.75" customHeight="1">
      <c r="A177" s="19"/>
      <c r="B177" s="19"/>
      <c r="C177" s="73">
        <f t="array" ref="C177">IF(OR(A177="",B177=""),999,IFERROR(IF(INDEX('Binder Setup'!$C$2:$C$401,MATCH(B177,'Binder Setup'!$B$2:$B$401,0))=TRUE(),999,MATCH(B177,'Binder Setup'!$B$2:$B$401,0)),999))</f>
        <v>999</v>
      </c>
      <c r="D177" s="73"/>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19"/>
      <c r="B178" s="19"/>
      <c r="C178" s="73">
        <f t="array" ref="C178">IF(OR(A178="",B178=""),999,IFERROR(IF(INDEX('Binder Setup'!$C$2:$C$401,MATCH(B178,'Binder Setup'!$B$2:$B$401,0))=TRUE(),999,MATCH(B178,'Binder Setup'!$B$2:$B$401,0)),999))</f>
        <v>999</v>
      </c>
      <c r="D178" s="73"/>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19"/>
      <c r="B179" s="19"/>
      <c r="C179" s="73">
        <f t="array" ref="C179">IF(OR(A179="",B179=""),999,IFERROR(IF(INDEX('Binder Setup'!$C$2:$C$401,MATCH(B179,'Binder Setup'!$B$2:$B$401,0))=TRUE(),999,MATCH(B179,'Binder Setup'!$B$2:$B$401,0)),999))</f>
        <v>999</v>
      </c>
      <c r="D179" s="73"/>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19"/>
      <c r="B180" s="19"/>
      <c r="C180" s="73">
        <f t="array" ref="C180">IF(OR(A180="",B180=""),999,IFERROR(IF(INDEX('Binder Setup'!$C$2:$C$401,MATCH(B180,'Binder Setup'!$B$2:$B$401,0))=TRUE(),999,MATCH(B180,'Binder Setup'!$B$2:$B$401,0)),999))</f>
        <v>999</v>
      </c>
      <c r="D180" s="73"/>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19"/>
      <c r="B181" s="19"/>
      <c r="C181" s="73">
        <f t="array" ref="C181">IF(OR(A181="",B181=""),999,IFERROR(IF(INDEX('Binder Setup'!$C$2:$C$401,MATCH(B181,'Binder Setup'!$B$2:$B$401,0))=TRUE(),999,MATCH(B181,'Binder Setup'!$B$2:$B$401,0)),999))</f>
        <v>999</v>
      </c>
      <c r="D181" s="73"/>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19"/>
      <c r="B182" s="19"/>
      <c r="C182" s="73">
        <f t="array" ref="C182">IF(OR(A182="",B182=""),999,IFERROR(IF(INDEX('Binder Setup'!$C$2:$C$401,MATCH(B182,'Binder Setup'!$B$2:$B$401,0))=TRUE(),999,MATCH(B182,'Binder Setup'!$B$2:$B$401,0)),999))</f>
        <v>999</v>
      </c>
      <c r="D182" s="73"/>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19"/>
      <c r="B183" s="19"/>
      <c r="C183" s="73">
        <f t="array" ref="C183">IF(OR(A183="",B183=""),999,IFERROR(IF(INDEX('Binder Setup'!$C$2:$C$401,MATCH(B183,'Binder Setup'!$B$2:$B$401,0))=TRUE(),999,MATCH(B183,'Binder Setup'!$B$2:$B$401,0)),999))</f>
        <v>999</v>
      </c>
      <c r="D183" s="73"/>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19"/>
      <c r="B184" s="19"/>
      <c r="C184" s="73">
        <f t="array" ref="C184">IF(OR(A184="",B184=""),999,IFERROR(IF(INDEX('Binder Setup'!$C$2:$C$401,MATCH(B184,'Binder Setup'!$B$2:$B$401,0))=TRUE(),999,MATCH(B184,'Binder Setup'!$B$2:$B$401,0)),999))</f>
        <v>999</v>
      </c>
      <c r="D184" s="73"/>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19"/>
      <c r="B185" s="19"/>
      <c r="C185" s="73">
        <f t="array" ref="C185">IF(OR(A185="",B185=""),999,IFERROR(IF(INDEX('Binder Setup'!$C$2:$C$401,MATCH(B185,'Binder Setup'!$B$2:$B$401,0))=TRUE(),999,MATCH(B185,'Binder Setup'!$B$2:$B$401,0)),999))</f>
        <v>999</v>
      </c>
      <c r="D185" s="73"/>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19"/>
      <c r="B186" s="19"/>
      <c r="C186" s="73">
        <f t="array" ref="C186">IF(OR(A186="",B186=""),999,IFERROR(IF(INDEX('Binder Setup'!$C$2:$C$401,MATCH(B186,'Binder Setup'!$B$2:$B$401,0))=TRUE(),999,MATCH(B186,'Binder Setup'!$B$2:$B$401,0)),999))</f>
        <v>999</v>
      </c>
      <c r="D186" s="73"/>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19"/>
      <c r="B187" s="19"/>
      <c r="C187" s="73">
        <f t="array" ref="C187">IF(OR(A187="",B187=""),999,IFERROR(IF(INDEX('Binder Setup'!$C$2:$C$401,MATCH(B187,'Binder Setup'!$B$2:$B$401,0))=TRUE(),999,MATCH(B187,'Binder Setup'!$B$2:$B$401,0)),999))</f>
        <v>999</v>
      </c>
      <c r="D187" s="73"/>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19"/>
      <c r="B188" s="19"/>
      <c r="C188" s="73">
        <f t="array" ref="C188">IF(OR(A188="",B188=""),999,IFERROR(IF(INDEX('Binder Setup'!$C$2:$C$401,MATCH(B188,'Binder Setup'!$B$2:$B$401,0))=TRUE(),999,MATCH(B188,'Binder Setup'!$B$2:$B$401,0)),999))</f>
        <v>999</v>
      </c>
      <c r="D188" s="73"/>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19"/>
      <c r="B189" s="19"/>
      <c r="C189" s="73">
        <f t="array" ref="C189">IF(OR(A189="",B189=""),999,IFERROR(IF(INDEX('Binder Setup'!$C$2:$C$401,MATCH(B189,'Binder Setup'!$B$2:$B$401,0))=TRUE(),999,MATCH(B189,'Binder Setup'!$B$2:$B$401,0)),999))</f>
        <v>999</v>
      </c>
      <c r="D189" s="73"/>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19"/>
      <c r="B190" s="19"/>
      <c r="C190" s="73">
        <f t="array" ref="C190">IF(OR(A190="",B190=""),999,IFERROR(IF(INDEX('Binder Setup'!$C$2:$C$401,MATCH(B190,'Binder Setup'!$B$2:$B$401,0))=TRUE(),999,MATCH(B190,'Binder Setup'!$B$2:$B$401,0)),999))</f>
        <v>999</v>
      </c>
      <c r="D190" s="73"/>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19"/>
      <c r="B191" s="19"/>
      <c r="C191" s="73">
        <f t="array" ref="C191">IF(OR(A191="",B191=""),999,IFERROR(IF(INDEX('Binder Setup'!$C$2:$C$401,MATCH(B191,'Binder Setup'!$B$2:$B$401,0))=TRUE(),999,MATCH(B191,'Binder Setup'!$B$2:$B$401,0)),999))</f>
        <v>999</v>
      </c>
      <c r="D191" s="73"/>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19"/>
      <c r="B192" s="19"/>
      <c r="C192" s="73">
        <f t="array" ref="C192">IF(OR(A192="",B192=""),999,IFERROR(IF(INDEX('Binder Setup'!$C$2:$C$401,MATCH(B192,'Binder Setup'!$B$2:$B$401,0))=TRUE(),999,MATCH(B192,'Binder Setup'!$B$2:$B$401,0)),999))</f>
        <v>999</v>
      </c>
      <c r="D192" s="73"/>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19"/>
      <c r="B193" s="19"/>
      <c r="C193" s="73">
        <f t="array" ref="C193">IF(OR(A193="",B193=""),999,IFERROR(IF(INDEX('Binder Setup'!$C$2:$C$401,MATCH(B193,'Binder Setup'!$B$2:$B$401,0))=TRUE(),999,MATCH(B193,'Binder Setup'!$B$2:$B$401,0)),999))</f>
        <v>999</v>
      </c>
      <c r="D193" s="73"/>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19"/>
      <c r="B194" s="19"/>
      <c r="C194" s="73">
        <f t="array" ref="C194">IF(OR(A194="",B194=""),999,IFERROR(IF(INDEX('Binder Setup'!$C$2:$C$401,MATCH(B194,'Binder Setup'!$B$2:$B$401,0))=TRUE(),999,MATCH(B194,'Binder Setup'!$B$2:$B$401,0)),999))</f>
        <v>999</v>
      </c>
      <c r="D194" s="73"/>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19"/>
      <c r="B195" s="19"/>
      <c r="C195" s="73">
        <f t="array" ref="C195">IF(OR(A195="",B195=""),999,IFERROR(IF(INDEX('Binder Setup'!$C$2:$C$401,MATCH(B195,'Binder Setup'!$B$2:$B$401,0))=TRUE(),999,MATCH(B195,'Binder Setup'!$B$2:$B$401,0)),999))</f>
        <v>999</v>
      </c>
      <c r="D195" s="73"/>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19"/>
      <c r="B196" s="19"/>
      <c r="C196" s="73">
        <f t="array" ref="C196">IF(OR(A196="",B196=""),999,IFERROR(IF(INDEX('Binder Setup'!$C$2:$C$401,MATCH(B196,'Binder Setup'!$B$2:$B$401,0))=TRUE(),999,MATCH(B196,'Binder Setup'!$B$2:$B$401,0)),999))</f>
        <v>999</v>
      </c>
      <c r="D196" s="73"/>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19"/>
      <c r="B197" s="19"/>
      <c r="C197" s="73">
        <f t="array" ref="C197">IF(OR(A197="",B197=""),999,IFERROR(IF(INDEX('Binder Setup'!$C$2:$C$401,MATCH(B197,'Binder Setup'!$B$2:$B$401,0))=TRUE(),999,MATCH(B197,'Binder Setup'!$B$2:$B$401,0)),999))</f>
        <v>999</v>
      </c>
      <c r="D197" s="73"/>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19"/>
      <c r="B198" s="19"/>
      <c r="C198" s="73">
        <f t="array" ref="C198">IF(OR(A198="",B198=""),999,IFERROR(IF(INDEX('Binder Setup'!$C$2:$C$401,MATCH(B198,'Binder Setup'!$B$2:$B$401,0))=TRUE(),999,MATCH(B198,'Binder Setup'!$B$2:$B$401,0)),999))</f>
        <v>999</v>
      </c>
      <c r="D198" s="73"/>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19"/>
      <c r="B199" s="19"/>
      <c r="C199" s="73">
        <f t="array" ref="C199">IF(OR(A199="",B199=""),999,IFERROR(IF(INDEX('Binder Setup'!$C$2:$C$401,MATCH(B199,'Binder Setup'!$B$2:$B$401,0))=TRUE(),999,MATCH(B199,'Binder Setup'!$B$2:$B$401,0)),999))</f>
        <v>999</v>
      </c>
      <c r="D199" s="73"/>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19"/>
      <c r="B200" s="19"/>
      <c r="C200" s="73">
        <f t="array" ref="C200">IF(OR(A200="",B200=""),999,IFERROR(IF(INDEX('Binder Setup'!$C$2:$C$401,MATCH(B200,'Binder Setup'!$B$2:$B$401,0))=TRUE(),999,MATCH(B200,'Binder Setup'!$B$2:$B$401,0)),999))</f>
        <v>999</v>
      </c>
      <c r="D200" s="73"/>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19"/>
      <c r="B201" s="19"/>
      <c r="C201" s="73">
        <f t="array" ref="C201">IF(OR(A201="",B201=""),999,IFERROR(IF(INDEX('Binder Setup'!$C$2:$C$401,MATCH(B201,'Binder Setup'!$B$2:$B$401,0))=TRUE(),999,MATCH(B201,'Binder Setup'!$B$2:$B$401,0)),999))</f>
        <v>999</v>
      </c>
      <c r="D201" s="73"/>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19"/>
      <c r="B202" s="19"/>
      <c r="C202" s="73">
        <f t="array" ref="C202">IF(OR(A202="",B202=""),999,IFERROR(IF(INDEX('Binder Setup'!$C$2:$C$401,MATCH(B202,'Binder Setup'!$B$2:$B$401,0))=TRUE(),999,MATCH(B202,'Binder Setup'!$B$2:$B$401,0)),999))</f>
        <v>999</v>
      </c>
      <c r="D202" s="73"/>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19"/>
      <c r="B203" s="19"/>
      <c r="C203" s="73">
        <f t="array" ref="C203">IF(OR(A203="",B203=""),999,IFERROR(IF(INDEX('Binder Setup'!$C$2:$C$401,MATCH(B203,'Binder Setup'!$B$2:$B$401,0))=TRUE(),999,MATCH(B203,'Binder Setup'!$B$2:$B$401,0)),999))</f>
        <v>999</v>
      </c>
      <c r="D203" s="73"/>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19"/>
      <c r="B204" s="19"/>
      <c r="C204" s="73">
        <f t="array" ref="C204">IF(OR(A204="",B204=""),999,IFERROR(IF(INDEX('Binder Setup'!$C$2:$C$401,MATCH(B204,'Binder Setup'!$B$2:$B$401,0))=TRUE(),999,MATCH(B204,'Binder Setup'!$B$2:$B$401,0)),999))</f>
        <v>999</v>
      </c>
      <c r="D204" s="73"/>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19"/>
      <c r="B205" s="19"/>
      <c r="C205" s="73">
        <f t="array" ref="C205">IF(OR(A205="",B205=""),999,IFERROR(IF(INDEX('Binder Setup'!$C$2:$C$401,MATCH(B205,'Binder Setup'!$B$2:$B$401,0))=TRUE(),999,MATCH(B205,'Binder Setup'!$B$2:$B$401,0)),999))</f>
        <v>999</v>
      </c>
      <c r="D205" s="73"/>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19"/>
      <c r="B206" s="19"/>
      <c r="C206" s="73">
        <f t="array" ref="C206">IF(OR(A206="",B206=""),999,IFERROR(IF(INDEX('Binder Setup'!$C$2:$C$401,MATCH(B206,'Binder Setup'!$B$2:$B$401,0))=TRUE(),999,MATCH(B206,'Binder Setup'!$B$2:$B$401,0)),999))</f>
        <v>999</v>
      </c>
      <c r="D206" s="73"/>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19"/>
      <c r="B207" s="19"/>
      <c r="C207" s="73">
        <f t="array" ref="C207">IF(OR(A207="",B207=""),999,IFERROR(IF(INDEX('Binder Setup'!$C$2:$C$401,MATCH(B207,'Binder Setup'!$B$2:$B$401,0))=TRUE(),999,MATCH(B207,'Binder Setup'!$B$2:$B$401,0)),999))</f>
        <v>999</v>
      </c>
      <c r="D207" s="73"/>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19"/>
      <c r="B208" s="19"/>
      <c r="C208" s="73">
        <f t="array" ref="C208">IF(OR(A208="",B208=""),999,IFERROR(IF(INDEX('Binder Setup'!$C$2:$C$401,MATCH(B208,'Binder Setup'!$B$2:$B$401,0))=TRUE(),999,MATCH(B208,'Binder Setup'!$B$2:$B$401,0)),999))</f>
        <v>999</v>
      </c>
      <c r="D208" s="73"/>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19"/>
      <c r="B209" s="19"/>
      <c r="C209" s="73">
        <f t="array" ref="C209">IF(OR(A209="",B209=""),999,IFERROR(IF(INDEX('Binder Setup'!$C$2:$C$401,MATCH(B209,'Binder Setup'!$B$2:$B$401,0))=TRUE(),999,MATCH(B209,'Binder Setup'!$B$2:$B$401,0)),999))</f>
        <v>999</v>
      </c>
      <c r="D209" s="73"/>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19"/>
      <c r="B210" s="19"/>
      <c r="C210" s="73">
        <f t="array" ref="C210">IF(OR(A210="",B210=""),999,IFERROR(IF(INDEX('Binder Setup'!$C$2:$C$401,MATCH(B210,'Binder Setup'!$B$2:$B$401,0))=TRUE(),999,MATCH(B210,'Binder Setup'!$B$2:$B$401,0)),999))</f>
        <v>999</v>
      </c>
      <c r="D210" s="73"/>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19"/>
      <c r="B211" s="19"/>
      <c r="C211" s="73">
        <f t="array" ref="C211">IF(OR(A211="",B211=""),999,IFERROR(IF(INDEX('Binder Setup'!$C$2:$C$401,MATCH(B211,'Binder Setup'!$B$2:$B$401,0))=TRUE(),999,MATCH(B211,'Binder Setup'!$B$2:$B$401,0)),999))</f>
        <v>999</v>
      </c>
      <c r="D211" s="73"/>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19"/>
      <c r="B212" s="19"/>
      <c r="C212" s="73">
        <f t="array" ref="C212">IF(OR(A212="",B212=""),999,IFERROR(IF(INDEX('Binder Setup'!$C$2:$C$401,MATCH(B212,'Binder Setup'!$B$2:$B$401,0))=TRUE(),999,MATCH(B212,'Binder Setup'!$B$2:$B$401,0)),999))</f>
        <v>999</v>
      </c>
      <c r="D212" s="73"/>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19"/>
      <c r="B213" s="19"/>
      <c r="C213" s="73">
        <f t="array" ref="C213">IF(OR(A213="",B213=""),999,IFERROR(IF(INDEX('Binder Setup'!$C$2:$C$401,MATCH(B213,'Binder Setup'!$B$2:$B$401,0))=TRUE(),999,MATCH(B213,'Binder Setup'!$B$2:$B$401,0)),999))</f>
        <v>999</v>
      </c>
      <c r="D213" s="73"/>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19"/>
      <c r="B214" s="19"/>
      <c r="C214" s="73">
        <f t="array" ref="C214">IF(OR(A214="",B214=""),999,IFERROR(IF(INDEX('Binder Setup'!$C$2:$C$401,MATCH(B214,'Binder Setup'!$B$2:$B$401,0))=TRUE(),999,MATCH(B214,'Binder Setup'!$B$2:$B$401,0)),999))</f>
        <v>999</v>
      </c>
      <c r="D214" s="73"/>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19"/>
      <c r="B215" s="19"/>
      <c r="C215" s="73">
        <f t="array" ref="C215">IF(OR(A215="",B215=""),999,IFERROR(IF(INDEX('Binder Setup'!$C$2:$C$401,MATCH(B215,'Binder Setup'!$B$2:$B$401,0))=TRUE(),999,MATCH(B215,'Binder Setup'!$B$2:$B$401,0)),999))</f>
        <v>999</v>
      </c>
      <c r="D215" s="73"/>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19"/>
      <c r="B216" s="19"/>
      <c r="C216" s="73">
        <f t="array" ref="C216">IF(OR(A216="",B216=""),999,IFERROR(IF(INDEX('Binder Setup'!$C$2:$C$401,MATCH(B216,'Binder Setup'!$B$2:$B$401,0))=TRUE(),999,MATCH(B216,'Binder Setup'!$B$2:$B$401,0)),999))</f>
        <v>999</v>
      </c>
      <c r="D216" s="73"/>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19"/>
      <c r="B217" s="19"/>
      <c r="C217" s="73">
        <f t="array" ref="C217">IF(OR(A217="",B217=""),999,IFERROR(IF(INDEX('Binder Setup'!$C$2:$C$401,MATCH(B217,'Binder Setup'!$B$2:$B$401,0))=TRUE(),999,MATCH(B217,'Binder Setup'!$B$2:$B$401,0)),999))</f>
        <v>999</v>
      </c>
      <c r="D217" s="73"/>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19"/>
      <c r="B218" s="19"/>
      <c r="C218" s="73">
        <f t="array" ref="C218">IF(OR(A218="",B218=""),999,IFERROR(IF(INDEX('Binder Setup'!$C$2:$C$401,MATCH(B218,'Binder Setup'!$B$2:$B$401,0))=TRUE(),999,MATCH(B218,'Binder Setup'!$B$2:$B$401,0)),999))</f>
        <v>999</v>
      </c>
      <c r="D218" s="73"/>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19"/>
      <c r="B219" s="19"/>
      <c r="C219" s="73">
        <f t="array" ref="C219">IF(OR(A219="",B219=""),999,IFERROR(IF(INDEX('Binder Setup'!$C$2:$C$401,MATCH(B219,'Binder Setup'!$B$2:$B$401,0))=TRUE(),999,MATCH(B219,'Binder Setup'!$B$2:$B$401,0)),999))</f>
        <v>999</v>
      </c>
      <c r="D219" s="73"/>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19"/>
      <c r="B220" s="19"/>
      <c r="C220" s="73">
        <f t="array" ref="C220">IF(OR(A220="",B220=""),999,IFERROR(IF(INDEX('Binder Setup'!$C$2:$C$401,MATCH(B220,'Binder Setup'!$B$2:$B$401,0))=TRUE(),999,MATCH(B220,'Binder Setup'!$B$2:$B$401,0)),999))</f>
        <v>999</v>
      </c>
      <c r="D220" s="73"/>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5.75" customHeight="1">
      <c r="A221" s="19"/>
      <c r="B221" s="19"/>
      <c r="C221" s="73">
        <f t="array" ref="C221">IF(OR(A221="",B221=""),999,IFERROR(IF(INDEX('Binder Setup'!$C$2:$C$401,MATCH(B221,'Binder Setup'!$B$2:$B$401,0))=TRUE(),999,MATCH(B221,'Binder Setup'!$B$2:$B$401,0)),999))</f>
        <v>999</v>
      </c>
      <c r="D221" s="73"/>
      <c r="E221" s="19"/>
      <c r="F221" s="19"/>
    </row>
    <row r="222" ht="15.75" customHeight="1">
      <c r="A222" s="19"/>
      <c r="B222" s="19"/>
      <c r="C222" s="73">
        <f t="array" ref="C222">IF(OR(A222="",B222=""),999,IFERROR(IF(INDEX('Binder Setup'!$C$2:$C$401,MATCH(B222,'Binder Setup'!$B$2:$B$401,0))=TRUE(),999,MATCH(B222,'Binder Setup'!$B$2:$B$401,0)),999))</f>
        <v>999</v>
      </c>
      <c r="D222" s="73"/>
      <c r="E222" s="19"/>
      <c r="F222" s="19"/>
    </row>
    <row r="223" ht="15.75" customHeight="1">
      <c r="A223" s="19"/>
      <c r="B223" s="19"/>
      <c r="C223" s="73">
        <f t="array" ref="C223">IF(OR(A223="",B223=""),999,IFERROR(IF(INDEX('Binder Setup'!$C$2:$C$401,MATCH(B223,'Binder Setup'!$B$2:$B$401,0))=TRUE(),999,MATCH(B223,'Binder Setup'!$B$2:$B$401,0)),999))</f>
        <v>999</v>
      </c>
      <c r="D223" s="73"/>
      <c r="E223" s="19"/>
      <c r="F223" s="19"/>
    </row>
    <row r="224" ht="15.75" customHeight="1">
      <c r="A224" s="19"/>
      <c r="B224" s="19"/>
      <c r="C224" s="73">
        <f t="array" ref="C224">IF(OR(A224="",B224=""),999,IFERROR(IF(INDEX('Binder Setup'!$C$2:$C$401,MATCH(B224,'Binder Setup'!$B$2:$B$401,0))=TRUE(),999,MATCH(B224,'Binder Setup'!$B$2:$B$401,0)),999))</f>
        <v>999</v>
      </c>
      <c r="D224" s="73"/>
      <c r="E224" s="19"/>
      <c r="F224" s="19"/>
    </row>
    <row r="225" ht="15.75" customHeight="1">
      <c r="A225" s="19"/>
      <c r="B225" s="19"/>
      <c r="C225" s="73">
        <f t="array" ref="C225">IF(OR(A225="",B225=""),999,IFERROR(IF(INDEX('Binder Setup'!$C$2:$C$401,MATCH(B225,'Binder Setup'!$B$2:$B$401,0))=TRUE(),999,MATCH(B225,'Binder Setup'!$B$2:$B$401,0)),999))</f>
        <v>999</v>
      </c>
      <c r="D225" s="73"/>
      <c r="E225" s="19"/>
      <c r="F225" s="19"/>
    </row>
    <row r="226" ht="15.75" customHeight="1">
      <c r="A226" s="19"/>
      <c r="B226" s="19"/>
      <c r="C226" s="73">
        <f t="array" ref="C226">IF(OR(A226="",B226=""),999,IFERROR(IF(INDEX('Binder Setup'!$C$2:$C$401,MATCH(B226,'Binder Setup'!$B$2:$B$401,0))=TRUE(),999,MATCH(B226,'Binder Setup'!$B$2:$B$401,0)),999))</f>
        <v>999</v>
      </c>
      <c r="D226" s="73"/>
      <c r="E226" s="19"/>
      <c r="F226" s="19"/>
    </row>
    <row r="227" ht="15.75" customHeight="1">
      <c r="A227" s="19"/>
      <c r="B227" s="19"/>
      <c r="C227" s="73">
        <f t="array" ref="C227">IF(OR(A227="",B227=""),999,IFERROR(IF(INDEX('Binder Setup'!$C$2:$C$401,MATCH(B227,'Binder Setup'!$B$2:$B$401,0))=TRUE(),999,MATCH(B227,'Binder Setup'!$B$2:$B$401,0)),999))</f>
        <v>999</v>
      </c>
      <c r="D227" s="73"/>
      <c r="E227" s="19"/>
      <c r="F227" s="19"/>
    </row>
    <row r="228" ht="15.75" customHeight="1">
      <c r="A228" s="19"/>
      <c r="B228" s="19"/>
      <c r="C228" s="73">
        <f t="array" ref="C228">IF(OR(A228="",B228=""),999,IFERROR(IF(INDEX('Binder Setup'!$C$2:$C$401,MATCH(B228,'Binder Setup'!$B$2:$B$401,0))=TRUE(),999,MATCH(B228,'Binder Setup'!$B$2:$B$401,0)),999))</f>
        <v>999</v>
      </c>
      <c r="D228" s="73"/>
      <c r="E228" s="19"/>
      <c r="F228" s="19"/>
    </row>
    <row r="229" ht="15.75" customHeight="1">
      <c r="A229" s="19"/>
      <c r="B229" s="19"/>
      <c r="C229" s="73">
        <f t="array" ref="C229">IF(OR(A229="",B229=""),999,IFERROR(IF(INDEX('Binder Setup'!$C$2:$C$401,MATCH(B229,'Binder Setup'!$B$2:$B$401,0))=TRUE(),999,MATCH(B229,'Binder Setup'!$B$2:$B$401,0)),999))</f>
        <v>999</v>
      </c>
      <c r="D229" s="73"/>
      <c r="E229" s="19"/>
      <c r="F229" s="19"/>
    </row>
    <row r="230" ht="15.75" customHeight="1">
      <c r="A230" s="19"/>
      <c r="B230" s="19"/>
      <c r="C230" s="73">
        <f t="array" ref="C230">IF(OR(A230="",B230=""),999,IFERROR(IF(INDEX('Binder Setup'!$C$2:$C$401,MATCH(B230,'Binder Setup'!$B$2:$B$401,0))=TRUE(),999,MATCH(B230,'Binder Setup'!$B$2:$B$401,0)),999))</f>
        <v>999</v>
      </c>
      <c r="D230" s="73"/>
      <c r="E230" s="19"/>
      <c r="F230" s="19"/>
    </row>
    <row r="231" ht="15.75" customHeight="1">
      <c r="A231" s="19"/>
      <c r="B231" s="19"/>
      <c r="C231" s="73">
        <f t="array" ref="C231">IF(OR(A231="",B231=""),999,IFERROR(IF(INDEX('Binder Setup'!$C$2:$C$401,MATCH(B231,'Binder Setup'!$B$2:$B$401,0))=TRUE(),999,MATCH(B231,'Binder Setup'!$B$2:$B$401,0)),999))</f>
        <v>999</v>
      </c>
      <c r="D231" s="73"/>
      <c r="E231" s="19"/>
      <c r="F231" s="19"/>
    </row>
    <row r="232" ht="15.75" customHeight="1">
      <c r="A232" s="19"/>
      <c r="B232" s="19"/>
      <c r="C232" s="73">
        <f t="array" ref="C232">IF(OR(A232="",B232=""),999,IFERROR(IF(INDEX('Binder Setup'!$C$2:$C$401,MATCH(B232,'Binder Setup'!$B$2:$B$401,0))=TRUE(),999,MATCH(B232,'Binder Setup'!$B$2:$B$401,0)),999))</f>
        <v>999</v>
      </c>
      <c r="D232" s="73"/>
      <c r="E232" s="19"/>
      <c r="F232" s="19"/>
    </row>
    <row r="233" ht="15.75" customHeight="1">
      <c r="A233" s="19"/>
      <c r="B233" s="19"/>
      <c r="C233" s="73">
        <f t="array" ref="C233">IF(OR(A233="",B233=""),999,IFERROR(IF(INDEX('Binder Setup'!$C$2:$C$401,MATCH(B233,'Binder Setup'!$B$2:$B$401,0))=TRUE(),999,MATCH(B233,'Binder Setup'!$B$2:$B$401,0)),999))</f>
        <v>999</v>
      </c>
      <c r="D233" s="73"/>
      <c r="E233" s="19"/>
      <c r="F233" s="19"/>
    </row>
    <row r="234" ht="15.75" customHeight="1">
      <c r="A234" s="19"/>
      <c r="B234" s="19"/>
      <c r="C234" s="73">
        <f t="array" ref="C234">IF(OR(A234="",B234=""),999,IFERROR(IF(INDEX('Binder Setup'!$C$2:$C$401,MATCH(B234,'Binder Setup'!$B$2:$B$401,0))=TRUE(),999,MATCH(B234,'Binder Setup'!$B$2:$B$401,0)),999))</f>
        <v>999</v>
      </c>
      <c r="D234" s="73"/>
      <c r="E234" s="19"/>
      <c r="F234" s="19"/>
    </row>
    <row r="235" ht="15.75" customHeight="1">
      <c r="A235" s="19"/>
      <c r="B235" s="19"/>
      <c r="C235" s="73">
        <f t="array" ref="C235">IF(OR(A235="",B235=""),999,IFERROR(IF(INDEX('Binder Setup'!$C$2:$C$401,MATCH(B235,'Binder Setup'!$B$2:$B$401,0))=TRUE(),999,MATCH(B235,'Binder Setup'!$B$2:$B$401,0)),999))</f>
        <v>999</v>
      </c>
      <c r="D235" s="73"/>
      <c r="E235" s="19"/>
      <c r="F235" s="19"/>
    </row>
    <row r="236" ht="15.75" customHeight="1">
      <c r="A236" s="19"/>
      <c r="B236" s="19"/>
      <c r="C236" s="73">
        <f t="array" ref="C236">IF(OR(A236="",B236=""),999,IFERROR(IF(INDEX('Binder Setup'!$C$2:$C$401,MATCH(B236,'Binder Setup'!$B$2:$B$401,0))=TRUE(),999,MATCH(B236,'Binder Setup'!$B$2:$B$401,0)),999))</f>
        <v>999</v>
      </c>
      <c r="D236" s="73"/>
      <c r="E236" s="19"/>
      <c r="F236" s="19"/>
    </row>
    <row r="237" ht="15.75" customHeight="1">
      <c r="A237" s="19"/>
      <c r="B237" s="19"/>
      <c r="C237" s="73">
        <f t="array" ref="C237">IF(OR(A237="",B237=""),999,IFERROR(IF(INDEX('Binder Setup'!$C$2:$C$401,MATCH(B237,'Binder Setup'!$B$2:$B$401,0))=TRUE(),999,MATCH(B237,'Binder Setup'!$B$2:$B$401,0)),999))</f>
        <v>999</v>
      </c>
      <c r="D237" s="73"/>
      <c r="E237" s="19"/>
      <c r="F237" s="19"/>
    </row>
    <row r="238" ht="15.75" customHeight="1">
      <c r="A238" s="19"/>
      <c r="B238" s="19"/>
      <c r="C238" s="73">
        <f t="array" ref="C238">IF(OR(A238="",B238=""),999,IFERROR(IF(INDEX('Binder Setup'!$C$2:$C$401,MATCH(B238,'Binder Setup'!$B$2:$B$401,0))=TRUE(),999,MATCH(B238,'Binder Setup'!$B$2:$B$401,0)),999))</f>
        <v>999</v>
      </c>
      <c r="D238" s="73"/>
      <c r="E238" s="19"/>
      <c r="F238" s="19"/>
    </row>
    <row r="239" ht="15.75" customHeight="1">
      <c r="A239" s="19"/>
      <c r="B239" s="19"/>
      <c r="C239" s="73">
        <f t="array" ref="C239">IF(OR(A239="",B239=""),999,IFERROR(IF(INDEX('Binder Setup'!$C$2:$C$401,MATCH(B239,'Binder Setup'!$B$2:$B$401,0))=TRUE(),999,MATCH(B239,'Binder Setup'!$B$2:$B$401,0)),999))</f>
        <v>999</v>
      </c>
      <c r="D239" s="73"/>
      <c r="E239" s="19"/>
      <c r="F239" s="19"/>
    </row>
    <row r="240" ht="15.75" customHeight="1">
      <c r="A240" s="19"/>
      <c r="B240" s="19"/>
      <c r="C240" s="73">
        <f t="array" ref="C240">IF(OR(A240="",B240=""),999,IFERROR(IF(INDEX('Binder Setup'!$C$2:$C$401,MATCH(B240,'Binder Setup'!$B$2:$B$401,0))=TRUE(),999,MATCH(B240,'Binder Setup'!$B$2:$B$401,0)),999))</f>
        <v>999</v>
      </c>
      <c r="D240" s="73"/>
      <c r="E240" s="19"/>
      <c r="F240" s="19"/>
    </row>
    <row r="241" ht="15.75" customHeight="1">
      <c r="A241" s="19"/>
      <c r="B241" s="19"/>
      <c r="C241" s="73">
        <f t="array" ref="C241">IF(OR(A241="",B241=""),999,IFERROR(IF(INDEX('Binder Setup'!$C$2:$C$401,MATCH(B241,'Binder Setup'!$B$2:$B$401,0))=TRUE(),999,MATCH(B241,'Binder Setup'!$B$2:$B$401,0)),999))</f>
        <v>999</v>
      </c>
      <c r="D241" s="73"/>
      <c r="E241" s="19"/>
      <c r="F241" s="19"/>
    </row>
    <row r="242" ht="15.75" customHeight="1">
      <c r="A242" s="19"/>
      <c r="B242" s="19"/>
      <c r="C242" s="73">
        <f t="array" ref="C242">IF(OR(A242="",B242=""),999,IFERROR(IF(INDEX('Binder Setup'!$C$2:$C$401,MATCH(B242,'Binder Setup'!$B$2:$B$401,0))=TRUE(),999,MATCH(B242,'Binder Setup'!$B$2:$B$401,0)),999))</f>
        <v>999</v>
      </c>
      <c r="D242" s="73"/>
      <c r="E242" s="19"/>
      <c r="F242" s="19"/>
    </row>
    <row r="243" ht="15.75" customHeight="1">
      <c r="A243" s="19"/>
      <c r="B243" s="19"/>
      <c r="C243" s="73">
        <f t="array" ref="C243">IF(OR(A243="",B243=""),999,IFERROR(IF(INDEX('Binder Setup'!$C$2:$C$401,MATCH(B243,'Binder Setup'!$B$2:$B$401,0))=TRUE(),999,MATCH(B243,'Binder Setup'!$B$2:$B$401,0)),999))</f>
        <v>999</v>
      </c>
      <c r="D243" s="73"/>
      <c r="E243" s="19"/>
      <c r="F243" s="19"/>
    </row>
    <row r="244" ht="15.75" customHeight="1">
      <c r="A244" s="19"/>
      <c r="B244" s="19"/>
      <c r="C244" s="73">
        <f t="array" ref="C244">IF(OR(A244="",B244=""),999,IFERROR(IF(INDEX('Binder Setup'!$C$2:$C$401,MATCH(B244,'Binder Setup'!$B$2:$B$401,0))=TRUE(),999,MATCH(B244,'Binder Setup'!$B$2:$B$401,0)),999))</f>
        <v>999</v>
      </c>
      <c r="D244" s="73"/>
      <c r="E244" s="19"/>
      <c r="F244" s="19"/>
    </row>
    <row r="245" ht="15.75" customHeight="1">
      <c r="A245" s="19"/>
      <c r="B245" s="19"/>
      <c r="C245" s="73">
        <f t="array" ref="C245">IF(OR(A245="",B245=""),999,IFERROR(IF(INDEX('Binder Setup'!$C$2:$C$401,MATCH(B245,'Binder Setup'!$B$2:$B$401,0))=TRUE(),999,MATCH(B245,'Binder Setup'!$B$2:$B$401,0)),999))</f>
        <v>999</v>
      </c>
      <c r="D245" s="73"/>
      <c r="E245" s="19"/>
      <c r="F245" s="19"/>
    </row>
    <row r="246" ht="15.75" customHeight="1">
      <c r="A246" s="19"/>
      <c r="B246" s="19"/>
      <c r="C246" s="73">
        <f t="array" ref="C246">IF(OR(A246="",B246=""),999,IFERROR(IF(INDEX('Binder Setup'!$C$2:$C$401,MATCH(B246,'Binder Setup'!$B$2:$B$401,0))=TRUE(),999,MATCH(B246,'Binder Setup'!$B$2:$B$401,0)),999))</f>
        <v>999</v>
      </c>
      <c r="D246" s="73"/>
      <c r="E246" s="19"/>
      <c r="F246" s="19"/>
    </row>
    <row r="247" ht="15.75" customHeight="1">
      <c r="A247" s="19"/>
      <c r="B247" s="19"/>
      <c r="C247" s="73">
        <f t="array" ref="C247">IF(OR(A247="",B247=""),999,IFERROR(IF(INDEX('Binder Setup'!$C$2:$C$401,MATCH(B247,'Binder Setup'!$B$2:$B$401,0))=TRUE(),999,MATCH(B247,'Binder Setup'!$B$2:$B$401,0)),999))</f>
        <v>999</v>
      </c>
      <c r="D247" s="73"/>
      <c r="E247" s="19"/>
      <c r="F247" s="19"/>
    </row>
    <row r="248" ht="15.75" customHeight="1">
      <c r="A248" s="19"/>
      <c r="B248" s="19"/>
      <c r="C248" s="73">
        <f t="array" ref="C248">IF(OR(A248="",B248=""),999,IFERROR(IF(INDEX('Binder Setup'!$C$2:$C$401,MATCH(B248,'Binder Setup'!$B$2:$B$401,0))=TRUE(),999,MATCH(B248,'Binder Setup'!$B$2:$B$401,0)),999))</f>
        <v>999</v>
      </c>
      <c r="D248" s="73"/>
      <c r="E248" s="19"/>
      <c r="F248" s="19"/>
    </row>
    <row r="249" ht="15.75" customHeight="1">
      <c r="A249" s="19"/>
      <c r="B249" s="19"/>
      <c r="C249" s="73">
        <f t="array" ref="C249">IF(OR(A249="",B249=""),999,IFERROR(IF(INDEX('Binder Setup'!$C$2:$C$401,MATCH(B249,'Binder Setup'!$B$2:$B$401,0))=TRUE(),999,MATCH(B249,'Binder Setup'!$B$2:$B$401,0)),999))</f>
        <v>999</v>
      </c>
      <c r="D249" s="73"/>
      <c r="E249" s="19"/>
      <c r="F249" s="19"/>
    </row>
    <row r="250" ht="15.75" customHeight="1">
      <c r="A250" s="19"/>
      <c r="B250" s="19"/>
      <c r="C250" s="73">
        <f t="array" ref="C250">IF(OR(A250="",B250=""),999,IFERROR(IF(INDEX('Binder Setup'!$C$2:$C$401,MATCH(B250,'Binder Setup'!$B$2:$B$401,0))=TRUE(),999,MATCH(B250,'Binder Setup'!$B$2:$B$401,0)),999))</f>
        <v>999</v>
      </c>
      <c r="D250" s="73"/>
      <c r="E250" s="19"/>
      <c r="F250" s="19"/>
    </row>
    <row r="251" ht="15.75" customHeight="1">
      <c r="A251" s="19"/>
      <c r="B251" s="19"/>
      <c r="C251" s="73">
        <f t="array" ref="C251">IF(OR(A251="",B251=""),999,IFERROR(IF(INDEX('Binder Setup'!$C$2:$C$401,MATCH(B251,'Binder Setup'!$B$2:$B$401,0))=TRUE(),999,MATCH(B251,'Binder Setup'!$B$2:$B$401,0)),999))</f>
        <v>999</v>
      </c>
      <c r="D251" s="73"/>
      <c r="E251" s="19"/>
      <c r="F251" s="19"/>
    </row>
    <row r="252" ht="15.75" customHeight="1">
      <c r="A252" s="19"/>
      <c r="B252" s="19"/>
      <c r="C252" s="73">
        <f t="array" ref="C252">IF(OR(A252="",B252=""),999,IFERROR(IF(INDEX('Binder Setup'!$C$2:$C$401,MATCH(B252,'Binder Setup'!$B$2:$B$401,0))=TRUE(),999,MATCH(B252,'Binder Setup'!$B$2:$B$401,0)),999))</f>
        <v>999</v>
      </c>
      <c r="D252" s="73"/>
      <c r="E252" s="19"/>
      <c r="F252" s="19"/>
    </row>
    <row r="253" ht="15.75" customHeight="1">
      <c r="A253" s="19"/>
      <c r="B253" s="19"/>
      <c r="C253" s="73">
        <f t="array" ref="C253">IF(OR(A253="",B253=""),999,IFERROR(IF(INDEX('Binder Setup'!$C$2:$C$401,MATCH(B253,'Binder Setup'!$B$2:$B$401,0))=TRUE(),999,MATCH(B253,'Binder Setup'!$B$2:$B$401,0)),999))</f>
        <v>999</v>
      </c>
      <c r="D253" s="73"/>
      <c r="E253" s="19"/>
      <c r="F253" s="19"/>
    </row>
    <row r="254" ht="15.75" customHeight="1">
      <c r="A254" s="19"/>
      <c r="B254" s="19"/>
      <c r="C254" s="73">
        <f t="array" ref="C254">IF(OR(A254="",B254=""),999,IFERROR(IF(INDEX('Binder Setup'!$C$2:$C$401,MATCH(B254,'Binder Setup'!$B$2:$B$401,0))=TRUE(),999,MATCH(B254,'Binder Setup'!$B$2:$B$401,0)),999))</f>
        <v>999</v>
      </c>
      <c r="D254" s="73"/>
      <c r="E254" s="19"/>
      <c r="F254" s="19"/>
    </row>
    <row r="255" ht="15.75" customHeight="1">
      <c r="A255" s="19"/>
      <c r="B255" s="19"/>
      <c r="C255" s="73">
        <f t="array" ref="C255">IF(OR(A255="",B255=""),999,IFERROR(IF(INDEX('Binder Setup'!$C$2:$C$401,MATCH(B255,'Binder Setup'!$B$2:$B$401,0))=TRUE(),999,MATCH(B255,'Binder Setup'!$B$2:$B$401,0)),999))</f>
        <v>999</v>
      </c>
      <c r="D255" s="73"/>
      <c r="E255" s="19"/>
      <c r="F255" s="19"/>
    </row>
    <row r="256" ht="15.75" customHeight="1">
      <c r="A256" s="19"/>
      <c r="B256" s="19"/>
      <c r="C256" s="73">
        <f t="array" ref="C256">IF(OR(A256="",B256=""),999,IFERROR(IF(INDEX('Binder Setup'!$C$2:$C$401,MATCH(B256,'Binder Setup'!$B$2:$B$401,0))=TRUE(),999,MATCH(B256,'Binder Setup'!$B$2:$B$401,0)),999))</f>
        <v>999</v>
      </c>
      <c r="D256" s="73"/>
      <c r="E256" s="19"/>
      <c r="F256" s="19"/>
    </row>
    <row r="257" ht="15.75" customHeight="1">
      <c r="A257" s="19"/>
      <c r="B257" s="19"/>
      <c r="C257" s="73">
        <f t="array" ref="C257">IF(OR(A257="",B257=""),999,IFERROR(IF(INDEX('Binder Setup'!$C$2:$C$401,MATCH(B257,'Binder Setup'!$B$2:$B$401,0))=TRUE(),999,MATCH(B257,'Binder Setup'!$B$2:$B$401,0)),999))</f>
        <v>999</v>
      </c>
      <c r="D257" s="73"/>
      <c r="E257" s="19"/>
      <c r="F257" s="19"/>
    </row>
    <row r="258" ht="15.75" customHeight="1">
      <c r="A258" s="19"/>
      <c r="B258" s="19"/>
      <c r="C258" s="73">
        <f t="array" ref="C258">IF(OR(A258="",B258=""),999,IFERROR(IF(INDEX('Binder Setup'!$C$2:$C$401,MATCH(B258,'Binder Setup'!$B$2:$B$401,0))=TRUE(),999,MATCH(B258,'Binder Setup'!$B$2:$B$401,0)),999))</f>
        <v>999</v>
      </c>
      <c r="D258" s="73"/>
      <c r="E258" s="19"/>
      <c r="F258" s="19"/>
    </row>
    <row r="259" ht="15.75" customHeight="1">
      <c r="A259" s="19"/>
      <c r="B259" s="19"/>
      <c r="C259" s="73">
        <f t="array" ref="C259">IF(OR(A259="",B259=""),999,IFERROR(IF(INDEX('Binder Setup'!$C$2:$C$401,MATCH(B259,'Binder Setup'!$B$2:$B$401,0))=TRUE(),999,MATCH(B259,'Binder Setup'!$B$2:$B$401,0)),999))</f>
        <v>999</v>
      </c>
      <c r="D259" s="73"/>
      <c r="E259" s="19"/>
      <c r="F259" s="19"/>
    </row>
    <row r="260" ht="15.75" customHeight="1">
      <c r="A260" s="19"/>
      <c r="B260" s="19"/>
      <c r="C260" s="73">
        <f t="array" ref="C260">IF(OR(A260="",B260=""),999,IFERROR(IF(INDEX('Binder Setup'!$C$2:$C$401,MATCH(B260,'Binder Setup'!$B$2:$B$401,0))=TRUE(),999,MATCH(B260,'Binder Setup'!$B$2:$B$401,0)),999))</f>
        <v>999</v>
      </c>
      <c r="D260" s="73"/>
      <c r="E260" s="19"/>
      <c r="F260" s="19"/>
    </row>
    <row r="261" ht="15.75" customHeight="1">
      <c r="A261" s="19"/>
      <c r="B261" s="19"/>
      <c r="C261" s="73">
        <f t="array" ref="C261">IF(OR(A261="",B261=""),999,IFERROR(IF(INDEX('Binder Setup'!$C$2:$C$401,MATCH(B261,'Binder Setup'!$B$2:$B$401,0))=TRUE(),999,MATCH(B261,'Binder Setup'!$B$2:$B$401,0)),999))</f>
        <v>999</v>
      </c>
      <c r="D261" s="73"/>
      <c r="E261" s="19"/>
      <c r="F261" s="19"/>
    </row>
    <row r="262" ht="15.75" customHeight="1">
      <c r="A262" s="19"/>
      <c r="B262" s="19"/>
      <c r="C262" s="73">
        <f t="array" ref="C262">IF(OR(A262="",B262=""),999,IFERROR(IF(INDEX('Binder Setup'!$C$2:$C$401,MATCH(B262,'Binder Setup'!$B$2:$B$401,0))=TRUE(),999,MATCH(B262,'Binder Setup'!$B$2:$B$401,0)),999))</f>
        <v>999</v>
      </c>
      <c r="D262" s="73"/>
      <c r="E262" s="19"/>
      <c r="F262" s="19"/>
    </row>
    <row r="263" ht="15.75" customHeight="1">
      <c r="A263" s="19"/>
      <c r="B263" s="19"/>
      <c r="C263" s="73">
        <f t="array" ref="C263">IF(OR(A263="",B263=""),999,IFERROR(IF(INDEX('Binder Setup'!$C$2:$C$401,MATCH(B263,'Binder Setup'!$B$2:$B$401,0))=TRUE(),999,MATCH(B263,'Binder Setup'!$B$2:$B$401,0)),999))</f>
        <v>999</v>
      </c>
      <c r="D263" s="73"/>
      <c r="E263" s="19"/>
      <c r="F263" s="19"/>
    </row>
    <row r="264" ht="15.75" customHeight="1">
      <c r="A264" s="19"/>
      <c r="B264" s="19"/>
      <c r="C264" s="73">
        <f t="array" ref="C264">IF(OR(A264="",B264=""),999,IFERROR(IF(INDEX('Binder Setup'!$C$2:$C$401,MATCH(B264,'Binder Setup'!$B$2:$B$401,0))=TRUE(),999,MATCH(B264,'Binder Setup'!$B$2:$B$401,0)),999))</f>
        <v>999</v>
      </c>
      <c r="D264" s="73"/>
      <c r="E264" s="19"/>
      <c r="F264" s="19"/>
    </row>
    <row r="265" ht="15.75" customHeight="1">
      <c r="A265" s="19"/>
      <c r="B265" s="19"/>
      <c r="C265" s="73">
        <f t="array" ref="C265">IF(OR(A265="",B265=""),999,IFERROR(IF(INDEX('Binder Setup'!$C$2:$C$401,MATCH(B265,'Binder Setup'!$B$2:$B$401,0))=TRUE(),999,MATCH(B265,'Binder Setup'!$B$2:$B$401,0)),999))</f>
        <v>999</v>
      </c>
      <c r="D265" s="73"/>
      <c r="E265" s="19"/>
      <c r="F265" s="19"/>
    </row>
    <row r="266" ht="15.75" customHeight="1">
      <c r="A266" s="19"/>
      <c r="B266" s="19"/>
      <c r="C266" s="73">
        <f t="array" ref="C266">IF(OR(A266="",B266=""),999,IFERROR(IF(INDEX('Binder Setup'!$C$2:$C$401,MATCH(B266,'Binder Setup'!$B$2:$B$401,0))=TRUE(),999,MATCH(B266,'Binder Setup'!$B$2:$B$401,0)),999))</f>
        <v>999</v>
      </c>
      <c r="D266" s="73"/>
      <c r="E266" s="19"/>
      <c r="F266" s="19"/>
    </row>
    <row r="267" ht="15.75" customHeight="1">
      <c r="A267" s="19"/>
      <c r="B267" s="19"/>
      <c r="C267" s="73">
        <f t="array" ref="C267">IF(OR(A267="",B267=""),999,IFERROR(IF(INDEX('Binder Setup'!$C$2:$C$401,MATCH(B267,'Binder Setup'!$B$2:$B$401,0))=TRUE(),999,MATCH(B267,'Binder Setup'!$B$2:$B$401,0)),999))</f>
        <v>999</v>
      </c>
      <c r="D267" s="73"/>
      <c r="E267" s="19"/>
      <c r="F267" s="19"/>
    </row>
    <row r="268" ht="15.75" customHeight="1">
      <c r="A268" s="19"/>
      <c r="B268" s="19"/>
      <c r="C268" s="73">
        <f t="array" ref="C268">IF(OR(A268="",B268=""),999,IFERROR(IF(INDEX('Binder Setup'!$C$2:$C$401,MATCH(B268,'Binder Setup'!$B$2:$B$401,0))=TRUE(),999,MATCH(B268,'Binder Setup'!$B$2:$B$401,0)),999))</f>
        <v>999</v>
      </c>
      <c r="D268" s="73"/>
      <c r="E268" s="19"/>
      <c r="F268" s="19"/>
    </row>
    <row r="269" ht="15.75" customHeight="1">
      <c r="A269" s="19"/>
      <c r="B269" s="19"/>
      <c r="C269" s="73">
        <f t="array" ref="C269">IF(OR(A269="",B269=""),999,IFERROR(IF(INDEX('Binder Setup'!$C$2:$C$401,MATCH(B269,'Binder Setup'!$B$2:$B$401,0))=TRUE(),999,MATCH(B269,'Binder Setup'!$B$2:$B$401,0)),999))</f>
        <v>999</v>
      </c>
      <c r="D269" s="73"/>
      <c r="E269" s="19"/>
      <c r="F269" s="19"/>
    </row>
    <row r="270" ht="15.75" customHeight="1">
      <c r="A270" s="19"/>
      <c r="B270" s="19"/>
      <c r="C270" s="73">
        <f t="array" ref="C270">IF(OR(A270="",B270=""),999,IFERROR(IF(INDEX('Binder Setup'!$C$2:$C$401,MATCH(B270,'Binder Setup'!$B$2:$B$401,0))=TRUE(),999,MATCH(B270,'Binder Setup'!$B$2:$B$401,0)),999))</f>
        <v>999</v>
      </c>
      <c r="D270" s="73"/>
      <c r="E270" s="19"/>
      <c r="F270" s="19"/>
    </row>
    <row r="271" ht="15.75" customHeight="1">
      <c r="A271" s="19"/>
      <c r="B271" s="19"/>
      <c r="C271" s="73">
        <f t="array" ref="C271">IF(OR(A271="",B271=""),999,IFERROR(IF(INDEX('Binder Setup'!$C$2:$C$401,MATCH(B271,'Binder Setup'!$B$2:$B$401,0))=TRUE(),999,MATCH(B271,'Binder Setup'!$B$2:$B$401,0)),999))</f>
        <v>999</v>
      </c>
      <c r="D271" s="73"/>
      <c r="E271" s="19"/>
      <c r="F271" s="19"/>
    </row>
    <row r="272" ht="15.75" customHeight="1">
      <c r="A272" s="19"/>
      <c r="B272" s="19"/>
      <c r="C272" s="73">
        <f t="array" ref="C272">IF(OR(A272="",B272=""),999,IFERROR(IF(INDEX('Binder Setup'!$C$2:$C$401,MATCH(B272,'Binder Setup'!$B$2:$B$401,0))=TRUE(),999,MATCH(B272,'Binder Setup'!$B$2:$B$401,0)),999))</f>
        <v>999</v>
      </c>
      <c r="D272" s="73"/>
      <c r="E272" s="19"/>
      <c r="F272" s="19"/>
    </row>
    <row r="273" ht="15.75" customHeight="1">
      <c r="A273" s="19"/>
      <c r="B273" s="19"/>
      <c r="C273" s="73">
        <f t="array" ref="C273">IF(OR(A273="",B273=""),999,IFERROR(IF(INDEX('Binder Setup'!$C$2:$C$401,MATCH(B273,'Binder Setup'!$B$2:$B$401,0))=TRUE(),999,MATCH(B273,'Binder Setup'!$B$2:$B$401,0)),999))</f>
        <v>999</v>
      </c>
      <c r="D273" s="73"/>
      <c r="E273" s="19"/>
      <c r="F273" s="19"/>
    </row>
    <row r="274" ht="15.75" customHeight="1">
      <c r="A274" s="19"/>
      <c r="B274" s="19"/>
      <c r="C274" s="73">
        <f t="array" ref="C274">IF(OR(A274="",B274=""),999,IFERROR(IF(INDEX('Binder Setup'!$C$2:$C$401,MATCH(B274,'Binder Setup'!$B$2:$B$401,0))=TRUE(),999,MATCH(B274,'Binder Setup'!$B$2:$B$401,0)),999))</f>
        <v>999</v>
      </c>
      <c r="D274" s="73"/>
      <c r="E274" s="19"/>
      <c r="F274" s="19"/>
    </row>
    <row r="275" ht="15.75" customHeight="1">
      <c r="A275" s="19"/>
      <c r="B275" s="19"/>
      <c r="C275" s="73">
        <f t="array" ref="C275">IF(OR(A275="",B275=""),999,IFERROR(IF(INDEX('Binder Setup'!$C$2:$C$401,MATCH(B275,'Binder Setup'!$B$2:$B$401,0))=TRUE(),999,MATCH(B275,'Binder Setup'!$B$2:$B$401,0)),999))</f>
        <v>999</v>
      </c>
      <c r="D275" s="73"/>
      <c r="E275" s="19"/>
      <c r="F275" s="19"/>
    </row>
    <row r="276" ht="15.75" customHeight="1">
      <c r="A276" s="19"/>
      <c r="B276" s="19"/>
      <c r="C276" s="73">
        <f t="array" ref="C276">IF(OR(A276="",B276=""),999,IFERROR(IF(INDEX('Binder Setup'!$C$2:$C$401,MATCH(B276,'Binder Setup'!$B$2:$B$401,0))=TRUE(),999,MATCH(B276,'Binder Setup'!$B$2:$B$401,0)),999))</f>
        <v>999</v>
      </c>
      <c r="D276" s="73"/>
      <c r="E276" s="19"/>
      <c r="F276" s="19"/>
    </row>
    <row r="277" ht="15.75" customHeight="1">
      <c r="A277" s="19"/>
      <c r="B277" s="19"/>
      <c r="C277" s="73">
        <f t="array" ref="C277">IF(OR(A277="",B277=""),999,IFERROR(IF(INDEX('Binder Setup'!$C$2:$C$401,MATCH(B277,'Binder Setup'!$B$2:$B$401,0))=TRUE(),999,MATCH(B277,'Binder Setup'!$B$2:$B$401,0)),999))</f>
        <v>999</v>
      </c>
      <c r="D277" s="73"/>
      <c r="E277" s="19"/>
      <c r="F277" s="19"/>
    </row>
    <row r="278" ht="15.75" customHeight="1">
      <c r="A278" s="19"/>
      <c r="B278" s="19"/>
      <c r="C278" s="73">
        <f t="array" ref="C278">IF(OR(A278="",B278=""),999,IFERROR(IF(INDEX('Binder Setup'!$C$2:$C$401,MATCH(B278,'Binder Setup'!$B$2:$B$401,0))=TRUE(),999,MATCH(B278,'Binder Setup'!$B$2:$B$401,0)),999))</f>
        <v>999</v>
      </c>
      <c r="D278" s="73"/>
      <c r="E278" s="19"/>
      <c r="F278" s="19"/>
    </row>
    <row r="279" ht="15.75" customHeight="1">
      <c r="A279" s="19"/>
      <c r="B279" s="19"/>
      <c r="C279" s="73">
        <f t="array" ref="C279">IF(OR(A279="",B279=""),999,IFERROR(IF(INDEX('Binder Setup'!$C$2:$C$401,MATCH(B279,'Binder Setup'!$B$2:$B$401,0))=TRUE(),999,MATCH(B279,'Binder Setup'!$B$2:$B$401,0)),999))</f>
        <v>999</v>
      </c>
      <c r="D279" s="73"/>
      <c r="E279" s="19"/>
      <c r="F279" s="19"/>
    </row>
    <row r="280" ht="15.75" customHeight="1">
      <c r="A280" s="19"/>
      <c r="B280" s="19"/>
      <c r="C280" s="73">
        <f t="array" ref="C280">IF(OR(A280="",B280=""),999,IFERROR(IF(INDEX('Binder Setup'!$C$2:$C$401,MATCH(B280,'Binder Setup'!$B$2:$B$401,0))=TRUE(),999,MATCH(B280,'Binder Setup'!$B$2:$B$401,0)),999))</f>
        <v>999</v>
      </c>
      <c r="D280" s="73"/>
      <c r="E280" s="19"/>
      <c r="F280" s="19"/>
    </row>
    <row r="281" ht="15.75" customHeight="1">
      <c r="A281" s="19"/>
      <c r="B281" s="19"/>
      <c r="C281" s="73">
        <f t="array" ref="C281">IF(OR(A281="",B281=""),999,IFERROR(IF(INDEX('Binder Setup'!$C$2:$C$401,MATCH(B281,'Binder Setup'!$B$2:$B$401,0))=TRUE(),999,MATCH(B281,'Binder Setup'!$B$2:$B$401,0)),999))</f>
        <v>999</v>
      </c>
      <c r="D281" s="73"/>
      <c r="E281" s="19"/>
      <c r="F281" s="19"/>
    </row>
    <row r="282" ht="15.75" customHeight="1">
      <c r="A282" s="19"/>
      <c r="B282" s="19"/>
      <c r="C282" s="73">
        <f t="array" ref="C282">IF(OR(A282="",B282=""),999,IFERROR(IF(INDEX('Binder Setup'!$C$2:$C$401,MATCH(B282,'Binder Setup'!$B$2:$B$401,0))=TRUE(),999,MATCH(B282,'Binder Setup'!$B$2:$B$401,0)),999))</f>
        <v>999</v>
      </c>
      <c r="D282" s="73"/>
      <c r="E282" s="19"/>
      <c r="F282" s="19"/>
    </row>
    <row r="283" ht="15.75" customHeight="1">
      <c r="A283" s="19"/>
      <c r="B283" s="19"/>
      <c r="C283" s="73">
        <f t="array" ref="C283">IF(OR(A283="",B283=""),999,IFERROR(IF(INDEX('Binder Setup'!$C$2:$C$401,MATCH(B283,'Binder Setup'!$B$2:$B$401,0))=TRUE(),999,MATCH(B283,'Binder Setup'!$B$2:$B$401,0)),999))</f>
        <v>999</v>
      </c>
      <c r="D283" s="73"/>
      <c r="E283" s="19"/>
      <c r="F283" s="19"/>
    </row>
    <row r="284" ht="15.75" customHeight="1">
      <c r="A284" s="19"/>
      <c r="B284" s="19"/>
      <c r="C284" s="73">
        <f t="array" ref="C284">IF(OR(A284="",B284=""),999,IFERROR(IF(INDEX('Binder Setup'!$C$2:$C$401,MATCH(B284,'Binder Setup'!$B$2:$B$401,0))=TRUE(),999,MATCH(B284,'Binder Setup'!$B$2:$B$401,0)),999))</f>
        <v>999</v>
      </c>
      <c r="D284" s="73"/>
      <c r="E284" s="19"/>
      <c r="F284" s="19"/>
    </row>
    <row r="285" ht="15.75" customHeight="1">
      <c r="A285" s="19"/>
      <c r="B285" s="19"/>
      <c r="C285" s="73">
        <f t="array" ref="C285">IF(OR(A285="",B285=""),999,IFERROR(IF(INDEX('Binder Setup'!$C$2:$C$401,MATCH(B285,'Binder Setup'!$B$2:$B$401,0))=TRUE(),999,MATCH(B285,'Binder Setup'!$B$2:$B$401,0)),999))</f>
        <v>999</v>
      </c>
      <c r="D285" s="73"/>
      <c r="E285" s="19"/>
      <c r="F285" s="19"/>
    </row>
    <row r="286" ht="15.75" customHeight="1">
      <c r="A286" s="19"/>
      <c r="B286" s="19"/>
      <c r="C286" s="73">
        <f t="array" ref="C286">IF(OR(A286="",B286=""),999,IFERROR(IF(INDEX('Binder Setup'!$C$2:$C$401,MATCH(B286,'Binder Setup'!$B$2:$B$401,0))=TRUE(),999,MATCH(B286,'Binder Setup'!$B$2:$B$401,0)),999))</f>
        <v>999</v>
      </c>
      <c r="D286" s="73"/>
      <c r="E286" s="19"/>
      <c r="F286" s="19"/>
    </row>
    <row r="287" ht="15.75" customHeight="1">
      <c r="A287" s="19"/>
      <c r="B287" s="19"/>
      <c r="C287" s="73">
        <f t="array" ref="C287">IF(OR(A287="",B287=""),999,IFERROR(IF(INDEX('Binder Setup'!$C$2:$C$401,MATCH(B287,'Binder Setup'!$B$2:$B$401,0))=TRUE(),999,MATCH(B287,'Binder Setup'!$B$2:$B$401,0)),999))</f>
        <v>999</v>
      </c>
      <c r="D287" s="73"/>
      <c r="E287" s="19"/>
      <c r="F287" s="19"/>
    </row>
    <row r="288" ht="15.75" customHeight="1">
      <c r="A288" s="19"/>
      <c r="B288" s="19"/>
      <c r="C288" s="73">
        <f t="array" ref="C288">IF(OR(A288="",B288=""),999,IFERROR(IF(INDEX('Binder Setup'!$C$2:$C$401,MATCH(B288,'Binder Setup'!$B$2:$B$401,0))=TRUE(),999,MATCH(B288,'Binder Setup'!$B$2:$B$401,0)),999))</f>
        <v>999</v>
      </c>
      <c r="D288" s="73"/>
      <c r="E288" s="19"/>
      <c r="F288" s="19"/>
    </row>
    <row r="289" ht="15.75" customHeight="1">
      <c r="A289" s="19"/>
      <c r="B289" s="19"/>
      <c r="C289" s="73">
        <f t="array" ref="C289">IF(OR(A289="",B289=""),999,IFERROR(IF(INDEX('Binder Setup'!$C$2:$C$401,MATCH(B289,'Binder Setup'!$B$2:$B$401,0))=TRUE(),999,MATCH(B289,'Binder Setup'!$B$2:$B$401,0)),999))</f>
        <v>999</v>
      </c>
      <c r="D289" s="73"/>
      <c r="E289" s="19"/>
      <c r="F289" s="19"/>
    </row>
    <row r="290" ht="15.75" customHeight="1">
      <c r="A290" s="19"/>
      <c r="B290" s="19"/>
      <c r="C290" s="73">
        <f t="array" ref="C290">IF(OR(A290="",B290=""),999,IFERROR(IF(INDEX('Binder Setup'!$C$2:$C$401,MATCH(B290,'Binder Setup'!$B$2:$B$401,0))=TRUE(),999,MATCH(B290,'Binder Setup'!$B$2:$B$401,0)),999))</f>
        <v>999</v>
      </c>
      <c r="D290" s="73"/>
      <c r="E290" s="19"/>
      <c r="F290" s="19"/>
    </row>
    <row r="291" ht="15.75" customHeight="1">
      <c r="A291" s="19"/>
      <c r="B291" s="19"/>
      <c r="C291" s="73">
        <f t="array" ref="C291">IF(OR(A291="",B291=""),999,IFERROR(IF(INDEX('Binder Setup'!$C$2:$C$401,MATCH(B291,'Binder Setup'!$B$2:$B$401,0))=TRUE(),999,MATCH(B291,'Binder Setup'!$B$2:$B$401,0)),999))</f>
        <v>999</v>
      </c>
      <c r="D291" s="73"/>
      <c r="E291" s="19"/>
      <c r="F291" s="19"/>
    </row>
    <row r="292" ht="15.75" customHeight="1">
      <c r="A292" s="19"/>
      <c r="B292" s="19"/>
      <c r="C292" s="73">
        <f t="array" ref="C292">IF(OR(A292="",B292=""),999,IFERROR(IF(INDEX('Binder Setup'!$C$2:$C$401,MATCH(B292,'Binder Setup'!$B$2:$B$401,0))=TRUE(),999,MATCH(B292,'Binder Setup'!$B$2:$B$401,0)),999))</f>
        <v>999</v>
      </c>
      <c r="D292" s="73"/>
      <c r="E292" s="19"/>
      <c r="F292" s="19"/>
    </row>
    <row r="293" ht="15.75" customHeight="1">
      <c r="A293" s="19"/>
      <c r="B293" s="19"/>
      <c r="C293" s="73">
        <f t="array" ref="C293">IF(OR(A293="",B293=""),999,IFERROR(IF(INDEX('Binder Setup'!$C$2:$C$401,MATCH(B293,'Binder Setup'!$B$2:$B$401,0))=TRUE(),999,MATCH(B293,'Binder Setup'!$B$2:$B$401,0)),999))</f>
        <v>999</v>
      </c>
      <c r="D293" s="73"/>
      <c r="E293" s="19"/>
      <c r="F293" s="19"/>
    </row>
    <row r="294" ht="15.75" customHeight="1">
      <c r="A294" s="19"/>
      <c r="B294" s="19"/>
      <c r="C294" s="73">
        <f t="array" ref="C294">IF(OR(A294="",B294=""),999,IFERROR(IF(INDEX('Binder Setup'!$C$2:$C$401,MATCH(B294,'Binder Setup'!$B$2:$B$401,0))=TRUE(),999,MATCH(B294,'Binder Setup'!$B$2:$B$401,0)),999))</f>
        <v>999</v>
      </c>
      <c r="D294" s="73"/>
      <c r="E294" s="19"/>
      <c r="F294" s="19"/>
    </row>
    <row r="295" ht="15.75" customHeight="1">
      <c r="A295" s="19"/>
      <c r="B295" s="19"/>
      <c r="C295" s="73">
        <f t="array" ref="C295">IF(OR(A295="",B295=""),999,IFERROR(IF(INDEX('Binder Setup'!$C$2:$C$401,MATCH(B295,'Binder Setup'!$B$2:$B$401,0))=TRUE(),999,MATCH(B295,'Binder Setup'!$B$2:$B$401,0)),999))</f>
        <v>999</v>
      </c>
      <c r="D295" s="73"/>
      <c r="E295" s="19"/>
      <c r="F295" s="19"/>
    </row>
    <row r="296" ht="15.75" customHeight="1">
      <c r="A296" s="19"/>
      <c r="B296" s="19"/>
      <c r="C296" s="73">
        <f t="array" ref="C296">IF(OR(A296="",B296=""),999,IFERROR(IF(INDEX('Binder Setup'!$C$2:$C$401,MATCH(B296,'Binder Setup'!$B$2:$B$401,0))=TRUE(),999,MATCH(B296,'Binder Setup'!$B$2:$B$401,0)),999))</f>
        <v>999</v>
      </c>
      <c r="D296" s="73"/>
      <c r="E296" s="19"/>
      <c r="F296" s="19"/>
    </row>
    <row r="297" ht="15.75" customHeight="1">
      <c r="A297" s="19"/>
      <c r="B297" s="19"/>
      <c r="C297" s="73">
        <f t="array" ref="C297">IF(OR(A297="",B297=""),999,IFERROR(IF(INDEX('Binder Setup'!$C$2:$C$401,MATCH(B297,'Binder Setup'!$B$2:$B$401,0))=TRUE(),999,MATCH(B297,'Binder Setup'!$B$2:$B$401,0)),999))</f>
        <v>999</v>
      </c>
      <c r="D297" s="73"/>
      <c r="E297" s="19"/>
      <c r="F297" s="19"/>
    </row>
    <row r="298" ht="15.75" customHeight="1">
      <c r="A298" s="19"/>
      <c r="B298" s="19"/>
      <c r="C298" s="73">
        <f t="array" ref="C298">IF(OR(A298="",B298=""),999,IFERROR(IF(INDEX('Binder Setup'!$C$2:$C$401,MATCH(B298,'Binder Setup'!$B$2:$B$401,0))=TRUE(),999,MATCH(B298,'Binder Setup'!$B$2:$B$401,0)),999))</f>
        <v>999</v>
      </c>
      <c r="D298" s="73"/>
      <c r="E298" s="19"/>
      <c r="F298" s="19"/>
    </row>
    <row r="299" ht="15.75" customHeight="1">
      <c r="A299" s="19"/>
      <c r="B299" s="19"/>
      <c r="C299" s="73">
        <f t="array" ref="C299">IF(OR(A299="",B299=""),999,IFERROR(IF(INDEX('Binder Setup'!$C$2:$C$401,MATCH(B299,'Binder Setup'!$B$2:$B$401,0))=TRUE(),999,MATCH(B299,'Binder Setup'!$B$2:$B$401,0)),999))</f>
        <v>999</v>
      </c>
      <c r="D299" s="73"/>
      <c r="E299" s="19"/>
      <c r="F299" s="19"/>
    </row>
    <row r="300" ht="15.75" customHeight="1">
      <c r="A300" s="19"/>
      <c r="B300" s="19"/>
      <c r="C300" s="73">
        <f t="array" ref="C300">IF(OR(A300="",B300=""),999,IFERROR(IF(INDEX('Binder Setup'!$C$2:$C$401,MATCH(B300,'Binder Setup'!$B$2:$B$401,0))=TRUE(),999,MATCH(B300,'Binder Setup'!$B$2:$B$401,0)),999))</f>
        <v>999</v>
      </c>
      <c r="D300" s="73"/>
      <c r="E300" s="19"/>
      <c r="F300" s="19"/>
    </row>
    <row r="301" ht="15.75" customHeight="1">
      <c r="A301" s="19"/>
      <c r="B301" s="19"/>
      <c r="C301" s="73">
        <f t="array" ref="C301">IF(OR(A301="",B301=""),999,IFERROR(IF(INDEX('Binder Setup'!$C$2:$C$401,MATCH(B301,'Binder Setup'!$B$2:$B$401,0))=TRUE(),999,MATCH(B301,'Binder Setup'!$B$2:$B$401,0)),999))</f>
        <v>999</v>
      </c>
      <c r="D301" s="19"/>
      <c r="E301" s="19"/>
      <c r="F301" s="19"/>
    </row>
    <row r="302" ht="15.75" customHeight="1">
      <c r="A302" s="19"/>
      <c r="B302" s="19"/>
      <c r="C302" s="73">
        <f t="array" ref="C302">IF(OR(A302="",B302=""),999,IFERROR(IF(INDEX('Binder Setup'!$C$2:$C$401,MATCH(B302,'Binder Setup'!$B$2:$B$401,0))=TRUE(),999,MATCH(B302,'Binder Setup'!$B$2:$B$401,0)),999))</f>
        <v>999</v>
      </c>
      <c r="D302" s="19"/>
      <c r="E302" s="19"/>
      <c r="F302" s="19"/>
    </row>
    <row r="303" ht="15.75" customHeight="1">
      <c r="A303" s="19"/>
      <c r="B303" s="19"/>
      <c r="C303" s="73">
        <f t="array" ref="C303">IF(OR(A303="",B303=""),999,IFERROR(IF(INDEX('Binder Setup'!$C$2:$C$401,MATCH(B303,'Binder Setup'!$B$2:$B$401,0))=TRUE(),999,MATCH(B303,'Binder Setup'!$B$2:$B$401,0)),999))</f>
        <v>999</v>
      </c>
      <c r="D303" s="19"/>
      <c r="E303" s="19"/>
      <c r="F303" s="19"/>
    </row>
    <row r="304" ht="15.75" customHeight="1">
      <c r="A304" s="19"/>
      <c r="B304" s="19"/>
      <c r="C304" s="73">
        <f t="array" ref="C304">IF(OR(A304="",B304=""),999,IFERROR(IF(INDEX('Binder Setup'!$C$2:$C$401,MATCH(B304,'Binder Setup'!$B$2:$B$401,0))=TRUE(),999,MATCH(B304,'Binder Setup'!$B$2:$B$401,0)),999))</f>
        <v>999</v>
      </c>
      <c r="D304" s="19"/>
      <c r="E304" s="19"/>
      <c r="F304" s="19"/>
    </row>
    <row r="305" ht="15.75" customHeight="1">
      <c r="A305" s="19"/>
      <c r="B305" s="19"/>
      <c r="C305" s="73">
        <f t="array" ref="C305">IF(OR(A305="",B305=""),999,IFERROR(IF(INDEX('Binder Setup'!$C$2:$C$401,MATCH(B305,'Binder Setup'!$B$2:$B$401,0))=TRUE(),999,MATCH(B305,'Binder Setup'!$B$2:$B$401,0)),999))</f>
        <v>999</v>
      </c>
      <c r="D305" s="19"/>
      <c r="E305" s="19"/>
      <c r="F305" s="19"/>
    </row>
    <row r="306" ht="15.75" customHeight="1">
      <c r="A306" s="19"/>
      <c r="B306" s="19"/>
      <c r="C306" s="73">
        <f t="array" ref="C306">IF(OR(A306="",B306=""),999,IFERROR(IF(INDEX('Binder Setup'!$C$2:$C$401,MATCH(B306,'Binder Setup'!$B$2:$B$401,0))=TRUE(),999,MATCH(B306,'Binder Setup'!$B$2:$B$401,0)),999))</f>
        <v>999</v>
      </c>
      <c r="D306" s="19"/>
      <c r="E306" s="19"/>
      <c r="F306" s="19"/>
    </row>
    <row r="307" ht="15.75" customHeight="1">
      <c r="A307" s="19"/>
      <c r="B307" s="19"/>
      <c r="C307" s="73">
        <f t="array" ref="C307">IF(OR(A307="",B307=""),999,IFERROR(IF(INDEX('Binder Setup'!$C$2:$C$401,MATCH(B307,'Binder Setup'!$B$2:$B$401,0))=TRUE(),999,MATCH(B307,'Binder Setup'!$B$2:$B$401,0)),999))</f>
        <v>999</v>
      </c>
      <c r="D307" s="19"/>
      <c r="E307" s="19"/>
      <c r="F307" s="19"/>
    </row>
    <row r="308" ht="15.75" customHeight="1">
      <c r="A308" s="19"/>
      <c r="B308" s="19"/>
      <c r="C308" s="73">
        <f t="array" ref="C308">IF(OR(A308="",B308=""),999,IFERROR(IF(INDEX('Binder Setup'!$C$2:$C$401,MATCH(B308,'Binder Setup'!$B$2:$B$401,0))=TRUE(),999,MATCH(B308,'Binder Setup'!$B$2:$B$401,0)),999))</f>
        <v>999</v>
      </c>
      <c r="D308" s="19"/>
      <c r="E308" s="19"/>
      <c r="F308" s="19"/>
    </row>
    <row r="309" ht="15.75" customHeight="1">
      <c r="A309" s="19"/>
      <c r="B309" s="19"/>
      <c r="C309" s="73">
        <f t="array" ref="C309">IF(OR(A309="",B309=""),999,IFERROR(IF(INDEX('Binder Setup'!$C$2:$C$401,MATCH(B309,'Binder Setup'!$B$2:$B$401,0))=TRUE(),999,MATCH(B309,'Binder Setup'!$B$2:$B$401,0)),999))</f>
        <v>999</v>
      </c>
      <c r="D309" s="19"/>
      <c r="E309" s="19"/>
      <c r="F309" s="19"/>
    </row>
    <row r="310" ht="15.75" customHeight="1">
      <c r="A310" s="19"/>
      <c r="B310" s="19"/>
      <c r="C310" s="73">
        <f t="array" ref="C310">IF(OR(A310="",B310=""),999,IFERROR(IF(INDEX('Binder Setup'!$C$2:$C$401,MATCH(B310,'Binder Setup'!$B$2:$B$401,0))=TRUE(),999,MATCH(B310,'Binder Setup'!$B$2:$B$401,0)),999))</f>
        <v>999</v>
      </c>
      <c r="D310" s="19"/>
      <c r="E310" s="19"/>
      <c r="F310" s="19"/>
    </row>
    <row r="311" ht="15.75" customHeight="1">
      <c r="A311" s="19"/>
      <c r="B311" s="19"/>
      <c r="C311" s="73">
        <f t="array" ref="C311">IF(OR(A311="",B311=""),999,IFERROR(IF(INDEX('Binder Setup'!$C$2:$C$401,MATCH(B311,'Binder Setup'!$B$2:$B$401,0))=TRUE(),999,MATCH(B311,'Binder Setup'!$B$2:$B$401,0)),999))</f>
        <v>999</v>
      </c>
      <c r="D311" s="19"/>
      <c r="E311" s="19"/>
      <c r="F311" s="19"/>
    </row>
    <row r="312" ht="15.75" customHeight="1">
      <c r="A312" s="19"/>
      <c r="B312" s="19"/>
      <c r="C312" s="73">
        <f t="array" ref="C312">IF(OR(A312="",B312=""),999,IFERROR(IF(INDEX('Binder Setup'!$C$2:$C$401,MATCH(B312,'Binder Setup'!$B$2:$B$401,0))=TRUE(),999,MATCH(B312,'Binder Setup'!$B$2:$B$401,0)),999))</f>
        <v>999</v>
      </c>
      <c r="D312" s="19"/>
      <c r="E312" s="19"/>
      <c r="F312" s="19"/>
    </row>
    <row r="313" ht="15.75" customHeight="1">
      <c r="A313" s="19"/>
      <c r="B313" s="19"/>
      <c r="C313" s="73">
        <f t="array" ref="C313">IF(OR(A313="",B313=""),999,IFERROR(IF(INDEX('Binder Setup'!$C$2:$C$401,MATCH(B313,'Binder Setup'!$B$2:$B$401,0))=TRUE(),999,MATCH(B313,'Binder Setup'!$B$2:$B$401,0)),999))</f>
        <v>999</v>
      </c>
      <c r="D313" s="19"/>
      <c r="E313" s="19"/>
      <c r="F313" s="19"/>
    </row>
    <row r="314" ht="15.75" customHeight="1">
      <c r="A314" s="19"/>
      <c r="B314" s="19"/>
      <c r="C314" s="73">
        <f t="array" ref="C314">IF(OR(A314="",B314=""),999,IFERROR(IF(INDEX('Binder Setup'!$C$2:$C$401,MATCH(B314,'Binder Setup'!$B$2:$B$401,0))=TRUE(),999,MATCH(B314,'Binder Setup'!$B$2:$B$401,0)),999))</f>
        <v>999</v>
      </c>
      <c r="D314" s="19"/>
      <c r="E314" s="19"/>
      <c r="F314" s="19"/>
    </row>
    <row r="315" ht="15.75" customHeight="1">
      <c r="A315" s="19"/>
      <c r="B315" s="19"/>
      <c r="C315" s="73">
        <f t="array" ref="C315">IF(OR(A315="",B315=""),999,IFERROR(IF(INDEX('Binder Setup'!$C$2:$C$401,MATCH(B315,'Binder Setup'!$B$2:$B$401,0))=TRUE(),999,MATCH(B315,'Binder Setup'!$B$2:$B$401,0)),999))</f>
        <v>999</v>
      </c>
      <c r="D315" s="19"/>
      <c r="E315" s="19"/>
      <c r="F315" s="19"/>
    </row>
    <row r="316" ht="15.75" customHeight="1">
      <c r="A316" s="19"/>
      <c r="B316" s="19"/>
      <c r="C316" s="73">
        <f t="array" ref="C316">IF(OR(A316="",B316=""),999,IFERROR(IF(INDEX('Binder Setup'!$C$2:$C$401,MATCH(B316,'Binder Setup'!$B$2:$B$401,0))=TRUE(),999,MATCH(B316,'Binder Setup'!$B$2:$B$401,0)),999))</f>
        <v>999</v>
      </c>
      <c r="D316" s="19"/>
      <c r="E316" s="19"/>
      <c r="F316" s="19"/>
    </row>
    <row r="317" ht="15.75" customHeight="1">
      <c r="A317" s="19"/>
      <c r="B317" s="19"/>
      <c r="C317" s="73">
        <f t="array" ref="C317">IF(OR(A317="",B317=""),999,IFERROR(IF(INDEX('Binder Setup'!$C$2:$C$401,MATCH(B317,'Binder Setup'!$B$2:$B$401,0))=TRUE(),999,MATCH(B317,'Binder Setup'!$B$2:$B$401,0)),999))</f>
        <v>999</v>
      </c>
      <c r="D317" s="19"/>
      <c r="E317" s="19"/>
      <c r="F317" s="19"/>
    </row>
    <row r="318" ht="15.75" customHeight="1">
      <c r="A318" s="19"/>
      <c r="B318" s="19"/>
      <c r="C318" s="73">
        <f t="array" ref="C318">IF(OR(A318="",B318=""),999,IFERROR(IF(INDEX('Binder Setup'!$C$2:$C$401,MATCH(B318,'Binder Setup'!$B$2:$B$401,0))=TRUE(),999,MATCH(B318,'Binder Setup'!$B$2:$B$401,0)),999))</f>
        <v>999</v>
      </c>
      <c r="D318" s="19"/>
      <c r="E318" s="19"/>
      <c r="F318" s="19"/>
    </row>
    <row r="319" ht="15.75" customHeight="1">
      <c r="A319" s="19"/>
      <c r="B319" s="19"/>
      <c r="C319" s="73">
        <f t="array" ref="C319">IF(OR(A319="",B319=""),999,IFERROR(IF(INDEX('Binder Setup'!$C$2:$C$401,MATCH(B319,'Binder Setup'!$B$2:$B$401,0))=TRUE(),999,MATCH(B319,'Binder Setup'!$B$2:$B$401,0)),999))</f>
        <v>999</v>
      </c>
      <c r="D319" s="19"/>
      <c r="E319" s="19"/>
      <c r="F319" s="19"/>
    </row>
    <row r="320" ht="15.75" customHeight="1">
      <c r="A320" s="19"/>
      <c r="B320" s="19"/>
      <c r="C320" s="73">
        <f t="array" ref="C320">IF(OR(A320="",B320=""),999,IFERROR(IF(INDEX('Binder Setup'!$C$2:$C$401,MATCH(B320,'Binder Setup'!$B$2:$B$401,0))=TRUE(),999,MATCH(B320,'Binder Setup'!$B$2:$B$401,0)),999))</f>
        <v>999</v>
      </c>
      <c r="D320" s="19"/>
      <c r="E320" s="19"/>
      <c r="F320" s="19"/>
    </row>
    <row r="321" ht="15.75" customHeight="1">
      <c r="A321" s="19"/>
      <c r="B321" s="19"/>
      <c r="C321" s="73">
        <f t="array" ref="C321">IF(OR(A321="",B321=""),999,IFERROR(IF(INDEX('Binder Setup'!$C$2:$C$401,MATCH(B321,'Binder Setup'!$B$2:$B$401,0))=TRUE(),999,MATCH(B321,'Binder Setup'!$B$2:$B$401,0)),999))</f>
        <v>999</v>
      </c>
      <c r="D321" s="19"/>
      <c r="E321" s="19"/>
      <c r="F321" s="19"/>
    </row>
    <row r="322" ht="15.75" customHeight="1">
      <c r="A322" s="19"/>
      <c r="B322" s="19"/>
      <c r="C322" s="73">
        <f t="array" ref="C322">IF(OR(A322="",B322=""),999,IFERROR(IF(INDEX('Binder Setup'!$C$2:$C$401,MATCH(B322,'Binder Setup'!$B$2:$B$401,0))=TRUE(),999,MATCH(B322,'Binder Setup'!$B$2:$B$401,0)),999))</f>
        <v>999</v>
      </c>
      <c r="D322" s="19"/>
      <c r="E322" s="19"/>
      <c r="F322" s="19"/>
    </row>
    <row r="323" ht="15.75" customHeight="1">
      <c r="A323" s="19"/>
      <c r="B323" s="19"/>
      <c r="C323" s="73">
        <f t="array" ref="C323">IF(OR(A323="",B323=""),999,IFERROR(IF(INDEX('Binder Setup'!$C$2:$C$401,MATCH(B323,'Binder Setup'!$B$2:$B$401,0))=TRUE(),999,MATCH(B323,'Binder Setup'!$B$2:$B$401,0)),999))</f>
        <v>999</v>
      </c>
      <c r="D323" s="19"/>
      <c r="E323" s="19"/>
      <c r="F323" s="19"/>
    </row>
    <row r="324" ht="15.75" customHeight="1">
      <c r="A324" s="19"/>
      <c r="B324" s="19"/>
      <c r="C324" s="73">
        <f t="array" ref="C324">IF(OR(A324="",B324=""),999,IFERROR(IF(INDEX('Binder Setup'!$C$2:$C$401,MATCH(B324,'Binder Setup'!$B$2:$B$401,0))=TRUE(),999,MATCH(B324,'Binder Setup'!$B$2:$B$401,0)),999))</f>
        <v>999</v>
      </c>
      <c r="D324" s="19"/>
      <c r="E324" s="19"/>
      <c r="F324" s="19"/>
    </row>
    <row r="325" ht="15.75" customHeight="1">
      <c r="A325" s="19"/>
      <c r="B325" s="19"/>
      <c r="C325" s="73">
        <f t="array" ref="C325">IF(OR(A325="",B325=""),999,IFERROR(IF(INDEX('Binder Setup'!$C$2:$C$401,MATCH(B325,'Binder Setup'!$B$2:$B$401,0))=TRUE(),999,MATCH(B325,'Binder Setup'!$B$2:$B$401,0)),999))</f>
        <v>999</v>
      </c>
      <c r="D325" s="19"/>
      <c r="E325" s="19"/>
      <c r="F325" s="19"/>
    </row>
    <row r="326" ht="15.75" customHeight="1">
      <c r="A326" s="19"/>
      <c r="B326" s="19"/>
      <c r="C326" s="73">
        <f t="array" ref="C326">IF(OR(A326="",B326=""),999,IFERROR(IF(INDEX('Binder Setup'!$C$2:$C$401,MATCH(B326,'Binder Setup'!$B$2:$B$401,0))=TRUE(),999,MATCH(B326,'Binder Setup'!$B$2:$B$401,0)),999))</f>
        <v>999</v>
      </c>
      <c r="D326" s="19"/>
      <c r="E326" s="19"/>
      <c r="F326" s="19"/>
    </row>
    <row r="327" ht="15.75" customHeight="1">
      <c r="A327" s="19"/>
      <c r="B327" s="19"/>
      <c r="C327" s="73">
        <f t="array" ref="C327">IF(OR(A327="",B327=""),999,IFERROR(IF(INDEX('Binder Setup'!$C$2:$C$401,MATCH(B327,'Binder Setup'!$B$2:$B$401,0))=TRUE(),999,MATCH(B327,'Binder Setup'!$B$2:$B$401,0)),999))</f>
        <v>999</v>
      </c>
      <c r="D327" s="19"/>
      <c r="E327" s="19"/>
      <c r="F327" s="19"/>
    </row>
    <row r="328" ht="15.75" customHeight="1">
      <c r="A328" s="19"/>
      <c r="B328" s="19"/>
      <c r="C328" s="73">
        <f t="array" ref="C328">IF(OR(A328="",B328=""),999,IFERROR(IF(INDEX('Binder Setup'!$C$2:$C$401,MATCH(B328,'Binder Setup'!$B$2:$B$401,0))=TRUE(),999,MATCH(B328,'Binder Setup'!$B$2:$B$401,0)),999))</f>
        <v>999</v>
      </c>
      <c r="D328" s="19"/>
      <c r="E328" s="19"/>
      <c r="F328" s="19"/>
    </row>
    <row r="329" ht="15.75" customHeight="1">
      <c r="A329" s="19"/>
      <c r="B329" s="19"/>
      <c r="C329" s="73">
        <f t="array" ref="C329">IF(OR(A329="",B329=""),999,IFERROR(IF(INDEX('Binder Setup'!$C$2:$C$401,MATCH(B329,'Binder Setup'!$B$2:$B$401,0))=TRUE(),999,MATCH(B329,'Binder Setup'!$B$2:$B$401,0)),999))</f>
        <v>999</v>
      </c>
      <c r="D329" s="19"/>
      <c r="E329" s="19"/>
      <c r="F329" s="19"/>
    </row>
    <row r="330" ht="15.75" customHeight="1">
      <c r="A330" s="19"/>
      <c r="B330" s="19"/>
      <c r="C330" s="73">
        <f t="array" ref="C330">IF(OR(A330="",B330=""),999,IFERROR(IF(INDEX('Binder Setup'!$C$2:$C$401,MATCH(B330,'Binder Setup'!$B$2:$B$401,0))=TRUE(),999,MATCH(B330,'Binder Setup'!$B$2:$B$401,0)),999))</f>
        <v>999</v>
      </c>
      <c r="D330" s="19"/>
      <c r="E330" s="19"/>
      <c r="F330" s="19"/>
    </row>
    <row r="331" ht="15.75" customHeight="1">
      <c r="A331" s="19"/>
      <c r="B331" s="19"/>
      <c r="C331" s="73">
        <f t="array" ref="C331">IF(OR(A331="",B331=""),999,IFERROR(IF(INDEX('Binder Setup'!$C$2:$C$401,MATCH(B331,'Binder Setup'!$B$2:$B$401,0))=TRUE(),999,MATCH(B331,'Binder Setup'!$B$2:$B$401,0)),999))</f>
        <v>999</v>
      </c>
      <c r="D331" s="19"/>
      <c r="E331" s="19"/>
      <c r="F331" s="19"/>
    </row>
    <row r="332" ht="15.75" customHeight="1">
      <c r="A332" s="19"/>
      <c r="B332" s="19"/>
      <c r="C332" s="73">
        <f t="array" ref="C332">IF(OR(A332="",B332=""),999,IFERROR(IF(INDEX('Binder Setup'!$C$2:$C$401,MATCH(B332,'Binder Setup'!$B$2:$B$401,0))=TRUE(),999,MATCH(B332,'Binder Setup'!$B$2:$B$401,0)),999))</f>
        <v>999</v>
      </c>
      <c r="D332" s="19"/>
      <c r="E332" s="19"/>
      <c r="F332" s="19"/>
    </row>
    <row r="333" ht="15.75" customHeight="1">
      <c r="A333" s="19"/>
      <c r="B333" s="19"/>
      <c r="C333" s="73">
        <f t="array" ref="C333">IF(OR(A333="",B333=""),999,IFERROR(IF(INDEX('Binder Setup'!$C$2:$C$401,MATCH(B333,'Binder Setup'!$B$2:$B$401,0))=TRUE(),999,MATCH(B333,'Binder Setup'!$B$2:$B$401,0)),999))</f>
        <v>999</v>
      </c>
      <c r="D333" s="19"/>
      <c r="E333" s="19"/>
      <c r="F333" s="19"/>
    </row>
    <row r="334" ht="15.75" customHeight="1">
      <c r="A334" s="19"/>
      <c r="B334" s="19"/>
      <c r="C334" s="73">
        <f t="array" ref="C334">IF(OR(A334="",B334=""),999,IFERROR(IF(INDEX('Binder Setup'!$C$2:$C$401,MATCH(B334,'Binder Setup'!$B$2:$B$401,0))=TRUE(),999,MATCH(B334,'Binder Setup'!$B$2:$B$401,0)),999))</f>
        <v>999</v>
      </c>
      <c r="D334" s="19"/>
      <c r="E334" s="19"/>
      <c r="F334" s="19"/>
    </row>
    <row r="335" ht="15.75" customHeight="1">
      <c r="A335" s="19"/>
      <c r="B335" s="19"/>
      <c r="C335" s="73">
        <f t="array" ref="C335">IF(OR(A335="",B335=""),999,IFERROR(IF(INDEX('Binder Setup'!$C$2:$C$401,MATCH(B335,'Binder Setup'!$B$2:$B$401,0))=TRUE(),999,MATCH(B335,'Binder Setup'!$B$2:$B$401,0)),999))</f>
        <v>999</v>
      </c>
      <c r="D335" s="19"/>
      <c r="E335" s="19"/>
      <c r="F335" s="19"/>
    </row>
    <row r="336" ht="15.75" customHeight="1">
      <c r="A336" s="19"/>
      <c r="B336" s="19"/>
      <c r="C336" s="73">
        <f t="array" ref="C336">IF(OR(A336="",B336=""),999,IFERROR(IF(INDEX('Binder Setup'!$C$2:$C$401,MATCH(B336,'Binder Setup'!$B$2:$B$401,0))=TRUE(),999,MATCH(B336,'Binder Setup'!$B$2:$B$401,0)),999))</f>
        <v>999</v>
      </c>
      <c r="D336" s="19"/>
      <c r="E336" s="19"/>
      <c r="F336" s="19"/>
    </row>
    <row r="337" ht="15.75" customHeight="1">
      <c r="A337" s="19"/>
      <c r="B337" s="19"/>
      <c r="C337" s="73">
        <f t="array" ref="C337">IF(OR(A337="",B337=""),999,IFERROR(IF(INDEX('Binder Setup'!$C$2:$C$401,MATCH(B337,'Binder Setup'!$B$2:$B$401,0))=TRUE(),999,MATCH(B337,'Binder Setup'!$B$2:$B$401,0)),999))</f>
        <v>999</v>
      </c>
      <c r="D337" s="19"/>
      <c r="E337" s="19"/>
      <c r="F337" s="19"/>
    </row>
    <row r="338" ht="15.75" customHeight="1">
      <c r="A338" s="19"/>
      <c r="B338" s="19"/>
      <c r="C338" s="73">
        <f t="array" ref="C338">IF(OR(A338="",B338=""),999,IFERROR(IF(INDEX('Binder Setup'!$C$2:$C$401,MATCH(B338,'Binder Setup'!$B$2:$B$401,0))=TRUE(),999,MATCH(B338,'Binder Setup'!$B$2:$B$401,0)),999))</f>
        <v>999</v>
      </c>
      <c r="D338" s="19"/>
      <c r="E338" s="19"/>
      <c r="F338" s="19"/>
    </row>
    <row r="339" ht="15.75" customHeight="1">
      <c r="A339" s="19"/>
      <c r="B339" s="19"/>
      <c r="C339" s="73">
        <f t="array" ref="C339">IF(OR(A339="",B339=""),999,IFERROR(IF(INDEX('Binder Setup'!$C$2:$C$401,MATCH(B339,'Binder Setup'!$B$2:$B$401,0))=TRUE(),999,MATCH(B339,'Binder Setup'!$B$2:$B$401,0)),999))</f>
        <v>999</v>
      </c>
      <c r="D339" s="19"/>
      <c r="E339" s="19"/>
      <c r="F339" s="19"/>
    </row>
    <row r="340" ht="15.75" customHeight="1">
      <c r="A340" s="19"/>
      <c r="B340" s="19"/>
      <c r="C340" s="73">
        <f t="array" ref="C340">IF(OR(A340="",B340=""),999,IFERROR(IF(INDEX('Binder Setup'!$C$2:$C$401,MATCH(B340,'Binder Setup'!$B$2:$B$401,0))=TRUE(),999,MATCH(B340,'Binder Setup'!$B$2:$B$401,0)),999))</f>
        <v>999</v>
      </c>
      <c r="D340" s="19"/>
      <c r="E340" s="19"/>
      <c r="F340" s="19"/>
    </row>
    <row r="341" ht="15.75" customHeight="1">
      <c r="A341" s="19"/>
      <c r="B341" s="19"/>
      <c r="C341" s="73">
        <f t="array" ref="C341">IF(OR(A341="",B341=""),999,IFERROR(IF(INDEX('Binder Setup'!$C$2:$C$401,MATCH(B341,'Binder Setup'!$B$2:$B$401,0))=TRUE(),999,MATCH(B341,'Binder Setup'!$B$2:$B$401,0)),999))</f>
        <v>999</v>
      </c>
      <c r="D341" s="19"/>
      <c r="E341" s="19"/>
      <c r="F341" s="19"/>
    </row>
    <row r="342" ht="15.75" customHeight="1">
      <c r="A342" s="19"/>
      <c r="B342" s="19"/>
      <c r="C342" s="73">
        <f t="array" ref="C342">IF(OR(A342="",B342=""),999,IFERROR(IF(INDEX('Binder Setup'!$C$2:$C$401,MATCH(B342,'Binder Setup'!$B$2:$B$401,0))=TRUE(),999,MATCH(B342,'Binder Setup'!$B$2:$B$401,0)),999))</f>
        <v>999</v>
      </c>
      <c r="D342" s="19"/>
      <c r="E342" s="19"/>
      <c r="F342" s="19"/>
    </row>
    <row r="343" ht="15.75" customHeight="1">
      <c r="A343" s="19"/>
      <c r="B343" s="19"/>
      <c r="C343" s="73">
        <f t="array" ref="C343">IF(OR(A343="",B343=""),999,IFERROR(IF(INDEX('Binder Setup'!$C$2:$C$401,MATCH(B343,'Binder Setup'!$B$2:$B$401,0))=TRUE(),999,MATCH(B343,'Binder Setup'!$B$2:$B$401,0)),999))</f>
        <v>999</v>
      </c>
      <c r="D343" s="19"/>
      <c r="E343" s="19"/>
      <c r="F343" s="19"/>
    </row>
    <row r="344" ht="15.75" customHeight="1">
      <c r="A344" s="19"/>
      <c r="B344" s="19"/>
      <c r="C344" s="73">
        <f t="array" ref="C344">IF(OR(A344="",B344=""),999,IFERROR(IF(INDEX('Binder Setup'!$C$2:$C$401,MATCH(B344,'Binder Setup'!$B$2:$B$401,0))=TRUE(),999,MATCH(B344,'Binder Setup'!$B$2:$B$401,0)),999))</f>
        <v>999</v>
      </c>
      <c r="D344" s="19"/>
      <c r="E344" s="19"/>
      <c r="F344" s="19"/>
    </row>
    <row r="345" ht="15.75" customHeight="1">
      <c r="A345" s="19"/>
      <c r="B345" s="19"/>
      <c r="C345" s="73">
        <f t="array" ref="C345">IF(OR(A345="",B345=""),999,IFERROR(IF(INDEX('Binder Setup'!$C$2:$C$401,MATCH(B345,'Binder Setup'!$B$2:$B$401,0))=TRUE(),999,MATCH(B345,'Binder Setup'!$B$2:$B$401,0)),999))</f>
        <v>999</v>
      </c>
      <c r="D345" s="19"/>
      <c r="E345" s="19"/>
      <c r="F345" s="19"/>
    </row>
    <row r="346" ht="15.75" customHeight="1">
      <c r="A346" s="19"/>
      <c r="B346" s="19"/>
      <c r="C346" s="73">
        <f t="array" ref="C346">IF(OR(A346="",B346=""),999,IFERROR(IF(INDEX('Binder Setup'!$C$2:$C$401,MATCH(B346,'Binder Setup'!$B$2:$B$401,0))=TRUE(),999,MATCH(B346,'Binder Setup'!$B$2:$B$401,0)),999))</f>
        <v>999</v>
      </c>
      <c r="D346" s="19"/>
      <c r="E346" s="19"/>
      <c r="F346" s="19"/>
    </row>
    <row r="347" ht="15.75" customHeight="1">
      <c r="A347" s="19"/>
      <c r="B347" s="19"/>
      <c r="C347" s="73">
        <f t="array" ref="C347">IF(OR(A347="",B347=""),999,IFERROR(IF(INDEX('Binder Setup'!$C$2:$C$401,MATCH(B347,'Binder Setup'!$B$2:$B$401,0))=TRUE(),999,MATCH(B347,'Binder Setup'!$B$2:$B$401,0)),999))</f>
        <v>999</v>
      </c>
      <c r="D347" s="19"/>
      <c r="E347" s="19"/>
      <c r="F347" s="19"/>
    </row>
    <row r="348" ht="15.75" customHeight="1">
      <c r="A348" s="19"/>
      <c r="B348" s="19"/>
      <c r="C348" s="73">
        <f t="array" ref="C348">IF(OR(A348="",B348=""),999,IFERROR(IF(INDEX('Binder Setup'!$C$2:$C$401,MATCH(B348,'Binder Setup'!$B$2:$B$401,0))=TRUE(),999,MATCH(B348,'Binder Setup'!$B$2:$B$401,0)),999))</f>
        <v>999</v>
      </c>
      <c r="D348" s="19"/>
      <c r="E348" s="19"/>
      <c r="F348" s="19"/>
    </row>
    <row r="349" ht="15.75" customHeight="1">
      <c r="A349" s="19"/>
      <c r="B349" s="19"/>
      <c r="C349" s="73">
        <f t="array" ref="C349">IF(OR(A349="",B349=""),999,IFERROR(IF(INDEX('Binder Setup'!$C$2:$C$401,MATCH(B349,'Binder Setup'!$B$2:$B$401,0))=TRUE(),999,MATCH(B349,'Binder Setup'!$B$2:$B$401,0)),999))</f>
        <v>999</v>
      </c>
      <c r="D349" s="19"/>
      <c r="E349" s="19"/>
      <c r="F349" s="19"/>
    </row>
    <row r="350" ht="15.75" customHeight="1">
      <c r="A350" s="19"/>
      <c r="B350" s="19"/>
      <c r="C350" s="73">
        <f t="array" ref="C350">IF(OR(A350="",B350=""),999,IFERROR(IF(INDEX('Binder Setup'!$C$2:$C$401,MATCH(B350,'Binder Setup'!$B$2:$B$401,0))=TRUE(),999,MATCH(B350,'Binder Setup'!$B$2:$B$401,0)),999))</f>
        <v>999</v>
      </c>
      <c r="D350" s="19"/>
      <c r="E350" s="19"/>
      <c r="F350" s="19"/>
    </row>
    <row r="351" ht="15.75" customHeight="1">
      <c r="A351" s="19"/>
      <c r="B351" s="19"/>
      <c r="C351" s="73">
        <f t="array" ref="C351">IF(OR(A351="",B351=""),999,IFERROR(IF(INDEX('Binder Setup'!$C$2:$C$401,MATCH(B351,'Binder Setup'!$B$2:$B$401,0))=TRUE(),999,MATCH(B351,'Binder Setup'!$B$2:$B$401,0)),999))</f>
        <v>999</v>
      </c>
      <c r="D351" s="19"/>
      <c r="E351" s="19"/>
      <c r="F351" s="19"/>
    </row>
    <row r="352" ht="15.75" customHeight="1">
      <c r="A352" s="19"/>
      <c r="B352" s="19"/>
      <c r="C352" s="73">
        <f t="array" ref="C352">IF(OR(A352="",B352=""),999,IFERROR(IF(INDEX('Binder Setup'!$C$2:$C$401,MATCH(B352,'Binder Setup'!$B$2:$B$401,0))=TRUE(),999,MATCH(B352,'Binder Setup'!$B$2:$B$401,0)),999))</f>
        <v>999</v>
      </c>
      <c r="D352" s="19"/>
      <c r="E352" s="19"/>
      <c r="F352" s="19"/>
    </row>
    <row r="353" ht="15.75" customHeight="1">
      <c r="A353" s="19"/>
      <c r="B353" s="19"/>
      <c r="C353" s="73">
        <f t="array" ref="C353">IF(OR(A353="",B353=""),999,IFERROR(IF(INDEX('Binder Setup'!$C$2:$C$401,MATCH(B353,'Binder Setup'!$B$2:$B$401,0))=TRUE(),999,MATCH(B353,'Binder Setup'!$B$2:$B$401,0)),999))</f>
        <v>999</v>
      </c>
      <c r="D353" s="19"/>
      <c r="E353" s="19"/>
      <c r="F353" s="19"/>
    </row>
    <row r="354" ht="15.75" customHeight="1">
      <c r="A354" s="19"/>
      <c r="B354" s="19"/>
      <c r="C354" s="73">
        <f t="array" ref="C354">IF(OR(A354="",B354=""),999,IFERROR(IF(INDEX('Binder Setup'!$C$2:$C$401,MATCH(B354,'Binder Setup'!$B$2:$B$401,0))=TRUE(),999,MATCH(B354,'Binder Setup'!$B$2:$B$401,0)),999))</f>
        <v>999</v>
      </c>
      <c r="D354" s="19"/>
      <c r="E354" s="19"/>
      <c r="F354" s="19"/>
    </row>
    <row r="355" ht="15.75" customHeight="1">
      <c r="A355" s="19"/>
      <c r="B355" s="19"/>
      <c r="C355" s="73">
        <f t="array" ref="C355">IF(OR(A355="",B355=""),999,IFERROR(IF(INDEX('Binder Setup'!$C$2:$C$401,MATCH(B355,'Binder Setup'!$B$2:$B$401,0))=TRUE(),999,MATCH(B355,'Binder Setup'!$B$2:$B$401,0)),999))</f>
        <v>999</v>
      </c>
      <c r="D355" s="19"/>
      <c r="E355" s="19"/>
      <c r="F355" s="19"/>
    </row>
    <row r="356" ht="15.75" customHeight="1">
      <c r="A356" s="19"/>
      <c r="B356" s="19"/>
      <c r="C356" s="73">
        <f t="array" ref="C356">IF(OR(A356="",B356=""),999,IFERROR(IF(INDEX('Binder Setup'!$C$2:$C$401,MATCH(B356,'Binder Setup'!$B$2:$B$401,0))=TRUE(),999,MATCH(B356,'Binder Setup'!$B$2:$B$401,0)),999))</f>
        <v>999</v>
      </c>
      <c r="D356" s="19"/>
      <c r="E356" s="19"/>
      <c r="F356" s="19"/>
    </row>
    <row r="357" ht="15.75" customHeight="1">
      <c r="A357" s="19"/>
      <c r="B357" s="19"/>
      <c r="C357" s="73">
        <f t="array" ref="C357">IF(OR(A357="",B357=""),999,IFERROR(IF(INDEX('Binder Setup'!$C$2:$C$401,MATCH(B357,'Binder Setup'!$B$2:$B$401,0))=TRUE(),999,MATCH(B357,'Binder Setup'!$B$2:$B$401,0)),999))</f>
        <v>999</v>
      </c>
      <c r="D357" s="19"/>
      <c r="E357" s="19"/>
      <c r="F357" s="19"/>
    </row>
    <row r="358" ht="15.75" customHeight="1">
      <c r="A358" s="19"/>
      <c r="B358" s="19"/>
      <c r="C358" s="73">
        <f t="array" ref="C358">IF(OR(A358="",B358=""),999,IFERROR(IF(INDEX('Binder Setup'!$C$2:$C$401,MATCH(B358,'Binder Setup'!$B$2:$B$401,0))=TRUE(),999,MATCH(B358,'Binder Setup'!$B$2:$B$401,0)),999))</f>
        <v>999</v>
      </c>
      <c r="D358" s="19"/>
      <c r="E358" s="19"/>
      <c r="F358" s="19"/>
    </row>
    <row r="359" ht="15.75" customHeight="1">
      <c r="A359" s="19"/>
      <c r="B359" s="19"/>
      <c r="C359" s="73">
        <f t="array" ref="C359">IF(OR(A359="",B359=""),999,IFERROR(IF(INDEX('Binder Setup'!$C$2:$C$401,MATCH(B359,'Binder Setup'!$B$2:$B$401,0))=TRUE(),999,MATCH(B359,'Binder Setup'!$B$2:$B$401,0)),999))</f>
        <v>999</v>
      </c>
      <c r="D359" s="19"/>
      <c r="E359" s="19"/>
      <c r="F359" s="19"/>
    </row>
    <row r="360" ht="15.75" customHeight="1">
      <c r="A360" s="19"/>
      <c r="B360" s="19"/>
      <c r="C360" s="73">
        <f t="array" ref="C360">IF(OR(A360="",B360=""),999,IFERROR(IF(INDEX('Binder Setup'!$C$2:$C$401,MATCH(B360,'Binder Setup'!$B$2:$B$401,0))=TRUE(),999,MATCH(B360,'Binder Setup'!$B$2:$B$401,0)),999))</f>
        <v>999</v>
      </c>
      <c r="D360" s="19"/>
      <c r="E360" s="19"/>
      <c r="F360" s="19"/>
    </row>
    <row r="361" ht="15.75" customHeight="1">
      <c r="A361" s="19"/>
      <c r="B361" s="19"/>
      <c r="C361" s="73">
        <f t="array" ref="C361">IF(OR(A361="",B361=""),999,IFERROR(IF(INDEX('Binder Setup'!$C$2:$C$401,MATCH(B361,'Binder Setup'!$B$2:$B$401,0))=TRUE(),999,MATCH(B361,'Binder Setup'!$B$2:$B$401,0)),999))</f>
        <v>999</v>
      </c>
      <c r="D361" s="19"/>
      <c r="E361" s="19"/>
      <c r="F361" s="19"/>
    </row>
    <row r="362" ht="15.75" customHeight="1">
      <c r="A362" s="19"/>
      <c r="B362" s="19"/>
      <c r="C362" s="73">
        <f t="array" ref="C362">IF(OR(A362="",B362=""),999,IFERROR(IF(INDEX('Binder Setup'!$C$2:$C$401,MATCH(B362,'Binder Setup'!$B$2:$B$401,0))=TRUE(),999,MATCH(B362,'Binder Setup'!$B$2:$B$401,0)),999))</f>
        <v>999</v>
      </c>
      <c r="D362" s="19"/>
      <c r="E362" s="19"/>
      <c r="F362" s="19"/>
    </row>
    <row r="363" ht="15.75" customHeight="1">
      <c r="A363" s="19"/>
      <c r="B363" s="19"/>
      <c r="C363" s="73">
        <f t="array" ref="C363">IF(OR(A363="",B363=""),999,IFERROR(IF(INDEX('Binder Setup'!$C$2:$C$401,MATCH(B363,'Binder Setup'!$B$2:$B$401,0))=TRUE(),999,MATCH(B363,'Binder Setup'!$B$2:$B$401,0)),999))</f>
        <v>999</v>
      </c>
      <c r="D363" s="19"/>
      <c r="E363" s="19"/>
      <c r="F363" s="19"/>
    </row>
    <row r="364" ht="15.75" customHeight="1">
      <c r="A364" s="19"/>
      <c r="B364" s="19"/>
      <c r="C364" s="73">
        <f t="array" ref="C364">IF(OR(A364="",B364=""),999,IFERROR(IF(INDEX('Binder Setup'!$C$2:$C$401,MATCH(B364,'Binder Setup'!$B$2:$B$401,0))=TRUE(),999,MATCH(B364,'Binder Setup'!$B$2:$B$401,0)),999))</f>
        <v>999</v>
      </c>
      <c r="D364" s="19"/>
      <c r="E364" s="19"/>
      <c r="F364" s="19"/>
    </row>
    <row r="365" ht="15.75" customHeight="1">
      <c r="A365" s="19"/>
      <c r="B365" s="19"/>
      <c r="C365" s="73">
        <f t="array" ref="C365">IF(OR(A365="",B365=""),999,IFERROR(IF(INDEX('Binder Setup'!$C$2:$C$401,MATCH(B365,'Binder Setup'!$B$2:$B$401,0))=TRUE(),999,MATCH(B365,'Binder Setup'!$B$2:$B$401,0)),999))</f>
        <v>999</v>
      </c>
      <c r="D365" s="19"/>
      <c r="E365" s="19"/>
      <c r="F365" s="19"/>
    </row>
    <row r="366" ht="15.75" customHeight="1">
      <c r="A366" s="19"/>
      <c r="B366" s="19"/>
      <c r="C366" s="73">
        <f t="array" ref="C366">IF(OR(A366="",B366=""),999,IFERROR(IF(INDEX('Binder Setup'!$C$2:$C$401,MATCH(B366,'Binder Setup'!$B$2:$B$401,0))=TRUE(),999,MATCH(B366,'Binder Setup'!$B$2:$B$401,0)),999))</f>
        <v>999</v>
      </c>
      <c r="D366" s="19"/>
      <c r="E366" s="19"/>
      <c r="F366" s="19"/>
    </row>
    <row r="367" ht="15.75" customHeight="1">
      <c r="A367" s="19"/>
      <c r="B367" s="19"/>
      <c r="C367" s="73">
        <f t="array" ref="C367">IF(OR(A367="",B367=""),999,IFERROR(IF(INDEX('Binder Setup'!$C$2:$C$401,MATCH(B367,'Binder Setup'!$B$2:$B$401,0))=TRUE(),999,MATCH(B367,'Binder Setup'!$B$2:$B$401,0)),999))</f>
        <v>999</v>
      </c>
      <c r="D367" s="19"/>
      <c r="E367" s="19"/>
      <c r="F367" s="19"/>
    </row>
    <row r="368" ht="15.75" customHeight="1">
      <c r="A368" s="19"/>
      <c r="B368" s="19"/>
      <c r="C368" s="73">
        <f t="array" ref="C368">IF(OR(A368="",B368=""),999,IFERROR(IF(INDEX('Binder Setup'!$C$2:$C$401,MATCH(B368,'Binder Setup'!$B$2:$B$401,0))=TRUE(),999,MATCH(B368,'Binder Setup'!$B$2:$B$401,0)),999))</f>
        <v>999</v>
      </c>
      <c r="D368" s="19"/>
      <c r="E368" s="19"/>
      <c r="F368" s="19"/>
    </row>
    <row r="369" ht="15.75" customHeight="1">
      <c r="A369" s="19"/>
      <c r="B369" s="19"/>
      <c r="C369" s="73">
        <f t="array" ref="C369">IF(OR(A369="",B369=""),999,IFERROR(IF(INDEX('Binder Setup'!$C$2:$C$401,MATCH(B369,'Binder Setup'!$B$2:$B$401,0))=TRUE(),999,MATCH(B369,'Binder Setup'!$B$2:$B$401,0)),999))</f>
        <v>999</v>
      </c>
      <c r="D369" s="19"/>
      <c r="E369" s="19"/>
      <c r="F369" s="19"/>
    </row>
    <row r="370" ht="15.75" customHeight="1">
      <c r="A370" s="19"/>
      <c r="B370" s="19"/>
      <c r="C370" s="73">
        <f t="array" ref="C370">IF(OR(A370="",B370=""),999,IFERROR(IF(INDEX('Binder Setup'!$C$2:$C$401,MATCH(B370,'Binder Setup'!$B$2:$B$401,0))=TRUE(),999,MATCH(B370,'Binder Setup'!$B$2:$B$401,0)),999))</f>
        <v>999</v>
      </c>
      <c r="D370" s="19"/>
      <c r="E370" s="19"/>
      <c r="F370" s="19"/>
    </row>
    <row r="371" ht="15.75" customHeight="1">
      <c r="A371" s="19"/>
      <c r="B371" s="19"/>
      <c r="C371" s="73">
        <f t="array" ref="C371">IF(OR(A371="",B371=""),999,IFERROR(IF(INDEX('Binder Setup'!$C$2:$C$401,MATCH(B371,'Binder Setup'!$B$2:$B$401,0))=TRUE(),999,MATCH(B371,'Binder Setup'!$B$2:$B$401,0)),999))</f>
        <v>999</v>
      </c>
      <c r="D371" s="19"/>
      <c r="E371" s="19"/>
      <c r="F371" s="19"/>
    </row>
    <row r="372" ht="15.75" customHeight="1">
      <c r="A372" s="19"/>
      <c r="B372" s="19"/>
      <c r="C372" s="73">
        <f t="array" ref="C372">IF(OR(A372="",B372=""),999,IFERROR(IF(INDEX('Binder Setup'!$C$2:$C$401,MATCH(B372,'Binder Setup'!$B$2:$B$401,0))=TRUE(),999,MATCH(B372,'Binder Setup'!$B$2:$B$401,0)),999))</f>
        <v>999</v>
      </c>
      <c r="D372" s="19"/>
      <c r="E372" s="19"/>
      <c r="F372" s="19"/>
    </row>
    <row r="373" ht="15.75" customHeight="1">
      <c r="A373" s="19"/>
      <c r="B373" s="19"/>
      <c r="C373" s="73">
        <f t="array" ref="C373">IF(OR(A373="",B373=""),999,IFERROR(IF(INDEX('Binder Setup'!$C$2:$C$401,MATCH(B373,'Binder Setup'!$B$2:$B$401,0))=TRUE(),999,MATCH(B373,'Binder Setup'!$B$2:$B$401,0)),999))</f>
        <v>999</v>
      </c>
      <c r="D373" s="19"/>
      <c r="E373" s="19"/>
      <c r="F373" s="19"/>
    </row>
    <row r="374" ht="15.75" customHeight="1">
      <c r="A374" s="19"/>
      <c r="B374" s="19"/>
      <c r="C374" s="73">
        <f t="array" ref="C374">IF(OR(A374="",B374=""),999,IFERROR(IF(INDEX('Binder Setup'!$C$2:$C$401,MATCH(B374,'Binder Setup'!$B$2:$B$401,0))=TRUE(),999,MATCH(B374,'Binder Setup'!$B$2:$B$401,0)),999))</f>
        <v>999</v>
      </c>
      <c r="D374" s="19"/>
      <c r="E374" s="19"/>
      <c r="F374" s="19"/>
    </row>
    <row r="375" ht="15.75" customHeight="1">
      <c r="A375" s="19"/>
      <c r="B375" s="19"/>
      <c r="C375" s="73">
        <f t="array" ref="C375">IF(OR(A375="",B375=""),999,IFERROR(IF(INDEX('Binder Setup'!$C$2:$C$401,MATCH(B375,'Binder Setup'!$B$2:$B$401,0))=TRUE(),999,MATCH(B375,'Binder Setup'!$B$2:$B$401,0)),999))</f>
        <v>999</v>
      </c>
      <c r="D375" s="19"/>
      <c r="E375" s="19"/>
      <c r="F375" s="19"/>
    </row>
    <row r="376" ht="15.75" customHeight="1">
      <c r="A376" s="19"/>
      <c r="B376" s="19"/>
      <c r="C376" s="73">
        <f t="array" ref="C376">IF(OR(A376="",B376=""),999,IFERROR(IF(INDEX('Binder Setup'!$C$2:$C$401,MATCH(B376,'Binder Setup'!$B$2:$B$401,0))=TRUE(),999,MATCH(B376,'Binder Setup'!$B$2:$B$401,0)),999))</f>
        <v>999</v>
      </c>
      <c r="D376" s="19"/>
      <c r="E376" s="19"/>
      <c r="F376" s="19"/>
    </row>
    <row r="377" ht="15.75" customHeight="1">
      <c r="A377" s="19"/>
      <c r="B377" s="19"/>
      <c r="C377" s="73">
        <f t="array" ref="C377">IF(OR(A377="",B377=""),999,IFERROR(IF(INDEX('Binder Setup'!$C$2:$C$401,MATCH(B377,'Binder Setup'!$B$2:$B$401,0))=TRUE(),999,MATCH(B377,'Binder Setup'!$B$2:$B$401,0)),999))</f>
        <v>999</v>
      </c>
      <c r="D377" s="19"/>
      <c r="E377" s="19"/>
      <c r="F377" s="19"/>
    </row>
    <row r="378" ht="15.75" customHeight="1">
      <c r="A378" s="19"/>
      <c r="B378" s="19"/>
      <c r="C378" s="73">
        <f t="array" ref="C378">IF(OR(A378="",B378=""),999,IFERROR(IF(INDEX('Binder Setup'!$C$2:$C$401,MATCH(B378,'Binder Setup'!$B$2:$B$401,0))=TRUE(),999,MATCH(B378,'Binder Setup'!$B$2:$B$401,0)),999))</f>
        <v>999</v>
      </c>
      <c r="D378" s="19"/>
      <c r="E378" s="19"/>
      <c r="F378" s="19"/>
    </row>
    <row r="379" ht="15.75" customHeight="1">
      <c r="A379" s="19"/>
      <c r="B379" s="19"/>
      <c r="C379" s="73">
        <f t="array" ref="C379">IF(OR(A379="",B379=""),999,IFERROR(IF(INDEX('Binder Setup'!$C$2:$C$401,MATCH(B379,'Binder Setup'!$B$2:$B$401,0))=TRUE(),999,MATCH(B379,'Binder Setup'!$B$2:$B$401,0)),999))</f>
        <v>999</v>
      </c>
      <c r="D379" s="19"/>
      <c r="E379" s="19"/>
      <c r="F379" s="19"/>
    </row>
    <row r="380" ht="15.75" customHeight="1">
      <c r="A380" s="19"/>
      <c r="B380" s="19"/>
      <c r="C380" s="73">
        <f t="array" ref="C380">IF(OR(A380="",B380=""),999,IFERROR(IF(INDEX('Binder Setup'!$C$2:$C$401,MATCH(B380,'Binder Setup'!$B$2:$B$401,0))=TRUE(),999,MATCH(B380,'Binder Setup'!$B$2:$B$401,0)),999))</f>
        <v>999</v>
      </c>
      <c r="D380" s="19"/>
      <c r="E380" s="19"/>
      <c r="F380" s="19"/>
    </row>
    <row r="381" ht="15.75" customHeight="1">
      <c r="A381" s="19"/>
      <c r="B381" s="19"/>
      <c r="C381" s="73">
        <f t="array" ref="C381">IF(OR(A381="",B381=""),999,IFERROR(IF(INDEX('Binder Setup'!$C$2:$C$401,MATCH(B381,'Binder Setup'!$B$2:$B$401,0))=TRUE(),999,MATCH(B381,'Binder Setup'!$B$2:$B$401,0)),999))</f>
        <v>999</v>
      </c>
      <c r="D381" s="19"/>
      <c r="E381" s="19"/>
      <c r="F381" s="19"/>
    </row>
    <row r="382" ht="15.75" customHeight="1">
      <c r="A382" s="19"/>
      <c r="B382" s="19"/>
      <c r="C382" s="73">
        <f t="array" ref="C382">IF(OR(A382="",B382=""),999,IFERROR(IF(INDEX('Binder Setup'!$C$2:$C$401,MATCH(B382,'Binder Setup'!$B$2:$B$401,0))=TRUE(),999,MATCH(B382,'Binder Setup'!$B$2:$B$401,0)),999))</f>
        <v>999</v>
      </c>
      <c r="D382" s="19"/>
      <c r="E382" s="19"/>
      <c r="F382" s="19"/>
    </row>
    <row r="383" ht="15.75" customHeight="1">
      <c r="A383" s="19"/>
      <c r="B383" s="19"/>
      <c r="C383" s="73">
        <f t="array" ref="C383">IF(OR(A383="",B383=""),999,IFERROR(IF(INDEX('Binder Setup'!$C$2:$C$401,MATCH(B383,'Binder Setup'!$B$2:$B$401,0))=TRUE(),999,MATCH(B383,'Binder Setup'!$B$2:$B$401,0)),999))</f>
        <v>999</v>
      </c>
      <c r="D383" s="19"/>
      <c r="E383" s="19"/>
      <c r="F383" s="19"/>
    </row>
    <row r="384" ht="15.75" customHeight="1">
      <c r="A384" s="19"/>
      <c r="B384" s="19"/>
      <c r="C384" s="73">
        <f t="array" ref="C384">IF(OR(A384="",B384=""),999,IFERROR(IF(INDEX('Binder Setup'!$C$2:$C$401,MATCH(B384,'Binder Setup'!$B$2:$B$401,0))=TRUE(),999,MATCH(B384,'Binder Setup'!$B$2:$B$401,0)),999))</f>
        <v>999</v>
      </c>
      <c r="D384" s="19"/>
      <c r="E384" s="19"/>
      <c r="F384" s="19"/>
    </row>
    <row r="385" ht="15.75" customHeight="1">
      <c r="A385" s="19"/>
      <c r="B385" s="19"/>
      <c r="C385" s="73">
        <f t="array" ref="C385">IF(OR(A385="",B385=""),999,IFERROR(IF(INDEX('Binder Setup'!$C$2:$C$401,MATCH(B385,'Binder Setup'!$B$2:$B$401,0))=TRUE(),999,MATCH(B385,'Binder Setup'!$B$2:$B$401,0)),999))</f>
        <v>999</v>
      </c>
      <c r="D385" s="19"/>
      <c r="E385" s="19"/>
      <c r="F385" s="19"/>
    </row>
    <row r="386" ht="15.75" customHeight="1">
      <c r="A386" s="19"/>
      <c r="B386" s="19"/>
      <c r="C386" s="73">
        <f t="array" ref="C386">IF(OR(A386="",B386=""),999,IFERROR(IF(INDEX('Binder Setup'!$C$2:$C$401,MATCH(B386,'Binder Setup'!$B$2:$B$401,0))=TRUE(),999,MATCH(B386,'Binder Setup'!$B$2:$B$401,0)),999))</f>
        <v>999</v>
      </c>
      <c r="D386" s="19"/>
      <c r="E386" s="19"/>
      <c r="F386" s="19"/>
    </row>
    <row r="387" ht="15.75" customHeight="1">
      <c r="A387" s="19"/>
      <c r="B387" s="19"/>
      <c r="C387" s="73">
        <f t="array" ref="C387">IF(OR(A387="",B387=""),999,IFERROR(IF(INDEX('Binder Setup'!$C$2:$C$401,MATCH(B387,'Binder Setup'!$B$2:$B$401,0))=TRUE(),999,MATCH(B387,'Binder Setup'!$B$2:$B$401,0)),999))</f>
        <v>999</v>
      </c>
      <c r="D387" s="19"/>
      <c r="E387" s="19"/>
      <c r="F387" s="19"/>
    </row>
    <row r="388" ht="15.75" customHeight="1">
      <c r="A388" s="19"/>
      <c r="B388" s="19"/>
      <c r="C388" s="73">
        <f t="array" ref="C388">IF(OR(A388="",B388=""),999,IFERROR(IF(INDEX('Binder Setup'!$C$2:$C$401,MATCH(B388,'Binder Setup'!$B$2:$B$401,0))=TRUE(),999,MATCH(B388,'Binder Setup'!$B$2:$B$401,0)),999))</f>
        <v>999</v>
      </c>
      <c r="D388" s="19"/>
      <c r="E388" s="19"/>
      <c r="F388" s="19"/>
    </row>
    <row r="389" ht="15.75" customHeight="1">
      <c r="A389" s="19"/>
      <c r="B389" s="19"/>
      <c r="C389" s="73">
        <f t="array" ref="C389">IF(OR(A389="",B389=""),999,IFERROR(IF(INDEX('Binder Setup'!$C$2:$C$401,MATCH(B389,'Binder Setup'!$B$2:$B$401,0))=TRUE(),999,MATCH(B389,'Binder Setup'!$B$2:$B$401,0)),999))</f>
        <v>999</v>
      </c>
      <c r="D389" s="19"/>
      <c r="E389" s="19"/>
      <c r="F389" s="19"/>
    </row>
    <row r="390" ht="15.75" customHeight="1">
      <c r="A390" s="19"/>
      <c r="B390" s="19"/>
      <c r="C390" s="73">
        <f t="array" ref="C390">IF(OR(A390="",B390=""),999,IFERROR(IF(INDEX('Binder Setup'!$C$2:$C$401,MATCH(B390,'Binder Setup'!$B$2:$B$401,0))=TRUE(),999,MATCH(B390,'Binder Setup'!$B$2:$B$401,0)),999))</f>
        <v>999</v>
      </c>
      <c r="D390" s="19"/>
      <c r="E390" s="19"/>
      <c r="F390" s="19"/>
    </row>
    <row r="391" ht="15.75" customHeight="1">
      <c r="A391" s="19"/>
      <c r="B391" s="19"/>
      <c r="C391" s="73">
        <f t="array" ref="C391">IF(OR(A391="",B391=""),999,IFERROR(IF(INDEX('Binder Setup'!$C$2:$C$401,MATCH(B391,'Binder Setup'!$B$2:$B$401,0))=TRUE(),999,MATCH(B391,'Binder Setup'!$B$2:$B$401,0)),999))</f>
        <v>999</v>
      </c>
      <c r="D391" s="19"/>
      <c r="E391" s="19"/>
      <c r="F391" s="19"/>
    </row>
    <row r="392" ht="15.75" customHeight="1">
      <c r="A392" s="19"/>
      <c r="B392" s="19"/>
      <c r="C392" s="73">
        <f t="array" ref="C392">IF(OR(A392="",B392=""),999,IFERROR(IF(INDEX('Binder Setup'!$C$2:$C$401,MATCH(B392,'Binder Setup'!$B$2:$B$401,0))=TRUE(),999,MATCH(B392,'Binder Setup'!$B$2:$B$401,0)),999))</f>
        <v>999</v>
      </c>
      <c r="D392" s="19"/>
      <c r="E392" s="19"/>
      <c r="F392" s="19"/>
    </row>
    <row r="393" ht="15.75" customHeight="1">
      <c r="A393" s="19"/>
      <c r="B393" s="19"/>
      <c r="C393" s="73">
        <f t="array" ref="C393">IF(OR(A393="",B393=""),999,IFERROR(IF(INDEX('Binder Setup'!$C$2:$C$401,MATCH(B393,'Binder Setup'!$B$2:$B$401,0))=TRUE(),999,MATCH(B393,'Binder Setup'!$B$2:$B$401,0)),999))</f>
        <v>999</v>
      </c>
      <c r="D393" s="19"/>
      <c r="E393" s="19"/>
      <c r="F393" s="19"/>
    </row>
    <row r="394" ht="15.75" customHeight="1">
      <c r="A394" s="19"/>
      <c r="B394" s="19"/>
      <c r="C394" s="73">
        <f t="array" ref="C394">IF(OR(A394="",B394=""),999,IFERROR(IF(INDEX('Binder Setup'!$C$2:$C$401,MATCH(B394,'Binder Setup'!$B$2:$B$401,0))=TRUE(),999,MATCH(B394,'Binder Setup'!$B$2:$B$401,0)),999))</f>
        <v>999</v>
      </c>
      <c r="D394" s="19"/>
      <c r="E394" s="19"/>
      <c r="F394" s="19"/>
    </row>
    <row r="395" ht="15.75" customHeight="1">
      <c r="A395" s="19"/>
      <c r="B395" s="19"/>
      <c r="C395" s="73">
        <f t="array" ref="C395">IF(OR(A395="",B395=""),999,IFERROR(IF(INDEX('Binder Setup'!$C$2:$C$401,MATCH(B395,'Binder Setup'!$B$2:$B$401,0))=TRUE(),999,MATCH(B395,'Binder Setup'!$B$2:$B$401,0)),999))</f>
        <v>999</v>
      </c>
      <c r="D395" s="19"/>
      <c r="E395" s="19"/>
      <c r="F395" s="19"/>
    </row>
    <row r="396" ht="15.75" customHeight="1">
      <c r="A396" s="19"/>
      <c r="B396" s="19"/>
      <c r="C396" s="73">
        <f t="array" ref="C396">IF(OR(A396="",B396=""),999,IFERROR(IF(INDEX('Binder Setup'!$C$2:$C$401,MATCH(B396,'Binder Setup'!$B$2:$B$401,0))=TRUE(),999,MATCH(B396,'Binder Setup'!$B$2:$B$401,0)),999))</f>
        <v>999</v>
      </c>
      <c r="D396" s="19"/>
      <c r="E396" s="19"/>
      <c r="F396" s="19"/>
    </row>
    <row r="397" ht="15.75" customHeight="1">
      <c r="A397" s="19"/>
      <c r="B397" s="19"/>
      <c r="C397" s="73">
        <f t="array" ref="C397">IF(OR(A397="",B397=""),999,IFERROR(IF(INDEX('Binder Setup'!$C$2:$C$401,MATCH(B397,'Binder Setup'!$B$2:$B$401,0))=TRUE(),999,MATCH(B397,'Binder Setup'!$B$2:$B$401,0)),999))</f>
        <v>999</v>
      </c>
      <c r="D397" s="19"/>
      <c r="E397" s="19"/>
      <c r="F397" s="19"/>
    </row>
    <row r="398" ht="15.75" customHeight="1">
      <c r="A398" s="19"/>
      <c r="B398" s="19"/>
      <c r="C398" s="73">
        <f t="array" ref="C398">IF(OR(A398="",B398=""),999,IFERROR(IF(INDEX('Binder Setup'!$C$2:$C$401,MATCH(B398,'Binder Setup'!$B$2:$B$401,0))=TRUE(),999,MATCH(B398,'Binder Setup'!$B$2:$B$401,0)),999))</f>
        <v>999</v>
      </c>
      <c r="D398" s="19"/>
      <c r="E398" s="19"/>
      <c r="F398" s="19"/>
    </row>
    <row r="399" ht="15.75" customHeight="1">
      <c r="A399" s="19"/>
      <c r="B399" s="19"/>
      <c r="C399" s="73">
        <f t="array" ref="C399">IF(OR(A399="",B399=""),999,IFERROR(IF(INDEX('Binder Setup'!$C$2:$C$401,MATCH(B399,'Binder Setup'!$B$2:$B$401,0))=TRUE(),999,MATCH(B399,'Binder Setup'!$B$2:$B$401,0)),999))</f>
        <v>999</v>
      </c>
      <c r="D399" s="19"/>
      <c r="E399" s="19"/>
      <c r="F399" s="19"/>
    </row>
    <row r="400" ht="15.75" customHeight="1">
      <c r="A400" s="19"/>
      <c r="B400" s="19"/>
      <c r="C400" s="73">
        <f t="array" ref="C400">IF(OR(A400="",B400=""),999,IFERROR(IF(INDEX('Binder Setup'!$C$2:$C$401,MATCH(B400,'Binder Setup'!$B$2:$B$401,0))=TRUE(),999,MATCH(B400,'Binder Setup'!$B$2:$B$401,0)),999))</f>
        <v>999</v>
      </c>
      <c r="D400" s="19"/>
      <c r="E400" s="19"/>
      <c r="F400" s="19"/>
    </row>
    <row r="401" ht="15.75" customHeight="1">
      <c r="A401" s="19"/>
      <c r="B401" s="19"/>
      <c r="C401" s="73">
        <f t="array" ref="C401">IF(OR(A401="",B401=""),999,IFERROR(IF(INDEX('Binder Setup'!$C$2:$C$401,MATCH(B401,'Binder Setup'!$B$2:$B$401,0))=TRUE(),999,MATCH(B401,'Binder Setup'!$B$2:$B$401,0)),999))</f>
        <v>999</v>
      </c>
      <c r="D401" s="19"/>
      <c r="E401" s="19"/>
      <c r="F401" s="19"/>
    </row>
    <row r="402" ht="15.75" customHeight="1">
      <c r="A402" s="19"/>
      <c r="B402" s="19"/>
      <c r="C402" s="73">
        <f t="array" ref="C402">IF(OR(A402="",B402=""),999,IFERROR(IF(INDEX('Binder Setup'!$C$2:$C$401,MATCH(B402,'Binder Setup'!$B$2:$B$401,0))=TRUE(),999,MATCH(B402,'Binder Setup'!$B$2:$B$401,0)),999))</f>
        <v>999</v>
      </c>
      <c r="D402" s="19"/>
      <c r="E402" s="19"/>
      <c r="F402" s="19"/>
    </row>
    <row r="403" ht="15.75" customHeight="1">
      <c r="A403" s="19"/>
      <c r="B403" s="19"/>
      <c r="C403" s="73">
        <f t="array" ref="C403">IF(OR(A403="",B403=""),999,IFERROR(IF(INDEX('Binder Setup'!$C$2:$C$401,MATCH(B403,'Binder Setup'!$B$2:$B$401,0))=TRUE(),999,MATCH(B403,'Binder Setup'!$B$2:$B$401,0)),999))</f>
        <v>999</v>
      </c>
      <c r="D403" s="19"/>
      <c r="E403" s="19"/>
      <c r="F403" s="19"/>
    </row>
    <row r="404" ht="15.75" customHeight="1">
      <c r="A404" s="19"/>
      <c r="B404" s="19"/>
      <c r="C404" s="73">
        <f t="array" ref="C404">IF(OR(A404="",B404=""),999,IFERROR(IF(INDEX('Binder Setup'!$C$2:$C$401,MATCH(B404,'Binder Setup'!$B$2:$B$401,0))=TRUE(),999,MATCH(B404,'Binder Setup'!$B$2:$B$401,0)),999))</f>
        <v>999</v>
      </c>
      <c r="D404" s="19"/>
      <c r="E404" s="19"/>
      <c r="F404" s="19"/>
    </row>
    <row r="405" ht="15.75" customHeight="1">
      <c r="A405" s="19"/>
      <c r="B405" s="19"/>
      <c r="C405" s="73">
        <f t="array" ref="C405">IF(OR(A405="",B405=""),999,IFERROR(IF(INDEX('Binder Setup'!$C$2:$C$401,MATCH(B405,'Binder Setup'!$B$2:$B$401,0))=TRUE(),999,MATCH(B405,'Binder Setup'!$B$2:$B$401,0)),999))</f>
        <v>999</v>
      </c>
      <c r="D405" s="19"/>
      <c r="E405" s="19"/>
      <c r="F405" s="19"/>
    </row>
    <row r="406" ht="15.75" customHeight="1">
      <c r="A406" s="19"/>
      <c r="B406" s="19"/>
      <c r="C406" s="73">
        <f t="array" ref="C406">IF(OR(A406="",B406=""),999,IFERROR(IF(INDEX('Binder Setup'!$C$2:$C$401,MATCH(B406,'Binder Setup'!$B$2:$B$401,0))=TRUE(),999,MATCH(B406,'Binder Setup'!$B$2:$B$401,0)),999))</f>
        <v>999</v>
      </c>
      <c r="D406" s="19"/>
      <c r="E406" s="19"/>
      <c r="F406" s="19"/>
    </row>
    <row r="407" ht="15.75" customHeight="1">
      <c r="A407" s="19"/>
      <c r="B407" s="19"/>
      <c r="C407" s="73">
        <f t="array" ref="C407">IF(OR(A407="",B407=""),999,IFERROR(IF(INDEX('Binder Setup'!$C$2:$C$401,MATCH(B407,'Binder Setup'!$B$2:$B$401,0))=TRUE(),999,MATCH(B407,'Binder Setup'!$B$2:$B$401,0)),999))</f>
        <v>999</v>
      </c>
      <c r="D407" s="19"/>
      <c r="E407" s="19"/>
      <c r="F407" s="19"/>
    </row>
    <row r="408" ht="15.75" customHeight="1">
      <c r="A408" s="19"/>
      <c r="B408" s="19"/>
      <c r="C408" s="73">
        <f t="array" ref="C408">IF(OR(A408="",B408=""),999,IFERROR(IF(INDEX('Binder Setup'!$C$2:$C$401,MATCH(B408,'Binder Setup'!$B$2:$B$401,0))=TRUE(),999,MATCH(B408,'Binder Setup'!$B$2:$B$401,0)),999))</f>
        <v>999</v>
      </c>
      <c r="D408" s="19"/>
      <c r="E408" s="19"/>
      <c r="F408" s="19"/>
    </row>
    <row r="409" ht="15.75" customHeight="1">
      <c r="A409" s="19"/>
      <c r="B409" s="19"/>
      <c r="C409" s="73">
        <f t="array" ref="C409">IF(OR(A409="",B409=""),999,IFERROR(IF(INDEX('Binder Setup'!$C$2:$C$401,MATCH(B409,'Binder Setup'!$B$2:$B$401,0))=TRUE(),999,MATCH(B409,'Binder Setup'!$B$2:$B$401,0)),999))</f>
        <v>999</v>
      </c>
      <c r="D409" s="19"/>
      <c r="E409" s="19"/>
      <c r="F409" s="19"/>
    </row>
    <row r="410" ht="15.75" customHeight="1">
      <c r="A410" s="19"/>
      <c r="B410" s="19"/>
      <c r="C410" s="73">
        <f t="array" ref="C410">IF(OR(A410="",B410=""),999,IFERROR(IF(INDEX('Binder Setup'!$C$2:$C$401,MATCH(B410,'Binder Setup'!$B$2:$B$401,0))=TRUE(),999,MATCH(B410,'Binder Setup'!$B$2:$B$401,0)),999))</f>
        <v>999</v>
      </c>
      <c r="D410" s="19"/>
      <c r="E410" s="19"/>
      <c r="F410" s="19"/>
    </row>
    <row r="411" ht="15.75" customHeight="1">
      <c r="A411" s="19"/>
      <c r="B411" s="19"/>
      <c r="C411" s="73">
        <f t="array" ref="C411">IF(OR(A411="",B411=""),999,IFERROR(IF(INDEX('Binder Setup'!$C$2:$C$401,MATCH(B411,'Binder Setup'!$B$2:$B$401,0))=TRUE(),999,MATCH(B411,'Binder Setup'!$B$2:$B$401,0)),999))</f>
        <v>999</v>
      </c>
      <c r="D411" s="19"/>
      <c r="E411" s="19"/>
      <c r="F411" s="19"/>
    </row>
    <row r="412" ht="15.75" customHeight="1">
      <c r="A412" s="19"/>
      <c r="B412" s="19"/>
      <c r="C412" s="73">
        <f t="array" ref="C412">IF(OR(A412="",B412=""),999,IFERROR(IF(INDEX('Binder Setup'!$C$2:$C$401,MATCH(B412,'Binder Setup'!$B$2:$B$401,0))=TRUE(),999,MATCH(B412,'Binder Setup'!$B$2:$B$401,0)),999))</f>
        <v>999</v>
      </c>
      <c r="D412" s="19"/>
      <c r="E412" s="19"/>
      <c r="F412" s="19"/>
    </row>
    <row r="413" ht="15.75" customHeight="1">
      <c r="A413" s="19"/>
      <c r="B413" s="19"/>
      <c r="C413" s="73">
        <f t="array" ref="C413">IF(OR(A413="",B413=""),999,IFERROR(IF(INDEX('Binder Setup'!$C$2:$C$401,MATCH(B413,'Binder Setup'!$B$2:$B$401,0))=TRUE(),999,MATCH(B413,'Binder Setup'!$B$2:$B$401,0)),999))</f>
        <v>999</v>
      </c>
      <c r="D413" s="19"/>
      <c r="E413" s="19"/>
      <c r="F413" s="19"/>
    </row>
    <row r="414" ht="15.75" customHeight="1">
      <c r="A414" s="19"/>
      <c r="B414" s="19"/>
      <c r="C414" s="73">
        <f t="array" ref="C414">IF(OR(A414="",B414=""),999,IFERROR(IF(INDEX('Binder Setup'!$C$2:$C$401,MATCH(B414,'Binder Setup'!$B$2:$B$401,0))=TRUE(),999,MATCH(B414,'Binder Setup'!$B$2:$B$401,0)),999))</f>
        <v>999</v>
      </c>
      <c r="D414" s="19"/>
      <c r="E414" s="19"/>
      <c r="F414" s="19"/>
    </row>
    <row r="415" ht="15.75" customHeight="1">
      <c r="A415" s="19"/>
      <c r="B415" s="19"/>
      <c r="C415" s="73">
        <f t="array" ref="C415">IF(OR(A415="",B415=""),999,IFERROR(IF(INDEX('Binder Setup'!$C$2:$C$401,MATCH(B415,'Binder Setup'!$B$2:$B$401,0))=TRUE(),999,MATCH(B415,'Binder Setup'!$B$2:$B$401,0)),999))</f>
        <v>999</v>
      </c>
      <c r="D415" s="19"/>
      <c r="E415" s="19"/>
      <c r="F415" s="19"/>
    </row>
    <row r="416" ht="15.75" customHeight="1">
      <c r="A416" s="19"/>
      <c r="B416" s="19"/>
      <c r="C416" s="73">
        <f t="array" ref="C416">IF(OR(A416="",B416=""),999,IFERROR(IF(INDEX('Binder Setup'!$C$2:$C$401,MATCH(B416,'Binder Setup'!$B$2:$B$401,0))=TRUE(),999,MATCH(B416,'Binder Setup'!$B$2:$B$401,0)),999))</f>
        <v>999</v>
      </c>
      <c r="D416" s="19"/>
      <c r="E416" s="19"/>
      <c r="F416" s="19"/>
    </row>
    <row r="417" ht="15.75" customHeight="1">
      <c r="A417" s="19"/>
      <c r="B417" s="19"/>
      <c r="C417" s="73">
        <f t="array" ref="C417">IF(OR(A417="",B417=""),999,IFERROR(IF(INDEX('Binder Setup'!$C$2:$C$401,MATCH(B417,'Binder Setup'!$B$2:$B$401,0))=TRUE(),999,MATCH(B417,'Binder Setup'!$B$2:$B$401,0)),999))</f>
        <v>999</v>
      </c>
      <c r="D417" s="19"/>
      <c r="E417" s="19"/>
      <c r="F417" s="19"/>
    </row>
    <row r="418" ht="15.75" customHeight="1">
      <c r="A418" s="19"/>
      <c r="B418" s="19"/>
      <c r="C418" s="73">
        <f t="array" ref="C418">IF(OR(A418="",B418=""),999,IFERROR(IF(INDEX('Binder Setup'!$C$2:$C$401,MATCH(B418,'Binder Setup'!$B$2:$B$401,0))=TRUE(),999,MATCH(B418,'Binder Setup'!$B$2:$B$401,0)),999))</f>
        <v>999</v>
      </c>
      <c r="D418" s="19"/>
      <c r="E418" s="19"/>
      <c r="F418" s="19"/>
    </row>
    <row r="419" ht="15.75" customHeight="1">
      <c r="A419" s="19"/>
      <c r="B419" s="19"/>
      <c r="C419" s="73">
        <f t="array" ref="C419">IF(OR(A419="",B419=""),999,IFERROR(IF(INDEX('Binder Setup'!$C$2:$C$401,MATCH(B419,'Binder Setup'!$B$2:$B$401,0))=TRUE(),999,MATCH(B419,'Binder Setup'!$B$2:$B$401,0)),999))</f>
        <v>999</v>
      </c>
      <c r="D419" s="19"/>
      <c r="E419" s="19"/>
      <c r="F419" s="19"/>
    </row>
    <row r="420" ht="15.75" customHeight="1">
      <c r="A420" s="19"/>
      <c r="B420" s="19"/>
      <c r="C420" s="73">
        <f t="array" ref="C420">IF(OR(A420="",B420=""),999,IFERROR(IF(INDEX('Binder Setup'!$C$2:$C$401,MATCH(B420,'Binder Setup'!$B$2:$B$401,0))=TRUE(),999,MATCH(B420,'Binder Setup'!$B$2:$B$401,0)),999))</f>
        <v>999</v>
      </c>
      <c r="D420" s="19"/>
      <c r="E420" s="19"/>
      <c r="F420" s="19"/>
    </row>
    <row r="421" ht="15.75" customHeight="1">
      <c r="A421" s="19"/>
      <c r="B421" s="19"/>
      <c r="C421" s="73">
        <f t="array" ref="C421">IF(OR(A421="",B421=""),999,IFERROR(IF(INDEX('Binder Setup'!$C$2:$C$401,MATCH(B421,'Binder Setup'!$B$2:$B$401,0))=TRUE(),999,MATCH(B421,'Binder Setup'!$B$2:$B$401,0)),999))</f>
        <v>999</v>
      </c>
      <c r="D421" s="19"/>
      <c r="E421" s="19"/>
      <c r="F421" s="19"/>
    </row>
    <row r="422" ht="15.75" customHeight="1">
      <c r="A422" s="19"/>
      <c r="B422" s="19"/>
      <c r="C422" s="73">
        <f t="array" ref="C422">IF(OR(A422="",B422=""),999,IFERROR(IF(INDEX('Binder Setup'!$C$2:$C$401,MATCH(B422,'Binder Setup'!$B$2:$B$401,0))=TRUE(),999,MATCH(B422,'Binder Setup'!$B$2:$B$401,0)),999))</f>
        <v>999</v>
      </c>
      <c r="D422" s="19"/>
      <c r="E422" s="19"/>
      <c r="F422" s="19"/>
    </row>
    <row r="423" ht="15.75" customHeight="1">
      <c r="A423" s="19"/>
      <c r="B423" s="19"/>
      <c r="C423" s="73">
        <f t="array" ref="C423">IF(OR(A423="",B423=""),999,IFERROR(IF(INDEX('Binder Setup'!$C$2:$C$401,MATCH(B423,'Binder Setup'!$B$2:$B$401,0))=TRUE(),999,MATCH(B423,'Binder Setup'!$B$2:$B$401,0)),999))</f>
        <v>999</v>
      </c>
      <c r="D423" s="19"/>
      <c r="E423" s="19"/>
      <c r="F423" s="19"/>
    </row>
    <row r="424" ht="15.75" customHeight="1">
      <c r="A424" s="19"/>
      <c r="B424" s="19"/>
      <c r="C424" s="73">
        <f t="array" ref="C424">IF(OR(A424="",B424=""),999,IFERROR(IF(INDEX('Binder Setup'!$C$2:$C$401,MATCH(B424,'Binder Setup'!$B$2:$B$401,0))=TRUE(),999,MATCH(B424,'Binder Setup'!$B$2:$B$401,0)),999))</f>
        <v>999</v>
      </c>
      <c r="D424" s="19"/>
      <c r="E424" s="19"/>
      <c r="F424" s="19"/>
    </row>
    <row r="425" ht="15.75" customHeight="1">
      <c r="A425" s="19"/>
      <c r="B425" s="19"/>
      <c r="C425" s="73">
        <f t="array" ref="C425">IF(OR(A425="",B425=""),999,IFERROR(IF(INDEX('Binder Setup'!$C$2:$C$401,MATCH(B425,'Binder Setup'!$B$2:$B$401,0))=TRUE(),999,MATCH(B425,'Binder Setup'!$B$2:$B$401,0)),999))</f>
        <v>999</v>
      </c>
      <c r="D425" s="19"/>
      <c r="E425" s="19"/>
      <c r="F425" s="19"/>
    </row>
    <row r="426" ht="15.75" customHeight="1">
      <c r="A426" s="19"/>
      <c r="B426" s="19"/>
      <c r="C426" s="73">
        <f t="array" ref="C426">IF(OR(A426="",B426=""),999,IFERROR(IF(INDEX('Binder Setup'!$C$2:$C$401,MATCH(B426,'Binder Setup'!$B$2:$B$401,0))=TRUE(),999,MATCH(B426,'Binder Setup'!$B$2:$B$401,0)),999))</f>
        <v>999</v>
      </c>
      <c r="D426" s="19"/>
      <c r="E426" s="19"/>
      <c r="F426" s="19"/>
    </row>
    <row r="427" ht="15.75" customHeight="1">
      <c r="A427" s="19"/>
      <c r="B427" s="19"/>
      <c r="C427" s="73">
        <f t="array" ref="C427">IF(OR(A427="",B427=""),999,IFERROR(IF(INDEX('Binder Setup'!$C$2:$C$401,MATCH(B427,'Binder Setup'!$B$2:$B$401,0))=TRUE(),999,MATCH(B427,'Binder Setup'!$B$2:$B$401,0)),999))</f>
        <v>999</v>
      </c>
      <c r="D427" s="19"/>
      <c r="E427" s="19"/>
      <c r="F427" s="19"/>
    </row>
    <row r="428" ht="15.75" customHeight="1">
      <c r="A428" s="19"/>
      <c r="B428" s="19"/>
      <c r="C428" s="73">
        <f t="array" ref="C428">IF(OR(A428="",B428=""),999,IFERROR(IF(INDEX('Binder Setup'!$C$2:$C$401,MATCH(B428,'Binder Setup'!$B$2:$B$401,0))=TRUE(),999,MATCH(B428,'Binder Setup'!$B$2:$B$401,0)),999))</f>
        <v>999</v>
      </c>
      <c r="D428" s="19"/>
      <c r="E428" s="19"/>
      <c r="F428" s="19"/>
    </row>
    <row r="429" ht="15.75" customHeight="1">
      <c r="A429" s="19"/>
      <c r="B429" s="19"/>
      <c r="C429" s="73">
        <f t="array" ref="C429">IF(OR(A429="",B429=""),999,IFERROR(IF(INDEX('Binder Setup'!$C$2:$C$401,MATCH(B429,'Binder Setup'!$B$2:$B$401,0))=TRUE(),999,MATCH(B429,'Binder Setup'!$B$2:$B$401,0)),999))</f>
        <v>999</v>
      </c>
      <c r="D429" s="19"/>
      <c r="E429" s="19"/>
      <c r="F429" s="19"/>
    </row>
    <row r="430" ht="15.75" customHeight="1">
      <c r="A430" s="19"/>
      <c r="B430" s="19"/>
      <c r="C430" s="73">
        <f t="array" ref="C430">IF(OR(A430="",B430=""),999,IFERROR(IF(INDEX('Binder Setup'!$C$2:$C$401,MATCH(B430,'Binder Setup'!$B$2:$B$401,0))=TRUE(),999,MATCH(B430,'Binder Setup'!$B$2:$B$401,0)),999))</f>
        <v>999</v>
      </c>
      <c r="D430" s="19"/>
      <c r="E430" s="19"/>
      <c r="F430" s="19"/>
    </row>
    <row r="431" ht="15.75" customHeight="1">
      <c r="A431" s="19"/>
      <c r="B431" s="19"/>
      <c r="C431" s="73">
        <f t="array" ref="C431">IF(OR(A431="",B431=""),999,IFERROR(IF(INDEX('Binder Setup'!$C$2:$C$401,MATCH(B431,'Binder Setup'!$B$2:$B$401,0))=TRUE(),999,MATCH(B431,'Binder Setup'!$B$2:$B$401,0)),999))</f>
        <v>999</v>
      </c>
      <c r="D431" s="19"/>
      <c r="E431" s="19"/>
      <c r="F431" s="19"/>
    </row>
    <row r="432" ht="15.75" customHeight="1">
      <c r="A432" s="19"/>
      <c r="B432" s="19"/>
      <c r="C432" s="73">
        <f t="array" ref="C432">IF(OR(A432="",B432=""),999,IFERROR(IF(INDEX('Binder Setup'!$C$2:$C$401,MATCH(B432,'Binder Setup'!$B$2:$B$401,0))=TRUE(),999,MATCH(B432,'Binder Setup'!$B$2:$B$401,0)),999))</f>
        <v>999</v>
      </c>
      <c r="D432" s="19"/>
      <c r="E432" s="19"/>
      <c r="F432" s="19"/>
    </row>
    <row r="433" ht="15.75" customHeight="1">
      <c r="A433" s="19"/>
      <c r="B433" s="19"/>
      <c r="C433" s="73">
        <f t="array" ref="C433">IF(OR(A433="",B433=""),999,IFERROR(IF(INDEX('Binder Setup'!$C$2:$C$401,MATCH(B433,'Binder Setup'!$B$2:$B$401,0))=TRUE(),999,MATCH(B433,'Binder Setup'!$B$2:$B$401,0)),999))</f>
        <v>999</v>
      </c>
      <c r="D433" s="19"/>
      <c r="E433" s="19"/>
      <c r="F433" s="19"/>
    </row>
    <row r="434" ht="15.75" customHeight="1">
      <c r="A434" s="19"/>
      <c r="B434" s="19"/>
      <c r="C434" s="73">
        <f t="array" ref="C434">IF(OR(A434="",B434=""),999,IFERROR(IF(INDEX('Binder Setup'!$C$2:$C$401,MATCH(B434,'Binder Setup'!$B$2:$B$401,0))=TRUE(),999,MATCH(B434,'Binder Setup'!$B$2:$B$401,0)),999))</f>
        <v>999</v>
      </c>
      <c r="D434" s="19"/>
      <c r="E434" s="19"/>
      <c r="F434" s="19"/>
    </row>
    <row r="435" ht="15.75" customHeight="1">
      <c r="A435" s="19"/>
      <c r="B435" s="19"/>
      <c r="C435" s="73">
        <f t="array" ref="C435">IF(OR(A435="",B435=""),999,IFERROR(IF(INDEX('Binder Setup'!$C$2:$C$401,MATCH(B435,'Binder Setup'!$B$2:$B$401,0))=TRUE(),999,MATCH(B435,'Binder Setup'!$B$2:$B$401,0)),999))</f>
        <v>999</v>
      </c>
      <c r="D435" s="19"/>
      <c r="E435" s="19"/>
      <c r="F435" s="19"/>
    </row>
    <row r="436" ht="15.75" customHeight="1">
      <c r="A436" s="19"/>
      <c r="B436" s="19"/>
      <c r="C436" s="73">
        <f t="array" ref="C436">IF(OR(A436="",B436=""),999,IFERROR(IF(INDEX('Binder Setup'!$C$2:$C$401,MATCH(B436,'Binder Setup'!$B$2:$B$401,0))=TRUE(),999,MATCH(B436,'Binder Setup'!$B$2:$B$401,0)),999))</f>
        <v>999</v>
      </c>
      <c r="D436" s="19"/>
      <c r="E436" s="19"/>
      <c r="F436" s="19"/>
    </row>
    <row r="437" ht="15.75" customHeight="1">
      <c r="A437" s="19"/>
      <c r="B437" s="19"/>
      <c r="C437" s="73">
        <f t="array" ref="C437">IF(OR(A437="",B437=""),999,IFERROR(IF(INDEX('Binder Setup'!$C$2:$C$401,MATCH(B437,'Binder Setup'!$B$2:$B$401,0))=TRUE(),999,MATCH(B437,'Binder Setup'!$B$2:$B$401,0)),999))</f>
        <v>999</v>
      </c>
      <c r="D437" s="19"/>
      <c r="E437" s="19"/>
      <c r="F437" s="19"/>
    </row>
    <row r="438" ht="15.75" customHeight="1">
      <c r="A438" s="19"/>
      <c r="B438" s="19"/>
      <c r="C438" s="73">
        <f t="array" ref="C438">IF(OR(A438="",B438=""),999,IFERROR(IF(INDEX('Binder Setup'!$C$2:$C$401,MATCH(B438,'Binder Setup'!$B$2:$B$401,0))=TRUE(),999,MATCH(B438,'Binder Setup'!$B$2:$B$401,0)),999))</f>
        <v>999</v>
      </c>
      <c r="D438" s="19"/>
      <c r="E438" s="19"/>
      <c r="F438" s="19"/>
    </row>
    <row r="439" ht="15.75" customHeight="1">
      <c r="A439" s="19"/>
      <c r="B439" s="19"/>
      <c r="C439" s="73">
        <f t="array" ref="C439">IF(OR(A439="",B439=""),999,IFERROR(IF(INDEX('Binder Setup'!$C$2:$C$401,MATCH(B439,'Binder Setup'!$B$2:$B$401,0))=TRUE(),999,MATCH(B439,'Binder Setup'!$B$2:$B$401,0)),999))</f>
        <v>999</v>
      </c>
      <c r="D439" s="19"/>
      <c r="E439" s="19"/>
      <c r="F439" s="19"/>
    </row>
    <row r="440" ht="15.75" customHeight="1">
      <c r="A440" s="19"/>
      <c r="B440" s="19"/>
      <c r="C440" s="73">
        <f t="array" ref="C440">IF(OR(A440="",B440=""),999,IFERROR(IF(INDEX('Binder Setup'!$C$2:$C$401,MATCH(B440,'Binder Setup'!$B$2:$B$401,0))=TRUE(),999,MATCH(B440,'Binder Setup'!$B$2:$B$401,0)),999))</f>
        <v>999</v>
      </c>
      <c r="D440" s="19"/>
      <c r="E440" s="19"/>
      <c r="F440" s="19"/>
    </row>
    <row r="441" ht="15.75" customHeight="1">
      <c r="A441" s="19"/>
      <c r="B441" s="19"/>
      <c r="C441" s="73">
        <f t="array" ref="C441">IF(OR(A441="",B441=""),999,IFERROR(IF(INDEX('Binder Setup'!$C$2:$C$401,MATCH(B441,'Binder Setup'!$B$2:$B$401,0))=TRUE(),999,MATCH(B441,'Binder Setup'!$B$2:$B$401,0)),999))</f>
        <v>999</v>
      </c>
      <c r="D441" s="19"/>
      <c r="E441" s="19"/>
      <c r="F441" s="19"/>
    </row>
    <row r="442" ht="15.75" customHeight="1">
      <c r="A442" s="19"/>
      <c r="B442" s="19"/>
      <c r="C442" s="73">
        <f t="array" ref="C442">IF(OR(A442="",B442=""),999,IFERROR(IF(INDEX('Binder Setup'!$C$2:$C$401,MATCH(B442,'Binder Setup'!$B$2:$B$401,0))=TRUE(),999,MATCH(B442,'Binder Setup'!$B$2:$B$401,0)),999))</f>
        <v>999</v>
      </c>
      <c r="D442" s="19"/>
      <c r="E442" s="19"/>
      <c r="F442" s="19"/>
    </row>
    <row r="443" ht="15.75" customHeight="1">
      <c r="A443" s="19"/>
      <c r="B443" s="19"/>
      <c r="C443" s="73">
        <f t="array" ref="C443">IF(OR(A443="",B443=""),999,IFERROR(IF(INDEX('Binder Setup'!$C$2:$C$401,MATCH(B443,'Binder Setup'!$B$2:$B$401,0))=TRUE(),999,MATCH(B443,'Binder Setup'!$B$2:$B$401,0)),999))</f>
        <v>999</v>
      </c>
      <c r="D443" s="19"/>
      <c r="E443" s="19"/>
      <c r="F443" s="19"/>
    </row>
    <row r="444" ht="15.75" customHeight="1">
      <c r="A444" s="19"/>
      <c r="B444" s="19"/>
      <c r="C444" s="73">
        <f t="array" ref="C444">IF(OR(A444="",B444=""),999,IFERROR(IF(INDEX('Binder Setup'!$C$2:$C$401,MATCH(B444,'Binder Setup'!$B$2:$B$401,0))=TRUE(),999,MATCH(B444,'Binder Setup'!$B$2:$B$401,0)),999))</f>
        <v>999</v>
      </c>
      <c r="D444" s="19"/>
      <c r="E444" s="19"/>
      <c r="F444" s="19"/>
    </row>
    <row r="445" ht="15.75" customHeight="1">
      <c r="A445" s="19"/>
      <c r="B445" s="19"/>
      <c r="C445" s="73">
        <f t="array" ref="C445">IF(OR(A445="",B445=""),999,IFERROR(IF(INDEX('Binder Setup'!$C$2:$C$401,MATCH(B445,'Binder Setup'!$B$2:$B$401,0))=TRUE(),999,MATCH(B445,'Binder Setup'!$B$2:$B$401,0)),999))</f>
        <v>999</v>
      </c>
      <c r="D445" s="19"/>
      <c r="E445" s="19"/>
      <c r="F445" s="19"/>
    </row>
    <row r="446" ht="15.75" customHeight="1">
      <c r="A446" s="19"/>
      <c r="B446" s="19"/>
      <c r="C446" s="73">
        <f t="array" ref="C446">IF(OR(A446="",B446=""),999,IFERROR(IF(INDEX('Binder Setup'!$C$2:$C$401,MATCH(B446,'Binder Setup'!$B$2:$B$401,0))=TRUE(),999,MATCH(B446,'Binder Setup'!$B$2:$B$401,0)),999))</f>
        <v>999</v>
      </c>
      <c r="D446" s="19"/>
      <c r="E446" s="19"/>
      <c r="F446" s="19"/>
    </row>
    <row r="447" ht="15.75" customHeight="1">
      <c r="A447" s="19"/>
      <c r="B447" s="19"/>
      <c r="C447" s="73">
        <f t="array" ref="C447">IF(OR(A447="",B447=""),999,IFERROR(IF(INDEX('Binder Setup'!$C$2:$C$401,MATCH(B447,'Binder Setup'!$B$2:$B$401,0))=TRUE(),999,MATCH(B447,'Binder Setup'!$B$2:$B$401,0)),999))</f>
        <v>999</v>
      </c>
      <c r="D447" s="19"/>
      <c r="E447" s="19"/>
      <c r="F447" s="19"/>
    </row>
    <row r="448" ht="15.75" customHeight="1">
      <c r="A448" s="19"/>
      <c r="B448" s="19"/>
      <c r="C448" s="73">
        <f t="array" ref="C448">IF(OR(A448="",B448=""),999,IFERROR(IF(INDEX('Binder Setup'!$C$2:$C$401,MATCH(B448,'Binder Setup'!$B$2:$B$401,0))=TRUE(),999,MATCH(B448,'Binder Setup'!$B$2:$B$401,0)),999))</f>
        <v>999</v>
      </c>
      <c r="D448" s="19"/>
      <c r="E448" s="19"/>
      <c r="F448" s="19"/>
    </row>
    <row r="449" ht="15.75" customHeight="1">
      <c r="A449" s="19"/>
      <c r="B449" s="19"/>
      <c r="C449" s="73">
        <f t="array" ref="C449">IF(OR(A449="",B449=""),999,IFERROR(IF(INDEX('Binder Setup'!$C$2:$C$401,MATCH(B449,'Binder Setup'!$B$2:$B$401,0))=TRUE(),999,MATCH(B449,'Binder Setup'!$B$2:$B$401,0)),999))</f>
        <v>999</v>
      </c>
      <c r="D449" s="19"/>
      <c r="E449" s="19"/>
      <c r="F449" s="19"/>
    </row>
    <row r="450" ht="15.75" customHeight="1">
      <c r="A450" s="19"/>
      <c r="B450" s="19"/>
      <c r="C450" s="73">
        <f t="array" ref="C450">IF(OR(A450="",B450=""),999,IFERROR(IF(INDEX('Binder Setup'!$C$2:$C$401,MATCH(B450,'Binder Setup'!$B$2:$B$401,0))=TRUE(),999,MATCH(B450,'Binder Setup'!$B$2:$B$401,0)),999))</f>
        <v>999</v>
      </c>
      <c r="D450" s="19"/>
      <c r="E450" s="19"/>
      <c r="F450" s="19"/>
    </row>
    <row r="451" ht="15.75" customHeight="1">
      <c r="A451" s="19"/>
      <c r="B451" s="19"/>
      <c r="C451" s="73">
        <f t="array" ref="C451">IF(OR(A451="",B451=""),999,IFERROR(IF(INDEX('Binder Setup'!$C$2:$C$401,MATCH(B451,'Binder Setup'!$B$2:$B$401,0))=TRUE(),999,MATCH(B451,'Binder Setup'!$B$2:$B$401,0)),999))</f>
        <v>999</v>
      </c>
      <c r="D451" s="19"/>
      <c r="E451" s="19"/>
      <c r="F451" s="19"/>
    </row>
    <row r="452" ht="15.75" customHeight="1">
      <c r="A452" s="19"/>
      <c r="B452" s="19"/>
      <c r="C452" s="73">
        <f t="array" ref="C452">IF(OR(A452="",B452=""),999,IFERROR(IF(INDEX('Binder Setup'!$C$2:$C$401,MATCH(B452,'Binder Setup'!$B$2:$B$401,0))=TRUE(),999,MATCH(B452,'Binder Setup'!$B$2:$B$401,0)),999))</f>
        <v>999</v>
      </c>
      <c r="D452" s="19"/>
      <c r="E452" s="19"/>
      <c r="F452" s="19"/>
    </row>
    <row r="453" ht="15.75" customHeight="1">
      <c r="A453" s="19"/>
      <c r="B453" s="19"/>
      <c r="C453" s="73">
        <f t="array" ref="C453">IF(OR(A453="",B453=""),999,IFERROR(IF(INDEX('Binder Setup'!$C$2:$C$401,MATCH(B453,'Binder Setup'!$B$2:$B$401,0))=TRUE(),999,MATCH(B453,'Binder Setup'!$B$2:$B$401,0)),999))</f>
        <v>999</v>
      </c>
      <c r="D453" s="19"/>
      <c r="E453" s="19"/>
      <c r="F453" s="19"/>
    </row>
    <row r="454" ht="15.75" customHeight="1">
      <c r="A454" s="19"/>
      <c r="B454" s="19"/>
      <c r="C454" s="73">
        <f t="array" ref="C454">IF(OR(A454="",B454=""),999,IFERROR(IF(INDEX('Binder Setup'!$C$2:$C$401,MATCH(B454,'Binder Setup'!$B$2:$B$401,0))=TRUE(),999,MATCH(B454,'Binder Setup'!$B$2:$B$401,0)),999))</f>
        <v>999</v>
      </c>
      <c r="D454" s="19"/>
      <c r="E454" s="19"/>
      <c r="F454" s="19"/>
    </row>
    <row r="455" ht="15.75" customHeight="1">
      <c r="A455" s="19"/>
      <c r="B455" s="19"/>
      <c r="C455" s="73">
        <f t="array" ref="C455">IF(OR(A455="",B455=""),999,IFERROR(IF(INDEX('Binder Setup'!$C$2:$C$401,MATCH(B455,'Binder Setup'!$B$2:$B$401,0))=TRUE(),999,MATCH(B455,'Binder Setup'!$B$2:$B$401,0)),999))</f>
        <v>999</v>
      </c>
      <c r="D455" s="19"/>
      <c r="E455" s="19"/>
      <c r="F455" s="19"/>
    </row>
    <row r="456" ht="15.75" customHeight="1">
      <c r="A456" s="19"/>
      <c r="B456" s="19"/>
      <c r="C456" s="73">
        <f t="array" ref="C456">IF(OR(A456="",B456=""),999,IFERROR(IF(INDEX('Binder Setup'!$C$2:$C$401,MATCH(B456,'Binder Setup'!$B$2:$B$401,0))=TRUE(),999,MATCH(B456,'Binder Setup'!$B$2:$B$401,0)),999))</f>
        <v>999</v>
      </c>
      <c r="D456" s="19"/>
      <c r="E456" s="19"/>
      <c r="F456" s="19"/>
    </row>
    <row r="457" ht="15.75" customHeight="1">
      <c r="A457" s="19"/>
      <c r="B457" s="19"/>
      <c r="C457" s="73">
        <f t="array" ref="C457">IF(OR(A457="",B457=""),999,IFERROR(IF(INDEX('Binder Setup'!$C$2:$C$401,MATCH(B457,'Binder Setup'!$B$2:$B$401,0))=TRUE(),999,MATCH(B457,'Binder Setup'!$B$2:$B$401,0)),999))</f>
        <v>999</v>
      </c>
      <c r="D457" s="19"/>
      <c r="E457" s="19"/>
      <c r="F457" s="19"/>
    </row>
    <row r="458" ht="15.75" customHeight="1">
      <c r="A458" s="19"/>
      <c r="B458" s="19"/>
      <c r="C458" s="73">
        <f t="array" ref="C458">IF(OR(A458="",B458=""),999,IFERROR(IF(INDEX('Binder Setup'!$C$2:$C$401,MATCH(B458,'Binder Setup'!$B$2:$B$401,0))=TRUE(),999,MATCH(B458,'Binder Setup'!$B$2:$B$401,0)),999))</f>
        <v>999</v>
      </c>
      <c r="D458" s="19"/>
      <c r="E458" s="19"/>
      <c r="F458" s="19"/>
    </row>
    <row r="459" ht="15.75" customHeight="1">
      <c r="A459" s="19"/>
      <c r="B459" s="19"/>
      <c r="C459" s="73">
        <f t="array" ref="C459">IF(OR(A459="",B459=""),999,IFERROR(IF(INDEX('Binder Setup'!$C$2:$C$401,MATCH(B459,'Binder Setup'!$B$2:$B$401,0))=TRUE(),999,MATCH(B459,'Binder Setup'!$B$2:$B$401,0)),999))</f>
        <v>999</v>
      </c>
      <c r="D459" s="19"/>
      <c r="E459" s="19"/>
      <c r="F459" s="19"/>
    </row>
    <row r="460" ht="15.75" customHeight="1">
      <c r="A460" s="19"/>
      <c r="B460" s="19"/>
      <c r="C460" s="73">
        <f t="array" ref="C460">IF(OR(A460="",B460=""),999,IFERROR(IF(INDEX('Binder Setup'!$C$2:$C$401,MATCH(B460,'Binder Setup'!$B$2:$B$401,0))=TRUE(),999,MATCH(B460,'Binder Setup'!$B$2:$B$401,0)),999))</f>
        <v>999</v>
      </c>
      <c r="D460" s="19"/>
      <c r="E460" s="19"/>
      <c r="F460" s="19"/>
    </row>
    <row r="461" ht="15.75" customHeight="1">
      <c r="A461" s="19"/>
      <c r="B461" s="19"/>
      <c r="C461" s="73">
        <f t="array" ref="C461">IF(OR(A461="",B461=""),999,IFERROR(IF(INDEX('Binder Setup'!$C$2:$C$401,MATCH(B461,'Binder Setup'!$B$2:$B$401,0))=TRUE(),999,MATCH(B461,'Binder Setup'!$B$2:$B$401,0)),999))</f>
        <v>999</v>
      </c>
      <c r="D461" s="19"/>
      <c r="E461" s="19"/>
      <c r="F461" s="19"/>
    </row>
    <row r="462" ht="15.75" customHeight="1">
      <c r="A462" s="19"/>
      <c r="B462" s="19"/>
      <c r="C462" s="73">
        <f t="array" ref="C462">IF(OR(A462="",B462=""),999,IFERROR(IF(INDEX('Binder Setup'!$C$2:$C$401,MATCH(B462,'Binder Setup'!$B$2:$B$401,0))=TRUE(),999,MATCH(B462,'Binder Setup'!$B$2:$B$401,0)),999))</f>
        <v>999</v>
      </c>
      <c r="D462" s="19"/>
      <c r="E462" s="19"/>
      <c r="F462" s="19"/>
    </row>
    <row r="463" ht="15.75" customHeight="1">
      <c r="A463" s="19"/>
      <c r="B463" s="19"/>
      <c r="C463" s="73">
        <f t="array" ref="C463">IF(OR(A463="",B463=""),999,IFERROR(IF(INDEX('Binder Setup'!$C$2:$C$401,MATCH(B463,'Binder Setup'!$B$2:$B$401,0))=TRUE(),999,MATCH(B463,'Binder Setup'!$B$2:$B$401,0)),999))</f>
        <v>999</v>
      </c>
      <c r="D463" s="19"/>
      <c r="E463" s="19"/>
      <c r="F463" s="19"/>
    </row>
    <row r="464" ht="15.75" customHeight="1">
      <c r="A464" s="19"/>
      <c r="B464" s="19"/>
      <c r="C464" s="73">
        <f t="array" ref="C464">IF(OR(A464="",B464=""),999,IFERROR(IF(INDEX('Binder Setup'!$C$2:$C$401,MATCH(B464,'Binder Setup'!$B$2:$B$401,0))=TRUE(),999,MATCH(B464,'Binder Setup'!$B$2:$B$401,0)),999))</f>
        <v>999</v>
      </c>
      <c r="D464" s="19"/>
      <c r="E464" s="19"/>
      <c r="F464" s="19"/>
    </row>
    <row r="465" ht="15.75" customHeight="1">
      <c r="A465" s="19"/>
      <c r="B465" s="19"/>
      <c r="C465" s="73">
        <f t="array" ref="C465">IF(OR(A465="",B465=""),999,IFERROR(IF(INDEX('Binder Setup'!$C$2:$C$401,MATCH(B465,'Binder Setup'!$B$2:$B$401,0))=TRUE(),999,MATCH(B465,'Binder Setup'!$B$2:$B$401,0)),999))</f>
        <v>999</v>
      </c>
      <c r="D465" s="19"/>
      <c r="E465" s="19"/>
      <c r="F465" s="19"/>
    </row>
    <row r="466" ht="15.75" customHeight="1">
      <c r="A466" s="19"/>
      <c r="B466" s="19"/>
      <c r="C466" s="73">
        <f t="array" ref="C466">IF(OR(A466="",B466=""),999,IFERROR(IF(INDEX('Binder Setup'!$C$2:$C$401,MATCH(B466,'Binder Setup'!$B$2:$B$401,0))=TRUE(),999,MATCH(B466,'Binder Setup'!$B$2:$B$401,0)),999))</f>
        <v>999</v>
      </c>
      <c r="D466" s="19"/>
      <c r="E466" s="19"/>
      <c r="F466" s="19"/>
    </row>
    <row r="467" ht="15.75" customHeight="1">
      <c r="A467" s="19"/>
      <c r="B467" s="19"/>
      <c r="C467" s="73">
        <f t="array" ref="C467">IF(OR(A467="",B467=""),999,IFERROR(IF(INDEX('Binder Setup'!$C$2:$C$401,MATCH(B467,'Binder Setup'!$B$2:$B$401,0))=TRUE(),999,MATCH(B467,'Binder Setup'!$B$2:$B$401,0)),999))</f>
        <v>999</v>
      </c>
      <c r="D467" s="19"/>
      <c r="E467" s="19"/>
      <c r="F467" s="19"/>
    </row>
    <row r="468" ht="15.75" customHeight="1">
      <c r="A468" s="19"/>
      <c r="B468" s="19"/>
      <c r="C468" s="73">
        <f t="array" ref="C468">IF(OR(A468="",B468=""),999,IFERROR(IF(INDEX('Binder Setup'!$C$2:$C$401,MATCH(B468,'Binder Setup'!$B$2:$B$401,0))=TRUE(),999,MATCH(B468,'Binder Setup'!$B$2:$B$401,0)),999))</f>
        <v>999</v>
      </c>
      <c r="D468" s="19"/>
      <c r="E468" s="19"/>
      <c r="F468" s="19"/>
    </row>
    <row r="469" ht="15.75" customHeight="1">
      <c r="A469" s="19"/>
      <c r="B469" s="19"/>
      <c r="C469" s="73">
        <f t="array" ref="C469">IF(OR(A469="",B469=""),999,IFERROR(IF(INDEX('Binder Setup'!$C$2:$C$401,MATCH(B469,'Binder Setup'!$B$2:$B$401,0))=TRUE(),999,MATCH(B469,'Binder Setup'!$B$2:$B$401,0)),999))</f>
        <v>999</v>
      </c>
      <c r="D469" s="19"/>
      <c r="E469" s="19"/>
      <c r="F469" s="19"/>
    </row>
    <row r="470" ht="15.75" customHeight="1">
      <c r="A470" s="19"/>
      <c r="B470" s="19"/>
      <c r="C470" s="73">
        <f t="array" ref="C470">IF(OR(A470="",B470=""),999,IFERROR(IF(INDEX('Binder Setup'!$C$2:$C$401,MATCH(B470,'Binder Setup'!$B$2:$B$401,0))=TRUE(),999,MATCH(B470,'Binder Setup'!$B$2:$B$401,0)),999))</f>
        <v>999</v>
      </c>
      <c r="D470" s="19"/>
      <c r="E470" s="19"/>
      <c r="F470" s="19"/>
    </row>
    <row r="471" ht="15.75" customHeight="1">
      <c r="A471" s="19"/>
      <c r="B471" s="19"/>
      <c r="C471" s="73">
        <f t="array" ref="C471">IF(OR(A471="",B471=""),999,IFERROR(IF(INDEX('Binder Setup'!$C$2:$C$401,MATCH(B471,'Binder Setup'!$B$2:$B$401,0))=TRUE(),999,MATCH(B471,'Binder Setup'!$B$2:$B$401,0)),999))</f>
        <v>999</v>
      </c>
      <c r="D471" s="19"/>
      <c r="E471" s="19"/>
      <c r="F471" s="19"/>
    </row>
    <row r="472" ht="15.75" customHeight="1">
      <c r="A472" s="19"/>
      <c r="B472" s="19"/>
      <c r="C472" s="73">
        <f t="array" ref="C472">IF(OR(A472="",B472=""),999,IFERROR(IF(INDEX('Binder Setup'!$C$2:$C$401,MATCH(B472,'Binder Setup'!$B$2:$B$401,0))=TRUE(),999,MATCH(B472,'Binder Setup'!$B$2:$B$401,0)),999))</f>
        <v>999</v>
      </c>
      <c r="D472" s="19"/>
      <c r="E472" s="19"/>
      <c r="F472" s="19"/>
    </row>
    <row r="473" ht="15.75" customHeight="1">
      <c r="A473" s="19"/>
      <c r="B473" s="19"/>
      <c r="C473" s="73">
        <f t="array" ref="C473">IF(OR(A473="",B473=""),999,IFERROR(IF(INDEX('Binder Setup'!$C$2:$C$401,MATCH(B473,'Binder Setup'!$B$2:$B$401,0))=TRUE(),999,MATCH(B473,'Binder Setup'!$B$2:$B$401,0)),999))</f>
        <v>999</v>
      </c>
      <c r="D473" s="19"/>
      <c r="E473" s="19"/>
      <c r="F473" s="19"/>
    </row>
    <row r="474" ht="15.75" customHeight="1">
      <c r="A474" s="19"/>
      <c r="B474" s="19"/>
      <c r="C474" s="73">
        <f t="array" ref="C474">IF(OR(A474="",B474=""),999,IFERROR(IF(INDEX('Binder Setup'!$C$2:$C$401,MATCH(B474,'Binder Setup'!$B$2:$B$401,0))=TRUE(),999,MATCH(B474,'Binder Setup'!$B$2:$B$401,0)),999))</f>
        <v>999</v>
      </c>
      <c r="D474" s="19"/>
      <c r="E474" s="19"/>
      <c r="F474" s="19"/>
    </row>
    <row r="475" ht="15.75" customHeight="1">
      <c r="A475" s="19"/>
      <c r="B475" s="19"/>
      <c r="C475" s="73">
        <f t="array" ref="C475">IF(OR(A475="",B475=""),999,IFERROR(IF(INDEX('Binder Setup'!$C$2:$C$401,MATCH(B475,'Binder Setup'!$B$2:$B$401,0))=TRUE(),999,MATCH(B475,'Binder Setup'!$B$2:$B$401,0)),999))</f>
        <v>999</v>
      </c>
      <c r="D475" s="19"/>
      <c r="E475" s="19"/>
      <c r="F475" s="19"/>
    </row>
    <row r="476" ht="15.75" customHeight="1">
      <c r="A476" s="19"/>
      <c r="B476" s="19"/>
      <c r="C476" s="73">
        <f t="array" ref="C476">IF(OR(A476="",B476=""),999,IFERROR(IF(INDEX('Binder Setup'!$C$2:$C$401,MATCH(B476,'Binder Setup'!$B$2:$B$401,0))=TRUE(),999,MATCH(B476,'Binder Setup'!$B$2:$B$401,0)),999))</f>
        <v>999</v>
      </c>
      <c r="D476" s="19"/>
      <c r="E476" s="19"/>
      <c r="F476" s="19"/>
    </row>
    <row r="477" ht="15.75" customHeight="1">
      <c r="A477" s="19"/>
      <c r="B477" s="19"/>
      <c r="C477" s="73">
        <f t="array" ref="C477">IF(OR(A477="",B477=""),999,IFERROR(IF(INDEX('Binder Setup'!$C$2:$C$401,MATCH(B477,'Binder Setup'!$B$2:$B$401,0))=TRUE(),999,MATCH(B477,'Binder Setup'!$B$2:$B$401,0)),999))</f>
        <v>999</v>
      </c>
      <c r="D477" s="19"/>
      <c r="E477" s="19"/>
      <c r="F477" s="19"/>
    </row>
    <row r="478" ht="15.75" customHeight="1">
      <c r="A478" s="19"/>
      <c r="B478" s="19"/>
      <c r="C478" s="73">
        <f t="array" ref="C478">IF(OR(A478="",B478=""),999,IFERROR(IF(INDEX('Binder Setup'!$C$2:$C$401,MATCH(B478,'Binder Setup'!$B$2:$B$401,0))=TRUE(),999,MATCH(B478,'Binder Setup'!$B$2:$B$401,0)),999))</f>
        <v>999</v>
      </c>
      <c r="D478" s="19"/>
      <c r="E478" s="19"/>
      <c r="F478" s="19"/>
    </row>
    <row r="479" ht="15.75" customHeight="1">
      <c r="A479" s="19"/>
      <c r="B479" s="19"/>
      <c r="C479" s="73">
        <f t="array" ref="C479">IF(OR(A479="",B479=""),999,IFERROR(IF(INDEX('Binder Setup'!$C$2:$C$401,MATCH(B479,'Binder Setup'!$B$2:$B$401,0))=TRUE(),999,MATCH(B479,'Binder Setup'!$B$2:$B$401,0)),999))</f>
        <v>999</v>
      </c>
      <c r="D479" s="19"/>
      <c r="E479" s="19"/>
      <c r="F479" s="19"/>
    </row>
    <row r="480" ht="15.75" customHeight="1">
      <c r="A480" s="19"/>
      <c r="B480" s="19"/>
      <c r="C480" s="73">
        <f t="array" ref="C480">IF(OR(A480="",B480=""),999,IFERROR(IF(INDEX('Binder Setup'!$C$2:$C$401,MATCH(B480,'Binder Setup'!$B$2:$B$401,0))=TRUE(),999,MATCH(B480,'Binder Setup'!$B$2:$B$401,0)),999))</f>
        <v>999</v>
      </c>
      <c r="D480" s="19"/>
      <c r="E480" s="19"/>
      <c r="F480" s="19"/>
    </row>
    <row r="481" ht="15.75" customHeight="1">
      <c r="A481" s="19"/>
      <c r="B481" s="19"/>
      <c r="C481" s="73">
        <f t="array" ref="C481">IF(OR(A481="",B481=""),999,IFERROR(IF(INDEX('Binder Setup'!$C$2:$C$401,MATCH(B481,'Binder Setup'!$B$2:$B$401,0))=TRUE(),999,MATCH(B481,'Binder Setup'!$B$2:$B$401,0)),999))</f>
        <v>999</v>
      </c>
      <c r="D481" s="19"/>
      <c r="E481" s="19"/>
      <c r="F481" s="19"/>
    </row>
    <row r="482" ht="15.75" customHeight="1">
      <c r="A482" s="19"/>
      <c r="B482" s="19"/>
      <c r="C482" s="73">
        <f t="array" ref="C482">IF(OR(A482="",B482=""),999,IFERROR(IF(INDEX('Binder Setup'!$C$2:$C$401,MATCH(B482,'Binder Setup'!$B$2:$B$401,0))=TRUE(),999,MATCH(B482,'Binder Setup'!$B$2:$B$401,0)),999))</f>
        <v>999</v>
      </c>
      <c r="D482" s="19"/>
      <c r="E482" s="19"/>
      <c r="F482" s="19"/>
    </row>
    <row r="483" ht="15.75" customHeight="1">
      <c r="A483" s="19"/>
      <c r="B483" s="19"/>
      <c r="C483" s="73">
        <f t="array" ref="C483">IF(OR(A483="",B483=""),999,IFERROR(IF(INDEX('Binder Setup'!$C$2:$C$401,MATCH(B483,'Binder Setup'!$B$2:$B$401,0))=TRUE(),999,MATCH(B483,'Binder Setup'!$B$2:$B$401,0)),999))</f>
        <v>999</v>
      </c>
      <c r="D483" s="19"/>
      <c r="E483" s="19"/>
      <c r="F483" s="19"/>
    </row>
    <row r="484" ht="15.75" customHeight="1">
      <c r="A484" s="19"/>
      <c r="B484" s="19"/>
      <c r="C484" s="73">
        <f t="array" ref="C484">IF(OR(A484="",B484=""),999,IFERROR(IF(INDEX('Binder Setup'!$C$2:$C$401,MATCH(B484,'Binder Setup'!$B$2:$B$401,0))=TRUE(),999,MATCH(B484,'Binder Setup'!$B$2:$B$401,0)),999))</f>
        <v>999</v>
      </c>
      <c r="D484" s="19"/>
      <c r="E484" s="19"/>
      <c r="F484" s="19"/>
    </row>
    <row r="485" ht="15.75" customHeight="1">
      <c r="A485" s="19"/>
      <c r="B485" s="19"/>
      <c r="C485" s="73">
        <f t="array" ref="C485">IF(OR(A485="",B485=""),999,IFERROR(IF(INDEX('Binder Setup'!$C$2:$C$401,MATCH(B485,'Binder Setup'!$B$2:$B$401,0))=TRUE(),999,MATCH(B485,'Binder Setup'!$B$2:$B$401,0)),999))</f>
        <v>999</v>
      </c>
      <c r="D485" s="19"/>
      <c r="E485" s="19"/>
      <c r="F485" s="19"/>
    </row>
    <row r="486" ht="15.75" customHeight="1">
      <c r="A486" s="19"/>
      <c r="B486" s="19"/>
      <c r="C486" s="73">
        <f t="array" ref="C486">IF(OR(A486="",B486=""),999,IFERROR(IF(INDEX('Binder Setup'!$C$2:$C$401,MATCH(B486,'Binder Setup'!$B$2:$B$401,0))=TRUE(),999,MATCH(B486,'Binder Setup'!$B$2:$B$401,0)),999))</f>
        <v>999</v>
      </c>
      <c r="D486" s="19"/>
      <c r="E486" s="19"/>
      <c r="F486" s="19"/>
    </row>
    <row r="487" ht="15.75" customHeight="1">
      <c r="A487" s="19"/>
      <c r="B487" s="19"/>
      <c r="C487" s="73">
        <f t="array" ref="C487">IF(OR(A487="",B487=""),999,IFERROR(IF(INDEX('Binder Setup'!$C$2:$C$401,MATCH(B487,'Binder Setup'!$B$2:$B$401,0))=TRUE(),999,MATCH(B487,'Binder Setup'!$B$2:$B$401,0)),999))</f>
        <v>999</v>
      </c>
      <c r="D487" s="19"/>
      <c r="E487" s="19"/>
      <c r="F487" s="19"/>
    </row>
    <row r="488" ht="15.75" customHeight="1">
      <c r="A488" s="19"/>
      <c r="B488" s="19"/>
      <c r="C488" s="73">
        <f t="array" ref="C488">IF(OR(A488="",B488=""),999,IFERROR(IF(INDEX('Binder Setup'!$C$2:$C$401,MATCH(B488,'Binder Setup'!$B$2:$B$401,0))=TRUE(),999,MATCH(B488,'Binder Setup'!$B$2:$B$401,0)),999))</f>
        <v>999</v>
      </c>
      <c r="D488" s="19"/>
      <c r="E488" s="19"/>
      <c r="F488" s="19"/>
    </row>
    <row r="489" ht="15.75" customHeight="1">
      <c r="A489" s="19"/>
      <c r="B489" s="19"/>
      <c r="C489" s="73">
        <f t="array" ref="C489">IF(OR(A489="",B489=""),999,IFERROR(IF(INDEX('Binder Setup'!$C$2:$C$401,MATCH(B489,'Binder Setup'!$B$2:$B$401,0))=TRUE(),999,MATCH(B489,'Binder Setup'!$B$2:$B$401,0)),999))</f>
        <v>999</v>
      </c>
      <c r="D489" s="19"/>
      <c r="E489" s="19"/>
      <c r="F489" s="19"/>
    </row>
    <row r="490" ht="15.75" customHeight="1">
      <c r="A490" s="19"/>
      <c r="B490" s="19"/>
      <c r="C490" s="73">
        <f t="array" ref="C490">IF(OR(A490="",B490=""),999,IFERROR(IF(INDEX('Binder Setup'!$C$2:$C$401,MATCH(B490,'Binder Setup'!$B$2:$B$401,0))=TRUE(),999,MATCH(B490,'Binder Setup'!$B$2:$B$401,0)),999))</f>
        <v>999</v>
      </c>
      <c r="D490" s="19"/>
      <c r="E490" s="19"/>
      <c r="F490" s="19"/>
    </row>
    <row r="491" ht="15.75" customHeight="1">
      <c r="A491" s="19"/>
      <c r="B491" s="19"/>
      <c r="C491" s="73">
        <f t="array" ref="C491">IF(OR(A491="",B491=""),999,IFERROR(IF(INDEX('Binder Setup'!$C$2:$C$401,MATCH(B491,'Binder Setup'!$B$2:$B$401,0))=TRUE(),999,MATCH(B491,'Binder Setup'!$B$2:$B$401,0)),999))</f>
        <v>999</v>
      </c>
      <c r="D491" s="19"/>
      <c r="E491" s="19"/>
      <c r="F491" s="19"/>
    </row>
    <row r="492" ht="15.75" customHeight="1">
      <c r="A492" s="19"/>
      <c r="B492" s="19"/>
      <c r="C492" s="73">
        <f t="array" ref="C492">IF(OR(A492="",B492=""),999,IFERROR(IF(INDEX('Binder Setup'!$C$2:$C$401,MATCH(B492,'Binder Setup'!$B$2:$B$401,0))=TRUE(),999,MATCH(B492,'Binder Setup'!$B$2:$B$401,0)),999))</f>
        <v>999</v>
      </c>
      <c r="D492" s="19"/>
      <c r="E492" s="19"/>
      <c r="F492" s="19"/>
    </row>
    <row r="493" ht="15.75" customHeight="1">
      <c r="A493" s="19"/>
      <c r="B493" s="19"/>
      <c r="C493" s="73">
        <f t="array" ref="C493">IF(OR(A493="",B493=""),999,IFERROR(IF(INDEX('Binder Setup'!$C$2:$C$401,MATCH(B493,'Binder Setup'!$B$2:$B$401,0))=TRUE(),999,MATCH(B493,'Binder Setup'!$B$2:$B$401,0)),999))</f>
        <v>999</v>
      </c>
      <c r="D493" s="19"/>
      <c r="E493" s="19"/>
      <c r="F493" s="19"/>
    </row>
    <row r="494" ht="15.75" customHeight="1">
      <c r="A494" s="19"/>
      <c r="B494" s="19"/>
      <c r="C494" s="73">
        <f t="array" ref="C494">IF(OR(A494="",B494=""),999,IFERROR(IF(INDEX('Binder Setup'!$C$2:$C$401,MATCH(B494,'Binder Setup'!$B$2:$B$401,0))=TRUE(),999,MATCH(B494,'Binder Setup'!$B$2:$B$401,0)),999))</f>
        <v>999</v>
      </c>
      <c r="D494" s="19"/>
      <c r="E494" s="19"/>
      <c r="F494" s="19"/>
    </row>
    <row r="495" ht="15.75" customHeight="1">
      <c r="A495" s="19"/>
      <c r="B495" s="19"/>
      <c r="C495" s="73">
        <f t="array" ref="C495">IF(OR(A495="",B495=""),999,IFERROR(IF(INDEX('Binder Setup'!$C$2:$C$401,MATCH(B495,'Binder Setup'!$B$2:$B$401,0))=TRUE(),999,MATCH(B495,'Binder Setup'!$B$2:$B$401,0)),999))</f>
        <v>999</v>
      </c>
      <c r="D495" s="19"/>
      <c r="E495" s="19"/>
      <c r="F495" s="19"/>
    </row>
    <row r="496" ht="15.75" customHeight="1">
      <c r="A496" s="19"/>
      <c r="B496" s="19"/>
      <c r="C496" s="73">
        <f t="array" ref="C496">IF(OR(A496="",B496=""),999,IFERROR(IF(INDEX('Binder Setup'!$C$2:$C$401,MATCH(B496,'Binder Setup'!$B$2:$B$401,0))=TRUE(),999,MATCH(B496,'Binder Setup'!$B$2:$B$401,0)),999))</f>
        <v>999</v>
      </c>
      <c r="D496" s="19"/>
      <c r="E496" s="19"/>
      <c r="F496" s="19"/>
    </row>
    <row r="497" ht="15.75" customHeight="1">
      <c r="A497" s="19"/>
      <c r="B497" s="19"/>
      <c r="C497" s="73">
        <f t="array" ref="C497">IF(OR(A497="",B497=""),999,IFERROR(IF(INDEX('Binder Setup'!$C$2:$C$401,MATCH(B497,'Binder Setup'!$B$2:$B$401,0))=TRUE(),999,MATCH(B497,'Binder Setup'!$B$2:$B$401,0)),999))</f>
        <v>999</v>
      </c>
      <c r="D497" s="19"/>
      <c r="E497" s="19"/>
      <c r="F497" s="19"/>
    </row>
    <row r="498" ht="15.75" customHeight="1">
      <c r="A498" s="19"/>
      <c r="B498" s="19"/>
      <c r="C498" s="73">
        <f t="array" ref="C498">IF(OR(A498="",B498=""),999,IFERROR(IF(INDEX('Binder Setup'!$C$2:$C$401,MATCH(B498,'Binder Setup'!$B$2:$B$401,0))=TRUE(),999,MATCH(B498,'Binder Setup'!$B$2:$B$401,0)),999))</f>
        <v>999</v>
      </c>
      <c r="D498" s="19"/>
      <c r="E498" s="19"/>
      <c r="F498" s="19"/>
    </row>
    <row r="499" ht="15.75" customHeight="1">
      <c r="A499" s="19"/>
      <c r="B499" s="19"/>
      <c r="C499" s="73">
        <f t="array" ref="C499">IF(OR(A499="",B499=""),999,IFERROR(IF(INDEX('Binder Setup'!$C$2:$C$401,MATCH(B499,'Binder Setup'!$B$2:$B$401,0))=TRUE(),999,MATCH(B499,'Binder Setup'!$B$2:$B$401,0)),999))</f>
        <v>999</v>
      </c>
      <c r="D499" s="19"/>
      <c r="E499" s="19"/>
      <c r="F499" s="19"/>
    </row>
    <row r="500" ht="15.75" customHeight="1">
      <c r="A500" s="19"/>
      <c r="B500" s="19"/>
      <c r="C500" s="73">
        <f t="array" ref="C500">IF(OR(A500="",B500=""),999,IFERROR(IF(INDEX('Binder Setup'!$C$2:$C$401,MATCH(B500,'Binder Setup'!$B$2:$B$401,0))=TRUE(),999,MATCH(B500,'Binder Setup'!$B$2:$B$401,0)),999))</f>
        <v>999</v>
      </c>
      <c r="D500" s="19"/>
      <c r="E500" s="19"/>
      <c r="F500" s="19"/>
    </row>
    <row r="501" ht="15.75" customHeight="1">
      <c r="A501" s="2"/>
      <c r="B501" s="2"/>
      <c r="C501" s="73">
        <f t="array" ref="C501">IF(OR(A501="",B501=""),999,IFERROR(IF(INDEX('Binder Setup'!$C$2:$C$401,MATCH(B501,'Binder Setup'!$B$2:$B$401,0))=TRUE(),999,MATCH(B501,'Binder Setup'!$B$2:$B$401,0)),999))</f>
        <v>999</v>
      </c>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mergeCells count="1">
    <mergeCell ref="F2:F12"/>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A6A6"/>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0"/>
    <col customWidth="1" min="2" max="2" width="40.0"/>
    <col customWidth="1" min="3" max="4" width="12.0"/>
    <col customWidth="1" min="5" max="5" width="11.0"/>
    <col customWidth="1" min="6" max="6" width="20.0"/>
    <col customWidth="1" min="7" max="7" width="9.0"/>
    <col customWidth="1" min="8" max="8" width="12.0"/>
    <col customWidth="1" min="9" max="9" width="34.0"/>
    <col customWidth="1" min="10" max="10" width="8.0"/>
    <col customWidth="1" min="11" max="11" width="8.63"/>
    <col customWidth="1" min="12" max="12" width="60.0"/>
    <col customWidth="1" min="13" max="26" width="8.63"/>
  </cols>
  <sheetData>
    <row r="1">
      <c r="A1" s="15" t="s">
        <v>579</v>
      </c>
      <c r="B1" s="15" t="s">
        <v>580</v>
      </c>
      <c r="C1" s="15" t="s">
        <v>82</v>
      </c>
      <c r="D1" s="15" t="s">
        <v>79</v>
      </c>
      <c r="E1" s="15" t="s">
        <v>581</v>
      </c>
      <c r="F1" s="15" t="s">
        <v>582</v>
      </c>
      <c r="G1" s="15" t="s">
        <v>583</v>
      </c>
      <c r="H1" s="15" t="s">
        <v>584</v>
      </c>
      <c r="I1" s="15" t="s">
        <v>585</v>
      </c>
      <c r="J1" s="15" t="s">
        <v>586</v>
      </c>
      <c r="L1" s="15" t="s">
        <v>587</v>
      </c>
    </row>
    <row r="2">
      <c r="A2" s="80">
        <f t="shared" ref="A2:A401" si="1">IF(B2="","",ROW()-1)</f>
        <v>1</v>
      </c>
      <c r="B2" s="81" t="s">
        <v>59</v>
      </c>
      <c r="C2" s="13" t="b">
        <v>0</v>
      </c>
      <c r="D2" s="80">
        <f>IF(B2="","",COUNTIFS('Binder Data'!$B$2:$B$6251,B2,'Binder Data'!$E$2:$E$6251,"Y"))</f>
        <v>16</v>
      </c>
      <c r="E2" s="17">
        <f>IF(B2="","",SUMIFS('Binder Data'!$F$2:$F$6251,'Binder Data'!$B$2:$B$6251,B2,'Binder Data'!$E$2:$E$6251,"Y"))</f>
        <v>27.09</v>
      </c>
      <c r="F2" s="80" t="str">
        <f>IF(B2="","",IF(C2=TRUE(),"Searched / no binder",IF(D2=0,"No cards assigned",IF(OR(D2&gt;=Binders!$D$3,E2&gt;=Binders!$E$3),"Pull","Skip: buy elsewhere"))))</f>
        <v>Pull</v>
      </c>
      <c r="G2" s="80">
        <f t="shared" ref="G2:G401" si="2">IF(AND(B2&lt;&gt;"",C2&lt;&gt;TRUE(),N(D2)&gt;0),MAX($G$1:G1)+1,"")</f>
        <v>1</v>
      </c>
      <c r="H2" s="82">
        <v>16.0</v>
      </c>
      <c r="I2" s="80" t="str">
        <f t="array" ref="I2">IFERROR(INDEX($B$2:$B$401,MATCH(1,$J$2:$J$401,0)),"")</f>
        <v/>
      </c>
      <c r="J2" s="80" t="str">
        <f t="shared" ref="J2:J401" si="3">IF(AND(B2&lt;&gt;"",C2=TRUE()),MAX($J$1:J1)+1,"")</f>
        <v/>
      </c>
      <c r="L2" s="27" t="s">
        <v>588</v>
      </c>
    </row>
    <row r="3">
      <c r="A3" s="80">
        <f t="shared" si="1"/>
        <v>2</v>
      </c>
      <c r="B3" s="81" t="s">
        <v>575</v>
      </c>
      <c r="C3" s="13" t="b">
        <v>0</v>
      </c>
      <c r="D3" s="80">
        <f>IF(B3="","",COUNTIFS('Binder Data'!$B$2:$B$6251,B3,'Binder Data'!$E$2:$E$6251,"Y"))</f>
        <v>9</v>
      </c>
      <c r="E3" s="17">
        <f>IF(B3="","",SUMIFS('Binder Data'!$F$2:$F$6251,'Binder Data'!$B$2:$B$6251,B3,'Binder Data'!$E$2:$E$6251,"Y"))</f>
        <v>4.42</v>
      </c>
      <c r="F3" s="80" t="str">
        <f>IF(B3="","",IF(C3=TRUE(),"Searched / no binder",IF(D3=0,"No cards assigned",IF(OR(D3&gt;=Binders!$D$3,E3&gt;=Binders!$E$3),"Pull","Skip: buy elsewhere"))))</f>
        <v>Pull</v>
      </c>
      <c r="G3" s="80">
        <f t="shared" si="2"/>
        <v>2</v>
      </c>
      <c r="H3" s="82">
        <v>14.0</v>
      </c>
      <c r="I3" s="80" t="str">
        <f t="array" ref="I3">IFERROR(INDEX($B$2:$B$401,MATCH(2,$J$2:$J$401,0)),"")</f>
        <v/>
      </c>
      <c r="J3" s="80" t="str">
        <f t="shared" si="3"/>
        <v/>
      </c>
    </row>
    <row r="4">
      <c r="A4" s="80">
        <f t="shared" si="1"/>
        <v>3</v>
      </c>
      <c r="B4" s="81" t="s">
        <v>589</v>
      </c>
      <c r="C4" s="13" t="b">
        <v>0</v>
      </c>
      <c r="D4" s="80">
        <f>IF(B4="","",COUNTIFS('Binder Data'!$B$2:$B$6251,B4,'Binder Data'!$E$2:$E$6251,"Y"))</f>
        <v>6</v>
      </c>
      <c r="E4" s="17">
        <f>IF(B4="","",SUMIFS('Binder Data'!$F$2:$F$6251,'Binder Data'!$B$2:$B$6251,B4,'Binder Data'!$E$2:$E$6251,"Y"))</f>
        <v>116.87</v>
      </c>
      <c r="F4" s="80" t="str">
        <f>IF(B4="","",IF(C4=TRUE(),"Searched / no binder",IF(D4=0,"No cards assigned",IF(OR(D4&gt;=Binders!$D$3,E4&gt;=Binders!$E$3),"Pull","Skip: buy elsewhere"))))</f>
        <v>Pull</v>
      </c>
      <c r="G4" s="80">
        <f t="shared" si="2"/>
        <v>3</v>
      </c>
      <c r="H4" s="82">
        <v>14.0</v>
      </c>
      <c r="I4" s="80" t="str">
        <f t="array" ref="I4">IFERROR(INDEX($B$2:$B$401,MATCH(3,$J$2:$J$401,0)),"")</f>
        <v/>
      </c>
      <c r="J4" s="80" t="str">
        <f t="shared" si="3"/>
        <v/>
      </c>
    </row>
    <row r="5">
      <c r="A5" s="80">
        <f t="shared" si="1"/>
        <v>4</v>
      </c>
      <c r="B5" s="81" t="s">
        <v>590</v>
      </c>
      <c r="C5" s="13" t="b">
        <v>0</v>
      </c>
      <c r="D5" s="80">
        <f>IF(B5="","",COUNTIFS('Binder Data'!$B$2:$B$6251,B5,'Binder Data'!$E$2:$E$6251,"Y"))</f>
        <v>4</v>
      </c>
      <c r="E5" s="17">
        <f>IF(B5="","",SUMIFS('Binder Data'!$F$2:$F$6251,'Binder Data'!$B$2:$B$6251,B5,'Binder Data'!$E$2:$E$6251,"Y"))</f>
        <v>6.97</v>
      </c>
      <c r="F5" s="80" t="str">
        <f>IF(B5="","",IF(C5=TRUE(),"Searched / no binder",IF(D5=0,"No cards assigned",IF(OR(D5&gt;=Binders!$D$3,E5&gt;=Binders!$E$3),"Pull","Skip: buy elsewhere"))))</f>
        <v>Pull</v>
      </c>
      <c r="G5" s="80">
        <f t="shared" si="2"/>
        <v>4</v>
      </c>
      <c r="H5" s="82">
        <v>13.0</v>
      </c>
      <c r="I5" s="80" t="str">
        <f t="array" ref="I5">IFERROR(INDEX($B$2:$B$401,MATCH(4,$J$2:$J$401,0)),"")</f>
        <v/>
      </c>
      <c r="J5" s="80" t="str">
        <f t="shared" si="3"/>
        <v/>
      </c>
    </row>
    <row r="6">
      <c r="A6" s="80">
        <f t="shared" si="1"/>
        <v>5</v>
      </c>
      <c r="B6" s="81" t="s">
        <v>591</v>
      </c>
      <c r="C6" s="13" t="b">
        <v>0</v>
      </c>
      <c r="D6" s="80">
        <f>IF(B6="","",COUNTIFS('Binder Data'!$B$2:$B$6251,B6,'Binder Data'!$E$2:$E$6251,"Y"))</f>
        <v>1</v>
      </c>
      <c r="E6" s="17">
        <f>IF(B6="","",SUMIFS('Binder Data'!$F$2:$F$6251,'Binder Data'!$B$2:$B$6251,B6,'Binder Data'!$E$2:$E$6251,"Y"))</f>
        <v>3.22</v>
      </c>
      <c r="F6" s="80" t="str">
        <f>IF(B6="","",IF(C6=TRUE(),"Searched / no binder",IF(D6=0,"No cards assigned",IF(OR(D6&gt;=Binders!$D$3,E6&gt;=Binders!$E$3),"Pull","Skip: buy elsewhere"))))</f>
        <v>Pull</v>
      </c>
      <c r="G6" s="80">
        <f t="shared" si="2"/>
        <v>5</v>
      </c>
      <c r="H6" s="82">
        <v>13.0</v>
      </c>
      <c r="I6" s="80" t="str">
        <f t="array" ref="I6">IFERROR(INDEX($B$2:$B$401,MATCH(5,$J$2:$J$401,0)),"")</f>
        <v/>
      </c>
      <c r="J6" s="80" t="str">
        <f t="shared" si="3"/>
        <v/>
      </c>
    </row>
    <row r="7">
      <c r="A7" s="80">
        <f t="shared" si="1"/>
        <v>6</v>
      </c>
      <c r="B7" s="81" t="s">
        <v>592</v>
      </c>
      <c r="C7" s="13" t="b">
        <v>0</v>
      </c>
      <c r="D7" s="80">
        <f>IF(B7="","",COUNTIFS('Binder Data'!$B$2:$B$6251,B7,'Binder Data'!$E$2:$E$6251,"Y"))</f>
        <v>0</v>
      </c>
      <c r="E7" s="17">
        <f>IF(B7="","",SUMIFS('Binder Data'!$F$2:$F$6251,'Binder Data'!$B$2:$B$6251,B7,'Binder Data'!$E$2:$E$6251,"Y"))</f>
        <v>0</v>
      </c>
      <c r="F7" s="80" t="str">
        <f>IF(B7="","",IF(C7=TRUE(),"Searched / no binder",IF(D7=0,"No cards assigned",IF(OR(D7&gt;=Binders!$D$3,E7&gt;=Binders!$E$3),"Pull","Skip: buy elsewhere"))))</f>
        <v>No cards assigned</v>
      </c>
      <c r="G7" s="80" t="str">
        <f t="shared" si="2"/>
        <v/>
      </c>
      <c r="H7" s="82">
        <v>12.0</v>
      </c>
      <c r="I7" s="80" t="str">
        <f t="array" ref="I7">IFERROR(INDEX($B$2:$B$401,MATCH(6,$J$2:$J$401,0)),"")</f>
        <v/>
      </c>
      <c r="J7" s="80" t="str">
        <f t="shared" si="3"/>
        <v/>
      </c>
    </row>
    <row r="8">
      <c r="A8" s="80">
        <f t="shared" si="1"/>
        <v>7</v>
      </c>
      <c r="B8" s="81" t="s">
        <v>593</v>
      </c>
      <c r="C8" s="13" t="b">
        <v>0</v>
      </c>
      <c r="D8" s="80">
        <f>IF(B8="","",COUNTIFS('Binder Data'!$B$2:$B$6251,B8,'Binder Data'!$E$2:$E$6251,"Y"))</f>
        <v>2</v>
      </c>
      <c r="E8" s="17">
        <f>IF(B8="","",SUMIFS('Binder Data'!$F$2:$F$6251,'Binder Data'!$B$2:$B$6251,B8,'Binder Data'!$E$2:$E$6251,"Y"))</f>
        <v>0.77</v>
      </c>
      <c r="F8" s="80" t="str">
        <f>IF(B8="","",IF(C8=TRUE(),"Searched / no binder",IF(D8=0,"No cards assigned",IF(OR(D8&gt;=Binders!$D$3,E8&gt;=Binders!$E$3),"Pull","Skip: buy elsewhere"))))</f>
        <v>Pull</v>
      </c>
      <c r="G8" s="80">
        <f t="shared" si="2"/>
        <v>6</v>
      </c>
      <c r="H8" s="82">
        <v>12.0</v>
      </c>
      <c r="I8" s="80" t="str">
        <f t="array" ref="I8">IFERROR(INDEX($B$2:$B$401,MATCH(7,$J$2:$J$401,0)),"")</f>
        <v/>
      </c>
      <c r="J8" s="80" t="str">
        <f t="shared" si="3"/>
        <v/>
      </c>
    </row>
    <row r="9">
      <c r="A9" s="80">
        <f t="shared" si="1"/>
        <v>8</v>
      </c>
      <c r="B9" s="81" t="s">
        <v>594</v>
      </c>
      <c r="C9" s="13" t="b">
        <v>0</v>
      </c>
      <c r="D9" s="80">
        <f>IF(B9="","",COUNTIFS('Binder Data'!$B$2:$B$6251,B9,'Binder Data'!$E$2:$E$6251,"Y"))</f>
        <v>2</v>
      </c>
      <c r="E9" s="17">
        <f>IF(B9="","",SUMIFS('Binder Data'!$F$2:$F$6251,'Binder Data'!$B$2:$B$6251,B9,'Binder Data'!$E$2:$E$6251,"Y"))</f>
        <v>0.6</v>
      </c>
      <c r="F9" s="80" t="str">
        <f>IF(B9="","",IF(C9=TRUE(),"Searched / no binder",IF(D9=0,"No cards assigned",IF(OR(D9&gt;=Binders!$D$3,E9&gt;=Binders!$E$3),"Pull","Skip: buy elsewhere"))))</f>
        <v>Pull</v>
      </c>
      <c r="G9" s="80">
        <f t="shared" si="2"/>
        <v>7</v>
      </c>
      <c r="H9" s="82">
        <v>10.0</v>
      </c>
      <c r="I9" s="80" t="str">
        <f t="array" ref="I9">IFERROR(INDEX($B$2:$B$401,MATCH(8,$J$2:$J$401,0)),"")</f>
        <v/>
      </c>
      <c r="J9" s="80" t="str">
        <f t="shared" si="3"/>
        <v/>
      </c>
    </row>
    <row r="10">
      <c r="A10" s="80">
        <f t="shared" si="1"/>
        <v>9</v>
      </c>
      <c r="B10" s="81" t="s">
        <v>347</v>
      </c>
      <c r="C10" s="13" t="b">
        <v>0</v>
      </c>
      <c r="D10" s="80">
        <f>IF(B10="","",COUNTIFS('Binder Data'!$B$2:$B$6251,B10,'Binder Data'!$E$2:$E$6251,"Y"))</f>
        <v>1</v>
      </c>
      <c r="E10" s="17">
        <f>IF(B10="","",SUMIFS('Binder Data'!$F$2:$F$6251,'Binder Data'!$B$2:$B$6251,B10,'Binder Data'!$E$2:$E$6251,"Y"))</f>
        <v>0.28</v>
      </c>
      <c r="F10" s="80" t="str">
        <f>IF(B10="","",IF(C10=TRUE(),"Searched / no binder",IF(D10=0,"No cards assigned",IF(OR(D10&gt;=Binders!$D$3,E10&gt;=Binders!$E$3),"Pull","Skip: buy elsewhere"))))</f>
        <v>Skip: buy elsewhere</v>
      </c>
      <c r="G10" s="80">
        <f t="shared" si="2"/>
        <v>8</v>
      </c>
      <c r="H10" s="82">
        <v>10.0</v>
      </c>
      <c r="I10" s="80" t="str">
        <f t="array" ref="I10">IFERROR(INDEX($B$2:$B$401,MATCH(9,$J$2:$J$401,0)),"")</f>
        <v/>
      </c>
      <c r="J10" s="80" t="str">
        <f t="shared" si="3"/>
        <v/>
      </c>
    </row>
    <row r="11">
      <c r="A11" s="80">
        <f t="shared" si="1"/>
        <v>10</v>
      </c>
      <c r="B11" s="81" t="s">
        <v>387</v>
      </c>
      <c r="C11" s="13" t="b">
        <v>0</v>
      </c>
      <c r="D11" s="80">
        <f>IF(B11="","",COUNTIFS('Binder Data'!$B$2:$B$6251,B11,'Binder Data'!$E$2:$E$6251,"Y"))</f>
        <v>1</v>
      </c>
      <c r="E11" s="17">
        <f>IF(B11="","",SUMIFS('Binder Data'!$F$2:$F$6251,'Binder Data'!$B$2:$B$6251,B11,'Binder Data'!$E$2:$E$6251,"Y"))</f>
        <v>0.39</v>
      </c>
      <c r="F11" s="80" t="str">
        <f>IF(B11="","",IF(C11=TRUE(),"Searched / no binder",IF(D11=0,"No cards assigned",IF(OR(D11&gt;=Binders!$D$3,E11&gt;=Binders!$E$3),"Pull","Skip: buy elsewhere"))))</f>
        <v>Skip: buy elsewhere</v>
      </c>
      <c r="G11" s="80">
        <f t="shared" si="2"/>
        <v>9</v>
      </c>
      <c r="H11" s="82">
        <v>10.0</v>
      </c>
      <c r="I11" s="80" t="str">
        <f t="array" ref="I11">IFERROR(INDEX($B$2:$B$401,MATCH(10,$J$2:$J$401,0)),"")</f>
        <v/>
      </c>
      <c r="J11" s="80" t="str">
        <f t="shared" si="3"/>
        <v/>
      </c>
    </row>
    <row r="12">
      <c r="A12" s="80">
        <f t="shared" si="1"/>
        <v>11</v>
      </c>
      <c r="B12" s="81" t="s">
        <v>505</v>
      </c>
      <c r="C12" s="13" t="b">
        <v>0</v>
      </c>
      <c r="D12" s="80">
        <f>IF(B12="","",COUNTIFS('Binder Data'!$B$2:$B$6251,B12,'Binder Data'!$E$2:$E$6251,"Y"))</f>
        <v>2</v>
      </c>
      <c r="E12" s="17">
        <f>IF(B12="","",SUMIFS('Binder Data'!$F$2:$F$6251,'Binder Data'!$B$2:$B$6251,B12,'Binder Data'!$E$2:$E$6251,"Y"))</f>
        <v>2.55</v>
      </c>
      <c r="F12" s="80" t="str">
        <f>IF(B12="","",IF(C12=TRUE(),"Searched / no binder",IF(D12=0,"No cards assigned",IF(OR(D12&gt;=Binders!$D$3,E12&gt;=Binders!$E$3),"Pull","Skip: buy elsewhere"))))</f>
        <v>Pull</v>
      </c>
      <c r="G12" s="80">
        <f t="shared" si="2"/>
        <v>10</v>
      </c>
      <c r="H12" s="82">
        <v>9.0</v>
      </c>
      <c r="I12" s="80" t="str">
        <f t="array" ref="I12">IFERROR(INDEX($B$2:$B$401,MATCH(11,$J$2:$J$401,0)),"")</f>
        <v/>
      </c>
      <c r="J12" s="80" t="str">
        <f t="shared" si="3"/>
        <v/>
      </c>
      <c r="L12" s="9"/>
    </row>
    <row r="13">
      <c r="A13" s="80">
        <f t="shared" si="1"/>
        <v>12</v>
      </c>
      <c r="B13" s="81" t="s">
        <v>595</v>
      </c>
      <c r="C13" s="13" t="b">
        <v>0</v>
      </c>
      <c r="D13" s="80">
        <f>IF(B13="","",COUNTIFS('Binder Data'!$B$2:$B$6251,B13,'Binder Data'!$E$2:$E$6251,"Y"))</f>
        <v>0</v>
      </c>
      <c r="E13" s="17">
        <f>IF(B13="","",SUMIFS('Binder Data'!$F$2:$F$6251,'Binder Data'!$B$2:$B$6251,B13,'Binder Data'!$E$2:$E$6251,"Y"))</f>
        <v>0</v>
      </c>
      <c r="F13" s="80" t="str">
        <f>IF(B13="","",IF(C13=TRUE(),"Searched / no binder",IF(D13=0,"No cards assigned",IF(OR(D13&gt;=Binders!$D$3,E13&gt;=Binders!$E$3),"Pull","Skip: buy elsewhere"))))</f>
        <v>No cards assigned</v>
      </c>
      <c r="G13" s="80" t="str">
        <f t="shared" si="2"/>
        <v/>
      </c>
      <c r="H13" s="82">
        <v>9.0</v>
      </c>
      <c r="I13" s="80" t="str">
        <f t="array" ref="I13">IFERROR(INDEX($B$2:$B$401,MATCH(12,$J$2:$J$401,0)),"")</f>
        <v/>
      </c>
      <c r="J13" s="80" t="str">
        <f t="shared" si="3"/>
        <v/>
      </c>
      <c r="L13" s="2"/>
    </row>
    <row r="14">
      <c r="A14" s="80">
        <f t="shared" si="1"/>
        <v>13</v>
      </c>
      <c r="B14" s="81" t="s">
        <v>596</v>
      </c>
      <c r="C14" s="13" t="b">
        <v>0</v>
      </c>
      <c r="D14" s="80">
        <f>IF(B14="","",COUNTIFS('Binder Data'!$B$2:$B$6251,B14,'Binder Data'!$E$2:$E$6251,"Y"))</f>
        <v>1</v>
      </c>
      <c r="E14" s="17">
        <f>IF(B14="","",SUMIFS('Binder Data'!$F$2:$F$6251,'Binder Data'!$B$2:$B$6251,B14,'Binder Data'!$E$2:$E$6251,"Y"))</f>
        <v>0.32</v>
      </c>
      <c r="F14" s="80" t="str">
        <f>IF(B14="","",IF(C14=TRUE(),"Searched / no binder",IF(D14=0,"No cards assigned",IF(OR(D14&gt;=Binders!$D$3,E14&gt;=Binders!$E$3),"Pull","Skip: buy elsewhere"))))</f>
        <v>Skip: buy elsewhere</v>
      </c>
      <c r="G14" s="80">
        <f t="shared" si="2"/>
        <v>11</v>
      </c>
      <c r="H14" s="82">
        <v>9.0</v>
      </c>
      <c r="I14" s="80" t="str">
        <f t="array" ref="I14">IFERROR(INDEX($B$2:$B$401,MATCH(13,$J$2:$J$401,0)),"")</f>
        <v/>
      </c>
      <c r="J14" s="80" t="str">
        <f t="shared" si="3"/>
        <v/>
      </c>
      <c r="L14" s="2"/>
    </row>
    <row r="15">
      <c r="A15" s="80">
        <f t="shared" si="1"/>
        <v>14</v>
      </c>
      <c r="B15" s="81" t="s">
        <v>597</v>
      </c>
      <c r="C15" s="13" t="b">
        <v>0</v>
      </c>
      <c r="D15" s="80">
        <f>IF(B15="","",COUNTIFS('Binder Data'!$B$2:$B$6251,B15,'Binder Data'!$E$2:$E$6251,"Y"))</f>
        <v>0</v>
      </c>
      <c r="E15" s="17">
        <f>IF(B15="","",SUMIFS('Binder Data'!$F$2:$F$6251,'Binder Data'!$B$2:$B$6251,B15,'Binder Data'!$E$2:$E$6251,"Y"))</f>
        <v>0</v>
      </c>
      <c r="F15" s="80" t="str">
        <f>IF(B15="","",IF(C15=TRUE(),"Searched / no binder",IF(D15=0,"No cards assigned",IF(OR(D15&gt;=Binders!$D$3,E15&gt;=Binders!$E$3),"Pull","Skip: buy elsewhere"))))</f>
        <v>No cards assigned</v>
      </c>
      <c r="G15" s="80" t="str">
        <f t="shared" si="2"/>
        <v/>
      </c>
      <c r="H15" s="82">
        <v>9.0</v>
      </c>
      <c r="I15" s="80" t="str">
        <f t="array" ref="I15">IFERROR(INDEX($B$2:$B$401,MATCH(14,$J$2:$J$401,0)),"")</f>
        <v/>
      </c>
      <c r="J15" s="80" t="str">
        <f t="shared" si="3"/>
        <v/>
      </c>
      <c r="L15" s="2"/>
    </row>
    <row r="16">
      <c r="A16" s="80">
        <f t="shared" si="1"/>
        <v>15</v>
      </c>
      <c r="B16" s="81" t="s">
        <v>598</v>
      </c>
      <c r="C16" s="13" t="b">
        <v>0</v>
      </c>
      <c r="D16" s="80">
        <f>IF(B16="","",COUNTIFS('Binder Data'!$B$2:$B$6251,B16,'Binder Data'!$E$2:$E$6251,"Y"))</f>
        <v>0</v>
      </c>
      <c r="E16" s="17">
        <f>IF(B16="","",SUMIFS('Binder Data'!$F$2:$F$6251,'Binder Data'!$B$2:$B$6251,B16,'Binder Data'!$E$2:$E$6251,"Y"))</f>
        <v>0</v>
      </c>
      <c r="F16" s="80" t="str">
        <f>IF(B16="","",IF(C16=TRUE(),"Searched / no binder",IF(D16=0,"No cards assigned",IF(OR(D16&gt;=Binders!$D$3,E16&gt;=Binders!$E$3),"Pull","Skip: buy elsewhere"))))</f>
        <v>No cards assigned</v>
      </c>
      <c r="G16" s="80" t="str">
        <f t="shared" si="2"/>
        <v/>
      </c>
      <c r="H16" s="82">
        <v>9.0</v>
      </c>
      <c r="I16" s="80" t="str">
        <f t="array" ref="I16">IFERROR(INDEX($B$2:$B$401,MATCH(15,$J$2:$J$401,0)),"")</f>
        <v/>
      </c>
      <c r="J16" s="80" t="str">
        <f t="shared" si="3"/>
        <v/>
      </c>
      <c r="L16" s="2"/>
    </row>
    <row r="17">
      <c r="A17" s="80">
        <f t="shared" si="1"/>
        <v>16</v>
      </c>
      <c r="B17" s="81" t="s">
        <v>599</v>
      </c>
      <c r="C17" s="13" t="b">
        <v>0</v>
      </c>
      <c r="D17" s="80">
        <f>IF(B17="","",COUNTIFS('Binder Data'!$B$2:$B$6251,B17,'Binder Data'!$E$2:$E$6251,"Y"))</f>
        <v>0</v>
      </c>
      <c r="E17" s="17">
        <f>IF(B17="","",SUMIFS('Binder Data'!$F$2:$F$6251,'Binder Data'!$B$2:$B$6251,B17,'Binder Data'!$E$2:$E$6251,"Y"))</f>
        <v>0</v>
      </c>
      <c r="F17" s="80" t="str">
        <f>IF(B17="","",IF(C17=TRUE(),"Searched / no binder",IF(D17=0,"No cards assigned",IF(OR(D17&gt;=Binders!$D$3,E17&gt;=Binders!$E$3),"Pull","Skip: buy elsewhere"))))</f>
        <v>No cards assigned</v>
      </c>
      <c r="G17" s="80" t="str">
        <f t="shared" si="2"/>
        <v/>
      </c>
      <c r="H17" s="82">
        <v>8.0</v>
      </c>
      <c r="I17" s="80" t="str">
        <f t="array" ref="I17">IFERROR(INDEX($B$2:$B$401,MATCH(16,$J$2:$J$401,0)),"")</f>
        <v/>
      </c>
      <c r="J17" s="80" t="str">
        <f t="shared" si="3"/>
        <v/>
      </c>
      <c r="L17" s="2"/>
    </row>
    <row r="18">
      <c r="A18" s="80">
        <f t="shared" si="1"/>
        <v>17</v>
      </c>
      <c r="B18" s="81" t="s">
        <v>533</v>
      </c>
      <c r="C18" s="13" t="b">
        <v>0</v>
      </c>
      <c r="D18" s="80">
        <f>IF(B18="","",COUNTIFS('Binder Data'!$B$2:$B$6251,B18,'Binder Data'!$E$2:$E$6251,"Y"))</f>
        <v>1</v>
      </c>
      <c r="E18" s="17">
        <f>IF(B18="","",SUMIFS('Binder Data'!$F$2:$F$6251,'Binder Data'!$B$2:$B$6251,B18,'Binder Data'!$E$2:$E$6251,"Y"))</f>
        <v>0.47</v>
      </c>
      <c r="F18" s="80" t="str">
        <f>IF(B18="","",IF(C18=TRUE(),"Searched / no binder",IF(D18=0,"No cards assigned",IF(OR(D18&gt;=Binders!$D$3,E18&gt;=Binders!$E$3),"Pull","Skip: buy elsewhere"))))</f>
        <v>Skip: buy elsewhere</v>
      </c>
      <c r="G18" s="80">
        <f t="shared" si="2"/>
        <v>12</v>
      </c>
      <c r="H18" s="82">
        <v>8.0</v>
      </c>
      <c r="I18" s="80" t="str">
        <f t="array" ref="I18">IFERROR(INDEX($B$2:$B$401,MATCH(17,$J$2:$J$401,0)),"")</f>
        <v/>
      </c>
      <c r="J18" s="80" t="str">
        <f t="shared" si="3"/>
        <v/>
      </c>
      <c r="L18" s="2"/>
    </row>
    <row r="19">
      <c r="A19" s="80">
        <f t="shared" si="1"/>
        <v>18</v>
      </c>
      <c r="B19" s="81" t="s">
        <v>312</v>
      </c>
      <c r="C19" s="13" t="b">
        <v>0</v>
      </c>
      <c r="D19" s="80">
        <f>IF(B19="","",COUNTIFS('Binder Data'!$B$2:$B$6251,B19,'Binder Data'!$E$2:$E$6251,"Y"))</f>
        <v>1</v>
      </c>
      <c r="E19" s="17">
        <f>IF(B19="","",SUMIFS('Binder Data'!$F$2:$F$6251,'Binder Data'!$B$2:$B$6251,B19,'Binder Data'!$E$2:$E$6251,"Y"))</f>
        <v>2.21</v>
      </c>
      <c r="F19" s="80" t="str">
        <f>IF(B19="","",IF(C19=TRUE(),"Searched / no binder",IF(D19=0,"No cards assigned",IF(OR(D19&gt;=Binders!$D$3,E19&gt;=Binders!$E$3),"Pull","Skip: buy elsewhere"))))</f>
        <v>Pull</v>
      </c>
      <c r="G19" s="80">
        <f t="shared" si="2"/>
        <v>13</v>
      </c>
      <c r="H19" s="82">
        <v>7.0</v>
      </c>
      <c r="I19" s="80" t="str">
        <f t="array" ref="I19">IFERROR(INDEX($B$2:$B$401,MATCH(18,$J$2:$J$401,0)),"")</f>
        <v/>
      </c>
      <c r="J19" s="80" t="str">
        <f t="shared" si="3"/>
        <v/>
      </c>
      <c r="L19" s="2"/>
    </row>
    <row r="20">
      <c r="A20" s="80">
        <f t="shared" si="1"/>
        <v>19</v>
      </c>
      <c r="B20" s="81" t="s">
        <v>600</v>
      </c>
      <c r="C20" s="13" t="b">
        <v>0</v>
      </c>
      <c r="D20" s="80">
        <f>IF(B20="","",COUNTIFS('Binder Data'!$B$2:$B$6251,B20,'Binder Data'!$E$2:$E$6251,"Y"))</f>
        <v>2</v>
      </c>
      <c r="E20" s="17">
        <f>IF(B20="","",SUMIFS('Binder Data'!$F$2:$F$6251,'Binder Data'!$B$2:$B$6251,B20,'Binder Data'!$E$2:$E$6251,"Y"))</f>
        <v>7.45</v>
      </c>
      <c r="F20" s="80" t="str">
        <f>IF(B20="","",IF(C20=TRUE(),"Searched / no binder",IF(D20=0,"No cards assigned",IF(OR(D20&gt;=Binders!$D$3,E20&gt;=Binders!$E$3),"Pull","Skip: buy elsewhere"))))</f>
        <v>Pull</v>
      </c>
      <c r="G20" s="80">
        <f t="shared" si="2"/>
        <v>14</v>
      </c>
      <c r="H20" s="82">
        <v>7.0</v>
      </c>
      <c r="I20" s="80" t="str">
        <f t="array" ref="I20">IFERROR(INDEX($B$2:$B$401,MATCH(19,$J$2:$J$401,0)),"")</f>
        <v/>
      </c>
      <c r="J20" s="80" t="str">
        <f t="shared" si="3"/>
        <v/>
      </c>
      <c r="L20" s="2"/>
    </row>
    <row r="21" ht="15.75" customHeight="1">
      <c r="A21" s="80">
        <f t="shared" si="1"/>
        <v>20</v>
      </c>
      <c r="B21" s="81" t="s">
        <v>601</v>
      </c>
      <c r="C21" s="13" t="b">
        <v>0</v>
      </c>
      <c r="D21" s="80">
        <f>IF(B21="","",COUNTIFS('Binder Data'!$B$2:$B$6251,B21,'Binder Data'!$E$2:$E$6251,"Y"))</f>
        <v>0</v>
      </c>
      <c r="E21" s="17">
        <f>IF(B21="","",SUMIFS('Binder Data'!$F$2:$F$6251,'Binder Data'!$B$2:$B$6251,B21,'Binder Data'!$E$2:$E$6251,"Y"))</f>
        <v>0</v>
      </c>
      <c r="F21" s="80" t="str">
        <f>IF(B21="","",IF(C21=TRUE(),"Searched / no binder",IF(D21=0,"No cards assigned",IF(OR(D21&gt;=Binders!$D$3,E21&gt;=Binders!$E$3),"Pull","Skip: buy elsewhere"))))</f>
        <v>No cards assigned</v>
      </c>
      <c r="G21" s="80" t="str">
        <f t="shared" si="2"/>
        <v/>
      </c>
      <c r="H21" s="82">
        <v>7.0</v>
      </c>
      <c r="I21" s="80" t="str">
        <f t="array" ref="I21">IFERROR(INDEX($B$2:$B$401,MATCH(20,$J$2:$J$401,0)),"")</f>
        <v/>
      </c>
      <c r="J21" s="80" t="str">
        <f t="shared" si="3"/>
        <v/>
      </c>
      <c r="L21" s="2"/>
    </row>
    <row r="22" ht="15.75" customHeight="1">
      <c r="A22" s="80">
        <f t="shared" si="1"/>
        <v>21</v>
      </c>
      <c r="B22" s="81" t="s">
        <v>602</v>
      </c>
      <c r="C22" s="13" t="b">
        <v>0</v>
      </c>
      <c r="D22" s="80">
        <f>IF(B22="","",COUNTIFS('Binder Data'!$B$2:$B$6251,B22,'Binder Data'!$E$2:$E$6251,"Y"))</f>
        <v>0</v>
      </c>
      <c r="E22" s="17">
        <f>IF(B22="","",SUMIFS('Binder Data'!$F$2:$F$6251,'Binder Data'!$B$2:$B$6251,B22,'Binder Data'!$E$2:$E$6251,"Y"))</f>
        <v>0</v>
      </c>
      <c r="F22" s="80" t="str">
        <f>IF(B22="","",IF(C22=TRUE(),"Searched / no binder",IF(D22=0,"No cards assigned",IF(OR(D22&gt;=Binders!$D$3,E22&gt;=Binders!$E$3),"Pull","Skip: buy elsewhere"))))</f>
        <v>No cards assigned</v>
      </c>
      <c r="G22" s="80" t="str">
        <f t="shared" si="2"/>
        <v/>
      </c>
      <c r="H22" s="82">
        <v>7.0</v>
      </c>
      <c r="I22" s="80" t="str">
        <f t="array" ref="I22">IFERROR(INDEX($B$2:$B$401,MATCH(21,$J$2:$J$401,0)),"")</f>
        <v/>
      </c>
      <c r="J22" s="80" t="str">
        <f t="shared" si="3"/>
        <v/>
      </c>
      <c r="L22" s="2"/>
    </row>
    <row r="23" ht="15.75" customHeight="1">
      <c r="A23" s="80">
        <f t="shared" si="1"/>
        <v>22</v>
      </c>
      <c r="B23" s="81" t="s">
        <v>603</v>
      </c>
      <c r="C23" s="13" t="b">
        <v>0</v>
      </c>
      <c r="D23" s="80">
        <f>IF(B23="","",COUNTIFS('Binder Data'!$B$2:$B$6251,B23,'Binder Data'!$E$2:$E$6251,"Y"))</f>
        <v>0</v>
      </c>
      <c r="E23" s="17">
        <f>IF(B23="","",SUMIFS('Binder Data'!$F$2:$F$6251,'Binder Data'!$B$2:$B$6251,B23,'Binder Data'!$E$2:$E$6251,"Y"))</f>
        <v>0</v>
      </c>
      <c r="F23" s="80" t="str">
        <f>IF(B23="","",IF(C23=TRUE(),"Searched / no binder",IF(D23=0,"No cards assigned",IF(OR(D23&gt;=Binders!$D$3,E23&gt;=Binders!$E$3),"Pull","Skip: buy elsewhere"))))</f>
        <v>No cards assigned</v>
      </c>
      <c r="G23" s="80" t="str">
        <f t="shared" si="2"/>
        <v/>
      </c>
      <c r="H23" s="82">
        <v>7.0</v>
      </c>
      <c r="I23" s="80" t="str">
        <f t="array" ref="I23">IFERROR(INDEX($B$2:$B$401,MATCH(22,$J$2:$J$401,0)),"")</f>
        <v/>
      </c>
      <c r="J23" s="80" t="str">
        <f t="shared" si="3"/>
        <v/>
      </c>
      <c r="L23" s="2"/>
    </row>
    <row r="24" ht="15.75" customHeight="1">
      <c r="A24" s="80">
        <f t="shared" si="1"/>
        <v>23</v>
      </c>
      <c r="B24" s="81" t="s">
        <v>604</v>
      </c>
      <c r="C24" s="13" t="b">
        <v>0</v>
      </c>
      <c r="D24" s="80">
        <f>IF(B24="","",COUNTIFS('Binder Data'!$B$2:$B$6251,B24,'Binder Data'!$E$2:$E$6251,"Y"))</f>
        <v>0</v>
      </c>
      <c r="E24" s="17">
        <f>IF(B24="","",SUMIFS('Binder Data'!$F$2:$F$6251,'Binder Data'!$B$2:$B$6251,B24,'Binder Data'!$E$2:$E$6251,"Y"))</f>
        <v>0</v>
      </c>
      <c r="F24" s="80" t="str">
        <f>IF(B24="","",IF(C24=TRUE(),"Searched / no binder",IF(D24=0,"No cards assigned",IF(OR(D24&gt;=Binders!$D$3,E24&gt;=Binders!$E$3),"Pull","Skip: buy elsewhere"))))</f>
        <v>No cards assigned</v>
      </c>
      <c r="G24" s="80" t="str">
        <f t="shared" si="2"/>
        <v/>
      </c>
      <c r="H24" s="82">
        <v>6.0</v>
      </c>
      <c r="I24" s="80" t="str">
        <f t="array" ref="I24">IFERROR(INDEX($B$2:$B$401,MATCH(23,$J$2:$J$401,0)),"")</f>
        <v/>
      </c>
      <c r="J24" s="80" t="str">
        <f t="shared" si="3"/>
        <v/>
      </c>
      <c r="L24" s="2"/>
    </row>
    <row r="25" ht="15.75" customHeight="1">
      <c r="A25" s="80">
        <f t="shared" si="1"/>
        <v>24</v>
      </c>
      <c r="B25" s="81" t="s">
        <v>605</v>
      </c>
      <c r="C25" s="13" t="b">
        <v>0</v>
      </c>
      <c r="D25" s="80">
        <f>IF(B25="","",COUNTIFS('Binder Data'!$B$2:$B$6251,B25,'Binder Data'!$E$2:$E$6251,"Y"))</f>
        <v>0</v>
      </c>
      <c r="E25" s="17">
        <f>IF(B25="","",SUMIFS('Binder Data'!$F$2:$F$6251,'Binder Data'!$B$2:$B$6251,B25,'Binder Data'!$E$2:$E$6251,"Y"))</f>
        <v>0</v>
      </c>
      <c r="F25" s="80" t="str">
        <f>IF(B25="","",IF(C25=TRUE(),"Searched / no binder",IF(D25=0,"No cards assigned",IF(OR(D25&gt;=Binders!$D$3,E25&gt;=Binders!$E$3),"Pull","Skip: buy elsewhere"))))</f>
        <v>No cards assigned</v>
      </c>
      <c r="G25" s="80" t="str">
        <f t="shared" si="2"/>
        <v/>
      </c>
      <c r="H25" s="82">
        <v>6.0</v>
      </c>
      <c r="I25" s="80" t="str">
        <f t="array" ref="I25">IFERROR(INDEX($B$2:$B$401,MATCH(24,$J$2:$J$401,0)),"")</f>
        <v/>
      </c>
      <c r="J25" s="80" t="str">
        <f t="shared" si="3"/>
        <v/>
      </c>
      <c r="L25" s="2"/>
    </row>
    <row r="26" ht="15.75" customHeight="1">
      <c r="A26" s="80">
        <f t="shared" si="1"/>
        <v>25</v>
      </c>
      <c r="B26" s="81" t="s">
        <v>606</v>
      </c>
      <c r="C26" s="13" t="b">
        <v>0</v>
      </c>
      <c r="D26" s="80">
        <f>IF(B26="","",COUNTIFS('Binder Data'!$B$2:$B$6251,B26,'Binder Data'!$E$2:$E$6251,"Y"))</f>
        <v>0</v>
      </c>
      <c r="E26" s="17">
        <f>IF(B26="","",SUMIFS('Binder Data'!$F$2:$F$6251,'Binder Data'!$B$2:$B$6251,B26,'Binder Data'!$E$2:$E$6251,"Y"))</f>
        <v>0</v>
      </c>
      <c r="F26" s="80" t="str">
        <f>IF(B26="","",IF(C26=TRUE(),"Searched / no binder",IF(D26=0,"No cards assigned",IF(OR(D26&gt;=Binders!$D$3,E26&gt;=Binders!$E$3),"Pull","Skip: buy elsewhere"))))</f>
        <v>No cards assigned</v>
      </c>
      <c r="G26" s="80" t="str">
        <f t="shared" si="2"/>
        <v/>
      </c>
      <c r="H26" s="82">
        <v>5.0</v>
      </c>
      <c r="I26" s="80" t="str">
        <f t="array" ref="I26">IFERROR(INDEX($B$2:$B$401,MATCH(25,$J$2:$J$401,0)),"")</f>
        <v/>
      </c>
      <c r="J26" s="80" t="str">
        <f t="shared" si="3"/>
        <v/>
      </c>
      <c r="L26" s="2"/>
    </row>
    <row r="27" ht="15.75" customHeight="1">
      <c r="A27" s="80">
        <f t="shared" si="1"/>
        <v>26</v>
      </c>
      <c r="B27" s="81" t="s">
        <v>607</v>
      </c>
      <c r="C27" s="13" t="b">
        <v>0</v>
      </c>
      <c r="D27" s="80">
        <f>IF(B27="","",COUNTIFS('Binder Data'!$B$2:$B$6251,B27,'Binder Data'!$E$2:$E$6251,"Y"))</f>
        <v>0</v>
      </c>
      <c r="E27" s="17">
        <f>IF(B27="","",SUMIFS('Binder Data'!$F$2:$F$6251,'Binder Data'!$B$2:$B$6251,B27,'Binder Data'!$E$2:$E$6251,"Y"))</f>
        <v>0</v>
      </c>
      <c r="F27" s="80" t="str">
        <f>IF(B27="","",IF(C27=TRUE(),"Searched / no binder",IF(D27=0,"No cards assigned",IF(OR(D27&gt;=Binders!$D$3,E27&gt;=Binders!$E$3),"Pull","Skip: buy elsewhere"))))</f>
        <v>No cards assigned</v>
      </c>
      <c r="G27" s="80" t="str">
        <f t="shared" si="2"/>
        <v/>
      </c>
      <c r="H27" s="82">
        <v>5.0</v>
      </c>
      <c r="I27" s="80" t="str">
        <f t="array" ref="I27">IFERROR(INDEX($B$2:$B$401,MATCH(26,$J$2:$J$401,0)),"")</f>
        <v/>
      </c>
      <c r="J27" s="80" t="str">
        <f t="shared" si="3"/>
        <v/>
      </c>
      <c r="L27" s="2"/>
    </row>
    <row r="28" ht="15.75" customHeight="1">
      <c r="A28" s="80">
        <f t="shared" si="1"/>
        <v>27</v>
      </c>
      <c r="B28" s="81" t="s">
        <v>608</v>
      </c>
      <c r="C28" s="13" t="b">
        <v>0</v>
      </c>
      <c r="D28" s="80">
        <f>IF(B28="","",COUNTIFS('Binder Data'!$B$2:$B$6251,B28,'Binder Data'!$E$2:$E$6251,"Y"))</f>
        <v>1</v>
      </c>
      <c r="E28" s="17">
        <f>IF(B28="","",SUMIFS('Binder Data'!$F$2:$F$6251,'Binder Data'!$B$2:$B$6251,B28,'Binder Data'!$E$2:$E$6251,"Y"))</f>
        <v>0.24</v>
      </c>
      <c r="F28" s="80" t="str">
        <f>IF(B28="","",IF(C28=TRUE(),"Searched / no binder",IF(D28=0,"No cards assigned",IF(OR(D28&gt;=Binders!$D$3,E28&gt;=Binders!$E$3),"Pull","Skip: buy elsewhere"))))</f>
        <v>Skip: buy elsewhere</v>
      </c>
      <c r="G28" s="80">
        <f t="shared" si="2"/>
        <v>15</v>
      </c>
      <c r="H28" s="82">
        <v>5.0</v>
      </c>
      <c r="I28" s="80" t="str">
        <f t="array" ref="I28">IFERROR(INDEX($B$2:$B$401,MATCH(27,$J$2:$J$401,0)),"")</f>
        <v/>
      </c>
      <c r="J28" s="80" t="str">
        <f t="shared" si="3"/>
        <v/>
      </c>
      <c r="L28" s="2"/>
    </row>
    <row r="29" ht="15.75" customHeight="1">
      <c r="A29" s="80">
        <f t="shared" si="1"/>
        <v>28</v>
      </c>
      <c r="B29" s="81" t="s">
        <v>291</v>
      </c>
      <c r="C29" s="13" t="b">
        <v>0</v>
      </c>
      <c r="D29" s="80">
        <f>IF(B29="","",COUNTIFS('Binder Data'!$B$2:$B$6251,B29,'Binder Data'!$E$2:$E$6251,"Y"))</f>
        <v>1</v>
      </c>
      <c r="E29" s="17">
        <f>IF(B29="","",SUMIFS('Binder Data'!$F$2:$F$6251,'Binder Data'!$B$2:$B$6251,B29,'Binder Data'!$E$2:$E$6251,"Y"))</f>
        <v>7.65</v>
      </c>
      <c r="F29" s="80" t="str">
        <f>IF(B29="","",IF(C29=TRUE(),"Searched / no binder",IF(D29=0,"No cards assigned",IF(OR(D29&gt;=Binders!$D$3,E29&gt;=Binders!$E$3),"Pull","Skip: buy elsewhere"))))</f>
        <v>Pull</v>
      </c>
      <c r="G29" s="80">
        <f t="shared" si="2"/>
        <v>16</v>
      </c>
      <c r="H29" s="82">
        <v>5.0</v>
      </c>
      <c r="I29" s="80" t="str">
        <f t="array" ref="I29">IFERROR(INDEX($B$2:$B$401,MATCH(28,$J$2:$J$401,0)),"")</f>
        <v/>
      </c>
      <c r="J29" s="80" t="str">
        <f t="shared" si="3"/>
        <v/>
      </c>
      <c r="L29" s="2"/>
    </row>
    <row r="30" ht="15.75" customHeight="1">
      <c r="A30" s="80">
        <f t="shared" si="1"/>
        <v>29</v>
      </c>
      <c r="B30" s="81" t="s">
        <v>609</v>
      </c>
      <c r="C30" s="13" t="b">
        <v>0</v>
      </c>
      <c r="D30" s="80">
        <f>IF(B30="","",COUNTIFS('Binder Data'!$B$2:$B$6251,B30,'Binder Data'!$E$2:$E$6251,"Y"))</f>
        <v>0</v>
      </c>
      <c r="E30" s="17">
        <f>IF(B30="","",SUMIFS('Binder Data'!$F$2:$F$6251,'Binder Data'!$B$2:$B$6251,B30,'Binder Data'!$E$2:$E$6251,"Y"))</f>
        <v>0</v>
      </c>
      <c r="F30" s="80" t="str">
        <f>IF(B30="","",IF(C30=TRUE(),"Searched / no binder",IF(D30=0,"No cards assigned",IF(OR(D30&gt;=Binders!$D$3,E30&gt;=Binders!$E$3),"Pull","Skip: buy elsewhere"))))</f>
        <v>No cards assigned</v>
      </c>
      <c r="G30" s="80" t="str">
        <f t="shared" si="2"/>
        <v/>
      </c>
      <c r="H30" s="82">
        <v>5.0</v>
      </c>
      <c r="I30" s="80" t="str">
        <f t="array" ref="I30">IFERROR(INDEX($B$2:$B$401,MATCH(29,$J$2:$J$401,0)),"")</f>
        <v/>
      </c>
      <c r="J30" s="80" t="str">
        <f t="shared" si="3"/>
        <v/>
      </c>
      <c r="L30" s="2"/>
    </row>
    <row r="31" ht="15.75" customHeight="1">
      <c r="A31" s="80">
        <f t="shared" si="1"/>
        <v>30</v>
      </c>
      <c r="B31" s="81" t="s">
        <v>610</v>
      </c>
      <c r="C31" s="13" t="b">
        <v>0</v>
      </c>
      <c r="D31" s="80">
        <f>IF(B31="","",COUNTIFS('Binder Data'!$B$2:$B$6251,B31,'Binder Data'!$E$2:$E$6251,"Y"))</f>
        <v>0</v>
      </c>
      <c r="E31" s="17">
        <f>IF(B31="","",SUMIFS('Binder Data'!$F$2:$F$6251,'Binder Data'!$B$2:$B$6251,B31,'Binder Data'!$E$2:$E$6251,"Y"))</f>
        <v>0</v>
      </c>
      <c r="F31" s="80" t="str">
        <f>IF(B31="","",IF(C31=TRUE(),"Searched / no binder",IF(D31=0,"No cards assigned",IF(OR(D31&gt;=Binders!$D$3,E31&gt;=Binders!$E$3),"Pull","Skip: buy elsewhere"))))</f>
        <v>No cards assigned</v>
      </c>
      <c r="G31" s="80" t="str">
        <f t="shared" si="2"/>
        <v/>
      </c>
      <c r="H31" s="82">
        <v>4.0</v>
      </c>
      <c r="I31" s="80" t="str">
        <f t="array" ref="I31">IFERROR(INDEX($B$2:$B$401,MATCH(30,$J$2:$J$401,0)),"")</f>
        <v/>
      </c>
      <c r="J31" s="80" t="str">
        <f t="shared" si="3"/>
        <v/>
      </c>
      <c r="L31" s="2"/>
    </row>
    <row r="32" ht="15.75" customHeight="1">
      <c r="A32" s="80">
        <f t="shared" si="1"/>
        <v>31</v>
      </c>
      <c r="B32" s="81" t="s">
        <v>611</v>
      </c>
      <c r="C32" s="13" t="b">
        <v>0</v>
      </c>
      <c r="D32" s="80">
        <f>IF(B32="","",COUNTIFS('Binder Data'!$B$2:$B$6251,B32,'Binder Data'!$E$2:$E$6251,"Y"))</f>
        <v>0</v>
      </c>
      <c r="E32" s="17">
        <f>IF(B32="","",SUMIFS('Binder Data'!$F$2:$F$6251,'Binder Data'!$B$2:$B$6251,B32,'Binder Data'!$E$2:$E$6251,"Y"))</f>
        <v>0</v>
      </c>
      <c r="F32" s="80" t="str">
        <f>IF(B32="","",IF(C32=TRUE(),"Searched / no binder",IF(D32=0,"No cards assigned",IF(OR(D32&gt;=Binders!$D$3,E32&gt;=Binders!$E$3),"Pull","Skip: buy elsewhere"))))</f>
        <v>No cards assigned</v>
      </c>
      <c r="G32" s="80" t="str">
        <f t="shared" si="2"/>
        <v/>
      </c>
      <c r="H32" s="82">
        <v>4.0</v>
      </c>
      <c r="I32" s="80" t="str">
        <f t="array" ref="I32">IFERROR(INDEX($B$2:$B$401,MATCH(31,$J$2:$J$401,0)),"")</f>
        <v/>
      </c>
      <c r="J32" s="80" t="str">
        <f t="shared" si="3"/>
        <v/>
      </c>
      <c r="L32" s="2"/>
    </row>
    <row r="33" ht="15.75" customHeight="1">
      <c r="A33" s="80">
        <f t="shared" si="1"/>
        <v>32</v>
      </c>
      <c r="B33" s="81" t="s">
        <v>612</v>
      </c>
      <c r="C33" s="13" t="b">
        <v>0</v>
      </c>
      <c r="D33" s="80">
        <f>IF(B33="","",COUNTIFS('Binder Data'!$B$2:$B$6251,B33,'Binder Data'!$E$2:$E$6251,"Y"))</f>
        <v>0</v>
      </c>
      <c r="E33" s="17">
        <f>IF(B33="","",SUMIFS('Binder Data'!$F$2:$F$6251,'Binder Data'!$B$2:$B$6251,B33,'Binder Data'!$E$2:$E$6251,"Y"))</f>
        <v>0</v>
      </c>
      <c r="F33" s="80" t="str">
        <f>IF(B33="","",IF(C33=TRUE(),"Searched / no binder",IF(D33=0,"No cards assigned",IF(OR(D33&gt;=Binders!$D$3,E33&gt;=Binders!$E$3),"Pull","Skip: buy elsewhere"))))</f>
        <v>No cards assigned</v>
      </c>
      <c r="G33" s="80" t="str">
        <f t="shared" si="2"/>
        <v/>
      </c>
      <c r="H33" s="82">
        <v>4.0</v>
      </c>
      <c r="I33" s="80" t="str">
        <f t="array" ref="I33">IFERROR(INDEX($B$2:$B$401,MATCH(32,$J$2:$J$401,0)),"")</f>
        <v/>
      </c>
      <c r="J33" s="80" t="str">
        <f t="shared" si="3"/>
        <v/>
      </c>
      <c r="L33" s="2"/>
    </row>
    <row r="34" ht="15.75" customHeight="1">
      <c r="A34" s="80">
        <f t="shared" si="1"/>
        <v>33</v>
      </c>
      <c r="B34" s="81" t="s">
        <v>613</v>
      </c>
      <c r="C34" s="13" t="b">
        <v>0</v>
      </c>
      <c r="D34" s="80">
        <f>IF(B34="","",COUNTIFS('Binder Data'!$B$2:$B$6251,B34,'Binder Data'!$E$2:$E$6251,"Y"))</f>
        <v>0</v>
      </c>
      <c r="E34" s="17">
        <f>IF(B34="","",SUMIFS('Binder Data'!$F$2:$F$6251,'Binder Data'!$B$2:$B$6251,B34,'Binder Data'!$E$2:$E$6251,"Y"))</f>
        <v>0</v>
      </c>
      <c r="F34" s="80" t="str">
        <f>IF(B34="","",IF(C34=TRUE(),"Searched / no binder",IF(D34=0,"No cards assigned",IF(OR(D34&gt;=Binders!$D$3,E34&gt;=Binders!$E$3),"Pull","Skip: buy elsewhere"))))</f>
        <v>No cards assigned</v>
      </c>
      <c r="G34" s="80" t="str">
        <f t="shared" si="2"/>
        <v/>
      </c>
      <c r="H34" s="82">
        <v>4.0</v>
      </c>
      <c r="I34" s="80" t="str">
        <f t="array" ref="I34">IFERROR(INDEX($B$2:$B$401,MATCH(33,$J$2:$J$401,0)),"")</f>
        <v/>
      </c>
      <c r="J34" s="80" t="str">
        <f t="shared" si="3"/>
        <v/>
      </c>
      <c r="L34" s="2"/>
    </row>
    <row r="35" ht="15.75" customHeight="1">
      <c r="A35" s="80">
        <f t="shared" si="1"/>
        <v>34</v>
      </c>
      <c r="B35" s="81" t="s">
        <v>374</v>
      </c>
      <c r="C35" s="13" t="b">
        <v>0</v>
      </c>
      <c r="D35" s="80">
        <f>IF(B35="","",COUNTIFS('Binder Data'!$B$2:$B$6251,B35,'Binder Data'!$E$2:$E$6251,"Y"))</f>
        <v>3</v>
      </c>
      <c r="E35" s="17">
        <f>IF(B35="","",SUMIFS('Binder Data'!$F$2:$F$6251,'Binder Data'!$B$2:$B$6251,B35,'Binder Data'!$E$2:$E$6251,"Y"))</f>
        <v>1.02</v>
      </c>
      <c r="F35" s="80" t="str">
        <f>IF(B35="","",IF(C35=TRUE(),"Searched / no binder",IF(D35=0,"No cards assigned",IF(OR(D35&gt;=Binders!$D$3,E35&gt;=Binders!$E$3),"Pull","Skip: buy elsewhere"))))</f>
        <v>Pull</v>
      </c>
      <c r="G35" s="80">
        <f t="shared" si="2"/>
        <v>17</v>
      </c>
      <c r="H35" s="82">
        <v>4.0</v>
      </c>
      <c r="I35" s="80" t="str">
        <f t="array" ref="I35">IFERROR(INDEX($B$2:$B$401,MATCH(34,$J$2:$J$401,0)),"")</f>
        <v/>
      </c>
      <c r="J35" s="80" t="str">
        <f t="shared" si="3"/>
        <v/>
      </c>
      <c r="L35" s="2"/>
    </row>
    <row r="36" ht="15.75" customHeight="1">
      <c r="A36" s="80">
        <f t="shared" si="1"/>
        <v>35</v>
      </c>
      <c r="B36" s="81" t="s">
        <v>614</v>
      </c>
      <c r="C36" s="13" t="b">
        <v>0</v>
      </c>
      <c r="D36" s="80">
        <f>IF(B36="","",COUNTIFS('Binder Data'!$B$2:$B$6251,B36,'Binder Data'!$E$2:$E$6251,"Y"))</f>
        <v>0</v>
      </c>
      <c r="E36" s="17">
        <f>IF(B36="","",SUMIFS('Binder Data'!$F$2:$F$6251,'Binder Data'!$B$2:$B$6251,B36,'Binder Data'!$E$2:$E$6251,"Y"))</f>
        <v>0</v>
      </c>
      <c r="F36" s="80" t="str">
        <f>IF(B36="","",IF(C36=TRUE(),"Searched / no binder",IF(D36=0,"No cards assigned",IF(OR(D36&gt;=Binders!$D$3,E36&gt;=Binders!$E$3),"Pull","Skip: buy elsewhere"))))</f>
        <v>No cards assigned</v>
      </c>
      <c r="G36" s="80" t="str">
        <f t="shared" si="2"/>
        <v/>
      </c>
      <c r="H36" s="82">
        <v>3.0</v>
      </c>
      <c r="I36" s="80" t="str">
        <f t="array" ref="I36">IFERROR(INDEX($B$2:$B$401,MATCH(35,$J$2:$J$401,0)),"")</f>
        <v/>
      </c>
      <c r="J36" s="80" t="str">
        <f t="shared" si="3"/>
        <v/>
      </c>
      <c r="L36" s="2"/>
    </row>
    <row r="37" ht="15.75" customHeight="1">
      <c r="A37" s="80">
        <f t="shared" si="1"/>
        <v>36</v>
      </c>
      <c r="B37" s="81" t="s">
        <v>615</v>
      </c>
      <c r="C37" s="13" t="b">
        <v>0</v>
      </c>
      <c r="D37" s="80">
        <f>IF(B37="","",COUNTIFS('Binder Data'!$B$2:$B$6251,B37,'Binder Data'!$E$2:$E$6251,"Y"))</f>
        <v>0</v>
      </c>
      <c r="E37" s="17">
        <f>IF(B37="","",SUMIFS('Binder Data'!$F$2:$F$6251,'Binder Data'!$B$2:$B$6251,B37,'Binder Data'!$E$2:$E$6251,"Y"))</f>
        <v>0</v>
      </c>
      <c r="F37" s="80" t="str">
        <f>IF(B37="","",IF(C37=TRUE(),"Searched / no binder",IF(D37=0,"No cards assigned",IF(OR(D37&gt;=Binders!$D$3,E37&gt;=Binders!$E$3),"Pull","Skip: buy elsewhere"))))</f>
        <v>No cards assigned</v>
      </c>
      <c r="G37" s="80" t="str">
        <f t="shared" si="2"/>
        <v/>
      </c>
      <c r="H37" s="82">
        <v>3.0</v>
      </c>
      <c r="I37" s="80" t="str">
        <f t="array" ref="I37">IFERROR(INDEX($B$2:$B$401,MATCH(36,$J$2:$J$401,0)),"")</f>
        <v/>
      </c>
      <c r="J37" s="80" t="str">
        <f t="shared" si="3"/>
        <v/>
      </c>
      <c r="L37" s="2"/>
    </row>
    <row r="38" ht="15.75" customHeight="1">
      <c r="A38" s="80">
        <f t="shared" si="1"/>
        <v>37</v>
      </c>
      <c r="B38" s="81" t="s">
        <v>616</v>
      </c>
      <c r="C38" s="13" t="b">
        <v>0</v>
      </c>
      <c r="D38" s="80">
        <f>IF(B38="","",COUNTIFS('Binder Data'!$B$2:$B$6251,B38,'Binder Data'!$E$2:$E$6251,"Y"))</f>
        <v>0</v>
      </c>
      <c r="E38" s="17">
        <f>IF(B38="","",SUMIFS('Binder Data'!$F$2:$F$6251,'Binder Data'!$B$2:$B$6251,B38,'Binder Data'!$E$2:$E$6251,"Y"))</f>
        <v>0</v>
      </c>
      <c r="F38" s="80" t="str">
        <f>IF(B38="","",IF(C38=TRUE(),"Searched / no binder",IF(D38=0,"No cards assigned",IF(OR(D38&gt;=Binders!$D$3,E38&gt;=Binders!$E$3),"Pull","Skip: buy elsewhere"))))</f>
        <v>No cards assigned</v>
      </c>
      <c r="G38" s="80" t="str">
        <f t="shared" si="2"/>
        <v/>
      </c>
      <c r="H38" s="82">
        <v>3.0</v>
      </c>
      <c r="I38" s="80" t="str">
        <f t="array" ref="I38">IFERROR(INDEX($B$2:$B$401,MATCH(37,$J$2:$J$401,0)),"")</f>
        <v/>
      </c>
      <c r="J38" s="80" t="str">
        <f t="shared" si="3"/>
        <v/>
      </c>
      <c r="L38" s="2"/>
    </row>
    <row r="39" ht="15.75" customHeight="1">
      <c r="A39" s="80">
        <f t="shared" si="1"/>
        <v>38</v>
      </c>
      <c r="B39" s="81" t="s">
        <v>617</v>
      </c>
      <c r="C39" s="13" t="b">
        <v>0</v>
      </c>
      <c r="D39" s="80">
        <f>IF(B39="","",COUNTIFS('Binder Data'!$B$2:$B$6251,B39,'Binder Data'!$E$2:$E$6251,"Y"))</f>
        <v>0</v>
      </c>
      <c r="E39" s="17">
        <f>IF(B39="","",SUMIFS('Binder Data'!$F$2:$F$6251,'Binder Data'!$B$2:$B$6251,B39,'Binder Data'!$E$2:$E$6251,"Y"))</f>
        <v>0</v>
      </c>
      <c r="F39" s="80" t="str">
        <f>IF(B39="","",IF(C39=TRUE(),"Searched / no binder",IF(D39=0,"No cards assigned",IF(OR(D39&gt;=Binders!$D$3,E39&gt;=Binders!$E$3),"Pull","Skip: buy elsewhere"))))</f>
        <v>No cards assigned</v>
      </c>
      <c r="G39" s="80" t="str">
        <f t="shared" si="2"/>
        <v/>
      </c>
      <c r="H39" s="82">
        <v>3.0</v>
      </c>
      <c r="I39" s="80" t="str">
        <f t="array" ref="I39">IFERROR(INDEX($B$2:$B$401,MATCH(38,$J$2:$J$401,0)),"")</f>
        <v/>
      </c>
      <c r="J39" s="80" t="str">
        <f t="shared" si="3"/>
        <v/>
      </c>
      <c r="L39" s="2"/>
    </row>
    <row r="40" ht="15.75" customHeight="1">
      <c r="A40" s="80">
        <f t="shared" si="1"/>
        <v>39</v>
      </c>
      <c r="B40" s="81" t="s">
        <v>618</v>
      </c>
      <c r="C40" s="13" t="b">
        <v>0</v>
      </c>
      <c r="D40" s="80">
        <f>IF(B40="","",COUNTIFS('Binder Data'!$B$2:$B$6251,B40,'Binder Data'!$E$2:$E$6251,"Y"))</f>
        <v>0</v>
      </c>
      <c r="E40" s="17">
        <f>IF(B40="","",SUMIFS('Binder Data'!$F$2:$F$6251,'Binder Data'!$B$2:$B$6251,B40,'Binder Data'!$E$2:$E$6251,"Y"))</f>
        <v>0</v>
      </c>
      <c r="F40" s="80" t="str">
        <f>IF(B40="","",IF(C40=TRUE(),"Searched / no binder",IF(D40=0,"No cards assigned",IF(OR(D40&gt;=Binders!$D$3,E40&gt;=Binders!$E$3),"Pull","Skip: buy elsewhere"))))</f>
        <v>No cards assigned</v>
      </c>
      <c r="G40" s="80" t="str">
        <f t="shared" si="2"/>
        <v/>
      </c>
      <c r="H40" s="82">
        <v>3.0</v>
      </c>
      <c r="I40" s="80" t="str">
        <f t="array" ref="I40">IFERROR(INDEX($B$2:$B$401,MATCH(39,$J$2:$J$401,0)),"")</f>
        <v/>
      </c>
      <c r="J40" s="80" t="str">
        <f t="shared" si="3"/>
        <v/>
      </c>
      <c r="L40" s="2"/>
    </row>
    <row r="41" ht="15.75" customHeight="1">
      <c r="A41" s="80">
        <f t="shared" si="1"/>
        <v>40</v>
      </c>
      <c r="B41" s="81" t="s">
        <v>619</v>
      </c>
      <c r="C41" s="13" t="b">
        <v>0</v>
      </c>
      <c r="D41" s="80">
        <f>IF(B41="","",COUNTIFS('Binder Data'!$B$2:$B$6251,B41,'Binder Data'!$E$2:$E$6251,"Y"))</f>
        <v>0</v>
      </c>
      <c r="E41" s="17">
        <f>IF(B41="","",SUMIFS('Binder Data'!$F$2:$F$6251,'Binder Data'!$B$2:$B$6251,B41,'Binder Data'!$E$2:$E$6251,"Y"))</f>
        <v>0</v>
      </c>
      <c r="F41" s="80" t="str">
        <f>IF(B41="","",IF(C41=TRUE(),"Searched / no binder",IF(D41=0,"No cards assigned",IF(OR(D41&gt;=Binders!$D$3,E41&gt;=Binders!$E$3),"Pull","Skip: buy elsewhere"))))</f>
        <v>No cards assigned</v>
      </c>
      <c r="G41" s="80" t="str">
        <f t="shared" si="2"/>
        <v/>
      </c>
      <c r="H41" s="82">
        <v>3.0</v>
      </c>
      <c r="I41" s="80" t="str">
        <f t="array" ref="I41">IFERROR(INDEX($B$2:$B$401,MATCH(40,$J$2:$J$401,0)),"")</f>
        <v/>
      </c>
      <c r="J41" s="80" t="str">
        <f t="shared" si="3"/>
        <v/>
      </c>
      <c r="L41" s="2"/>
    </row>
    <row r="42" ht="15.75" customHeight="1">
      <c r="A42" s="80">
        <f t="shared" si="1"/>
        <v>41</v>
      </c>
      <c r="B42" s="81" t="s">
        <v>620</v>
      </c>
      <c r="C42" s="13" t="b">
        <v>0</v>
      </c>
      <c r="D42" s="80">
        <f>IF(B42="","",COUNTIFS('Binder Data'!$B$2:$B$6251,B42,'Binder Data'!$E$2:$E$6251,"Y"))</f>
        <v>0</v>
      </c>
      <c r="E42" s="17">
        <f>IF(B42="","",SUMIFS('Binder Data'!$F$2:$F$6251,'Binder Data'!$B$2:$B$6251,B42,'Binder Data'!$E$2:$E$6251,"Y"))</f>
        <v>0</v>
      </c>
      <c r="F42" s="80" t="str">
        <f>IF(B42="","",IF(C42=TRUE(),"Searched / no binder",IF(D42=0,"No cards assigned",IF(OR(D42&gt;=Binders!$D$3,E42&gt;=Binders!$E$3),"Pull","Skip: buy elsewhere"))))</f>
        <v>No cards assigned</v>
      </c>
      <c r="G42" s="80" t="str">
        <f t="shared" si="2"/>
        <v/>
      </c>
      <c r="H42" s="82">
        <v>3.0</v>
      </c>
      <c r="I42" s="80" t="str">
        <f t="array" ref="I42">IFERROR(INDEX($B$2:$B$401,MATCH(41,$J$2:$J$401,0)),"")</f>
        <v/>
      </c>
      <c r="J42" s="80" t="str">
        <f t="shared" si="3"/>
        <v/>
      </c>
      <c r="L42" s="2"/>
    </row>
    <row r="43" ht="15.75" customHeight="1">
      <c r="A43" s="80">
        <f t="shared" si="1"/>
        <v>42</v>
      </c>
      <c r="B43" s="81" t="s">
        <v>621</v>
      </c>
      <c r="C43" s="13" t="b">
        <v>0</v>
      </c>
      <c r="D43" s="80">
        <f>IF(B43="","",COUNTIFS('Binder Data'!$B$2:$B$6251,B43,'Binder Data'!$E$2:$E$6251,"Y"))</f>
        <v>0</v>
      </c>
      <c r="E43" s="17">
        <f>IF(B43="","",SUMIFS('Binder Data'!$F$2:$F$6251,'Binder Data'!$B$2:$B$6251,B43,'Binder Data'!$E$2:$E$6251,"Y"))</f>
        <v>0</v>
      </c>
      <c r="F43" s="80" t="str">
        <f>IF(B43="","",IF(C43=TRUE(),"Searched / no binder",IF(D43=0,"No cards assigned",IF(OR(D43&gt;=Binders!$D$3,E43&gt;=Binders!$E$3),"Pull","Skip: buy elsewhere"))))</f>
        <v>No cards assigned</v>
      </c>
      <c r="G43" s="80" t="str">
        <f t="shared" si="2"/>
        <v/>
      </c>
      <c r="H43" s="82">
        <v>3.0</v>
      </c>
      <c r="I43" s="80" t="str">
        <f t="array" ref="I43">IFERROR(INDEX($B$2:$B$401,MATCH(42,$J$2:$J$401,0)),"")</f>
        <v/>
      </c>
      <c r="J43" s="80" t="str">
        <f t="shared" si="3"/>
        <v/>
      </c>
      <c r="L43" s="2"/>
    </row>
    <row r="44" ht="15.75" customHeight="1">
      <c r="A44" s="80">
        <f t="shared" si="1"/>
        <v>43</v>
      </c>
      <c r="B44" s="81" t="s">
        <v>622</v>
      </c>
      <c r="C44" s="13" t="b">
        <v>0</v>
      </c>
      <c r="D44" s="80">
        <f>IF(B44="","",COUNTIFS('Binder Data'!$B$2:$B$6251,B44,'Binder Data'!$E$2:$E$6251,"Y"))</f>
        <v>0</v>
      </c>
      <c r="E44" s="17">
        <f>IF(B44="","",SUMIFS('Binder Data'!$F$2:$F$6251,'Binder Data'!$B$2:$B$6251,B44,'Binder Data'!$E$2:$E$6251,"Y"))</f>
        <v>0</v>
      </c>
      <c r="F44" s="80" t="str">
        <f>IF(B44="","",IF(C44=TRUE(),"Searched / no binder",IF(D44=0,"No cards assigned",IF(OR(D44&gt;=Binders!$D$3,E44&gt;=Binders!$E$3),"Pull","Skip: buy elsewhere"))))</f>
        <v>No cards assigned</v>
      </c>
      <c r="G44" s="80" t="str">
        <f t="shared" si="2"/>
        <v/>
      </c>
      <c r="H44" s="82">
        <v>3.0</v>
      </c>
      <c r="I44" s="80" t="str">
        <f t="array" ref="I44">IFERROR(INDEX($B$2:$B$401,MATCH(43,$J$2:$J$401,0)),"")</f>
        <v/>
      </c>
      <c r="J44" s="80" t="str">
        <f t="shared" si="3"/>
        <v/>
      </c>
      <c r="L44" s="2"/>
    </row>
    <row r="45" ht="15.75" customHeight="1">
      <c r="A45" s="80">
        <f t="shared" si="1"/>
        <v>44</v>
      </c>
      <c r="B45" s="81" t="s">
        <v>623</v>
      </c>
      <c r="C45" s="13" t="b">
        <v>0</v>
      </c>
      <c r="D45" s="80">
        <f>IF(B45="","",COUNTIFS('Binder Data'!$B$2:$B$6251,B45,'Binder Data'!$E$2:$E$6251,"Y"))</f>
        <v>0</v>
      </c>
      <c r="E45" s="17">
        <f>IF(B45="","",SUMIFS('Binder Data'!$F$2:$F$6251,'Binder Data'!$B$2:$B$6251,B45,'Binder Data'!$E$2:$E$6251,"Y"))</f>
        <v>0</v>
      </c>
      <c r="F45" s="80" t="str">
        <f>IF(B45="","",IF(C45=TRUE(),"Searched / no binder",IF(D45=0,"No cards assigned",IF(OR(D45&gt;=Binders!$D$3,E45&gt;=Binders!$E$3),"Pull","Skip: buy elsewhere"))))</f>
        <v>No cards assigned</v>
      </c>
      <c r="G45" s="80" t="str">
        <f t="shared" si="2"/>
        <v/>
      </c>
      <c r="H45" s="82">
        <v>3.0</v>
      </c>
      <c r="I45" s="80" t="str">
        <f t="array" ref="I45">IFERROR(INDEX($B$2:$B$401,MATCH(44,$J$2:$J$401,0)),"")</f>
        <v/>
      </c>
      <c r="J45" s="80" t="str">
        <f t="shared" si="3"/>
        <v/>
      </c>
      <c r="L45" s="2"/>
    </row>
    <row r="46" ht="15.75" customHeight="1">
      <c r="A46" s="80">
        <f t="shared" si="1"/>
        <v>45</v>
      </c>
      <c r="B46" s="81" t="s">
        <v>624</v>
      </c>
      <c r="C46" s="13" t="b">
        <v>0</v>
      </c>
      <c r="D46" s="80">
        <f>IF(B46="","",COUNTIFS('Binder Data'!$B$2:$B$6251,B46,'Binder Data'!$E$2:$E$6251,"Y"))</f>
        <v>0</v>
      </c>
      <c r="E46" s="17">
        <f>IF(B46="","",SUMIFS('Binder Data'!$F$2:$F$6251,'Binder Data'!$B$2:$B$6251,B46,'Binder Data'!$E$2:$E$6251,"Y"))</f>
        <v>0</v>
      </c>
      <c r="F46" s="80" t="str">
        <f>IF(B46="","",IF(C46=TRUE(),"Searched / no binder",IF(D46=0,"No cards assigned",IF(OR(D46&gt;=Binders!$D$3,E46&gt;=Binders!$E$3),"Pull","Skip: buy elsewhere"))))</f>
        <v>No cards assigned</v>
      </c>
      <c r="G46" s="80" t="str">
        <f t="shared" si="2"/>
        <v/>
      </c>
      <c r="H46" s="82">
        <v>3.0</v>
      </c>
      <c r="I46" s="80" t="str">
        <f t="array" ref="I46">IFERROR(INDEX($B$2:$B$401,MATCH(45,$J$2:$J$401,0)),"")</f>
        <v/>
      </c>
      <c r="J46" s="80" t="str">
        <f t="shared" si="3"/>
        <v/>
      </c>
      <c r="L46" s="2"/>
    </row>
    <row r="47" ht="15.75" customHeight="1">
      <c r="A47" s="80">
        <f t="shared" si="1"/>
        <v>46</v>
      </c>
      <c r="B47" s="81" t="s">
        <v>625</v>
      </c>
      <c r="C47" s="13" t="b">
        <v>0</v>
      </c>
      <c r="D47" s="80">
        <f>IF(B47="","",COUNTIFS('Binder Data'!$B$2:$B$6251,B47,'Binder Data'!$E$2:$E$6251,"Y"))</f>
        <v>0</v>
      </c>
      <c r="E47" s="17">
        <f>IF(B47="","",SUMIFS('Binder Data'!$F$2:$F$6251,'Binder Data'!$B$2:$B$6251,B47,'Binder Data'!$E$2:$E$6251,"Y"))</f>
        <v>0</v>
      </c>
      <c r="F47" s="80" t="str">
        <f>IF(B47="","",IF(C47=TRUE(),"Searched / no binder",IF(D47=0,"No cards assigned",IF(OR(D47&gt;=Binders!$D$3,E47&gt;=Binders!$E$3),"Pull","Skip: buy elsewhere"))))</f>
        <v>No cards assigned</v>
      </c>
      <c r="G47" s="80" t="str">
        <f t="shared" si="2"/>
        <v/>
      </c>
      <c r="H47" s="82">
        <v>3.0</v>
      </c>
      <c r="I47" s="80" t="str">
        <f t="array" ref="I47">IFERROR(INDEX($B$2:$B$401,MATCH(46,$J$2:$J$401,0)),"")</f>
        <v/>
      </c>
      <c r="J47" s="80" t="str">
        <f t="shared" si="3"/>
        <v/>
      </c>
      <c r="L47" s="2"/>
    </row>
    <row r="48" ht="15.75" customHeight="1">
      <c r="A48" s="80">
        <f t="shared" si="1"/>
        <v>47</v>
      </c>
      <c r="B48" s="81" t="s">
        <v>626</v>
      </c>
      <c r="C48" s="13" t="b">
        <v>0</v>
      </c>
      <c r="D48" s="80">
        <f>IF(B48="","",COUNTIFS('Binder Data'!$B$2:$B$6251,B48,'Binder Data'!$E$2:$E$6251,"Y"))</f>
        <v>0</v>
      </c>
      <c r="E48" s="17">
        <f>IF(B48="","",SUMIFS('Binder Data'!$F$2:$F$6251,'Binder Data'!$B$2:$B$6251,B48,'Binder Data'!$E$2:$E$6251,"Y"))</f>
        <v>0</v>
      </c>
      <c r="F48" s="80" t="str">
        <f>IF(B48="","",IF(C48=TRUE(),"Searched / no binder",IF(D48=0,"No cards assigned",IF(OR(D48&gt;=Binders!$D$3,E48&gt;=Binders!$E$3),"Pull","Skip: buy elsewhere"))))</f>
        <v>No cards assigned</v>
      </c>
      <c r="G48" s="80" t="str">
        <f t="shared" si="2"/>
        <v/>
      </c>
      <c r="H48" s="82">
        <v>2.0</v>
      </c>
      <c r="I48" s="80" t="str">
        <f t="array" ref="I48">IFERROR(INDEX($B$2:$B$401,MATCH(47,$J$2:$J$401,0)),"")</f>
        <v/>
      </c>
      <c r="J48" s="80" t="str">
        <f t="shared" si="3"/>
        <v/>
      </c>
      <c r="L48" s="2"/>
    </row>
    <row r="49" ht="15.75" customHeight="1">
      <c r="A49" s="80">
        <f t="shared" si="1"/>
        <v>48</v>
      </c>
      <c r="B49" s="81" t="s">
        <v>627</v>
      </c>
      <c r="C49" s="13" t="b">
        <v>0</v>
      </c>
      <c r="D49" s="80">
        <f>IF(B49="","",COUNTIFS('Binder Data'!$B$2:$B$6251,B49,'Binder Data'!$E$2:$E$6251,"Y"))</f>
        <v>0</v>
      </c>
      <c r="E49" s="17">
        <f>IF(B49="","",SUMIFS('Binder Data'!$F$2:$F$6251,'Binder Data'!$B$2:$B$6251,B49,'Binder Data'!$E$2:$E$6251,"Y"))</f>
        <v>0</v>
      </c>
      <c r="F49" s="80" t="str">
        <f>IF(B49="","",IF(C49=TRUE(),"Searched / no binder",IF(D49=0,"No cards assigned",IF(OR(D49&gt;=Binders!$D$3,E49&gt;=Binders!$E$3),"Pull","Skip: buy elsewhere"))))</f>
        <v>No cards assigned</v>
      </c>
      <c r="G49" s="80" t="str">
        <f t="shared" si="2"/>
        <v/>
      </c>
      <c r="H49" s="82">
        <v>2.0</v>
      </c>
      <c r="I49" s="80" t="str">
        <f t="array" ref="I49">IFERROR(INDEX($B$2:$B$401,MATCH(48,$J$2:$J$401,0)),"")</f>
        <v/>
      </c>
      <c r="J49" s="80" t="str">
        <f t="shared" si="3"/>
        <v/>
      </c>
      <c r="L49" s="2"/>
    </row>
    <row r="50" ht="15.75" customHeight="1">
      <c r="A50" s="80">
        <f t="shared" si="1"/>
        <v>49</v>
      </c>
      <c r="B50" s="81" t="s">
        <v>628</v>
      </c>
      <c r="C50" s="13" t="b">
        <v>0</v>
      </c>
      <c r="D50" s="80">
        <f>IF(B50="","",COUNTIFS('Binder Data'!$B$2:$B$6251,B50,'Binder Data'!$E$2:$E$6251,"Y"))</f>
        <v>0</v>
      </c>
      <c r="E50" s="17">
        <f>IF(B50="","",SUMIFS('Binder Data'!$F$2:$F$6251,'Binder Data'!$B$2:$B$6251,B50,'Binder Data'!$E$2:$E$6251,"Y"))</f>
        <v>0</v>
      </c>
      <c r="F50" s="80" t="str">
        <f>IF(B50="","",IF(C50=TRUE(),"Searched / no binder",IF(D50=0,"No cards assigned",IF(OR(D50&gt;=Binders!$D$3,E50&gt;=Binders!$E$3),"Pull","Skip: buy elsewhere"))))</f>
        <v>No cards assigned</v>
      </c>
      <c r="G50" s="80" t="str">
        <f t="shared" si="2"/>
        <v/>
      </c>
      <c r="H50" s="82">
        <v>2.0</v>
      </c>
      <c r="I50" s="80" t="str">
        <f t="array" ref="I50">IFERROR(INDEX($B$2:$B$401,MATCH(49,$J$2:$J$401,0)),"")</f>
        <v/>
      </c>
      <c r="J50" s="80" t="str">
        <f t="shared" si="3"/>
        <v/>
      </c>
      <c r="L50" s="2"/>
    </row>
    <row r="51" ht="15.75" customHeight="1">
      <c r="A51" s="80">
        <f t="shared" si="1"/>
        <v>50</v>
      </c>
      <c r="B51" s="81" t="s">
        <v>629</v>
      </c>
      <c r="C51" s="13" t="b">
        <v>0</v>
      </c>
      <c r="D51" s="80">
        <f>IF(B51="","",COUNTIFS('Binder Data'!$B$2:$B$6251,B51,'Binder Data'!$E$2:$E$6251,"Y"))</f>
        <v>0</v>
      </c>
      <c r="E51" s="17">
        <f>IF(B51="","",SUMIFS('Binder Data'!$F$2:$F$6251,'Binder Data'!$B$2:$B$6251,B51,'Binder Data'!$E$2:$E$6251,"Y"))</f>
        <v>0</v>
      </c>
      <c r="F51" s="80" t="str">
        <f>IF(B51="","",IF(C51=TRUE(),"Searched / no binder",IF(D51=0,"No cards assigned",IF(OR(D51&gt;=Binders!$D$3,E51&gt;=Binders!$E$3),"Pull","Skip: buy elsewhere"))))</f>
        <v>No cards assigned</v>
      </c>
      <c r="G51" s="80" t="str">
        <f t="shared" si="2"/>
        <v/>
      </c>
      <c r="H51" s="82">
        <v>2.0</v>
      </c>
      <c r="I51" s="80" t="str">
        <f t="array" ref="I51">IFERROR(INDEX($B$2:$B$401,MATCH(50,$J$2:$J$401,0)),"")</f>
        <v/>
      </c>
      <c r="J51" s="80" t="str">
        <f t="shared" si="3"/>
        <v/>
      </c>
      <c r="L51" s="2"/>
    </row>
    <row r="52" ht="15.75" customHeight="1">
      <c r="A52" s="80">
        <f t="shared" si="1"/>
        <v>51</v>
      </c>
      <c r="B52" s="81" t="s">
        <v>630</v>
      </c>
      <c r="C52" s="13" t="b">
        <v>0</v>
      </c>
      <c r="D52" s="80">
        <f>IF(B52="","",COUNTIFS('Binder Data'!$B$2:$B$6251,B52,'Binder Data'!$E$2:$E$6251,"Y"))</f>
        <v>0</v>
      </c>
      <c r="E52" s="17">
        <f>IF(B52="","",SUMIFS('Binder Data'!$F$2:$F$6251,'Binder Data'!$B$2:$B$6251,B52,'Binder Data'!$E$2:$E$6251,"Y"))</f>
        <v>0</v>
      </c>
      <c r="F52" s="80" t="str">
        <f>IF(B52="","",IF(C52=TRUE(),"Searched / no binder",IF(D52=0,"No cards assigned",IF(OR(D52&gt;=Binders!$D$3,E52&gt;=Binders!$E$3),"Pull","Skip: buy elsewhere"))))</f>
        <v>No cards assigned</v>
      </c>
      <c r="G52" s="80" t="str">
        <f t="shared" si="2"/>
        <v/>
      </c>
      <c r="H52" s="82">
        <v>2.0</v>
      </c>
      <c r="I52" s="80" t="str">
        <f t="array" ref="I52">IFERROR(INDEX($B$2:$B$401,MATCH(51,$J$2:$J$401,0)),"")</f>
        <v/>
      </c>
      <c r="J52" s="80" t="str">
        <f t="shared" si="3"/>
        <v/>
      </c>
      <c r="L52" s="2"/>
    </row>
    <row r="53" ht="15.75" customHeight="1">
      <c r="A53" s="80">
        <f t="shared" si="1"/>
        <v>52</v>
      </c>
      <c r="B53" s="81" t="s">
        <v>631</v>
      </c>
      <c r="C53" s="13" t="b">
        <v>0</v>
      </c>
      <c r="D53" s="80">
        <f>IF(B53="","",COUNTIFS('Binder Data'!$B$2:$B$6251,B53,'Binder Data'!$E$2:$E$6251,"Y"))</f>
        <v>0</v>
      </c>
      <c r="E53" s="17">
        <f>IF(B53="","",SUMIFS('Binder Data'!$F$2:$F$6251,'Binder Data'!$B$2:$B$6251,B53,'Binder Data'!$E$2:$E$6251,"Y"))</f>
        <v>0</v>
      </c>
      <c r="F53" s="80" t="str">
        <f>IF(B53="","",IF(C53=TRUE(),"Searched / no binder",IF(D53=0,"No cards assigned",IF(OR(D53&gt;=Binders!$D$3,E53&gt;=Binders!$E$3),"Pull","Skip: buy elsewhere"))))</f>
        <v>No cards assigned</v>
      </c>
      <c r="G53" s="80" t="str">
        <f t="shared" si="2"/>
        <v/>
      </c>
      <c r="H53" s="82">
        <v>2.0</v>
      </c>
      <c r="I53" s="80" t="str">
        <f t="array" ref="I53">IFERROR(INDEX($B$2:$B$401,MATCH(52,$J$2:$J$401,0)),"")</f>
        <v/>
      </c>
      <c r="J53" s="80" t="str">
        <f t="shared" si="3"/>
        <v/>
      </c>
      <c r="L53" s="2"/>
    </row>
    <row r="54" ht="15.75" customHeight="1">
      <c r="A54" s="80">
        <f t="shared" si="1"/>
        <v>53</v>
      </c>
      <c r="B54" s="81" t="s">
        <v>632</v>
      </c>
      <c r="C54" s="13" t="b">
        <v>0</v>
      </c>
      <c r="D54" s="80">
        <f>IF(B54="","",COUNTIFS('Binder Data'!$B$2:$B$6251,B54,'Binder Data'!$E$2:$E$6251,"Y"))</f>
        <v>0</v>
      </c>
      <c r="E54" s="17">
        <f>IF(B54="","",SUMIFS('Binder Data'!$F$2:$F$6251,'Binder Data'!$B$2:$B$6251,B54,'Binder Data'!$E$2:$E$6251,"Y"))</f>
        <v>0</v>
      </c>
      <c r="F54" s="80" t="str">
        <f>IF(B54="","",IF(C54=TRUE(),"Searched / no binder",IF(D54=0,"No cards assigned",IF(OR(D54&gt;=Binders!$D$3,E54&gt;=Binders!$E$3),"Pull","Skip: buy elsewhere"))))</f>
        <v>No cards assigned</v>
      </c>
      <c r="G54" s="80" t="str">
        <f t="shared" si="2"/>
        <v/>
      </c>
      <c r="H54" s="82">
        <v>2.0</v>
      </c>
      <c r="I54" s="80" t="str">
        <f t="array" ref="I54">IFERROR(INDEX($B$2:$B$401,MATCH(53,$J$2:$J$401,0)),"")</f>
        <v/>
      </c>
      <c r="J54" s="80" t="str">
        <f t="shared" si="3"/>
        <v/>
      </c>
      <c r="L54" s="2"/>
    </row>
    <row r="55" ht="15.75" customHeight="1">
      <c r="A55" s="80">
        <f t="shared" si="1"/>
        <v>54</v>
      </c>
      <c r="B55" s="81" t="s">
        <v>633</v>
      </c>
      <c r="C55" s="13" t="b">
        <v>0</v>
      </c>
      <c r="D55" s="80">
        <f>IF(B55="","",COUNTIFS('Binder Data'!$B$2:$B$6251,B55,'Binder Data'!$E$2:$E$6251,"Y"))</f>
        <v>1</v>
      </c>
      <c r="E55" s="17">
        <f>IF(B55="","",SUMIFS('Binder Data'!$F$2:$F$6251,'Binder Data'!$B$2:$B$6251,B55,'Binder Data'!$E$2:$E$6251,"Y"))</f>
        <v>5.99</v>
      </c>
      <c r="F55" s="80" t="str">
        <f>IF(B55="","",IF(C55=TRUE(),"Searched / no binder",IF(D55=0,"No cards assigned",IF(OR(D55&gt;=Binders!$D$3,E55&gt;=Binders!$E$3),"Pull","Skip: buy elsewhere"))))</f>
        <v>Pull</v>
      </c>
      <c r="G55" s="80">
        <f t="shared" si="2"/>
        <v>18</v>
      </c>
      <c r="H55" s="82">
        <v>2.0</v>
      </c>
      <c r="I55" s="80" t="str">
        <f t="array" ref="I55">IFERROR(INDEX($B$2:$B$401,MATCH(54,$J$2:$J$401,0)),"")</f>
        <v/>
      </c>
      <c r="J55" s="80" t="str">
        <f t="shared" si="3"/>
        <v/>
      </c>
      <c r="L55" s="2"/>
    </row>
    <row r="56" ht="15.75" customHeight="1">
      <c r="A56" s="80">
        <f t="shared" si="1"/>
        <v>55</v>
      </c>
      <c r="B56" s="81" t="s">
        <v>634</v>
      </c>
      <c r="C56" s="13" t="b">
        <v>0</v>
      </c>
      <c r="D56" s="80">
        <f>IF(B56="","",COUNTIFS('Binder Data'!$B$2:$B$6251,B56,'Binder Data'!$E$2:$E$6251,"Y"))</f>
        <v>0</v>
      </c>
      <c r="E56" s="17">
        <f>IF(B56="","",SUMIFS('Binder Data'!$F$2:$F$6251,'Binder Data'!$B$2:$B$6251,B56,'Binder Data'!$E$2:$E$6251,"Y"))</f>
        <v>0</v>
      </c>
      <c r="F56" s="80" t="str">
        <f>IF(B56="","",IF(C56=TRUE(),"Searched / no binder",IF(D56=0,"No cards assigned",IF(OR(D56&gt;=Binders!$D$3,E56&gt;=Binders!$E$3),"Pull","Skip: buy elsewhere"))))</f>
        <v>No cards assigned</v>
      </c>
      <c r="G56" s="80" t="str">
        <f t="shared" si="2"/>
        <v/>
      </c>
      <c r="H56" s="82">
        <v>2.0</v>
      </c>
      <c r="I56" s="80" t="str">
        <f t="array" ref="I56">IFERROR(INDEX($B$2:$B$401,MATCH(55,$J$2:$J$401,0)),"")</f>
        <v/>
      </c>
      <c r="J56" s="80" t="str">
        <f t="shared" si="3"/>
        <v/>
      </c>
      <c r="L56" s="2"/>
    </row>
    <row r="57" ht="15.75" customHeight="1">
      <c r="A57" s="80">
        <f t="shared" si="1"/>
        <v>56</v>
      </c>
      <c r="B57" s="81" t="s">
        <v>635</v>
      </c>
      <c r="C57" s="13" t="b">
        <v>0</v>
      </c>
      <c r="D57" s="80">
        <f>IF(B57="","",COUNTIFS('Binder Data'!$B$2:$B$6251,B57,'Binder Data'!$E$2:$E$6251,"Y"))</f>
        <v>0</v>
      </c>
      <c r="E57" s="17">
        <f>IF(B57="","",SUMIFS('Binder Data'!$F$2:$F$6251,'Binder Data'!$B$2:$B$6251,B57,'Binder Data'!$E$2:$E$6251,"Y"))</f>
        <v>0</v>
      </c>
      <c r="F57" s="80" t="str">
        <f>IF(B57="","",IF(C57=TRUE(),"Searched / no binder",IF(D57=0,"No cards assigned",IF(OR(D57&gt;=Binders!$D$3,E57&gt;=Binders!$E$3),"Pull","Skip: buy elsewhere"))))</f>
        <v>No cards assigned</v>
      </c>
      <c r="G57" s="80" t="str">
        <f t="shared" si="2"/>
        <v/>
      </c>
      <c r="H57" s="82">
        <v>2.0</v>
      </c>
      <c r="I57" s="80" t="str">
        <f t="array" ref="I57">IFERROR(INDEX($B$2:$B$401,MATCH(56,$J$2:$J$401,0)),"")</f>
        <v/>
      </c>
      <c r="J57" s="80" t="str">
        <f t="shared" si="3"/>
        <v/>
      </c>
      <c r="L57" s="2"/>
    </row>
    <row r="58" ht="15.75" customHeight="1">
      <c r="A58" s="80">
        <f t="shared" si="1"/>
        <v>57</v>
      </c>
      <c r="B58" s="81" t="s">
        <v>636</v>
      </c>
      <c r="C58" s="13" t="b">
        <v>0</v>
      </c>
      <c r="D58" s="80">
        <f>IF(B58="","",COUNTIFS('Binder Data'!$B$2:$B$6251,B58,'Binder Data'!$E$2:$E$6251,"Y"))</f>
        <v>0</v>
      </c>
      <c r="E58" s="17">
        <f>IF(B58="","",SUMIFS('Binder Data'!$F$2:$F$6251,'Binder Data'!$B$2:$B$6251,B58,'Binder Data'!$E$2:$E$6251,"Y"))</f>
        <v>0</v>
      </c>
      <c r="F58" s="80" t="str">
        <f>IF(B58="","",IF(C58=TRUE(),"Searched / no binder",IF(D58=0,"No cards assigned",IF(OR(D58&gt;=Binders!$D$3,E58&gt;=Binders!$E$3),"Pull","Skip: buy elsewhere"))))</f>
        <v>No cards assigned</v>
      </c>
      <c r="G58" s="80" t="str">
        <f t="shared" si="2"/>
        <v/>
      </c>
      <c r="H58" s="82">
        <v>2.0</v>
      </c>
      <c r="I58" s="80" t="str">
        <f t="array" ref="I58">IFERROR(INDEX($B$2:$B$401,MATCH(57,$J$2:$J$401,0)),"")</f>
        <v/>
      </c>
      <c r="J58" s="80" t="str">
        <f t="shared" si="3"/>
        <v/>
      </c>
      <c r="L58" s="2"/>
    </row>
    <row r="59" ht="15.75" customHeight="1">
      <c r="A59" s="80">
        <f t="shared" si="1"/>
        <v>58</v>
      </c>
      <c r="B59" s="81" t="s">
        <v>637</v>
      </c>
      <c r="C59" s="13" t="b">
        <v>0</v>
      </c>
      <c r="D59" s="80">
        <f>IF(B59="","",COUNTIFS('Binder Data'!$B$2:$B$6251,B59,'Binder Data'!$E$2:$E$6251,"Y"))</f>
        <v>0</v>
      </c>
      <c r="E59" s="17">
        <f>IF(B59="","",SUMIFS('Binder Data'!$F$2:$F$6251,'Binder Data'!$B$2:$B$6251,B59,'Binder Data'!$E$2:$E$6251,"Y"))</f>
        <v>0</v>
      </c>
      <c r="F59" s="80" t="str">
        <f>IF(B59="","",IF(C59=TRUE(),"Searched / no binder",IF(D59=0,"No cards assigned",IF(OR(D59&gt;=Binders!$D$3,E59&gt;=Binders!$E$3),"Pull","Skip: buy elsewhere"))))</f>
        <v>No cards assigned</v>
      </c>
      <c r="G59" s="80" t="str">
        <f t="shared" si="2"/>
        <v/>
      </c>
      <c r="H59" s="82">
        <v>2.0</v>
      </c>
      <c r="I59" s="80" t="str">
        <f t="array" ref="I59">IFERROR(INDEX($B$2:$B$401,MATCH(58,$J$2:$J$401,0)),"")</f>
        <v/>
      </c>
      <c r="J59" s="80" t="str">
        <f t="shared" si="3"/>
        <v/>
      </c>
      <c r="L59" s="2"/>
    </row>
    <row r="60" ht="15.75" customHeight="1">
      <c r="A60" s="80">
        <f t="shared" si="1"/>
        <v>59</v>
      </c>
      <c r="B60" s="81" t="s">
        <v>638</v>
      </c>
      <c r="C60" s="13" t="b">
        <v>0</v>
      </c>
      <c r="D60" s="80">
        <f>IF(B60="","",COUNTIFS('Binder Data'!$B$2:$B$6251,B60,'Binder Data'!$E$2:$E$6251,"Y"))</f>
        <v>0</v>
      </c>
      <c r="E60" s="17">
        <f>IF(B60="","",SUMIFS('Binder Data'!$F$2:$F$6251,'Binder Data'!$B$2:$B$6251,B60,'Binder Data'!$E$2:$E$6251,"Y"))</f>
        <v>0</v>
      </c>
      <c r="F60" s="80" t="str">
        <f>IF(B60="","",IF(C60=TRUE(),"Searched / no binder",IF(D60=0,"No cards assigned",IF(OR(D60&gt;=Binders!$D$3,E60&gt;=Binders!$E$3),"Pull","Skip: buy elsewhere"))))</f>
        <v>No cards assigned</v>
      </c>
      <c r="G60" s="80" t="str">
        <f t="shared" si="2"/>
        <v/>
      </c>
      <c r="H60" s="82">
        <v>2.0</v>
      </c>
      <c r="I60" s="80" t="str">
        <f t="array" ref="I60">IFERROR(INDEX($B$2:$B$401,MATCH(59,$J$2:$J$401,0)),"")</f>
        <v/>
      </c>
      <c r="J60" s="80" t="str">
        <f t="shared" si="3"/>
        <v/>
      </c>
      <c r="L60" s="2"/>
    </row>
    <row r="61" ht="15.75" customHeight="1">
      <c r="A61" s="80">
        <f t="shared" si="1"/>
        <v>60</v>
      </c>
      <c r="B61" s="81" t="s">
        <v>639</v>
      </c>
      <c r="C61" s="13" t="b">
        <v>0</v>
      </c>
      <c r="D61" s="80">
        <f>IF(B61="","",COUNTIFS('Binder Data'!$B$2:$B$6251,B61,'Binder Data'!$E$2:$E$6251,"Y"))</f>
        <v>2</v>
      </c>
      <c r="E61" s="17">
        <f>IF(B61="","",SUMIFS('Binder Data'!$F$2:$F$6251,'Binder Data'!$B$2:$B$6251,B61,'Binder Data'!$E$2:$E$6251,"Y"))</f>
        <v>1.03</v>
      </c>
      <c r="F61" s="80" t="str">
        <f>IF(B61="","",IF(C61=TRUE(),"Searched / no binder",IF(D61=0,"No cards assigned",IF(OR(D61&gt;=Binders!$D$3,E61&gt;=Binders!$E$3),"Pull","Skip: buy elsewhere"))))</f>
        <v>Pull</v>
      </c>
      <c r="G61" s="80">
        <f t="shared" si="2"/>
        <v>19</v>
      </c>
      <c r="H61" s="82">
        <v>2.0</v>
      </c>
      <c r="I61" s="80" t="str">
        <f t="array" ref="I61">IFERROR(INDEX($B$2:$B$401,MATCH(60,$J$2:$J$401,0)),"")</f>
        <v/>
      </c>
      <c r="J61" s="80" t="str">
        <f t="shared" si="3"/>
        <v/>
      </c>
      <c r="L61" s="2"/>
    </row>
    <row r="62" ht="15.75" customHeight="1">
      <c r="A62" s="80">
        <f t="shared" si="1"/>
        <v>61</v>
      </c>
      <c r="B62" s="81" t="s">
        <v>640</v>
      </c>
      <c r="C62" s="13" t="b">
        <v>0</v>
      </c>
      <c r="D62" s="80">
        <f>IF(B62="","",COUNTIFS('Binder Data'!$B$2:$B$6251,B62,'Binder Data'!$E$2:$E$6251,"Y"))</f>
        <v>0</v>
      </c>
      <c r="E62" s="17">
        <f>IF(B62="","",SUMIFS('Binder Data'!$F$2:$F$6251,'Binder Data'!$B$2:$B$6251,B62,'Binder Data'!$E$2:$E$6251,"Y"))</f>
        <v>0</v>
      </c>
      <c r="F62" s="80" t="str">
        <f>IF(B62="","",IF(C62=TRUE(),"Searched / no binder",IF(D62=0,"No cards assigned",IF(OR(D62&gt;=Binders!$D$3,E62&gt;=Binders!$E$3),"Pull","Skip: buy elsewhere"))))</f>
        <v>No cards assigned</v>
      </c>
      <c r="G62" s="80" t="str">
        <f t="shared" si="2"/>
        <v/>
      </c>
      <c r="H62" s="82">
        <v>2.0</v>
      </c>
      <c r="I62" s="80" t="str">
        <f t="array" ref="I62">IFERROR(INDEX($B$2:$B$401,MATCH(61,$J$2:$J$401,0)),"")</f>
        <v/>
      </c>
      <c r="J62" s="80" t="str">
        <f t="shared" si="3"/>
        <v/>
      </c>
      <c r="L62" s="2"/>
    </row>
    <row r="63" ht="15.75" customHeight="1">
      <c r="A63" s="80">
        <f t="shared" si="1"/>
        <v>62</v>
      </c>
      <c r="B63" s="81" t="s">
        <v>641</v>
      </c>
      <c r="C63" s="13" t="b">
        <v>0</v>
      </c>
      <c r="D63" s="80">
        <f>IF(B63="","",COUNTIFS('Binder Data'!$B$2:$B$6251,B63,'Binder Data'!$E$2:$E$6251,"Y"))</f>
        <v>0</v>
      </c>
      <c r="E63" s="17">
        <f>IF(B63="","",SUMIFS('Binder Data'!$F$2:$F$6251,'Binder Data'!$B$2:$B$6251,B63,'Binder Data'!$E$2:$E$6251,"Y"))</f>
        <v>0</v>
      </c>
      <c r="F63" s="80" t="str">
        <f>IF(B63="","",IF(C63=TRUE(),"Searched / no binder",IF(D63=0,"No cards assigned",IF(OR(D63&gt;=Binders!$D$3,E63&gt;=Binders!$E$3),"Pull","Skip: buy elsewhere"))))</f>
        <v>No cards assigned</v>
      </c>
      <c r="G63" s="80" t="str">
        <f t="shared" si="2"/>
        <v/>
      </c>
      <c r="H63" s="82">
        <v>2.0</v>
      </c>
      <c r="I63" s="80" t="str">
        <f t="array" ref="I63">IFERROR(INDEX($B$2:$B$401,MATCH(62,$J$2:$J$401,0)),"")</f>
        <v/>
      </c>
      <c r="J63" s="80" t="str">
        <f t="shared" si="3"/>
        <v/>
      </c>
      <c r="L63" s="2"/>
    </row>
    <row r="64" ht="15.75" customHeight="1">
      <c r="A64" s="80">
        <f t="shared" si="1"/>
        <v>63</v>
      </c>
      <c r="B64" s="81" t="s">
        <v>642</v>
      </c>
      <c r="C64" s="13" t="b">
        <v>0</v>
      </c>
      <c r="D64" s="80">
        <f>IF(B64="","",COUNTIFS('Binder Data'!$B$2:$B$6251,B64,'Binder Data'!$E$2:$E$6251,"Y"))</f>
        <v>0</v>
      </c>
      <c r="E64" s="17">
        <f>IF(B64="","",SUMIFS('Binder Data'!$F$2:$F$6251,'Binder Data'!$B$2:$B$6251,B64,'Binder Data'!$E$2:$E$6251,"Y"))</f>
        <v>0</v>
      </c>
      <c r="F64" s="80" t="str">
        <f>IF(B64="","",IF(C64=TRUE(),"Searched / no binder",IF(D64=0,"No cards assigned",IF(OR(D64&gt;=Binders!$D$3,E64&gt;=Binders!$E$3),"Pull","Skip: buy elsewhere"))))</f>
        <v>No cards assigned</v>
      </c>
      <c r="G64" s="80" t="str">
        <f t="shared" si="2"/>
        <v/>
      </c>
      <c r="H64" s="82">
        <v>2.0</v>
      </c>
      <c r="I64" s="80" t="str">
        <f t="array" ref="I64">IFERROR(INDEX($B$2:$B$401,MATCH(63,$J$2:$J$401,0)),"")</f>
        <v/>
      </c>
      <c r="J64" s="80" t="str">
        <f t="shared" si="3"/>
        <v/>
      </c>
      <c r="L64" s="2"/>
    </row>
    <row r="65" ht="15.75" customHeight="1">
      <c r="A65" s="80">
        <f t="shared" si="1"/>
        <v>64</v>
      </c>
      <c r="B65" s="81" t="s">
        <v>643</v>
      </c>
      <c r="C65" s="13" t="b">
        <v>0</v>
      </c>
      <c r="D65" s="80">
        <f>IF(B65="","",COUNTIFS('Binder Data'!$B$2:$B$6251,B65,'Binder Data'!$E$2:$E$6251,"Y"))</f>
        <v>0</v>
      </c>
      <c r="E65" s="17">
        <f>IF(B65="","",SUMIFS('Binder Data'!$F$2:$F$6251,'Binder Data'!$B$2:$B$6251,B65,'Binder Data'!$E$2:$E$6251,"Y"))</f>
        <v>0</v>
      </c>
      <c r="F65" s="80" t="str">
        <f>IF(B65="","",IF(C65=TRUE(),"Searched / no binder",IF(D65=0,"No cards assigned",IF(OR(D65&gt;=Binders!$D$3,E65&gt;=Binders!$E$3),"Pull","Skip: buy elsewhere"))))</f>
        <v>No cards assigned</v>
      </c>
      <c r="G65" s="80" t="str">
        <f t="shared" si="2"/>
        <v/>
      </c>
      <c r="H65" s="82">
        <v>2.0</v>
      </c>
      <c r="I65" s="80" t="str">
        <f t="array" ref="I65">IFERROR(INDEX($B$2:$B$401,MATCH(64,$J$2:$J$401,0)),"")</f>
        <v/>
      </c>
      <c r="J65" s="80" t="str">
        <f t="shared" si="3"/>
        <v/>
      </c>
      <c r="L65" s="2"/>
    </row>
    <row r="66" ht="15.75" customHeight="1">
      <c r="A66" s="80">
        <f t="shared" si="1"/>
        <v>65</v>
      </c>
      <c r="B66" s="81" t="s">
        <v>644</v>
      </c>
      <c r="C66" s="13" t="b">
        <v>0</v>
      </c>
      <c r="D66" s="80">
        <f>IF(B66="","",COUNTIFS('Binder Data'!$B$2:$B$6251,B66,'Binder Data'!$E$2:$E$6251,"Y"))</f>
        <v>1</v>
      </c>
      <c r="E66" s="17">
        <f>IF(B66="","",SUMIFS('Binder Data'!$F$2:$F$6251,'Binder Data'!$B$2:$B$6251,B66,'Binder Data'!$E$2:$E$6251,"Y"))</f>
        <v>0.36</v>
      </c>
      <c r="F66" s="80" t="str">
        <f>IF(B66="","",IF(C66=TRUE(),"Searched / no binder",IF(D66=0,"No cards assigned",IF(OR(D66&gt;=Binders!$D$3,E66&gt;=Binders!$E$3),"Pull","Skip: buy elsewhere"))))</f>
        <v>Skip: buy elsewhere</v>
      </c>
      <c r="G66" s="80">
        <f t="shared" si="2"/>
        <v>20</v>
      </c>
      <c r="H66" s="82">
        <v>2.0</v>
      </c>
      <c r="I66" s="80" t="str">
        <f t="array" ref="I66">IFERROR(INDEX($B$2:$B$401,MATCH(65,$J$2:$J$401,0)),"")</f>
        <v/>
      </c>
      <c r="J66" s="80" t="str">
        <f t="shared" si="3"/>
        <v/>
      </c>
      <c r="L66" s="2"/>
    </row>
    <row r="67" ht="15.75" customHeight="1">
      <c r="A67" s="80">
        <f t="shared" si="1"/>
        <v>66</v>
      </c>
      <c r="B67" s="81" t="s">
        <v>645</v>
      </c>
      <c r="C67" s="13" t="b">
        <v>0</v>
      </c>
      <c r="D67" s="80">
        <f>IF(B67="","",COUNTIFS('Binder Data'!$B$2:$B$6251,B67,'Binder Data'!$E$2:$E$6251,"Y"))</f>
        <v>1</v>
      </c>
      <c r="E67" s="17">
        <f>IF(B67="","",SUMIFS('Binder Data'!$F$2:$F$6251,'Binder Data'!$B$2:$B$6251,B67,'Binder Data'!$E$2:$E$6251,"Y"))</f>
        <v>9.83</v>
      </c>
      <c r="F67" s="80" t="str">
        <f>IF(B67="","",IF(C67=TRUE(),"Searched / no binder",IF(D67=0,"No cards assigned",IF(OR(D67&gt;=Binders!$D$3,E67&gt;=Binders!$E$3),"Pull","Skip: buy elsewhere"))))</f>
        <v>Pull</v>
      </c>
      <c r="G67" s="80">
        <f t="shared" si="2"/>
        <v>21</v>
      </c>
      <c r="H67" s="82">
        <v>2.0</v>
      </c>
      <c r="I67" s="80" t="str">
        <f t="array" ref="I67">IFERROR(INDEX($B$2:$B$401,MATCH(66,$J$2:$J$401,0)),"")</f>
        <v/>
      </c>
      <c r="J67" s="80" t="str">
        <f t="shared" si="3"/>
        <v/>
      </c>
      <c r="L67" s="2"/>
    </row>
    <row r="68" ht="15.75" customHeight="1">
      <c r="A68" s="80">
        <f t="shared" si="1"/>
        <v>67</v>
      </c>
      <c r="B68" s="81" t="s">
        <v>646</v>
      </c>
      <c r="C68" s="13" t="b">
        <v>0</v>
      </c>
      <c r="D68" s="80">
        <f>IF(B68="","",COUNTIFS('Binder Data'!$B$2:$B$6251,B68,'Binder Data'!$E$2:$E$6251,"Y"))</f>
        <v>0</v>
      </c>
      <c r="E68" s="17">
        <f>IF(B68="","",SUMIFS('Binder Data'!$F$2:$F$6251,'Binder Data'!$B$2:$B$6251,B68,'Binder Data'!$E$2:$E$6251,"Y"))</f>
        <v>0</v>
      </c>
      <c r="F68" s="80" t="str">
        <f>IF(B68="","",IF(C68=TRUE(),"Searched / no binder",IF(D68=0,"No cards assigned",IF(OR(D68&gt;=Binders!$D$3,E68&gt;=Binders!$E$3),"Pull","Skip: buy elsewhere"))))</f>
        <v>No cards assigned</v>
      </c>
      <c r="G68" s="80" t="str">
        <f t="shared" si="2"/>
        <v/>
      </c>
      <c r="H68" s="82">
        <v>2.0</v>
      </c>
      <c r="I68" s="80" t="str">
        <f t="array" ref="I68">IFERROR(INDEX($B$2:$B$401,MATCH(67,$J$2:$J$401,0)),"")</f>
        <v/>
      </c>
      <c r="J68" s="80" t="str">
        <f t="shared" si="3"/>
        <v/>
      </c>
      <c r="L68" s="2"/>
    </row>
    <row r="69" ht="15.75" customHeight="1">
      <c r="A69" s="80">
        <f t="shared" si="1"/>
        <v>68</v>
      </c>
      <c r="B69" s="81" t="s">
        <v>566</v>
      </c>
      <c r="C69" s="13" t="b">
        <v>0</v>
      </c>
      <c r="D69" s="80">
        <f>IF(B69="","",COUNTIFS('Binder Data'!$B$2:$B$6251,B69,'Binder Data'!$E$2:$E$6251,"Y"))</f>
        <v>1</v>
      </c>
      <c r="E69" s="17">
        <f>IF(B69="","",SUMIFS('Binder Data'!$F$2:$F$6251,'Binder Data'!$B$2:$B$6251,B69,'Binder Data'!$E$2:$E$6251,"Y"))</f>
        <v>0.93</v>
      </c>
      <c r="F69" s="80" t="str">
        <f>IF(B69="","",IF(C69=TRUE(),"Searched / no binder",IF(D69=0,"No cards assigned",IF(OR(D69&gt;=Binders!$D$3,E69&gt;=Binders!$E$3),"Pull","Skip: buy elsewhere"))))</f>
        <v>Skip: buy elsewhere</v>
      </c>
      <c r="G69" s="80">
        <f t="shared" si="2"/>
        <v>22</v>
      </c>
      <c r="H69" s="82">
        <v>2.0</v>
      </c>
      <c r="I69" s="80" t="str">
        <f t="array" ref="I69">IFERROR(INDEX($B$2:$B$401,MATCH(68,$J$2:$J$401,0)),"")</f>
        <v/>
      </c>
      <c r="J69" s="80" t="str">
        <f t="shared" si="3"/>
        <v/>
      </c>
      <c r="L69" s="2"/>
    </row>
    <row r="70" ht="15.75" customHeight="1">
      <c r="A70" s="80">
        <f t="shared" si="1"/>
        <v>69</v>
      </c>
      <c r="B70" s="81" t="s">
        <v>647</v>
      </c>
      <c r="C70" s="13" t="b">
        <v>0</v>
      </c>
      <c r="D70" s="80">
        <f>IF(B70="","",COUNTIFS('Binder Data'!$B$2:$B$6251,B70,'Binder Data'!$E$2:$E$6251,"Y"))</f>
        <v>0</v>
      </c>
      <c r="E70" s="17">
        <f>IF(B70="","",SUMIFS('Binder Data'!$F$2:$F$6251,'Binder Data'!$B$2:$B$6251,B70,'Binder Data'!$E$2:$E$6251,"Y"))</f>
        <v>0</v>
      </c>
      <c r="F70" s="80" t="str">
        <f>IF(B70="","",IF(C70=TRUE(),"Searched / no binder",IF(D70=0,"No cards assigned",IF(OR(D70&gt;=Binders!$D$3,E70&gt;=Binders!$E$3),"Pull","Skip: buy elsewhere"))))</f>
        <v>No cards assigned</v>
      </c>
      <c r="G70" s="80" t="str">
        <f t="shared" si="2"/>
        <v/>
      </c>
      <c r="H70" s="82">
        <v>2.0</v>
      </c>
      <c r="I70" s="80" t="str">
        <f t="array" ref="I70">IFERROR(INDEX($B$2:$B$401,MATCH(69,$J$2:$J$401,0)),"")</f>
        <v/>
      </c>
      <c r="J70" s="80" t="str">
        <f t="shared" si="3"/>
        <v/>
      </c>
      <c r="L70" s="2"/>
    </row>
    <row r="71" ht="15.75" customHeight="1">
      <c r="A71" s="80">
        <f t="shared" si="1"/>
        <v>70</v>
      </c>
      <c r="B71" s="81" t="s">
        <v>648</v>
      </c>
      <c r="C71" s="13" t="b">
        <v>0</v>
      </c>
      <c r="D71" s="80">
        <f>IF(B71="","",COUNTIFS('Binder Data'!$B$2:$B$6251,B71,'Binder Data'!$E$2:$E$6251,"Y"))</f>
        <v>1</v>
      </c>
      <c r="E71" s="17">
        <f>IF(B71="","",SUMIFS('Binder Data'!$F$2:$F$6251,'Binder Data'!$B$2:$B$6251,B71,'Binder Data'!$E$2:$E$6251,"Y"))</f>
        <v>14.99</v>
      </c>
      <c r="F71" s="80" t="str">
        <f>IF(B71="","",IF(C71=TRUE(),"Searched / no binder",IF(D71=0,"No cards assigned",IF(OR(D71&gt;=Binders!$D$3,E71&gt;=Binders!$E$3),"Pull","Skip: buy elsewhere"))))</f>
        <v>Pull</v>
      </c>
      <c r="G71" s="80">
        <f t="shared" si="2"/>
        <v>23</v>
      </c>
      <c r="H71" s="82">
        <v>2.0</v>
      </c>
      <c r="I71" s="80" t="str">
        <f t="array" ref="I71">IFERROR(INDEX($B$2:$B$401,MATCH(70,$J$2:$J$401,0)),"")</f>
        <v/>
      </c>
      <c r="J71" s="80" t="str">
        <f t="shared" si="3"/>
        <v/>
      </c>
      <c r="L71" s="2"/>
    </row>
    <row r="72" ht="15.75" customHeight="1">
      <c r="A72" s="80">
        <f t="shared" si="1"/>
        <v>71</v>
      </c>
      <c r="B72" s="81" t="s">
        <v>649</v>
      </c>
      <c r="C72" s="13" t="b">
        <v>0</v>
      </c>
      <c r="D72" s="80">
        <f>IF(B72="","",COUNTIFS('Binder Data'!$B$2:$B$6251,B72,'Binder Data'!$E$2:$E$6251,"Y"))</f>
        <v>0</v>
      </c>
      <c r="E72" s="17">
        <f>IF(B72="","",SUMIFS('Binder Data'!$F$2:$F$6251,'Binder Data'!$B$2:$B$6251,B72,'Binder Data'!$E$2:$E$6251,"Y"))</f>
        <v>0</v>
      </c>
      <c r="F72" s="80" t="str">
        <f>IF(B72="","",IF(C72=TRUE(),"Searched / no binder",IF(D72=0,"No cards assigned",IF(OR(D72&gt;=Binders!$D$3,E72&gt;=Binders!$E$3),"Pull","Skip: buy elsewhere"))))</f>
        <v>No cards assigned</v>
      </c>
      <c r="G72" s="80" t="str">
        <f t="shared" si="2"/>
        <v/>
      </c>
      <c r="H72" s="82">
        <v>2.0</v>
      </c>
      <c r="I72" s="80" t="str">
        <f t="array" ref="I72">IFERROR(INDEX($B$2:$B$401,MATCH(71,$J$2:$J$401,0)),"")</f>
        <v/>
      </c>
      <c r="J72" s="80" t="str">
        <f t="shared" si="3"/>
        <v/>
      </c>
      <c r="L72" s="2"/>
    </row>
    <row r="73" ht="15.75" customHeight="1">
      <c r="A73" s="80">
        <f t="shared" si="1"/>
        <v>72</v>
      </c>
      <c r="B73" s="81" t="s">
        <v>650</v>
      </c>
      <c r="C73" s="13" t="b">
        <v>0</v>
      </c>
      <c r="D73" s="80">
        <f>IF(B73="","",COUNTIFS('Binder Data'!$B$2:$B$6251,B73,'Binder Data'!$E$2:$E$6251,"Y"))</f>
        <v>0</v>
      </c>
      <c r="E73" s="17">
        <f>IF(B73="","",SUMIFS('Binder Data'!$F$2:$F$6251,'Binder Data'!$B$2:$B$6251,B73,'Binder Data'!$E$2:$E$6251,"Y"))</f>
        <v>0</v>
      </c>
      <c r="F73" s="80" t="str">
        <f>IF(B73="","",IF(C73=TRUE(),"Searched / no binder",IF(D73=0,"No cards assigned",IF(OR(D73&gt;=Binders!$D$3,E73&gt;=Binders!$E$3),"Pull","Skip: buy elsewhere"))))</f>
        <v>No cards assigned</v>
      </c>
      <c r="G73" s="80" t="str">
        <f t="shared" si="2"/>
        <v/>
      </c>
      <c r="H73" s="82">
        <v>2.0</v>
      </c>
      <c r="I73" s="80" t="str">
        <f t="array" ref="I73">IFERROR(INDEX($B$2:$B$401,MATCH(72,$J$2:$J$401,0)),"")</f>
        <v/>
      </c>
      <c r="J73" s="80" t="str">
        <f t="shared" si="3"/>
        <v/>
      </c>
      <c r="L73" s="2"/>
    </row>
    <row r="74" ht="15.75" customHeight="1">
      <c r="A74" s="80">
        <f t="shared" si="1"/>
        <v>73</v>
      </c>
      <c r="B74" s="81" t="s">
        <v>651</v>
      </c>
      <c r="C74" s="13" t="b">
        <v>0</v>
      </c>
      <c r="D74" s="80">
        <f>IF(B74="","",COUNTIFS('Binder Data'!$B$2:$B$6251,B74,'Binder Data'!$E$2:$E$6251,"Y"))</f>
        <v>0</v>
      </c>
      <c r="E74" s="17">
        <f>IF(B74="","",SUMIFS('Binder Data'!$F$2:$F$6251,'Binder Data'!$B$2:$B$6251,B74,'Binder Data'!$E$2:$E$6251,"Y"))</f>
        <v>0</v>
      </c>
      <c r="F74" s="80" t="str">
        <f>IF(B74="","",IF(C74=TRUE(),"Searched / no binder",IF(D74=0,"No cards assigned",IF(OR(D74&gt;=Binders!$D$3,E74&gt;=Binders!$E$3),"Pull","Skip: buy elsewhere"))))</f>
        <v>No cards assigned</v>
      </c>
      <c r="G74" s="80" t="str">
        <f t="shared" si="2"/>
        <v/>
      </c>
      <c r="H74" s="82">
        <v>2.0</v>
      </c>
      <c r="I74" s="80" t="str">
        <f t="array" ref="I74">IFERROR(INDEX($B$2:$B$401,MATCH(73,$J$2:$J$401,0)),"")</f>
        <v/>
      </c>
      <c r="J74" s="80" t="str">
        <f t="shared" si="3"/>
        <v/>
      </c>
      <c r="L74" s="2"/>
    </row>
    <row r="75" ht="15.75" customHeight="1">
      <c r="A75" s="80">
        <f t="shared" si="1"/>
        <v>74</v>
      </c>
      <c r="B75" s="81" t="s">
        <v>652</v>
      </c>
      <c r="C75" s="13" t="b">
        <v>0</v>
      </c>
      <c r="D75" s="80">
        <f>IF(B75="","",COUNTIFS('Binder Data'!$B$2:$B$6251,B75,'Binder Data'!$E$2:$E$6251,"Y"))</f>
        <v>0</v>
      </c>
      <c r="E75" s="17">
        <f>IF(B75="","",SUMIFS('Binder Data'!$F$2:$F$6251,'Binder Data'!$B$2:$B$6251,B75,'Binder Data'!$E$2:$E$6251,"Y"))</f>
        <v>0</v>
      </c>
      <c r="F75" s="80" t="str">
        <f>IF(B75="","",IF(C75=TRUE(),"Searched / no binder",IF(D75=0,"No cards assigned",IF(OR(D75&gt;=Binders!$D$3,E75&gt;=Binders!$E$3),"Pull","Skip: buy elsewhere"))))</f>
        <v>No cards assigned</v>
      </c>
      <c r="G75" s="80" t="str">
        <f t="shared" si="2"/>
        <v/>
      </c>
      <c r="H75" s="82">
        <v>1.0</v>
      </c>
      <c r="I75" s="80" t="str">
        <f t="array" ref="I75">IFERROR(INDEX($B$2:$B$401,MATCH(74,$J$2:$J$401,0)),"")</f>
        <v/>
      </c>
      <c r="J75" s="80" t="str">
        <f t="shared" si="3"/>
        <v/>
      </c>
      <c r="L75" s="2"/>
    </row>
    <row r="76" ht="15.75" customHeight="1">
      <c r="A76" s="80">
        <f t="shared" si="1"/>
        <v>75</v>
      </c>
      <c r="B76" s="81" t="s">
        <v>653</v>
      </c>
      <c r="C76" s="13" t="b">
        <v>0</v>
      </c>
      <c r="D76" s="80">
        <f>IF(B76="","",COUNTIFS('Binder Data'!$B$2:$B$6251,B76,'Binder Data'!$E$2:$E$6251,"Y"))</f>
        <v>0</v>
      </c>
      <c r="E76" s="17">
        <f>IF(B76="","",SUMIFS('Binder Data'!$F$2:$F$6251,'Binder Data'!$B$2:$B$6251,B76,'Binder Data'!$E$2:$E$6251,"Y"))</f>
        <v>0</v>
      </c>
      <c r="F76" s="80" t="str">
        <f>IF(B76="","",IF(C76=TRUE(),"Searched / no binder",IF(D76=0,"No cards assigned",IF(OR(D76&gt;=Binders!$D$3,E76&gt;=Binders!$E$3),"Pull","Skip: buy elsewhere"))))</f>
        <v>No cards assigned</v>
      </c>
      <c r="G76" s="80" t="str">
        <f t="shared" si="2"/>
        <v/>
      </c>
      <c r="H76" s="82">
        <v>1.0</v>
      </c>
      <c r="I76" s="80" t="str">
        <f t="array" ref="I76">IFERROR(INDEX($B$2:$B$401,MATCH(75,$J$2:$J$401,0)),"")</f>
        <v/>
      </c>
      <c r="J76" s="80" t="str">
        <f t="shared" si="3"/>
        <v/>
      </c>
      <c r="L76" s="2"/>
    </row>
    <row r="77" ht="15.75" customHeight="1">
      <c r="A77" s="80">
        <f t="shared" si="1"/>
        <v>76</v>
      </c>
      <c r="B77" s="81" t="s">
        <v>654</v>
      </c>
      <c r="C77" s="13" t="b">
        <v>0</v>
      </c>
      <c r="D77" s="80">
        <f>IF(B77="","",COUNTIFS('Binder Data'!$B$2:$B$6251,B77,'Binder Data'!$E$2:$E$6251,"Y"))</f>
        <v>0</v>
      </c>
      <c r="E77" s="17">
        <f>IF(B77="","",SUMIFS('Binder Data'!$F$2:$F$6251,'Binder Data'!$B$2:$B$6251,B77,'Binder Data'!$E$2:$E$6251,"Y"))</f>
        <v>0</v>
      </c>
      <c r="F77" s="80" t="str">
        <f>IF(B77="","",IF(C77=TRUE(),"Searched / no binder",IF(D77=0,"No cards assigned",IF(OR(D77&gt;=Binders!$D$3,E77&gt;=Binders!$E$3),"Pull","Skip: buy elsewhere"))))</f>
        <v>No cards assigned</v>
      </c>
      <c r="G77" s="80" t="str">
        <f t="shared" si="2"/>
        <v/>
      </c>
      <c r="H77" s="82">
        <v>1.0</v>
      </c>
      <c r="I77" s="80" t="str">
        <f t="array" ref="I77">IFERROR(INDEX($B$2:$B$401,MATCH(76,$J$2:$J$401,0)),"")</f>
        <v/>
      </c>
      <c r="J77" s="80" t="str">
        <f t="shared" si="3"/>
        <v/>
      </c>
      <c r="L77" s="2"/>
    </row>
    <row r="78" ht="15.75" customHeight="1">
      <c r="A78" s="80">
        <f t="shared" si="1"/>
        <v>77</v>
      </c>
      <c r="B78" s="81" t="s">
        <v>655</v>
      </c>
      <c r="C78" s="13" t="b">
        <v>0</v>
      </c>
      <c r="D78" s="80">
        <f>IF(B78="","",COUNTIFS('Binder Data'!$B$2:$B$6251,B78,'Binder Data'!$E$2:$E$6251,"Y"))</f>
        <v>0</v>
      </c>
      <c r="E78" s="17">
        <f>IF(B78="","",SUMIFS('Binder Data'!$F$2:$F$6251,'Binder Data'!$B$2:$B$6251,B78,'Binder Data'!$E$2:$E$6251,"Y"))</f>
        <v>0</v>
      </c>
      <c r="F78" s="80" t="str">
        <f>IF(B78="","",IF(C78=TRUE(),"Searched / no binder",IF(D78=0,"No cards assigned",IF(OR(D78&gt;=Binders!$D$3,E78&gt;=Binders!$E$3),"Pull","Skip: buy elsewhere"))))</f>
        <v>No cards assigned</v>
      </c>
      <c r="G78" s="80" t="str">
        <f t="shared" si="2"/>
        <v/>
      </c>
      <c r="H78" s="82">
        <v>1.0</v>
      </c>
      <c r="I78" s="80" t="str">
        <f t="array" ref="I78">IFERROR(INDEX($B$2:$B$401,MATCH(77,$J$2:$J$401,0)),"")</f>
        <v/>
      </c>
      <c r="J78" s="80" t="str">
        <f t="shared" si="3"/>
        <v/>
      </c>
      <c r="L78" s="2"/>
    </row>
    <row r="79" ht="15.75" customHeight="1">
      <c r="A79" s="80">
        <f t="shared" si="1"/>
        <v>78</v>
      </c>
      <c r="B79" s="81" t="s">
        <v>656</v>
      </c>
      <c r="C79" s="13" t="b">
        <v>0</v>
      </c>
      <c r="D79" s="80">
        <f>IF(B79="","",COUNTIFS('Binder Data'!$B$2:$B$6251,B79,'Binder Data'!$E$2:$E$6251,"Y"))</f>
        <v>0</v>
      </c>
      <c r="E79" s="17">
        <f>IF(B79="","",SUMIFS('Binder Data'!$F$2:$F$6251,'Binder Data'!$B$2:$B$6251,B79,'Binder Data'!$E$2:$E$6251,"Y"))</f>
        <v>0</v>
      </c>
      <c r="F79" s="80" t="str">
        <f>IF(B79="","",IF(C79=TRUE(),"Searched / no binder",IF(D79=0,"No cards assigned",IF(OR(D79&gt;=Binders!$D$3,E79&gt;=Binders!$E$3),"Pull","Skip: buy elsewhere"))))</f>
        <v>No cards assigned</v>
      </c>
      <c r="G79" s="80" t="str">
        <f t="shared" si="2"/>
        <v/>
      </c>
      <c r="H79" s="82">
        <v>1.0</v>
      </c>
      <c r="I79" s="80" t="str">
        <f t="array" ref="I79">IFERROR(INDEX($B$2:$B$401,MATCH(78,$J$2:$J$401,0)),"")</f>
        <v/>
      </c>
      <c r="J79" s="80" t="str">
        <f t="shared" si="3"/>
        <v/>
      </c>
      <c r="L79" s="2"/>
    </row>
    <row r="80" ht="15.75" customHeight="1">
      <c r="A80" s="80">
        <f t="shared" si="1"/>
        <v>79</v>
      </c>
      <c r="B80" s="81" t="s">
        <v>657</v>
      </c>
      <c r="C80" s="13" t="b">
        <v>0</v>
      </c>
      <c r="D80" s="80">
        <f>IF(B80="","",COUNTIFS('Binder Data'!$B$2:$B$6251,B80,'Binder Data'!$E$2:$E$6251,"Y"))</f>
        <v>0</v>
      </c>
      <c r="E80" s="17">
        <f>IF(B80="","",SUMIFS('Binder Data'!$F$2:$F$6251,'Binder Data'!$B$2:$B$6251,B80,'Binder Data'!$E$2:$E$6251,"Y"))</f>
        <v>0</v>
      </c>
      <c r="F80" s="80" t="str">
        <f>IF(B80="","",IF(C80=TRUE(),"Searched / no binder",IF(D80=0,"No cards assigned",IF(OR(D80&gt;=Binders!$D$3,E80&gt;=Binders!$E$3),"Pull","Skip: buy elsewhere"))))</f>
        <v>No cards assigned</v>
      </c>
      <c r="G80" s="80" t="str">
        <f t="shared" si="2"/>
        <v/>
      </c>
      <c r="H80" s="82">
        <v>1.0</v>
      </c>
      <c r="I80" s="80" t="str">
        <f t="array" ref="I80">IFERROR(INDEX($B$2:$B$401,MATCH(79,$J$2:$J$401,0)),"")</f>
        <v/>
      </c>
      <c r="J80" s="80" t="str">
        <f t="shared" si="3"/>
        <v/>
      </c>
      <c r="L80" s="2"/>
    </row>
    <row r="81" ht="15.75" customHeight="1">
      <c r="A81" s="80">
        <f t="shared" si="1"/>
        <v>80</v>
      </c>
      <c r="B81" s="81" t="s">
        <v>658</v>
      </c>
      <c r="C81" s="13" t="b">
        <v>0</v>
      </c>
      <c r="D81" s="80">
        <f>IF(B81="","",COUNTIFS('Binder Data'!$B$2:$B$6251,B81,'Binder Data'!$E$2:$E$6251,"Y"))</f>
        <v>0</v>
      </c>
      <c r="E81" s="17">
        <f>IF(B81="","",SUMIFS('Binder Data'!$F$2:$F$6251,'Binder Data'!$B$2:$B$6251,B81,'Binder Data'!$E$2:$E$6251,"Y"))</f>
        <v>0</v>
      </c>
      <c r="F81" s="80" t="str">
        <f>IF(B81="","",IF(C81=TRUE(),"Searched / no binder",IF(D81=0,"No cards assigned",IF(OR(D81&gt;=Binders!$D$3,E81&gt;=Binders!$E$3),"Pull","Skip: buy elsewhere"))))</f>
        <v>No cards assigned</v>
      </c>
      <c r="G81" s="80" t="str">
        <f t="shared" si="2"/>
        <v/>
      </c>
      <c r="H81" s="82">
        <v>1.0</v>
      </c>
      <c r="I81" s="80" t="str">
        <f t="array" ref="I81">IFERROR(INDEX($B$2:$B$401,MATCH(80,$J$2:$J$401,0)),"")</f>
        <v/>
      </c>
      <c r="J81" s="80" t="str">
        <f t="shared" si="3"/>
        <v/>
      </c>
      <c r="L81" s="2"/>
    </row>
    <row r="82" ht="15.75" customHeight="1">
      <c r="A82" s="80">
        <f t="shared" si="1"/>
        <v>81</v>
      </c>
      <c r="B82" s="81" t="s">
        <v>659</v>
      </c>
      <c r="C82" s="13" t="b">
        <v>0</v>
      </c>
      <c r="D82" s="80">
        <f>IF(B82="","",COUNTIFS('Binder Data'!$B$2:$B$6251,B82,'Binder Data'!$E$2:$E$6251,"Y"))</f>
        <v>0</v>
      </c>
      <c r="E82" s="17">
        <f>IF(B82="","",SUMIFS('Binder Data'!$F$2:$F$6251,'Binder Data'!$B$2:$B$6251,B82,'Binder Data'!$E$2:$E$6251,"Y"))</f>
        <v>0</v>
      </c>
      <c r="F82" s="80" t="str">
        <f>IF(B82="","",IF(C82=TRUE(),"Searched / no binder",IF(D82=0,"No cards assigned",IF(OR(D82&gt;=Binders!$D$3,E82&gt;=Binders!$E$3),"Pull","Skip: buy elsewhere"))))</f>
        <v>No cards assigned</v>
      </c>
      <c r="G82" s="80" t="str">
        <f t="shared" si="2"/>
        <v/>
      </c>
      <c r="H82" s="82">
        <v>1.0</v>
      </c>
      <c r="I82" s="80" t="str">
        <f t="array" ref="I82">IFERROR(INDEX($B$2:$B$401,MATCH(81,$J$2:$J$401,0)),"")</f>
        <v/>
      </c>
      <c r="J82" s="80" t="str">
        <f t="shared" si="3"/>
        <v/>
      </c>
      <c r="L82" s="2"/>
    </row>
    <row r="83" ht="15.75" customHeight="1">
      <c r="A83" s="80">
        <f t="shared" si="1"/>
        <v>82</v>
      </c>
      <c r="B83" s="81" t="s">
        <v>660</v>
      </c>
      <c r="C83" s="13" t="b">
        <v>0</v>
      </c>
      <c r="D83" s="80">
        <f>IF(B83="","",COUNTIFS('Binder Data'!$B$2:$B$6251,B83,'Binder Data'!$E$2:$E$6251,"Y"))</f>
        <v>0</v>
      </c>
      <c r="E83" s="17">
        <f>IF(B83="","",SUMIFS('Binder Data'!$F$2:$F$6251,'Binder Data'!$B$2:$B$6251,B83,'Binder Data'!$E$2:$E$6251,"Y"))</f>
        <v>0</v>
      </c>
      <c r="F83" s="80" t="str">
        <f>IF(B83="","",IF(C83=TRUE(),"Searched / no binder",IF(D83=0,"No cards assigned",IF(OR(D83&gt;=Binders!$D$3,E83&gt;=Binders!$E$3),"Pull","Skip: buy elsewhere"))))</f>
        <v>No cards assigned</v>
      </c>
      <c r="G83" s="80" t="str">
        <f t="shared" si="2"/>
        <v/>
      </c>
      <c r="H83" s="82">
        <v>1.0</v>
      </c>
      <c r="I83" s="80" t="str">
        <f t="array" ref="I83">IFERROR(INDEX($B$2:$B$401,MATCH(82,$J$2:$J$401,0)),"")</f>
        <v/>
      </c>
      <c r="J83" s="80" t="str">
        <f t="shared" si="3"/>
        <v/>
      </c>
      <c r="L83" s="2"/>
    </row>
    <row r="84" ht="15.75" customHeight="1">
      <c r="A84" s="80">
        <f t="shared" si="1"/>
        <v>83</v>
      </c>
      <c r="B84" s="81" t="s">
        <v>661</v>
      </c>
      <c r="C84" s="13" t="b">
        <v>0</v>
      </c>
      <c r="D84" s="80">
        <f>IF(B84="","",COUNTIFS('Binder Data'!$B$2:$B$6251,B84,'Binder Data'!$E$2:$E$6251,"Y"))</f>
        <v>0</v>
      </c>
      <c r="E84" s="17">
        <f>IF(B84="","",SUMIFS('Binder Data'!$F$2:$F$6251,'Binder Data'!$B$2:$B$6251,B84,'Binder Data'!$E$2:$E$6251,"Y"))</f>
        <v>0</v>
      </c>
      <c r="F84" s="80" t="str">
        <f>IF(B84="","",IF(C84=TRUE(),"Searched / no binder",IF(D84=0,"No cards assigned",IF(OR(D84&gt;=Binders!$D$3,E84&gt;=Binders!$E$3),"Pull","Skip: buy elsewhere"))))</f>
        <v>No cards assigned</v>
      </c>
      <c r="G84" s="80" t="str">
        <f t="shared" si="2"/>
        <v/>
      </c>
      <c r="H84" s="82">
        <v>1.0</v>
      </c>
      <c r="I84" s="80" t="str">
        <f t="array" ref="I84">IFERROR(INDEX($B$2:$B$401,MATCH(83,$J$2:$J$401,0)),"")</f>
        <v/>
      </c>
      <c r="J84" s="80" t="str">
        <f t="shared" si="3"/>
        <v/>
      </c>
      <c r="L84" s="2"/>
    </row>
    <row r="85" ht="15.75" customHeight="1">
      <c r="A85" s="80">
        <f t="shared" si="1"/>
        <v>84</v>
      </c>
      <c r="B85" s="81" t="s">
        <v>662</v>
      </c>
      <c r="C85" s="13" t="b">
        <v>0</v>
      </c>
      <c r="D85" s="80">
        <f>IF(B85="","",COUNTIFS('Binder Data'!$B$2:$B$6251,B85,'Binder Data'!$E$2:$E$6251,"Y"))</f>
        <v>0</v>
      </c>
      <c r="E85" s="17">
        <f>IF(B85="","",SUMIFS('Binder Data'!$F$2:$F$6251,'Binder Data'!$B$2:$B$6251,B85,'Binder Data'!$E$2:$E$6251,"Y"))</f>
        <v>0</v>
      </c>
      <c r="F85" s="80" t="str">
        <f>IF(B85="","",IF(C85=TRUE(),"Searched / no binder",IF(D85=0,"No cards assigned",IF(OR(D85&gt;=Binders!$D$3,E85&gt;=Binders!$E$3),"Pull","Skip: buy elsewhere"))))</f>
        <v>No cards assigned</v>
      </c>
      <c r="G85" s="80" t="str">
        <f t="shared" si="2"/>
        <v/>
      </c>
      <c r="H85" s="82">
        <v>1.0</v>
      </c>
      <c r="I85" s="80" t="str">
        <f t="array" ref="I85">IFERROR(INDEX($B$2:$B$401,MATCH(84,$J$2:$J$401,0)),"")</f>
        <v/>
      </c>
      <c r="J85" s="80" t="str">
        <f t="shared" si="3"/>
        <v/>
      </c>
      <c r="L85" s="2"/>
    </row>
    <row r="86" ht="15.75" customHeight="1">
      <c r="A86" s="80">
        <f t="shared" si="1"/>
        <v>85</v>
      </c>
      <c r="B86" s="81" t="s">
        <v>663</v>
      </c>
      <c r="C86" s="13" t="b">
        <v>0</v>
      </c>
      <c r="D86" s="80">
        <f>IF(B86="","",COUNTIFS('Binder Data'!$B$2:$B$6251,B86,'Binder Data'!$E$2:$E$6251,"Y"))</f>
        <v>0</v>
      </c>
      <c r="E86" s="17">
        <f>IF(B86="","",SUMIFS('Binder Data'!$F$2:$F$6251,'Binder Data'!$B$2:$B$6251,B86,'Binder Data'!$E$2:$E$6251,"Y"))</f>
        <v>0</v>
      </c>
      <c r="F86" s="80" t="str">
        <f>IF(B86="","",IF(C86=TRUE(),"Searched / no binder",IF(D86=0,"No cards assigned",IF(OR(D86&gt;=Binders!$D$3,E86&gt;=Binders!$E$3),"Pull","Skip: buy elsewhere"))))</f>
        <v>No cards assigned</v>
      </c>
      <c r="G86" s="80" t="str">
        <f t="shared" si="2"/>
        <v/>
      </c>
      <c r="H86" s="82">
        <v>1.0</v>
      </c>
      <c r="I86" s="80" t="str">
        <f t="array" ref="I86">IFERROR(INDEX($B$2:$B$401,MATCH(85,$J$2:$J$401,0)),"")</f>
        <v/>
      </c>
      <c r="J86" s="80" t="str">
        <f t="shared" si="3"/>
        <v/>
      </c>
      <c r="L86" s="2"/>
    </row>
    <row r="87" ht="15.75" customHeight="1">
      <c r="A87" s="80">
        <f t="shared" si="1"/>
        <v>86</v>
      </c>
      <c r="B87" s="81" t="s">
        <v>664</v>
      </c>
      <c r="C87" s="13" t="b">
        <v>0</v>
      </c>
      <c r="D87" s="80">
        <f>IF(B87="","",COUNTIFS('Binder Data'!$B$2:$B$6251,B87,'Binder Data'!$E$2:$E$6251,"Y"))</f>
        <v>0</v>
      </c>
      <c r="E87" s="17">
        <f>IF(B87="","",SUMIFS('Binder Data'!$F$2:$F$6251,'Binder Data'!$B$2:$B$6251,B87,'Binder Data'!$E$2:$E$6251,"Y"))</f>
        <v>0</v>
      </c>
      <c r="F87" s="80" t="str">
        <f>IF(B87="","",IF(C87=TRUE(),"Searched / no binder",IF(D87=0,"No cards assigned",IF(OR(D87&gt;=Binders!$D$3,E87&gt;=Binders!$E$3),"Pull","Skip: buy elsewhere"))))</f>
        <v>No cards assigned</v>
      </c>
      <c r="G87" s="80" t="str">
        <f t="shared" si="2"/>
        <v/>
      </c>
      <c r="H87" s="82">
        <v>1.0</v>
      </c>
      <c r="I87" s="80" t="str">
        <f t="array" ref="I87">IFERROR(INDEX($B$2:$B$401,MATCH(86,$J$2:$J$401,0)),"")</f>
        <v/>
      </c>
      <c r="J87" s="80" t="str">
        <f t="shared" si="3"/>
        <v/>
      </c>
      <c r="L87" s="2"/>
    </row>
    <row r="88" ht="15.75" customHeight="1">
      <c r="A88" s="80">
        <f t="shared" si="1"/>
        <v>87</v>
      </c>
      <c r="B88" s="81" t="s">
        <v>665</v>
      </c>
      <c r="C88" s="13" t="b">
        <v>0</v>
      </c>
      <c r="D88" s="80">
        <f>IF(B88="","",COUNTIFS('Binder Data'!$B$2:$B$6251,B88,'Binder Data'!$E$2:$E$6251,"Y"))</f>
        <v>0</v>
      </c>
      <c r="E88" s="17">
        <f>IF(B88="","",SUMIFS('Binder Data'!$F$2:$F$6251,'Binder Data'!$B$2:$B$6251,B88,'Binder Data'!$E$2:$E$6251,"Y"))</f>
        <v>0</v>
      </c>
      <c r="F88" s="80" t="str">
        <f>IF(B88="","",IF(C88=TRUE(),"Searched / no binder",IF(D88=0,"No cards assigned",IF(OR(D88&gt;=Binders!$D$3,E88&gt;=Binders!$E$3),"Pull","Skip: buy elsewhere"))))</f>
        <v>No cards assigned</v>
      </c>
      <c r="G88" s="80" t="str">
        <f t="shared" si="2"/>
        <v/>
      </c>
      <c r="H88" s="82">
        <v>1.0</v>
      </c>
      <c r="I88" s="80" t="str">
        <f t="array" ref="I88">IFERROR(INDEX($B$2:$B$401,MATCH(87,$J$2:$J$401,0)),"")</f>
        <v/>
      </c>
      <c r="J88" s="80" t="str">
        <f t="shared" si="3"/>
        <v/>
      </c>
      <c r="L88" s="2"/>
    </row>
    <row r="89" ht="15.75" customHeight="1">
      <c r="A89" s="80">
        <f t="shared" si="1"/>
        <v>88</v>
      </c>
      <c r="B89" s="81" t="s">
        <v>666</v>
      </c>
      <c r="C89" s="13" t="b">
        <v>0</v>
      </c>
      <c r="D89" s="80">
        <f>IF(B89="","",COUNTIFS('Binder Data'!$B$2:$B$6251,B89,'Binder Data'!$E$2:$E$6251,"Y"))</f>
        <v>0</v>
      </c>
      <c r="E89" s="17">
        <f>IF(B89="","",SUMIFS('Binder Data'!$F$2:$F$6251,'Binder Data'!$B$2:$B$6251,B89,'Binder Data'!$E$2:$E$6251,"Y"))</f>
        <v>0</v>
      </c>
      <c r="F89" s="80" t="str">
        <f>IF(B89="","",IF(C89=TRUE(),"Searched / no binder",IF(D89=0,"No cards assigned",IF(OR(D89&gt;=Binders!$D$3,E89&gt;=Binders!$E$3),"Pull","Skip: buy elsewhere"))))</f>
        <v>No cards assigned</v>
      </c>
      <c r="G89" s="80" t="str">
        <f t="shared" si="2"/>
        <v/>
      </c>
      <c r="H89" s="82">
        <v>1.0</v>
      </c>
      <c r="I89" s="80" t="str">
        <f t="array" ref="I89">IFERROR(INDEX($B$2:$B$401,MATCH(88,$J$2:$J$401,0)),"")</f>
        <v/>
      </c>
      <c r="J89" s="80" t="str">
        <f t="shared" si="3"/>
        <v/>
      </c>
      <c r="L89" s="2"/>
    </row>
    <row r="90" ht="15.75" customHeight="1">
      <c r="A90" s="80">
        <f t="shared" si="1"/>
        <v>89</v>
      </c>
      <c r="B90" s="81" t="s">
        <v>667</v>
      </c>
      <c r="C90" s="13" t="b">
        <v>0</v>
      </c>
      <c r="D90" s="80">
        <f>IF(B90="","",COUNTIFS('Binder Data'!$B$2:$B$6251,B90,'Binder Data'!$E$2:$E$6251,"Y"))</f>
        <v>0</v>
      </c>
      <c r="E90" s="17">
        <f>IF(B90="","",SUMIFS('Binder Data'!$F$2:$F$6251,'Binder Data'!$B$2:$B$6251,B90,'Binder Data'!$E$2:$E$6251,"Y"))</f>
        <v>0</v>
      </c>
      <c r="F90" s="80" t="str">
        <f>IF(B90="","",IF(C90=TRUE(),"Searched / no binder",IF(D90=0,"No cards assigned",IF(OR(D90&gt;=Binders!$D$3,E90&gt;=Binders!$E$3),"Pull","Skip: buy elsewhere"))))</f>
        <v>No cards assigned</v>
      </c>
      <c r="G90" s="80" t="str">
        <f t="shared" si="2"/>
        <v/>
      </c>
      <c r="H90" s="82">
        <v>1.0</v>
      </c>
      <c r="I90" s="80" t="str">
        <f t="array" ref="I90">IFERROR(INDEX($B$2:$B$401,MATCH(89,$J$2:$J$401,0)),"")</f>
        <v/>
      </c>
      <c r="J90" s="80" t="str">
        <f t="shared" si="3"/>
        <v/>
      </c>
      <c r="L90" s="2"/>
    </row>
    <row r="91" ht="15.75" customHeight="1">
      <c r="A91" s="80">
        <f t="shared" si="1"/>
        <v>90</v>
      </c>
      <c r="B91" s="81" t="s">
        <v>668</v>
      </c>
      <c r="C91" s="13" t="b">
        <v>0</v>
      </c>
      <c r="D91" s="80">
        <f>IF(B91="","",COUNTIFS('Binder Data'!$B$2:$B$6251,B91,'Binder Data'!$E$2:$E$6251,"Y"))</f>
        <v>0</v>
      </c>
      <c r="E91" s="17">
        <f>IF(B91="","",SUMIFS('Binder Data'!$F$2:$F$6251,'Binder Data'!$B$2:$B$6251,B91,'Binder Data'!$E$2:$E$6251,"Y"))</f>
        <v>0</v>
      </c>
      <c r="F91" s="80" t="str">
        <f>IF(B91="","",IF(C91=TRUE(),"Searched / no binder",IF(D91=0,"No cards assigned",IF(OR(D91&gt;=Binders!$D$3,E91&gt;=Binders!$E$3),"Pull","Skip: buy elsewhere"))))</f>
        <v>No cards assigned</v>
      </c>
      <c r="G91" s="80" t="str">
        <f t="shared" si="2"/>
        <v/>
      </c>
      <c r="H91" s="82">
        <v>1.0</v>
      </c>
      <c r="I91" s="80" t="str">
        <f t="array" ref="I91">IFERROR(INDEX($B$2:$B$401,MATCH(90,$J$2:$J$401,0)),"")</f>
        <v/>
      </c>
      <c r="J91" s="80" t="str">
        <f t="shared" si="3"/>
        <v/>
      </c>
      <c r="L91" s="2"/>
    </row>
    <row r="92" ht="15.75" customHeight="1">
      <c r="A92" s="80">
        <f t="shared" si="1"/>
        <v>91</v>
      </c>
      <c r="B92" s="81" t="s">
        <v>669</v>
      </c>
      <c r="C92" s="13" t="b">
        <v>0</v>
      </c>
      <c r="D92" s="80">
        <f>IF(B92="","",COUNTIFS('Binder Data'!$B$2:$B$6251,B92,'Binder Data'!$E$2:$E$6251,"Y"))</f>
        <v>0</v>
      </c>
      <c r="E92" s="17">
        <f>IF(B92="","",SUMIFS('Binder Data'!$F$2:$F$6251,'Binder Data'!$B$2:$B$6251,B92,'Binder Data'!$E$2:$E$6251,"Y"))</f>
        <v>0</v>
      </c>
      <c r="F92" s="80" t="str">
        <f>IF(B92="","",IF(C92=TRUE(),"Searched / no binder",IF(D92=0,"No cards assigned",IF(OR(D92&gt;=Binders!$D$3,E92&gt;=Binders!$E$3),"Pull","Skip: buy elsewhere"))))</f>
        <v>No cards assigned</v>
      </c>
      <c r="G92" s="80" t="str">
        <f t="shared" si="2"/>
        <v/>
      </c>
      <c r="H92" s="82">
        <v>1.0</v>
      </c>
      <c r="I92" s="80" t="str">
        <f t="array" ref="I92">IFERROR(INDEX($B$2:$B$401,MATCH(91,$J$2:$J$401,0)),"")</f>
        <v/>
      </c>
      <c r="J92" s="80" t="str">
        <f t="shared" si="3"/>
        <v/>
      </c>
      <c r="L92" s="2"/>
    </row>
    <row r="93" ht="15.75" customHeight="1">
      <c r="A93" s="80">
        <f t="shared" si="1"/>
        <v>92</v>
      </c>
      <c r="B93" s="81" t="s">
        <v>670</v>
      </c>
      <c r="C93" s="13" t="b">
        <v>0</v>
      </c>
      <c r="D93" s="80">
        <f>IF(B93="","",COUNTIFS('Binder Data'!$B$2:$B$6251,B93,'Binder Data'!$E$2:$E$6251,"Y"))</f>
        <v>0</v>
      </c>
      <c r="E93" s="17">
        <f>IF(B93="","",SUMIFS('Binder Data'!$F$2:$F$6251,'Binder Data'!$B$2:$B$6251,B93,'Binder Data'!$E$2:$E$6251,"Y"))</f>
        <v>0</v>
      </c>
      <c r="F93" s="80" t="str">
        <f>IF(B93="","",IF(C93=TRUE(),"Searched / no binder",IF(D93=0,"No cards assigned",IF(OR(D93&gt;=Binders!$D$3,E93&gt;=Binders!$E$3),"Pull","Skip: buy elsewhere"))))</f>
        <v>No cards assigned</v>
      </c>
      <c r="G93" s="80" t="str">
        <f t="shared" si="2"/>
        <v/>
      </c>
      <c r="H93" s="82">
        <v>1.0</v>
      </c>
      <c r="I93" s="80" t="str">
        <f t="array" ref="I93">IFERROR(INDEX($B$2:$B$401,MATCH(92,$J$2:$J$401,0)),"")</f>
        <v/>
      </c>
      <c r="J93" s="80" t="str">
        <f t="shared" si="3"/>
        <v/>
      </c>
      <c r="L93" s="2"/>
    </row>
    <row r="94" ht="15.75" customHeight="1">
      <c r="A94" s="80">
        <f t="shared" si="1"/>
        <v>93</v>
      </c>
      <c r="B94" s="81" t="s">
        <v>671</v>
      </c>
      <c r="C94" s="13" t="b">
        <v>0</v>
      </c>
      <c r="D94" s="80">
        <f>IF(B94="","",COUNTIFS('Binder Data'!$B$2:$B$6251,B94,'Binder Data'!$E$2:$E$6251,"Y"))</f>
        <v>0</v>
      </c>
      <c r="E94" s="17">
        <f>IF(B94="","",SUMIFS('Binder Data'!$F$2:$F$6251,'Binder Data'!$B$2:$B$6251,B94,'Binder Data'!$E$2:$E$6251,"Y"))</f>
        <v>0</v>
      </c>
      <c r="F94" s="80" t="str">
        <f>IF(B94="","",IF(C94=TRUE(),"Searched / no binder",IF(D94=0,"No cards assigned",IF(OR(D94&gt;=Binders!$D$3,E94&gt;=Binders!$E$3),"Pull","Skip: buy elsewhere"))))</f>
        <v>No cards assigned</v>
      </c>
      <c r="G94" s="80" t="str">
        <f t="shared" si="2"/>
        <v/>
      </c>
      <c r="H94" s="82">
        <v>1.0</v>
      </c>
      <c r="I94" s="80" t="str">
        <f t="array" ref="I94">IFERROR(INDEX($B$2:$B$401,MATCH(93,$J$2:$J$401,0)),"")</f>
        <v/>
      </c>
      <c r="J94" s="80" t="str">
        <f t="shared" si="3"/>
        <v/>
      </c>
      <c r="L94" s="2"/>
    </row>
    <row r="95" ht="15.75" customHeight="1">
      <c r="A95" s="80">
        <f t="shared" si="1"/>
        <v>94</v>
      </c>
      <c r="B95" s="81" t="s">
        <v>672</v>
      </c>
      <c r="C95" s="13" t="b">
        <v>0</v>
      </c>
      <c r="D95" s="80">
        <f>IF(B95="","",COUNTIFS('Binder Data'!$B$2:$B$6251,B95,'Binder Data'!$E$2:$E$6251,"Y"))</f>
        <v>0</v>
      </c>
      <c r="E95" s="17">
        <f>IF(B95="","",SUMIFS('Binder Data'!$F$2:$F$6251,'Binder Data'!$B$2:$B$6251,B95,'Binder Data'!$E$2:$E$6251,"Y"))</f>
        <v>0</v>
      </c>
      <c r="F95" s="80" t="str">
        <f>IF(B95="","",IF(C95=TRUE(),"Searched / no binder",IF(D95=0,"No cards assigned",IF(OR(D95&gt;=Binders!$D$3,E95&gt;=Binders!$E$3),"Pull","Skip: buy elsewhere"))))</f>
        <v>No cards assigned</v>
      </c>
      <c r="G95" s="80" t="str">
        <f t="shared" si="2"/>
        <v/>
      </c>
      <c r="H95" s="82">
        <v>1.0</v>
      </c>
      <c r="I95" s="80" t="str">
        <f t="array" ref="I95">IFERROR(INDEX($B$2:$B$401,MATCH(94,$J$2:$J$401,0)),"")</f>
        <v/>
      </c>
      <c r="J95" s="80" t="str">
        <f t="shared" si="3"/>
        <v/>
      </c>
      <c r="L95" s="2"/>
    </row>
    <row r="96" ht="15.75" customHeight="1">
      <c r="A96" s="80">
        <f t="shared" si="1"/>
        <v>95</v>
      </c>
      <c r="B96" s="81" t="s">
        <v>673</v>
      </c>
      <c r="C96" s="13" t="b">
        <v>0</v>
      </c>
      <c r="D96" s="80">
        <f>IF(B96="","",COUNTIFS('Binder Data'!$B$2:$B$6251,B96,'Binder Data'!$E$2:$E$6251,"Y"))</f>
        <v>0</v>
      </c>
      <c r="E96" s="17">
        <f>IF(B96="","",SUMIFS('Binder Data'!$F$2:$F$6251,'Binder Data'!$B$2:$B$6251,B96,'Binder Data'!$E$2:$E$6251,"Y"))</f>
        <v>0</v>
      </c>
      <c r="F96" s="80" t="str">
        <f>IF(B96="","",IF(C96=TRUE(),"Searched / no binder",IF(D96=0,"No cards assigned",IF(OR(D96&gt;=Binders!$D$3,E96&gt;=Binders!$E$3),"Pull","Skip: buy elsewhere"))))</f>
        <v>No cards assigned</v>
      </c>
      <c r="G96" s="80" t="str">
        <f t="shared" si="2"/>
        <v/>
      </c>
      <c r="H96" s="82">
        <v>1.0</v>
      </c>
      <c r="I96" s="80" t="str">
        <f t="array" ref="I96">IFERROR(INDEX($B$2:$B$401,MATCH(95,$J$2:$J$401,0)),"")</f>
        <v/>
      </c>
      <c r="J96" s="80" t="str">
        <f t="shared" si="3"/>
        <v/>
      </c>
      <c r="L96" s="2"/>
    </row>
    <row r="97" ht="15.75" customHeight="1">
      <c r="A97" s="80">
        <f t="shared" si="1"/>
        <v>96</v>
      </c>
      <c r="B97" s="81" t="s">
        <v>674</v>
      </c>
      <c r="C97" s="13" t="b">
        <v>0</v>
      </c>
      <c r="D97" s="80">
        <f>IF(B97="","",COUNTIFS('Binder Data'!$B$2:$B$6251,B97,'Binder Data'!$E$2:$E$6251,"Y"))</f>
        <v>0</v>
      </c>
      <c r="E97" s="17">
        <f>IF(B97="","",SUMIFS('Binder Data'!$F$2:$F$6251,'Binder Data'!$B$2:$B$6251,B97,'Binder Data'!$E$2:$E$6251,"Y"))</f>
        <v>0</v>
      </c>
      <c r="F97" s="80" t="str">
        <f>IF(B97="","",IF(C97=TRUE(),"Searched / no binder",IF(D97=0,"No cards assigned",IF(OR(D97&gt;=Binders!$D$3,E97&gt;=Binders!$E$3),"Pull","Skip: buy elsewhere"))))</f>
        <v>No cards assigned</v>
      </c>
      <c r="G97" s="80" t="str">
        <f t="shared" si="2"/>
        <v/>
      </c>
      <c r="H97" s="82">
        <v>1.0</v>
      </c>
      <c r="I97" s="80" t="str">
        <f t="array" ref="I97">IFERROR(INDEX($B$2:$B$401,MATCH(96,$J$2:$J$401,0)),"")</f>
        <v/>
      </c>
      <c r="J97" s="80" t="str">
        <f t="shared" si="3"/>
        <v/>
      </c>
      <c r="L97" s="2"/>
    </row>
    <row r="98" ht="15.75" customHeight="1">
      <c r="A98" s="80">
        <f t="shared" si="1"/>
        <v>97</v>
      </c>
      <c r="B98" s="81" t="s">
        <v>543</v>
      </c>
      <c r="C98" s="13" t="b">
        <v>0</v>
      </c>
      <c r="D98" s="80">
        <f>IF(B98="","",COUNTIFS('Binder Data'!$B$2:$B$6251,B98,'Binder Data'!$E$2:$E$6251,"Y"))</f>
        <v>1</v>
      </c>
      <c r="E98" s="17">
        <f>IF(B98="","",SUMIFS('Binder Data'!$F$2:$F$6251,'Binder Data'!$B$2:$B$6251,B98,'Binder Data'!$E$2:$E$6251,"Y"))</f>
        <v>2.69</v>
      </c>
      <c r="F98" s="80" t="str">
        <f>IF(B98="","",IF(C98=TRUE(),"Searched / no binder",IF(D98=0,"No cards assigned",IF(OR(D98&gt;=Binders!$D$3,E98&gt;=Binders!$E$3),"Pull","Skip: buy elsewhere"))))</f>
        <v>Pull</v>
      </c>
      <c r="G98" s="80">
        <f t="shared" si="2"/>
        <v>24</v>
      </c>
      <c r="H98" s="82">
        <v>1.0</v>
      </c>
      <c r="I98" s="80" t="str">
        <f t="array" ref="I98">IFERROR(INDEX($B$2:$B$401,MATCH(97,$J$2:$J$401,0)),"")</f>
        <v/>
      </c>
      <c r="J98" s="80" t="str">
        <f t="shared" si="3"/>
        <v/>
      </c>
      <c r="L98" s="2"/>
    </row>
    <row r="99" ht="15.75" customHeight="1">
      <c r="A99" s="80">
        <f t="shared" si="1"/>
        <v>98</v>
      </c>
      <c r="B99" s="81" t="s">
        <v>675</v>
      </c>
      <c r="C99" s="13" t="b">
        <v>0</v>
      </c>
      <c r="D99" s="80">
        <f>IF(B99="","",COUNTIFS('Binder Data'!$B$2:$B$6251,B99,'Binder Data'!$E$2:$E$6251,"Y"))</f>
        <v>0</v>
      </c>
      <c r="E99" s="17">
        <f>IF(B99="","",SUMIFS('Binder Data'!$F$2:$F$6251,'Binder Data'!$B$2:$B$6251,B99,'Binder Data'!$E$2:$E$6251,"Y"))</f>
        <v>0</v>
      </c>
      <c r="F99" s="80" t="str">
        <f>IF(B99="","",IF(C99=TRUE(),"Searched / no binder",IF(D99=0,"No cards assigned",IF(OR(D99&gt;=Binders!$D$3,E99&gt;=Binders!$E$3),"Pull","Skip: buy elsewhere"))))</f>
        <v>No cards assigned</v>
      </c>
      <c r="G99" s="80" t="str">
        <f t="shared" si="2"/>
        <v/>
      </c>
      <c r="H99" s="82">
        <v>1.0</v>
      </c>
      <c r="I99" s="80" t="str">
        <f t="array" ref="I99">IFERROR(INDEX($B$2:$B$401,MATCH(98,$J$2:$J$401,0)),"")</f>
        <v/>
      </c>
      <c r="J99" s="80" t="str">
        <f t="shared" si="3"/>
        <v/>
      </c>
      <c r="L99" s="2"/>
    </row>
    <row r="100" ht="15.75" customHeight="1">
      <c r="A100" s="80">
        <f t="shared" si="1"/>
        <v>99</v>
      </c>
      <c r="B100" s="81" t="s">
        <v>676</v>
      </c>
      <c r="C100" s="13" t="b">
        <v>0</v>
      </c>
      <c r="D100" s="80">
        <f>IF(B100="","",COUNTIFS('Binder Data'!$B$2:$B$6251,B100,'Binder Data'!$E$2:$E$6251,"Y"))</f>
        <v>0</v>
      </c>
      <c r="E100" s="17">
        <f>IF(B100="","",SUMIFS('Binder Data'!$F$2:$F$6251,'Binder Data'!$B$2:$B$6251,B100,'Binder Data'!$E$2:$E$6251,"Y"))</f>
        <v>0</v>
      </c>
      <c r="F100" s="80" t="str">
        <f>IF(B100="","",IF(C100=TRUE(),"Searched / no binder",IF(D100=0,"No cards assigned",IF(OR(D100&gt;=Binders!$D$3,E100&gt;=Binders!$E$3),"Pull","Skip: buy elsewhere"))))</f>
        <v>No cards assigned</v>
      </c>
      <c r="G100" s="80" t="str">
        <f t="shared" si="2"/>
        <v/>
      </c>
      <c r="H100" s="82">
        <v>1.0</v>
      </c>
      <c r="I100" s="80" t="str">
        <f t="array" ref="I100">IFERROR(INDEX($B$2:$B$401,MATCH(99,$J$2:$J$401,0)),"")</f>
        <v/>
      </c>
      <c r="J100" s="80" t="str">
        <f t="shared" si="3"/>
        <v/>
      </c>
      <c r="L100" s="2"/>
    </row>
    <row r="101" ht="15.75" customHeight="1">
      <c r="A101" s="80">
        <f t="shared" si="1"/>
        <v>100</v>
      </c>
      <c r="B101" s="81" t="s">
        <v>677</v>
      </c>
      <c r="C101" s="13" t="b">
        <v>0</v>
      </c>
      <c r="D101" s="80">
        <f>IF(B101="","",COUNTIFS('Binder Data'!$B$2:$B$6251,B101,'Binder Data'!$E$2:$E$6251,"Y"))</f>
        <v>0</v>
      </c>
      <c r="E101" s="17">
        <f>IF(B101="","",SUMIFS('Binder Data'!$F$2:$F$6251,'Binder Data'!$B$2:$B$6251,B101,'Binder Data'!$E$2:$E$6251,"Y"))</f>
        <v>0</v>
      </c>
      <c r="F101" s="80" t="str">
        <f>IF(B101="","",IF(C101=TRUE(),"Searched / no binder",IF(D101=0,"No cards assigned",IF(OR(D101&gt;=Binders!$D$3,E101&gt;=Binders!$E$3),"Pull","Skip: buy elsewhere"))))</f>
        <v>No cards assigned</v>
      </c>
      <c r="G101" s="80" t="str">
        <f t="shared" si="2"/>
        <v/>
      </c>
      <c r="H101" s="82">
        <v>1.0</v>
      </c>
      <c r="I101" s="80" t="str">
        <f t="array" ref="I101">IFERROR(INDEX($B$2:$B$401,MATCH(100,$J$2:$J$401,0)),"")</f>
        <v/>
      </c>
      <c r="J101" s="80" t="str">
        <f t="shared" si="3"/>
        <v/>
      </c>
      <c r="L101" s="2"/>
    </row>
    <row r="102" ht="15.75" customHeight="1">
      <c r="A102" s="80">
        <f t="shared" si="1"/>
        <v>101</v>
      </c>
      <c r="B102" s="81" t="s">
        <v>678</v>
      </c>
      <c r="C102" s="13" t="b">
        <v>0</v>
      </c>
      <c r="D102" s="80">
        <f>IF(B102="","",COUNTIFS('Binder Data'!$B$2:$B$6251,B102,'Binder Data'!$E$2:$E$6251,"Y"))</f>
        <v>0</v>
      </c>
      <c r="E102" s="17">
        <f>IF(B102="","",SUMIFS('Binder Data'!$F$2:$F$6251,'Binder Data'!$B$2:$B$6251,B102,'Binder Data'!$E$2:$E$6251,"Y"))</f>
        <v>0</v>
      </c>
      <c r="F102" s="80" t="str">
        <f>IF(B102="","",IF(C102=TRUE(),"Searched / no binder",IF(D102=0,"No cards assigned",IF(OR(D102&gt;=Binders!$D$3,E102&gt;=Binders!$E$3),"Pull","Skip: buy elsewhere"))))</f>
        <v>No cards assigned</v>
      </c>
      <c r="G102" s="80" t="str">
        <f t="shared" si="2"/>
        <v/>
      </c>
      <c r="H102" s="82">
        <v>1.0</v>
      </c>
      <c r="I102" s="80" t="str">
        <f t="array" ref="I102">IFERROR(INDEX($B$2:$B$401,MATCH(101,$J$2:$J$401,0)),"")</f>
        <v/>
      </c>
      <c r="J102" s="80" t="str">
        <f t="shared" si="3"/>
        <v/>
      </c>
      <c r="L102" s="2"/>
    </row>
    <row r="103" ht="15.75" customHeight="1">
      <c r="A103" s="80">
        <f t="shared" si="1"/>
        <v>102</v>
      </c>
      <c r="B103" s="81" t="s">
        <v>679</v>
      </c>
      <c r="C103" s="13" t="b">
        <v>0</v>
      </c>
      <c r="D103" s="80">
        <f>IF(B103="","",COUNTIFS('Binder Data'!$B$2:$B$6251,B103,'Binder Data'!$E$2:$E$6251,"Y"))</f>
        <v>0</v>
      </c>
      <c r="E103" s="17">
        <f>IF(B103="","",SUMIFS('Binder Data'!$F$2:$F$6251,'Binder Data'!$B$2:$B$6251,B103,'Binder Data'!$E$2:$E$6251,"Y"))</f>
        <v>0</v>
      </c>
      <c r="F103" s="80" t="str">
        <f>IF(B103="","",IF(C103=TRUE(),"Searched / no binder",IF(D103=0,"No cards assigned",IF(OR(D103&gt;=Binders!$D$3,E103&gt;=Binders!$E$3),"Pull","Skip: buy elsewhere"))))</f>
        <v>No cards assigned</v>
      </c>
      <c r="G103" s="80" t="str">
        <f t="shared" si="2"/>
        <v/>
      </c>
      <c r="H103" s="82">
        <v>1.0</v>
      </c>
      <c r="I103" s="80" t="str">
        <f t="array" ref="I103">IFERROR(INDEX($B$2:$B$401,MATCH(102,$J$2:$J$401,0)),"")</f>
        <v/>
      </c>
      <c r="J103" s="80" t="str">
        <f t="shared" si="3"/>
        <v/>
      </c>
      <c r="L103" s="2"/>
    </row>
    <row r="104" ht="15.75" customHeight="1">
      <c r="A104" s="80">
        <f t="shared" si="1"/>
        <v>103</v>
      </c>
      <c r="B104" s="81" t="s">
        <v>680</v>
      </c>
      <c r="C104" s="13" t="b">
        <v>0</v>
      </c>
      <c r="D104" s="80">
        <f>IF(B104="","",COUNTIFS('Binder Data'!$B$2:$B$6251,B104,'Binder Data'!$E$2:$E$6251,"Y"))</f>
        <v>0</v>
      </c>
      <c r="E104" s="17">
        <f>IF(B104="","",SUMIFS('Binder Data'!$F$2:$F$6251,'Binder Data'!$B$2:$B$6251,B104,'Binder Data'!$E$2:$E$6251,"Y"))</f>
        <v>0</v>
      </c>
      <c r="F104" s="80" t="str">
        <f>IF(B104="","",IF(C104=TRUE(),"Searched / no binder",IF(D104=0,"No cards assigned",IF(OR(D104&gt;=Binders!$D$3,E104&gt;=Binders!$E$3),"Pull","Skip: buy elsewhere"))))</f>
        <v>No cards assigned</v>
      </c>
      <c r="G104" s="80" t="str">
        <f t="shared" si="2"/>
        <v/>
      </c>
      <c r="H104" s="82">
        <v>1.0</v>
      </c>
      <c r="I104" s="80" t="str">
        <f t="array" ref="I104">IFERROR(INDEX($B$2:$B$401,MATCH(103,$J$2:$J$401,0)),"")</f>
        <v/>
      </c>
      <c r="J104" s="80" t="str">
        <f t="shared" si="3"/>
        <v/>
      </c>
      <c r="L104" s="2"/>
    </row>
    <row r="105" ht="15.75" customHeight="1">
      <c r="A105" s="80">
        <f t="shared" si="1"/>
        <v>104</v>
      </c>
      <c r="B105" s="81" t="s">
        <v>681</v>
      </c>
      <c r="C105" s="13" t="b">
        <v>0</v>
      </c>
      <c r="D105" s="80">
        <f>IF(B105="","",COUNTIFS('Binder Data'!$B$2:$B$6251,B105,'Binder Data'!$E$2:$E$6251,"Y"))</f>
        <v>0</v>
      </c>
      <c r="E105" s="17">
        <f>IF(B105="","",SUMIFS('Binder Data'!$F$2:$F$6251,'Binder Data'!$B$2:$B$6251,B105,'Binder Data'!$E$2:$E$6251,"Y"))</f>
        <v>0</v>
      </c>
      <c r="F105" s="80" t="str">
        <f>IF(B105="","",IF(C105=TRUE(),"Searched / no binder",IF(D105=0,"No cards assigned",IF(OR(D105&gt;=Binders!$D$3,E105&gt;=Binders!$E$3),"Pull","Skip: buy elsewhere"))))</f>
        <v>No cards assigned</v>
      </c>
      <c r="G105" s="80" t="str">
        <f t="shared" si="2"/>
        <v/>
      </c>
      <c r="H105" s="82">
        <v>1.0</v>
      </c>
      <c r="I105" s="80" t="str">
        <f t="array" ref="I105">IFERROR(INDEX($B$2:$B$401,MATCH(104,$J$2:$J$401,0)),"")</f>
        <v/>
      </c>
      <c r="J105" s="80" t="str">
        <f t="shared" si="3"/>
        <v/>
      </c>
      <c r="L105" s="2"/>
    </row>
    <row r="106" ht="15.75" customHeight="1">
      <c r="A106" s="80">
        <f t="shared" si="1"/>
        <v>105</v>
      </c>
      <c r="B106" s="81" t="s">
        <v>682</v>
      </c>
      <c r="C106" s="13" t="b">
        <v>0</v>
      </c>
      <c r="D106" s="80">
        <f>IF(B106="","",COUNTIFS('Binder Data'!$B$2:$B$6251,B106,'Binder Data'!$E$2:$E$6251,"Y"))</f>
        <v>0</v>
      </c>
      <c r="E106" s="17">
        <f>IF(B106="","",SUMIFS('Binder Data'!$F$2:$F$6251,'Binder Data'!$B$2:$B$6251,B106,'Binder Data'!$E$2:$E$6251,"Y"))</f>
        <v>0</v>
      </c>
      <c r="F106" s="80" t="str">
        <f>IF(B106="","",IF(C106=TRUE(),"Searched / no binder",IF(D106=0,"No cards assigned",IF(OR(D106&gt;=Binders!$D$3,E106&gt;=Binders!$E$3),"Pull","Skip: buy elsewhere"))))</f>
        <v>No cards assigned</v>
      </c>
      <c r="G106" s="80" t="str">
        <f t="shared" si="2"/>
        <v/>
      </c>
      <c r="H106" s="82">
        <v>1.0</v>
      </c>
      <c r="I106" s="80" t="str">
        <f t="array" ref="I106">IFERROR(INDEX($B$2:$B$401,MATCH(105,$J$2:$J$401,0)),"")</f>
        <v/>
      </c>
      <c r="J106" s="80" t="str">
        <f t="shared" si="3"/>
        <v/>
      </c>
      <c r="L106" s="2"/>
    </row>
    <row r="107" ht="15.75" customHeight="1">
      <c r="A107" s="80">
        <f t="shared" si="1"/>
        <v>106</v>
      </c>
      <c r="B107" s="81" t="s">
        <v>683</v>
      </c>
      <c r="C107" s="13" t="b">
        <v>0</v>
      </c>
      <c r="D107" s="80">
        <f>IF(B107="","",COUNTIFS('Binder Data'!$B$2:$B$6251,B107,'Binder Data'!$E$2:$E$6251,"Y"))</f>
        <v>0</v>
      </c>
      <c r="E107" s="17">
        <f>IF(B107="","",SUMIFS('Binder Data'!$F$2:$F$6251,'Binder Data'!$B$2:$B$6251,B107,'Binder Data'!$E$2:$E$6251,"Y"))</f>
        <v>0</v>
      </c>
      <c r="F107" s="80" t="str">
        <f>IF(B107="","",IF(C107=TRUE(),"Searched / no binder",IF(D107=0,"No cards assigned",IF(OR(D107&gt;=Binders!$D$3,E107&gt;=Binders!$E$3),"Pull","Skip: buy elsewhere"))))</f>
        <v>No cards assigned</v>
      </c>
      <c r="G107" s="80" t="str">
        <f t="shared" si="2"/>
        <v/>
      </c>
      <c r="H107" s="82">
        <v>1.0</v>
      </c>
      <c r="I107" s="80" t="str">
        <f t="array" ref="I107">IFERROR(INDEX($B$2:$B$401,MATCH(106,$J$2:$J$401,0)),"")</f>
        <v/>
      </c>
      <c r="J107" s="80" t="str">
        <f t="shared" si="3"/>
        <v/>
      </c>
      <c r="L107" s="2"/>
    </row>
    <row r="108" ht="15.75" customHeight="1">
      <c r="A108" s="80">
        <f t="shared" si="1"/>
        <v>107</v>
      </c>
      <c r="B108" s="81" t="s">
        <v>684</v>
      </c>
      <c r="C108" s="13" t="b">
        <v>0</v>
      </c>
      <c r="D108" s="80">
        <f>IF(B108="","",COUNTIFS('Binder Data'!$B$2:$B$6251,B108,'Binder Data'!$E$2:$E$6251,"Y"))</f>
        <v>0</v>
      </c>
      <c r="E108" s="17">
        <f>IF(B108="","",SUMIFS('Binder Data'!$F$2:$F$6251,'Binder Data'!$B$2:$B$6251,B108,'Binder Data'!$E$2:$E$6251,"Y"))</f>
        <v>0</v>
      </c>
      <c r="F108" s="80" t="str">
        <f>IF(B108="","",IF(C108=TRUE(),"Searched / no binder",IF(D108=0,"No cards assigned",IF(OR(D108&gt;=Binders!$D$3,E108&gt;=Binders!$E$3),"Pull","Skip: buy elsewhere"))))</f>
        <v>No cards assigned</v>
      </c>
      <c r="G108" s="80" t="str">
        <f t="shared" si="2"/>
        <v/>
      </c>
      <c r="H108" s="82">
        <v>1.0</v>
      </c>
      <c r="I108" s="80" t="str">
        <f t="array" ref="I108">IFERROR(INDEX($B$2:$B$401,MATCH(107,$J$2:$J$401,0)),"")</f>
        <v/>
      </c>
      <c r="J108" s="80" t="str">
        <f t="shared" si="3"/>
        <v/>
      </c>
      <c r="L108" s="2"/>
    </row>
    <row r="109" ht="15.75" customHeight="1">
      <c r="A109" s="80">
        <f t="shared" si="1"/>
        <v>108</v>
      </c>
      <c r="B109" s="81" t="s">
        <v>685</v>
      </c>
      <c r="C109" s="13" t="b">
        <v>0</v>
      </c>
      <c r="D109" s="80">
        <f>IF(B109="","",COUNTIFS('Binder Data'!$B$2:$B$6251,B109,'Binder Data'!$E$2:$E$6251,"Y"))</f>
        <v>0</v>
      </c>
      <c r="E109" s="17">
        <f>IF(B109="","",SUMIFS('Binder Data'!$F$2:$F$6251,'Binder Data'!$B$2:$B$6251,B109,'Binder Data'!$E$2:$E$6251,"Y"))</f>
        <v>0</v>
      </c>
      <c r="F109" s="80" t="str">
        <f>IF(B109="","",IF(C109=TRUE(),"Searched / no binder",IF(D109=0,"No cards assigned",IF(OR(D109&gt;=Binders!$D$3,E109&gt;=Binders!$E$3),"Pull","Skip: buy elsewhere"))))</f>
        <v>No cards assigned</v>
      </c>
      <c r="G109" s="80" t="str">
        <f t="shared" si="2"/>
        <v/>
      </c>
      <c r="H109" s="82">
        <v>1.0</v>
      </c>
      <c r="I109" s="80" t="str">
        <f t="array" ref="I109">IFERROR(INDEX($B$2:$B$401,MATCH(108,$J$2:$J$401,0)),"")</f>
        <v/>
      </c>
      <c r="J109" s="80" t="str">
        <f t="shared" si="3"/>
        <v/>
      </c>
      <c r="L109" s="2"/>
    </row>
    <row r="110" ht="15.75" customHeight="1">
      <c r="A110" s="80">
        <f t="shared" si="1"/>
        <v>109</v>
      </c>
      <c r="B110" s="81" t="s">
        <v>686</v>
      </c>
      <c r="C110" s="13" t="b">
        <v>0</v>
      </c>
      <c r="D110" s="80">
        <f>IF(B110="","",COUNTIFS('Binder Data'!$B$2:$B$6251,B110,'Binder Data'!$E$2:$E$6251,"Y"))</f>
        <v>0</v>
      </c>
      <c r="E110" s="17">
        <f>IF(B110="","",SUMIFS('Binder Data'!$F$2:$F$6251,'Binder Data'!$B$2:$B$6251,B110,'Binder Data'!$E$2:$E$6251,"Y"))</f>
        <v>0</v>
      </c>
      <c r="F110" s="80" t="str">
        <f>IF(B110="","",IF(C110=TRUE(),"Searched / no binder",IF(D110=0,"No cards assigned",IF(OR(D110&gt;=Binders!$D$3,E110&gt;=Binders!$E$3),"Pull","Skip: buy elsewhere"))))</f>
        <v>No cards assigned</v>
      </c>
      <c r="G110" s="80" t="str">
        <f t="shared" si="2"/>
        <v/>
      </c>
      <c r="H110" s="82">
        <v>1.0</v>
      </c>
      <c r="I110" s="80" t="str">
        <f t="array" ref="I110">IFERROR(INDEX($B$2:$B$401,MATCH(109,$J$2:$J$401,0)),"")</f>
        <v/>
      </c>
      <c r="J110" s="80" t="str">
        <f t="shared" si="3"/>
        <v/>
      </c>
      <c r="L110" s="2"/>
    </row>
    <row r="111" ht="15.75" customHeight="1">
      <c r="A111" s="80">
        <f t="shared" si="1"/>
        <v>110</v>
      </c>
      <c r="B111" s="81" t="s">
        <v>687</v>
      </c>
      <c r="C111" s="13" t="b">
        <v>0</v>
      </c>
      <c r="D111" s="80">
        <f>IF(B111="","",COUNTIFS('Binder Data'!$B$2:$B$6251,B111,'Binder Data'!$E$2:$E$6251,"Y"))</f>
        <v>0</v>
      </c>
      <c r="E111" s="17">
        <f>IF(B111="","",SUMIFS('Binder Data'!$F$2:$F$6251,'Binder Data'!$B$2:$B$6251,B111,'Binder Data'!$E$2:$E$6251,"Y"))</f>
        <v>0</v>
      </c>
      <c r="F111" s="80" t="str">
        <f>IF(B111="","",IF(C111=TRUE(),"Searched / no binder",IF(D111=0,"No cards assigned",IF(OR(D111&gt;=Binders!$D$3,E111&gt;=Binders!$E$3),"Pull","Skip: buy elsewhere"))))</f>
        <v>No cards assigned</v>
      </c>
      <c r="G111" s="80" t="str">
        <f t="shared" si="2"/>
        <v/>
      </c>
      <c r="H111" s="82">
        <v>1.0</v>
      </c>
      <c r="I111" s="80" t="str">
        <f t="array" ref="I111">IFERROR(INDEX($B$2:$B$401,MATCH(110,$J$2:$J$401,0)),"")</f>
        <v/>
      </c>
      <c r="J111" s="80" t="str">
        <f t="shared" si="3"/>
        <v/>
      </c>
      <c r="L111" s="2"/>
    </row>
    <row r="112" ht="15.75" customHeight="1">
      <c r="A112" s="80">
        <f t="shared" si="1"/>
        <v>111</v>
      </c>
      <c r="B112" s="81" t="s">
        <v>688</v>
      </c>
      <c r="C112" s="13" t="b">
        <v>0</v>
      </c>
      <c r="D112" s="80">
        <f>IF(B112="","",COUNTIFS('Binder Data'!$B$2:$B$6251,B112,'Binder Data'!$E$2:$E$6251,"Y"))</f>
        <v>0</v>
      </c>
      <c r="E112" s="17">
        <f>IF(B112="","",SUMIFS('Binder Data'!$F$2:$F$6251,'Binder Data'!$B$2:$B$6251,B112,'Binder Data'!$E$2:$E$6251,"Y"))</f>
        <v>0</v>
      </c>
      <c r="F112" s="80" t="str">
        <f>IF(B112="","",IF(C112=TRUE(),"Searched / no binder",IF(D112=0,"No cards assigned",IF(OR(D112&gt;=Binders!$D$3,E112&gt;=Binders!$E$3),"Pull","Skip: buy elsewhere"))))</f>
        <v>No cards assigned</v>
      </c>
      <c r="G112" s="80" t="str">
        <f t="shared" si="2"/>
        <v/>
      </c>
      <c r="H112" s="82">
        <v>1.0</v>
      </c>
      <c r="I112" s="80" t="str">
        <f t="array" ref="I112">IFERROR(INDEX($B$2:$B$401,MATCH(111,$J$2:$J$401,0)),"")</f>
        <v/>
      </c>
      <c r="J112" s="80" t="str">
        <f t="shared" si="3"/>
        <v/>
      </c>
      <c r="L112" s="2"/>
    </row>
    <row r="113" ht="15.75" customHeight="1">
      <c r="A113" s="80">
        <f t="shared" si="1"/>
        <v>112</v>
      </c>
      <c r="B113" s="81" t="s">
        <v>689</v>
      </c>
      <c r="C113" s="13" t="b">
        <v>0</v>
      </c>
      <c r="D113" s="80">
        <f>IF(B113="","",COUNTIFS('Binder Data'!$B$2:$B$6251,B113,'Binder Data'!$E$2:$E$6251,"Y"))</f>
        <v>0</v>
      </c>
      <c r="E113" s="17">
        <f>IF(B113="","",SUMIFS('Binder Data'!$F$2:$F$6251,'Binder Data'!$B$2:$B$6251,B113,'Binder Data'!$E$2:$E$6251,"Y"))</f>
        <v>0</v>
      </c>
      <c r="F113" s="80" t="str">
        <f>IF(B113="","",IF(C113=TRUE(),"Searched / no binder",IF(D113=0,"No cards assigned",IF(OR(D113&gt;=Binders!$D$3,E113&gt;=Binders!$E$3),"Pull","Skip: buy elsewhere"))))</f>
        <v>No cards assigned</v>
      </c>
      <c r="G113" s="80" t="str">
        <f t="shared" si="2"/>
        <v/>
      </c>
      <c r="H113" s="82">
        <v>1.0</v>
      </c>
      <c r="I113" s="80" t="str">
        <f t="array" ref="I113">IFERROR(INDEX($B$2:$B$401,MATCH(112,$J$2:$J$401,0)),"")</f>
        <v/>
      </c>
      <c r="J113" s="80" t="str">
        <f t="shared" si="3"/>
        <v/>
      </c>
      <c r="L113" s="2"/>
    </row>
    <row r="114" ht="15.75" customHeight="1">
      <c r="A114" s="80">
        <f t="shared" si="1"/>
        <v>113</v>
      </c>
      <c r="B114" s="81" t="s">
        <v>690</v>
      </c>
      <c r="C114" s="13" t="b">
        <v>0</v>
      </c>
      <c r="D114" s="80">
        <f>IF(B114="","",COUNTIFS('Binder Data'!$B$2:$B$6251,B114,'Binder Data'!$E$2:$E$6251,"Y"))</f>
        <v>0</v>
      </c>
      <c r="E114" s="17">
        <f>IF(B114="","",SUMIFS('Binder Data'!$F$2:$F$6251,'Binder Data'!$B$2:$B$6251,B114,'Binder Data'!$E$2:$E$6251,"Y"))</f>
        <v>0</v>
      </c>
      <c r="F114" s="80" t="str">
        <f>IF(B114="","",IF(C114=TRUE(),"Searched / no binder",IF(D114=0,"No cards assigned",IF(OR(D114&gt;=Binders!$D$3,E114&gt;=Binders!$E$3),"Pull","Skip: buy elsewhere"))))</f>
        <v>No cards assigned</v>
      </c>
      <c r="G114" s="80" t="str">
        <f t="shared" si="2"/>
        <v/>
      </c>
      <c r="H114" s="82">
        <v>1.0</v>
      </c>
      <c r="I114" s="80" t="str">
        <f t="array" ref="I114">IFERROR(INDEX($B$2:$B$401,MATCH(113,$J$2:$J$401,0)),"")</f>
        <v/>
      </c>
      <c r="J114" s="80" t="str">
        <f t="shared" si="3"/>
        <v/>
      </c>
      <c r="L114" s="2"/>
    </row>
    <row r="115" ht="15.75" customHeight="1">
      <c r="A115" s="80">
        <f t="shared" si="1"/>
        <v>114</v>
      </c>
      <c r="B115" s="81" t="s">
        <v>691</v>
      </c>
      <c r="C115" s="13" t="b">
        <v>0</v>
      </c>
      <c r="D115" s="80">
        <f>IF(B115="","",COUNTIFS('Binder Data'!$B$2:$B$6251,B115,'Binder Data'!$E$2:$E$6251,"Y"))</f>
        <v>0</v>
      </c>
      <c r="E115" s="17">
        <f>IF(B115="","",SUMIFS('Binder Data'!$F$2:$F$6251,'Binder Data'!$B$2:$B$6251,B115,'Binder Data'!$E$2:$E$6251,"Y"))</f>
        <v>0</v>
      </c>
      <c r="F115" s="80" t="str">
        <f>IF(B115="","",IF(C115=TRUE(),"Searched / no binder",IF(D115=0,"No cards assigned",IF(OR(D115&gt;=Binders!$D$3,E115&gt;=Binders!$E$3),"Pull","Skip: buy elsewhere"))))</f>
        <v>No cards assigned</v>
      </c>
      <c r="G115" s="80" t="str">
        <f t="shared" si="2"/>
        <v/>
      </c>
      <c r="H115" s="82">
        <v>1.0</v>
      </c>
      <c r="I115" s="80" t="str">
        <f t="array" ref="I115">IFERROR(INDEX($B$2:$B$401,MATCH(114,$J$2:$J$401,0)),"")</f>
        <v/>
      </c>
      <c r="J115" s="80" t="str">
        <f t="shared" si="3"/>
        <v/>
      </c>
      <c r="L115" s="2"/>
    </row>
    <row r="116" ht="15.75" customHeight="1">
      <c r="A116" s="80">
        <f t="shared" si="1"/>
        <v>115</v>
      </c>
      <c r="B116" s="81" t="s">
        <v>692</v>
      </c>
      <c r="C116" s="13" t="b">
        <v>0</v>
      </c>
      <c r="D116" s="80">
        <f>IF(B116="","",COUNTIFS('Binder Data'!$B$2:$B$6251,B116,'Binder Data'!$E$2:$E$6251,"Y"))</f>
        <v>1</v>
      </c>
      <c r="E116" s="17">
        <f>IF(B116="","",SUMIFS('Binder Data'!$F$2:$F$6251,'Binder Data'!$B$2:$B$6251,B116,'Binder Data'!$E$2:$E$6251,"Y"))</f>
        <v>0.39</v>
      </c>
      <c r="F116" s="80" t="str">
        <f>IF(B116="","",IF(C116=TRUE(),"Searched / no binder",IF(D116=0,"No cards assigned",IF(OR(D116&gt;=Binders!$D$3,E116&gt;=Binders!$E$3),"Pull","Skip: buy elsewhere"))))</f>
        <v>Skip: buy elsewhere</v>
      </c>
      <c r="G116" s="80">
        <f t="shared" si="2"/>
        <v>25</v>
      </c>
      <c r="H116" s="82">
        <v>1.0</v>
      </c>
      <c r="I116" s="80" t="str">
        <f t="array" ref="I116">IFERROR(INDEX($B$2:$B$401,MATCH(115,$J$2:$J$401,0)),"")</f>
        <v/>
      </c>
      <c r="J116" s="80" t="str">
        <f t="shared" si="3"/>
        <v/>
      </c>
      <c r="L116" s="2"/>
    </row>
    <row r="117" ht="15.75" customHeight="1">
      <c r="A117" s="80">
        <f t="shared" si="1"/>
        <v>116</v>
      </c>
      <c r="B117" s="81" t="s">
        <v>693</v>
      </c>
      <c r="C117" s="13" t="b">
        <v>0</v>
      </c>
      <c r="D117" s="80">
        <f>IF(B117="","",COUNTIFS('Binder Data'!$B$2:$B$6251,B117,'Binder Data'!$E$2:$E$6251,"Y"))</f>
        <v>0</v>
      </c>
      <c r="E117" s="17">
        <f>IF(B117="","",SUMIFS('Binder Data'!$F$2:$F$6251,'Binder Data'!$B$2:$B$6251,B117,'Binder Data'!$E$2:$E$6251,"Y"))</f>
        <v>0</v>
      </c>
      <c r="F117" s="80" t="str">
        <f>IF(B117="","",IF(C117=TRUE(),"Searched / no binder",IF(D117=0,"No cards assigned",IF(OR(D117&gt;=Binders!$D$3,E117&gt;=Binders!$E$3),"Pull","Skip: buy elsewhere"))))</f>
        <v>No cards assigned</v>
      </c>
      <c r="G117" s="80" t="str">
        <f t="shared" si="2"/>
        <v/>
      </c>
      <c r="H117" s="82">
        <v>1.0</v>
      </c>
      <c r="I117" s="80" t="str">
        <f t="array" ref="I117">IFERROR(INDEX($B$2:$B$401,MATCH(116,$J$2:$J$401,0)),"")</f>
        <v/>
      </c>
      <c r="J117" s="80" t="str">
        <f t="shared" si="3"/>
        <v/>
      </c>
      <c r="L117" s="2"/>
    </row>
    <row r="118" ht="15.75" customHeight="1">
      <c r="A118" s="80">
        <f t="shared" si="1"/>
        <v>117</v>
      </c>
      <c r="B118" s="81" t="s">
        <v>419</v>
      </c>
      <c r="C118" s="13" t="b">
        <v>0</v>
      </c>
      <c r="D118" s="80">
        <f>IF(B118="","",COUNTIFS('Binder Data'!$B$2:$B$6251,B118,'Binder Data'!$E$2:$E$6251,"Y"))</f>
        <v>1</v>
      </c>
      <c r="E118" s="17">
        <f>IF(B118="","",SUMIFS('Binder Data'!$F$2:$F$6251,'Binder Data'!$B$2:$B$6251,B118,'Binder Data'!$E$2:$E$6251,"Y"))</f>
        <v>0.52</v>
      </c>
      <c r="F118" s="80" t="str">
        <f>IF(B118="","",IF(C118=TRUE(),"Searched / no binder",IF(D118=0,"No cards assigned",IF(OR(D118&gt;=Binders!$D$3,E118&gt;=Binders!$E$3),"Pull","Skip: buy elsewhere"))))</f>
        <v>Skip: buy elsewhere</v>
      </c>
      <c r="G118" s="80">
        <f t="shared" si="2"/>
        <v>26</v>
      </c>
      <c r="H118" s="82">
        <v>1.0</v>
      </c>
      <c r="I118" s="80" t="str">
        <f t="array" ref="I118">IFERROR(INDEX($B$2:$B$401,MATCH(117,$J$2:$J$401,0)),"")</f>
        <v/>
      </c>
      <c r="J118" s="80" t="str">
        <f t="shared" si="3"/>
        <v/>
      </c>
      <c r="L118" s="2"/>
    </row>
    <row r="119" ht="15.75" customHeight="1">
      <c r="A119" s="80">
        <f t="shared" si="1"/>
        <v>118</v>
      </c>
      <c r="B119" s="81" t="s">
        <v>694</v>
      </c>
      <c r="C119" s="13" t="b">
        <v>0</v>
      </c>
      <c r="D119" s="80">
        <f>IF(B119="","",COUNTIFS('Binder Data'!$B$2:$B$6251,B119,'Binder Data'!$E$2:$E$6251,"Y"))</f>
        <v>0</v>
      </c>
      <c r="E119" s="17">
        <f>IF(B119="","",SUMIFS('Binder Data'!$F$2:$F$6251,'Binder Data'!$B$2:$B$6251,B119,'Binder Data'!$E$2:$E$6251,"Y"))</f>
        <v>0</v>
      </c>
      <c r="F119" s="80" t="str">
        <f>IF(B119="","",IF(C119=TRUE(),"Searched / no binder",IF(D119=0,"No cards assigned",IF(OR(D119&gt;=Binders!$D$3,E119&gt;=Binders!$E$3),"Pull","Skip: buy elsewhere"))))</f>
        <v>No cards assigned</v>
      </c>
      <c r="G119" s="80" t="str">
        <f t="shared" si="2"/>
        <v/>
      </c>
      <c r="H119" s="82">
        <v>1.0</v>
      </c>
      <c r="I119" s="80" t="str">
        <f t="array" ref="I119">IFERROR(INDEX($B$2:$B$401,MATCH(118,$J$2:$J$401,0)),"")</f>
        <v/>
      </c>
      <c r="J119" s="80" t="str">
        <f t="shared" si="3"/>
        <v/>
      </c>
      <c r="L119" s="2"/>
    </row>
    <row r="120" ht="15.75" customHeight="1">
      <c r="A120" s="80">
        <f t="shared" si="1"/>
        <v>119</v>
      </c>
      <c r="B120" s="81" t="s">
        <v>695</v>
      </c>
      <c r="C120" s="13" t="b">
        <v>0</v>
      </c>
      <c r="D120" s="80">
        <f>IF(B120="","",COUNTIFS('Binder Data'!$B$2:$B$6251,B120,'Binder Data'!$E$2:$E$6251,"Y"))</f>
        <v>0</v>
      </c>
      <c r="E120" s="17">
        <f>IF(B120="","",SUMIFS('Binder Data'!$F$2:$F$6251,'Binder Data'!$B$2:$B$6251,B120,'Binder Data'!$E$2:$E$6251,"Y"))</f>
        <v>0</v>
      </c>
      <c r="F120" s="80" t="str">
        <f>IF(B120="","",IF(C120=TRUE(),"Searched / no binder",IF(D120=0,"No cards assigned",IF(OR(D120&gt;=Binders!$D$3,E120&gt;=Binders!$E$3),"Pull","Skip: buy elsewhere"))))</f>
        <v>No cards assigned</v>
      </c>
      <c r="G120" s="80" t="str">
        <f t="shared" si="2"/>
        <v/>
      </c>
      <c r="H120" s="82">
        <v>1.0</v>
      </c>
      <c r="I120" s="80" t="str">
        <f t="array" ref="I120">IFERROR(INDEX($B$2:$B$401,MATCH(119,$J$2:$J$401,0)),"")</f>
        <v/>
      </c>
      <c r="J120" s="80" t="str">
        <f t="shared" si="3"/>
        <v/>
      </c>
      <c r="L120" s="2"/>
    </row>
    <row r="121" ht="15.75" customHeight="1">
      <c r="A121" s="80">
        <f t="shared" si="1"/>
        <v>120</v>
      </c>
      <c r="B121" s="81" t="s">
        <v>696</v>
      </c>
      <c r="C121" s="13" t="b">
        <v>0</v>
      </c>
      <c r="D121" s="80">
        <f>IF(B121="","",COUNTIFS('Binder Data'!$B$2:$B$6251,B121,'Binder Data'!$E$2:$E$6251,"Y"))</f>
        <v>0</v>
      </c>
      <c r="E121" s="17">
        <f>IF(B121="","",SUMIFS('Binder Data'!$F$2:$F$6251,'Binder Data'!$B$2:$B$6251,B121,'Binder Data'!$E$2:$E$6251,"Y"))</f>
        <v>0</v>
      </c>
      <c r="F121" s="80" t="str">
        <f>IF(B121="","",IF(C121=TRUE(),"Searched / no binder",IF(D121=0,"No cards assigned",IF(OR(D121&gt;=Binders!$D$3,E121&gt;=Binders!$E$3),"Pull","Skip: buy elsewhere"))))</f>
        <v>No cards assigned</v>
      </c>
      <c r="G121" s="80" t="str">
        <f t="shared" si="2"/>
        <v/>
      </c>
      <c r="H121" s="82">
        <v>1.0</v>
      </c>
      <c r="I121" s="80" t="str">
        <f t="array" ref="I121">IFERROR(INDEX($B$2:$B$401,MATCH(120,$J$2:$J$401,0)),"")</f>
        <v/>
      </c>
      <c r="J121" s="80" t="str">
        <f t="shared" si="3"/>
        <v/>
      </c>
      <c r="L121" s="2"/>
    </row>
    <row r="122" ht="15.75" customHeight="1">
      <c r="A122" s="80">
        <f t="shared" si="1"/>
        <v>121</v>
      </c>
      <c r="B122" s="81" t="s">
        <v>697</v>
      </c>
      <c r="C122" s="13" t="b">
        <v>0</v>
      </c>
      <c r="D122" s="80">
        <f>IF(B122="","",COUNTIFS('Binder Data'!$B$2:$B$6251,B122,'Binder Data'!$E$2:$E$6251,"Y"))</f>
        <v>0</v>
      </c>
      <c r="E122" s="17">
        <f>IF(B122="","",SUMIFS('Binder Data'!$F$2:$F$6251,'Binder Data'!$B$2:$B$6251,B122,'Binder Data'!$E$2:$E$6251,"Y"))</f>
        <v>0</v>
      </c>
      <c r="F122" s="80" t="str">
        <f>IF(B122="","",IF(C122=TRUE(),"Searched / no binder",IF(D122=0,"No cards assigned",IF(OR(D122&gt;=Binders!$D$3,E122&gt;=Binders!$E$3),"Pull","Skip: buy elsewhere"))))</f>
        <v>No cards assigned</v>
      </c>
      <c r="G122" s="80" t="str">
        <f t="shared" si="2"/>
        <v/>
      </c>
      <c r="H122" s="82">
        <v>1.0</v>
      </c>
      <c r="I122" s="80" t="str">
        <f t="array" ref="I122">IFERROR(INDEX($B$2:$B$401,MATCH(121,$J$2:$J$401,0)),"")</f>
        <v/>
      </c>
      <c r="J122" s="80" t="str">
        <f t="shared" si="3"/>
        <v/>
      </c>
      <c r="L122" s="2"/>
    </row>
    <row r="123" ht="15.75" customHeight="1">
      <c r="A123" s="80">
        <f t="shared" si="1"/>
        <v>122</v>
      </c>
      <c r="B123" s="81" t="s">
        <v>698</v>
      </c>
      <c r="C123" s="13" t="b">
        <v>0</v>
      </c>
      <c r="D123" s="80">
        <f>IF(B123="","",COUNTIFS('Binder Data'!$B$2:$B$6251,B123,'Binder Data'!$E$2:$E$6251,"Y"))</f>
        <v>0</v>
      </c>
      <c r="E123" s="17">
        <f>IF(B123="","",SUMIFS('Binder Data'!$F$2:$F$6251,'Binder Data'!$B$2:$B$6251,B123,'Binder Data'!$E$2:$E$6251,"Y"))</f>
        <v>0</v>
      </c>
      <c r="F123" s="80" t="str">
        <f>IF(B123="","",IF(C123=TRUE(),"Searched / no binder",IF(D123=0,"No cards assigned",IF(OR(D123&gt;=Binders!$D$3,E123&gt;=Binders!$E$3),"Pull","Skip: buy elsewhere"))))</f>
        <v>No cards assigned</v>
      </c>
      <c r="G123" s="80" t="str">
        <f t="shared" si="2"/>
        <v/>
      </c>
      <c r="H123" s="82">
        <v>1.0</v>
      </c>
      <c r="I123" s="80" t="str">
        <f t="array" ref="I123">IFERROR(INDEX($B$2:$B$401,MATCH(122,$J$2:$J$401,0)),"")</f>
        <v/>
      </c>
      <c r="J123" s="80" t="str">
        <f t="shared" si="3"/>
        <v/>
      </c>
      <c r="L123" s="2"/>
    </row>
    <row r="124" ht="15.75" customHeight="1">
      <c r="A124" s="80">
        <f t="shared" si="1"/>
        <v>123</v>
      </c>
      <c r="B124" s="81" t="s">
        <v>699</v>
      </c>
      <c r="C124" s="13" t="b">
        <v>0</v>
      </c>
      <c r="D124" s="80">
        <f>IF(B124="","",COUNTIFS('Binder Data'!$B$2:$B$6251,B124,'Binder Data'!$E$2:$E$6251,"Y"))</f>
        <v>0</v>
      </c>
      <c r="E124" s="17">
        <f>IF(B124="","",SUMIFS('Binder Data'!$F$2:$F$6251,'Binder Data'!$B$2:$B$6251,B124,'Binder Data'!$E$2:$E$6251,"Y"))</f>
        <v>0</v>
      </c>
      <c r="F124" s="80" t="str">
        <f>IF(B124="","",IF(C124=TRUE(),"Searched / no binder",IF(D124=0,"No cards assigned",IF(OR(D124&gt;=Binders!$D$3,E124&gt;=Binders!$E$3),"Pull","Skip: buy elsewhere"))))</f>
        <v>No cards assigned</v>
      </c>
      <c r="G124" s="80" t="str">
        <f t="shared" si="2"/>
        <v/>
      </c>
      <c r="H124" s="82">
        <v>1.0</v>
      </c>
      <c r="I124" s="80" t="str">
        <f t="array" ref="I124">IFERROR(INDEX($B$2:$B$401,MATCH(123,$J$2:$J$401,0)),"")</f>
        <v/>
      </c>
      <c r="J124" s="80" t="str">
        <f t="shared" si="3"/>
        <v/>
      </c>
      <c r="L124" s="2"/>
    </row>
    <row r="125" ht="15.75" customHeight="1">
      <c r="A125" s="80">
        <f t="shared" si="1"/>
        <v>124</v>
      </c>
      <c r="B125" s="81" t="s">
        <v>700</v>
      </c>
      <c r="C125" s="13" t="b">
        <v>0</v>
      </c>
      <c r="D125" s="80">
        <f>IF(B125="","",COUNTIFS('Binder Data'!$B$2:$B$6251,B125,'Binder Data'!$E$2:$E$6251,"Y"))</f>
        <v>0</v>
      </c>
      <c r="E125" s="17">
        <f>IF(B125="","",SUMIFS('Binder Data'!$F$2:$F$6251,'Binder Data'!$B$2:$B$6251,B125,'Binder Data'!$E$2:$E$6251,"Y"))</f>
        <v>0</v>
      </c>
      <c r="F125" s="80" t="str">
        <f>IF(B125="","",IF(C125=TRUE(),"Searched / no binder",IF(D125=0,"No cards assigned",IF(OR(D125&gt;=Binders!$D$3,E125&gt;=Binders!$E$3),"Pull","Skip: buy elsewhere"))))</f>
        <v>No cards assigned</v>
      </c>
      <c r="G125" s="80" t="str">
        <f t="shared" si="2"/>
        <v/>
      </c>
      <c r="H125" s="82">
        <v>1.0</v>
      </c>
      <c r="I125" s="80" t="str">
        <f t="array" ref="I125">IFERROR(INDEX($B$2:$B$401,MATCH(124,$J$2:$J$401,0)),"")</f>
        <v/>
      </c>
      <c r="J125" s="80" t="str">
        <f t="shared" si="3"/>
        <v/>
      </c>
      <c r="L125" s="2"/>
    </row>
    <row r="126" ht="15.75" customHeight="1">
      <c r="A126" s="80">
        <f t="shared" si="1"/>
        <v>125</v>
      </c>
      <c r="B126" s="81" t="s">
        <v>701</v>
      </c>
      <c r="C126" s="13" t="b">
        <v>0</v>
      </c>
      <c r="D126" s="80">
        <f>IF(B126="","",COUNTIFS('Binder Data'!$B$2:$B$6251,B126,'Binder Data'!$E$2:$E$6251,"Y"))</f>
        <v>0</v>
      </c>
      <c r="E126" s="17">
        <f>IF(B126="","",SUMIFS('Binder Data'!$F$2:$F$6251,'Binder Data'!$B$2:$B$6251,B126,'Binder Data'!$E$2:$E$6251,"Y"))</f>
        <v>0</v>
      </c>
      <c r="F126" s="80" t="str">
        <f>IF(B126="","",IF(C126=TRUE(),"Searched / no binder",IF(D126=0,"No cards assigned",IF(OR(D126&gt;=Binders!$D$3,E126&gt;=Binders!$E$3),"Pull","Skip: buy elsewhere"))))</f>
        <v>No cards assigned</v>
      </c>
      <c r="G126" s="80" t="str">
        <f t="shared" si="2"/>
        <v/>
      </c>
      <c r="H126" s="82">
        <v>1.0</v>
      </c>
      <c r="I126" s="80" t="str">
        <f t="array" ref="I126">IFERROR(INDEX($B$2:$B$401,MATCH(125,$J$2:$J$401,0)),"")</f>
        <v/>
      </c>
      <c r="J126" s="80" t="str">
        <f t="shared" si="3"/>
        <v/>
      </c>
      <c r="L126" s="2"/>
    </row>
    <row r="127" ht="15.75" customHeight="1">
      <c r="A127" s="80">
        <f t="shared" si="1"/>
        <v>126</v>
      </c>
      <c r="B127" s="81" t="s">
        <v>702</v>
      </c>
      <c r="C127" s="13" t="b">
        <v>0</v>
      </c>
      <c r="D127" s="80">
        <f>IF(B127="","",COUNTIFS('Binder Data'!$B$2:$B$6251,B127,'Binder Data'!$E$2:$E$6251,"Y"))</f>
        <v>0</v>
      </c>
      <c r="E127" s="17">
        <f>IF(B127="","",SUMIFS('Binder Data'!$F$2:$F$6251,'Binder Data'!$B$2:$B$6251,B127,'Binder Data'!$E$2:$E$6251,"Y"))</f>
        <v>0</v>
      </c>
      <c r="F127" s="80" t="str">
        <f>IF(B127="","",IF(C127=TRUE(),"Searched / no binder",IF(D127=0,"No cards assigned",IF(OR(D127&gt;=Binders!$D$3,E127&gt;=Binders!$E$3),"Pull","Skip: buy elsewhere"))))</f>
        <v>No cards assigned</v>
      </c>
      <c r="G127" s="80" t="str">
        <f t="shared" si="2"/>
        <v/>
      </c>
      <c r="H127" s="82">
        <v>1.0</v>
      </c>
      <c r="I127" s="80" t="str">
        <f t="array" ref="I127">IFERROR(INDEX($B$2:$B$401,MATCH(126,$J$2:$J$401,0)),"")</f>
        <v/>
      </c>
      <c r="J127" s="80" t="str">
        <f t="shared" si="3"/>
        <v/>
      </c>
      <c r="L127" s="2"/>
    </row>
    <row r="128" ht="15.75" customHeight="1">
      <c r="A128" s="80">
        <f t="shared" si="1"/>
        <v>127</v>
      </c>
      <c r="B128" s="81" t="s">
        <v>703</v>
      </c>
      <c r="C128" s="13" t="b">
        <v>0</v>
      </c>
      <c r="D128" s="80">
        <f>IF(B128="","",COUNTIFS('Binder Data'!$B$2:$B$6251,B128,'Binder Data'!$E$2:$E$6251,"Y"))</f>
        <v>0</v>
      </c>
      <c r="E128" s="17">
        <f>IF(B128="","",SUMIFS('Binder Data'!$F$2:$F$6251,'Binder Data'!$B$2:$B$6251,B128,'Binder Data'!$E$2:$E$6251,"Y"))</f>
        <v>0</v>
      </c>
      <c r="F128" s="80" t="str">
        <f>IF(B128="","",IF(C128=TRUE(),"Searched / no binder",IF(D128=0,"No cards assigned",IF(OR(D128&gt;=Binders!$D$3,E128&gt;=Binders!$E$3),"Pull","Skip: buy elsewhere"))))</f>
        <v>No cards assigned</v>
      </c>
      <c r="G128" s="80" t="str">
        <f t="shared" si="2"/>
        <v/>
      </c>
      <c r="H128" s="82">
        <v>1.0</v>
      </c>
      <c r="I128" s="80" t="str">
        <f t="array" ref="I128">IFERROR(INDEX($B$2:$B$401,MATCH(127,$J$2:$J$401,0)),"")</f>
        <v/>
      </c>
      <c r="J128" s="80" t="str">
        <f t="shared" si="3"/>
        <v/>
      </c>
      <c r="L128" s="2"/>
    </row>
    <row r="129" ht="15.75" customHeight="1">
      <c r="A129" s="80">
        <f t="shared" si="1"/>
        <v>128</v>
      </c>
      <c r="B129" s="81" t="s">
        <v>704</v>
      </c>
      <c r="C129" s="13" t="b">
        <v>0</v>
      </c>
      <c r="D129" s="80">
        <f>IF(B129="","",COUNTIFS('Binder Data'!$B$2:$B$6251,B129,'Binder Data'!$E$2:$E$6251,"Y"))</f>
        <v>0</v>
      </c>
      <c r="E129" s="17">
        <f>IF(B129="","",SUMIFS('Binder Data'!$F$2:$F$6251,'Binder Data'!$B$2:$B$6251,B129,'Binder Data'!$E$2:$E$6251,"Y"))</f>
        <v>0</v>
      </c>
      <c r="F129" s="80" t="str">
        <f>IF(B129="","",IF(C129=TRUE(),"Searched / no binder",IF(D129=0,"No cards assigned",IF(OR(D129&gt;=Binders!$D$3,E129&gt;=Binders!$E$3),"Pull","Skip: buy elsewhere"))))</f>
        <v>No cards assigned</v>
      </c>
      <c r="G129" s="80" t="str">
        <f t="shared" si="2"/>
        <v/>
      </c>
      <c r="H129" s="82">
        <v>1.0</v>
      </c>
      <c r="I129" s="80" t="str">
        <f t="array" ref="I129">IFERROR(INDEX($B$2:$B$401,MATCH(128,$J$2:$J$401,0)),"")</f>
        <v/>
      </c>
      <c r="J129" s="80" t="str">
        <f t="shared" si="3"/>
        <v/>
      </c>
      <c r="L129" s="2"/>
    </row>
    <row r="130" ht="15.75" customHeight="1">
      <c r="A130" s="80">
        <f t="shared" si="1"/>
        <v>129</v>
      </c>
      <c r="B130" s="81" t="s">
        <v>705</v>
      </c>
      <c r="C130" s="13" t="b">
        <v>0</v>
      </c>
      <c r="D130" s="80">
        <f>IF(B130="","",COUNTIFS('Binder Data'!$B$2:$B$6251,B130,'Binder Data'!$E$2:$E$6251,"Y"))</f>
        <v>0</v>
      </c>
      <c r="E130" s="17">
        <f>IF(B130="","",SUMIFS('Binder Data'!$F$2:$F$6251,'Binder Data'!$B$2:$B$6251,B130,'Binder Data'!$E$2:$E$6251,"Y"))</f>
        <v>0</v>
      </c>
      <c r="F130" s="80" t="str">
        <f>IF(B130="","",IF(C130=TRUE(),"Searched / no binder",IF(D130=0,"No cards assigned",IF(OR(D130&gt;=Binders!$D$3,E130&gt;=Binders!$E$3),"Pull","Skip: buy elsewhere"))))</f>
        <v>No cards assigned</v>
      </c>
      <c r="G130" s="80" t="str">
        <f t="shared" si="2"/>
        <v/>
      </c>
      <c r="H130" s="82">
        <v>1.0</v>
      </c>
      <c r="I130" s="80" t="str">
        <f t="array" ref="I130">IFERROR(INDEX($B$2:$B$401,MATCH(129,$J$2:$J$401,0)),"")</f>
        <v/>
      </c>
      <c r="J130" s="80" t="str">
        <f t="shared" si="3"/>
        <v/>
      </c>
      <c r="L130" s="2"/>
    </row>
    <row r="131" ht="15.75" customHeight="1">
      <c r="A131" s="80">
        <f t="shared" si="1"/>
        <v>130</v>
      </c>
      <c r="B131" s="81" t="s">
        <v>706</v>
      </c>
      <c r="C131" s="13" t="b">
        <v>0</v>
      </c>
      <c r="D131" s="80">
        <f>IF(B131="","",COUNTIFS('Binder Data'!$B$2:$B$6251,B131,'Binder Data'!$E$2:$E$6251,"Y"))</f>
        <v>0</v>
      </c>
      <c r="E131" s="17">
        <f>IF(B131="","",SUMIFS('Binder Data'!$F$2:$F$6251,'Binder Data'!$B$2:$B$6251,B131,'Binder Data'!$E$2:$E$6251,"Y"))</f>
        <v>0</v>
      </c>
      <c r="F131" s="80" t="str">
        <f>IF(B131="","",IF(C131=TRUE(),"Searched / no binder",IF(D131=0,"No cards assigned",IF(OR(D131&gt;=Binders!$D$3,E131&gt;=Binders!$E$3),"Pull","Skip: buy elsewhere"))))</f>
        <v>No cards assigned</v>
      </c>
      <c r="G131" s="80" t="str">
        <f t="shared" si="2"/>
        <v/>
      </c>
      <c r="H131" s="82">
        <v>1.0</v>
      </c>
      <c r="I131" s="80" t="str">
        <f t="array" ref="I131">IFERROR(INDEX($B$2:$B$401,MATCH(130,$J$2:$J$401,0)),"")</f>
        <v/>
      </c>
      <c r="J131" s="80" t="str">
        <f t="shared" si="3"/>
        <v/>
      </c>
      <c r="L131" s="2"/>
    </row>
    <row r="132" ht="15.75" customHeight="1">
      <c r="A132" s="80">
        <f t="shared" si="1"/>
        <v>131</v>
      </c>
      <c r="B132" s="81" t="s">
        <v>707</v>
      </c>
      <c r="C132" s="13" t="b">
        <v>0</v>
      </c>
      <c r="D132" s="80">
        <f>IF(B132="","",COUNTIFS('Binder Data'!$B$2:$B$6251,B132,'Binder Data'!$E$2:$E$6251,"Y"))</f>
        <v>0</v>
      </c>
      <c r="E132" s="17">
        <f>IF(B132="","",SUMIFS('Binder Data'!$F$2:$F$6251,'Binder Data'!$B$2:$B$6251,B132,'Binder Data'!$E$2:$E$6251,"Y"))</f>
        <v>0</v>
      </c>
      <c r="F132" s="80" t="str">
        <f>IF(B132="","",IF(C132=TRUE(),"Searched / no binder",IF(D132=0,"No cards assigned",IF(OR(D132&gt;=Binders!$D$3,E132&gt;=Binders!$E$3),"Pull","Skip: buy elsewhere"))))</f>
        <v>No cards assigned</v>
      </c>
      <c r="G132" s="80" t="str">
        <f t="shared" si="2"/>
        <v/>
      </c>
      <c r="H132" s="82">
        <v>1.0</v>
      </c>
      <c r="I132" s="80" t="str">
        <f t="array" ref="I132">IFERROR(INDEX($B$2:$B$401,MATCH(131,$J$2:$J$401,0)),"")</f>
        <v/>
      </c>
      <c r="J132" s="80" t="str">
        <f t="shared" si="3"/>
        <v/>
      </c>
      <c r="L132" s="2"/>
    </row>
    <row r="133" ht="15.75" customHeight="1">
      <c r="A133" s="80">
        <f t="shared" si="1"/>
        <v>132</v>
      </c>
      <c r="B133" s="81" t="s">
        <v>708</v>
      </c>
      <c r="C133" s="13" t="b">
        <v>0</v>
      </c>
      <c r="D133" s="80">
        <f>IF(B133="","",COUNTIFS('Binder Data'!$B$2:$B$6251,B133,'Binder Data'!$E$2:$E$6251,"Y"))</f>
        <v>0</v>
      </c>
      <c r="E133" s="17">
        <f>IF(B133="","",SUMIFS('Binder Data'!$F$2:$F$6251,'Binder Data'!$B$2:$B$6251,B133,'Binder Data'!$E$2:$E$6251,"Y"))</f>
        <v>0</v>
      </c>
      <c r="F133" s="80" t="str">
        <f>IF(B133="","",IF(C133=TRUE(),"Searched / no binder",IF(D133=0,"No cards assigned",IF(OR(D133&gt;=Binders!$D$3,E133&gt;=Binders!$E$3),"Pull","Skip: buy elsewhere"))))</f>
        <v>No cards assigned</v>
      </c>
      <c r="G133" s="80" t="str">
        <f t="shared" si="2"/>
        <v/>
      </c>
      <c r="H133" s="82">
        <v>1.0</v>
      </c>
      <c r="I133" s="80" t="str">
        <f t="array" ref="I133">IFERROR(INDEX($B$2:$B$401,MATCH(132,$J$2:$J$401,0)),"")</f>
        <v/>
      </c>
      <c r="J133" s="80" t="str">
        <f t="shared" si="3"/>
        <v/>
      </c>
      <c r="L133" s="2"/>
    </row>
    <row r="134" ht="15.75" customHeight="1">
      <c r="A134" s="80">
        <f t="shared" si="1"/>
        <v>133</v>
      </c>
      <c r="B134" s="81" t="s">
        <v>709</v>
      </c>
      <c r="C134" s="13" t="b">
        <v>0</v>
      </c>
      <c r="D134" s="80">
        <f>IF(B134="","",COUNTIFS('Binder Data'!$B$2:$B$6251,B134,'Binder Data'!$E$2:$E$6251,"Y"))</f>
        <v>0</v>
      </c>
      <c r="E134" s="17">
        <f>IF(B134="","",SUMIFS('Binder Data'!$F$2:$F$6251,'Binder Data'!$B$2:$B$6251,B134,'Binder Data'!$E$2:$E$6251,"Y"))</f>
        <v>0</v>
      </c>
      <c r="F134" s="80" t="str">
        <f>IF(B134="","",IF(C134=TRUE(),"Searched / no binder",IF(D134=0,"No cards assigned",IF(OR(D134&gt;=Binders!$D$3,E134&gt;=Binders!$E$3),"Pull","Skip: buy elsewhere"))))</f>
        <v>No cards assigned</v>
      </c>
      <c r="G134" s="80" t="str">
        <f t="shared" si="2"/>
        <v/>
      </c>
      <c r="H134" s="82">
        <v>1.0</v>
      </c>
      <c r="I134" s="80" t="str">
        <f t="array" ref="I134">IFERROR(INDEX($B$2:$B$401,MATCH(133,$J$2:$J$401,0)),"")</f>
        <v/>
      </c>
      <c r="J134" s="80" t="str">
        <f t="shared" si="3"/>
        <v/>
      </c>
      <c r="L134" s="2"/>
    </row>
    <row r="135" ht="15.75" customHeight="1">
      <c r="A135" s="80">
        <f t="shared" si="1"/>
        <v>134</v>
      </c>
      <c r="B135" s="81" t="s">
        <v>710</v>
      </c>
      <c r="C135" s="13" t="b">
        <v>0</v>
      </c>
      <c r="D135" s="80">
        <f>IF(B135="","",COUNTIFS('Binder Data'!$B$2:$B$6251,B135,'Binder Data'!$E$2:$E$6251,"Y"))</f>
        <v>0</v>
      </c>
      <c r="E135" s="17">
        <f>IF(B135="","",SUMIFS('Binder Data'!$F$2:$F$6251,'Binder Data'!$B$2:$B$6251,B135,'Binder Data'!$E$2:$E$6251,"Y"))</f>
        <v>0</v>
      </c>
      <c r="F135" s="80" t="str">
        <f>IF(B135="","",IF(C135=TRUE(),"Searched / no binder",IF(D135=0,"No cards assigned",IF(OR(D135&gt;=Binders!$D$3,E135&gt;=Binders!$E$3),"Pull","Skip: buy elsewhere"))))</f>
        <v>No cards assigned</v>
      </c>
      <c r="G135" s="80" t="str">
        <f t="shared" si="2"/>
        <v/>
      </c>
      <c r="H135" s="82">
        <v>1.0</v>
      </c>
      <c r="I135" s="80" t="str">
        <f t="array" ref="I135">IFERROR(INDEX($B$2:$B$401,MATCH(134,$J$2:$J$401,0)),"")</f>
        <v/>
      </c>
      <c r="J135" s="80" t="str">
        <f t="shared" si="3"/>
        <v/>
      </c>
      <c r="L135" s="2"/>
    </row>
    <row r="136" ht="15.75" customHeight="1">
      <c r="A136" s="80">
        <f t="shared" si="1"/>
        <v>135</v>
      </c>
      <c r="B136" s="81" t="s">
        <v>711</v>
      </c>
      <c r="C136" s="13" t="b">
        <v>0</v>
      </c>
      <c r="D136" s="80">
        <f>IF(B136="","",COUNTIFS('Binder Data'!$B$2:$B$6251,B136,'Binder Data'!$E$2:$E$6251,"Y"))</f>
        <v>0</v>
      </c>
      <c r="E136" s="17">
        <f>IF(B136="","",SUMIFS('Binder Data'!$F$2:$F$6251,'Binder Data'!$B$2:$B$6251,B136,'Binder Data'!$E$2:$E$6251,"Y"))</f>
        <v>0</v>
      </c>
      <c r="F136" s="80" t="str">
        <f>IF(B136="","",IF(C136=TRUE(),"Searched / no binder",IF(D136=0,"No cards assigned",IF(OR(D136&gt;=Binders!$D$3,E136&gt;=Binders!$E$3),"Pull","Skip: buy elsewhere"))))</f>
        <v>No cards assigned</v>
      </c>
      <c r="G136" s="80" t="str">
        <f t="shared" si="2"/>
        <v/>
      </c>
      <c r="H136" s="82">
        <v>1.0</v>
      </c>
      <c r="I136" s="80" t="str">
        <f t="array" ref="I136">IFERROR(INDEX($B$2:$B$401,MATCH(135,$J$2:$J$401,0)),"")</f>
        <v/>
      </c>
      <c r="J136" s="80" t="str">
        <f t="shared" si="3"/>
        <v/>
      </c>
      <c r="L136" s="2"/>
    </row>
    <row r="137" ht="15.75" customHeight="1">
      <c r="A137" s="80">
        <f t="shared" si="1"/>
        <v>136</v>
      </c>
      <c r="B137" s="81" t="s">
        <v>712</v>
      </c>
      <c r="C137" s="13" t="b">
        <v>0</v>
      </c>
      <c r="D137" s="80">
        <f>IF(B137="","",COUNTIFS('Binder Data'!$B$2:$B$6251,B137,'Binder Data'!$E$2:$E$6251,"Y"))</f>
        <v>0</v>
      </c>
      <c r="E137" s="17">
        <f>IF(B137="","",SUMIFS('Binder Data'!$F$2:$F$6251,'Binder Data'!$B$2:$B$6251,B137,'Binder Data'!$E$2:$E$6251,"Y"))</f>
        <v>0</v>
      </c>
      <c r="F137" s="80" t="str">
        <f>IF(B137="","",IF(C137=TRUE(),"Searched / no binder",IF(D137=0,"No cards assigned",IF(OR(D137&gt;=Binders!$D$3,E137&gt;=Binders!$E$3),"Pull","Skip: buy elsewhere"))))</f>
        <v>No cards assigned</v>
      </c>
      <c r="G137" s="80" t="str">
        <f t="shared" si="2"/>
        <v/>
      </c>
      <c r="H137" s="82">
        <v>1.0</v>
      </c>
      <c r="I137" s="80" t="str">
        <f t="array" ref="I137">IFERROR(INDEX($B$2:$B$401,MATCH(136,$J$2:$J$401,0)),"")</f>
        <v/>
      </c>
      <c r="J137" s="80" t="str">
        <f t="shared" si="3"/>
        <v/>
      </c>
      <c r="L137" s="2"/>
    </row>
    <row r="138" ht="15.75" customHeight="1">
      <c r="A138" s="80">
        <f t="shared" si="1"/>
        <v>137</v>
      </c>
      <c r="B138" s="81" t="s">
        <v>713</v>
      </c>
      <c r="C138" s="13" t="b">
        <v>0</v>
      </c>
      <c r="D138" s="80">
        <f>IF(B138="","",COUNTIFS('Binder Data'!$B$2:$B$6251,B138,'Binder Data'!$E$2:$E$6251,"Y"))</f>
        <v>0</v>
      </c>
      <c r="E138" s="17">
        <f>IF(B138="","",SUMIFS('Binder Data'!$F$2:$F$6251,'Binder Data'!$B$2:$B$6251,B138,'Binder Data'!$E$2:$E$6251,"Y"))</f>
        <v>0</v>
      </c>
      <c r="F138" s="80" t="str">
        <f>IF(B138="","",IF(C138=TRUE(),"Searched / no binder",IF(D138=0,"No cards assigned",IF(OR(D138&gt;=Binders!$D$3,E138&gt;=Binders!$E$3),"Pull","Skip: buy elsewhere"))))</f>
        <v>No cards assigned</v>
      </c>
      <c r="G138" s="80" t="str">
        <f t="shared" si="2"/>
        <v/>
      </c>
      <c r="H138" s="82">
        <v>1.0</v>
      </c>
      <c r="I138" s="80" t="str">
        <f t="array" ref="I138">IFERROR(INDEX($B$2:$B$401,MATCH(137,$J$2:$J$401,0)),"")</f>
        <v/>
      </c>
      <c r="J138" s="80" t="str">
        <f t="shared" si="3"/>
        <v/>
      </c>
      <c r="L138" s="2"/>
    </row>
    <row r="139" ht="15.75" customHeight="1">
      <c r="A139" s="80">
        <f t="shared" si="1"/>
        <v>138</v>
      </c>
      <c r="B139" s="81" t="s">
        <v>714</v>
      </c>
      <c r="C139" s="13" t="b">
        <v>0</v>
      </c>
      <c r="D139" s="80">
        <f>IF(B139="","",COUNTIFS('Binder Data'!$B$2:$B$6251,B139,'Binder Data'!$E$2:$E$6251,"Y"))</f>
        <v>0</v>
      </c>
      <c r="E139" s="17">
        <f>IF(B139="","",SUMIFS('Binder Data'!$F$2:$F$6251,'Binder Data'!$B$2:$B$6251,B139,'Binder Data'!$E$2:$E$6251,"Y"))</f>
        <v>0</v>
      </c>
      <c r="F139" s="80" t="str">
        <f>IF(B139="","",IF(C139=TRUE(),"Searched / no binder",IF(D139=0,"No cards assigned",IF(OR(D139&gt;=Binders!$D$3,E139&gt;=Binders!$E$3),"Pull","Skip: buy elsewhere"))))</f>
        <v>No cards assigned</v>
      </c>
      <c r="G139" s="80" t="str">
        <f t="shared" si="2"/>
        <v/>
      </c>
      <c r="H139" s="82">
        <v>1.0</v>
      </c>
      <c r="I139" s="80" t="str">
        <f t="array" ref="I139">IFERROR(INDEX($B$2:$B$401,MATCH(138,$J$2:$J$401,0)),"")</f>
        <v/>
      </c>
      <c r="J139" s="80" t="str">
        <f t="shared" si="3"/>
        <v/>
      </c>
      <c r="L139" s="2"/>
    </row>
    <row r="140" ht="15.75" customHeight="1">
      <c r="A140" s="80">
        <f t="shared" si="1"/>
        <v>139</v>
      </c>
      <c r="B140" s="81" t="s">
        <v>715</v>
      </c>
      <c r="C140" s="13" t="b">
        <v>0</v>
      </c>
      <c r="D140" s="80">
        <f>IF(B140="","",COUNTIFS('Binder Data'!$B$2:$B$6251,B140,'Binder Data'!$E$2:$E$6251,"Y"))</f>
        <v>0</v>
      </c>
      <c r="E140" s="17">
        <f>IF(B140="","",SUMIFS('Binder Data'!$F$2:$F$6251,'Binder Data'!$B$2:$B$6251,B140,'Binder Data'!$E$2:$E$6251,"Y"))</f>
        <v>0</v>
      </c>
      <c r="F140" s="80" t="str">
        <f>IF(B140="","",IF(C140=TRUE(),"Searched / no binder",IF(D140=0,"No cards assigned",IF(OR(D140&gt;=Binders!$D$3,E140&gt;=Binders!$E$3),"Pull","Skip: buy elsewhere"))))</f>
        <v>No cards assigned</v>
      </c>
      <c r="G140" s="80" t="str">
        <f t="shared" si="2"/>
        <v/>
      </c>
      <c r="H140" s="82">
        <v>1.0</v>
      </c>
      <c r="I140" s="80" t="str">
        <f t="array" ref="I140">IFERROR(INDEX($B$2:$B$401,MATCH(139,$J$2:$J$401,0)),"")</f>
        <v/>
      </c>
      <c r="J140" s="80" t="str">
        <f t="shared" si="3"/>
        <v/>
      </c>
      <c r="L140" s="2"/>
    </row>
    <row r="141" ht="15.75" customHeight="1">
      <c r="A141" s="80">
        <f t="shared" si="1"/>
        <v>140</v>
      </c>
      <c r="B141" s="81" t="s">
        <v>716</v>
      </c>
      <c r="C141" s="13" t="b">
        <v>0</v>
      </c>
      <c r="D141" s="80">
        <f>IF(B141="","",COUNTIFS('Binder Data'!$B$2:$B$6251,B141,'Binder Data'!$E$2:$E$6251,"Y"))</f>
        <v>0</v>
      </c>
      <c r="E141" s="17">
        <f>IF(B141="","",SUMIFS('Binder Data'!$F$2:$F$6251,'Binder Data'!$B$2:$B$6251,B141,'Binder Data'!$E$2:$E$6251,"Y"))</f>
        <v>0</v>
      </c>
      <c r="F141" s="80" t="str">
        <f>IF(B141="","",IF(C141=TRUE(),"Searched / no binder",IF(D141=0,"No cards assigned",IF(OR(D141&gt;=Binders!$D$3,E141&gt;=Binders!$E$3),"Pull","Skip: buy elsewhere"))))</f>
        <v>No cards assigned</v>
      </c>
      <c r="G141" s="80" t="str">
        <f t="shared" si="2"/>
        <v/>
      </c>
      <c r="H141" s="82">
        <v>1.0</v>
      </c>
      <c r="I141" s="80" t="str">
        <f t="array" ref="I141">IFERROR(INDEX($B$2:$B$401,MATCH(140,$J$2:$J$401,0)),"")</f>
        <v/>
      </c>
      <c r="J141" s="80" t="str">
        <f t="shared" si="3"/>
        <v/>
      </c>
      <c r="L141" s="2"/>
    </row>
    <row r="142" ht="15.75" customHeight="1">
      <c r="A142" s="80">
        <f t="shared" si="1"/>
        <v>141</v>
      </c>
      <c r="B142" s="81" t="s">
        <v>717</v>
      </c>
      <c r="C142" s="13" t="b">
        <v>0</v>
      </c>
      <c r="D142" s="80">
        <f>IF(B142="","",COUNTIFS('Binder Data'!$B$2:$B$6251,B142,'Binder Data'!$E$2:$E$6251,"Y"))</f>
        <v>0</v>
      </c>
      <c r="E142" s="17">
        <f>IF(B142="","",SUMIFS('Binder Data'!$F$2:$F$6251,'Binder Data'!$B$2:$B$6251,B142,'Binder Data'!$E$2:$E$6251,"Y"))</f>
        <v>0</v>
      </c>
      <c r="F142" s="80" t="str">
        <f>IF(B142="","",IF(C142=TRUE(),"Searched / no binder",IF(D142=0,"No cards assigned",IF(OR(D142&gt;=Binders!$D$3,E142&gt;=Binders!$E$3),"Pull","Skip: buy elsewhere"))))</f>
        <v>No cards assigned</v>
      </c>
      <c r="G142" s="80" t="str">
        <f t="shared" si="2"/>
        <v/>
      </c>
      <c r="H142" s="82">
        <v>1.0</v>
      </c>
      <c r="I142" s="80" t="str">
        <f t="array" ref="I142">IFERROR(INDEX($B$2:$B$401,MATCH(141,$J$2:$J$401,0)),"")</f>
        <v/>
      </c>
      <c r="J142" s="80" t="str">
        <f t="shared" si="3"/>
        <v/>
      </c>
      <c r="L142" s="2"/>
    </row>
    <row r="143" ht="15.75" customHeight="1">
      <c r="A143" s="80">
        <f t="shared" si="1"/>
        <v>142</v>
      </c>
      <c r="B143" s="81" t="s">
        <v>718</v>
      </c>
      <c r="C143" s="13" t="b">
        <v>0</v>
      </c>
      <c r="D143" s="80">
        <f>IF(B143="","",COUNTIFS('Binder Data'!$B$2:$B$6251,B143,'Binder Data'!$E$2:$E$6251,"Y"))</f>
        <v>0</v>
      </c>
      <c r="E143" s="17">
        <f>IF(B143="","",SUMIFS('Binder Data'!$F$2:$F$6251,'Binder Data'!$B$2:$B$6251,B143,'Binder Data'!$E$2:$E$6251,"Y"))</f>
        <v>0</v>
      </c>
      <c r="F143" s="80" t="str">
        <f>IF(B143="","",IF(C143=TRUE(),"Searched / no binder",IF(D143=0,"No cards assigned",IF(OR(D143&gt;=Binders!$D$3,E143&gt;=Binders!$E$3),"Pull","Skip: buy elsewhere"))))</f>
        <v>No cards assigned</v>
      </c>
      <c r="G143" s="80" t="str">
        <f t="shared" si="2"/>
        <v/>
      </c>
      <c r="H143" s="82">
        <v>1.0</v>
      </c>
      <c r="I143" s="80" t="str">
        <f t="array" ref="I143">IFERROR(INDEX($B$2:$B$401,MATCH(142,$J$2:$J$401,0)),"")</f>
        <v/>
      </c>
      <c r="J143" s="80" t="str">
        <f t="shared" si="3"/>
        <v/>
      </c>
      <c r="L143" s="2"/>
    </row>
    <row r="144" ht="15.75" customHeight="1">
      <c r="A144" s="80">
        <f t="shared" si="1"/>
        <v>143</v>
      </c>
      <c r="B144" s="81" t="s">
        <v>719</v>
      </c>
      <c r="C144" s="13" t="b">
        <v>0</v>
      </c>
      <c r="D144" s="80">
        <f>IF(B144="","",COUNTIFS('Binder Data'!$B$2:$B$6251,B144,'Binder Data'!$E$2:$E$6251,"Y"))</f>
        <v>0</v>
      </c>
      <c r="E144" s="17">
        <f>IF(B144="","",SUMIFS('Binder Data'!$F$2:$F$6251,'Binder Data'!$B$2:$B$6251,B144,'Binder Data'!$E$2:$E$6251,"Y"))</f>
        <v>0</v>
      </c>
      <c r="F144" s="80" t="str">
        <f>IF(B144="","",IF(C144=TRUE(),"Searched / no binder",IF(D144=0,"No cards assigned",IF(OR(D144&gt;=Binders!$D$3,E144&gt;=Binders!$E$3),"Pull","Skip: buy elsewhere"))))</f>
        <v>No cards assigned</v>
      </c>
      <c r="G144" s="80" t="str">
        <f t="shared" si="2"/>
        <v/>
      </c>
      <c r="H144" s="82">
        <v>1.0</v>
      </c>
      <c r="I144" s="80" t="str">
        <f t="array" ref="I144">IFERROR(INDEX($B$2:$B$401,MATCH(143,$J$2:$J$401,0)),"")</f>
        <v/>
      </c>
      <c r="J144" s="80" t="str">
        <f t="shared" si="3"/>
        <v/>
      </c>
      <c r="L144" s="2"/>
    </row>
    <row r="145" ht="15.75" customHeight="1">
      <c r="A145" s="80">
        <f t="shared" si="1"/>
        <v>144</v>
      </c>
      <c r="B145" s="81" t="s">
        <v>720</v>
      </c>
      <c r="C145" s="13" t="b">
        <v>0</v>
      </c>
      <c r="D145" s="80">
        <f>IF(B145="","",COUNTIFS('Binder Data'!$B$2:$B$6251,B145,'Binder Data'!$E$2:$E$6251,"Y"))</f>
        <v>0</v>
      </c>
      <c r="E145" s="17">
        <f>IF(B145="","",SUMIFS('Binder Data'!$F$2:$F$6251,'Binder Data'!$B$2:$B$6251,B145,'Binder Data'!$E$2:$E$6251,"Y"))</f>
        <v>0</v>
      </c>
      <c r="F145" s="80" t="str">
        <f>IF(B145="","",IF(C145=TRUE(),"Searched / no binder",IF(D145=0,"No cards assigned",IF(OR(D145&gt;=Binders!$D$3,E145&gt;=Binders!$E$3),"Pull","Skip: buy elsewhere"))))</f>
        <v>No cards assigned</v>
      </c>
      <c r="G145" s="80" t="str">
        <f t="shared" si="2"/>
        <v/>
      </c>
      <c r="H145" s="82">
        <v>1.0</v>
      </c>
      <c r="I145" s="80" t="str">
        <f t="array" ref="I145">IFERROR(INDEX($B$2:$B$401,MATCH(144,$J$2:$J$401,0)),"")</f>
        <v/>
      </c>
      <c r="J145" s="80" t="str">
        <f t="shared" si="3"/>
        <v/>
      </c>
      <c r="L145" s="2"/>
    </row>
    <row r="146" ht="15.75" customHeight="1">
      <c r="A146" s="80">
        <f t="shared" si="1"/>
        <v>145</v>
      </c>
      <c r="B146" s="81" t="s">
        <v>721</v>
      </c>
      <c r="C146" s="13" t="b">
        <v>0</v>
      </c>
      <c r="D146" s="80">
        <f>IF(B146="","",COUNTIFS('Binder Data'!$B$2:$B$6251,B146,'Binder Data'!$E$2:$E$6251,"Y"))</f>
        <v>1</v>
      </c>
      <c r="E146" s="17">
        <f>IF(B146="","",SUMIFS('Binder Data'!$F$2:$F$6251,'Binder Data'!$B$2:$B$6251,B146,'Binder Data'!$E$2:$E$6251,"Y"))</f>
        <v>1.16</v>
      </c>
      <c r="F146" s="80" t="str">
        <f>IF(B146="","",IF(C146=TRUE(),"Searched / no binder",IF(D146=0,"No cards assigned",IF(OR(D146&gt;=Binders!$D$3,E146&gt;=Binders!$E$3),"Pull","Skip: buy elsewhere"))))</f>
        <v>Pull</v>
      </c>
      <c r="G146" s="80">
        <f t="shared" si="2"/>
        <v>27</v>
      </c>
      <c r="H146" s="82">
        <v>1.0</v>
      </c>
      <c r="I146" s="80" t="str">
        <f t="array" ref="I146">IFERROR(INDEX($B$2:$B$401,MATCH(145,$J$2:$J$401,0)),"")</f>
        <v/>
      </c>
      <c r="J146" s="80" t="str">
        <f t="shared" si="3"/>
        <v/>
      </c>
      <c r="L146" s="2"/>
    </row>
    <row r="147" ht="15.75" customHeight="1">
      <c r="A147" s="80">
        <f t="shared" si="1"/>
        <v>146</v>
      </c>
      <c r="B147" s="81" t="s">
        <v>722</v>
      </c>
      <c r="C147" s="13" t="b">
        <v>0</v>
      </c>
      <c r="D147" s="80">
        <f>IF(B147="","",COUNTIFS('Binder Data'!$B$2:$B$6251,B147,'Binder Data'!$E$2:$E$6251,"Y"))</f>
        <v>0</v>
      </c>
      <c r="E147" s="17">
        <f>IF(B147="","",SUMIFS('Binder Data'!$F$2:$F$6251,'Binder Data'!$B$2:$B$6251,B147,'Binder Data'!$E$2:$E$6251,"Y"))</f>
        <v>0</v>
      </c>
      <c r="F147" s="80" t="str">
        <f>IF(B147="","",IF(C147=TRUE(),"Searched / no binder",IF(D147=0,"No cards assigned",IF(OR(D147&gt;=Binders!$D$3,E147&gt;=Binders!$E$3),"Pull","Skip: buy elsewhere"))))</f>
        <v>No cards assigned</v>
      </c>
      <c r="G147" s="80" t="str">
        <f t="shared" si="2"/>
        <v/>
      </c>
      <c r="H147" s="82">
        <v>1.0</v>
      </c>
      <c r="I147" s="80" t="str">
        <f t="array" ref="I147">IFERROR(INDEX($B$2:$B$401,MATCH(146,$J$2:$J$401,0)),"")</f>
        <v/>
      </c>
      <c r="J147" s="80" t="str">
        <f t="shared" si="3"/>
        <v/>
      </c>
      <c r="L147" s="2"/>
    </row>
    <row r="148" ht="15.75" customHeight="1">
      <c r="A148" s="80">
        <f t="shared" si="1"/>
        <v>147</v>
      </c>
      <c r="B148" s="81" t="s">
        <v>723</v>
      </c>
      <c r="C148" s="13" t="b">
        <v>0</v>
      </c>
      <c r="D148" s="80">
        <f>IF(B148="","",COUNTIFS('Binder Data'!$B$2:$B$6251,B148,'Binder Data'!$E$2:$E$6251,"Y"))</f>
        <v>0</v>
      </c>
      <c r="E148" s="17">
        <f>IF(B148="","",SUMIFS('Binder Data'!$F$2:$F$6251,'Binder Data'!$B$2:$B$6251,B148,'Binder Data'!$E$2:$E$6251,"Y"))</f>
        <v>0</v>
      </c>
      <c r="F148" s="80" t="str">
        <f>IF(B148="","",IF(C148=TRUE(),"Searched / no binder",IF(D148=0,"No cards assigned",IF(OR(D148&gt;=Binders!$D$3,E148&gt;=Binders!$E$3),"Pull","Skip: buy elsewhere"))))</f>
        <v>No cards assigned</v>
      </c>
      <c r="G148" s="80" t="str">
        <f t="shared" si="2"/>
        <v/>
      </c>
      <c r="H148" s="82">
        <v>1.0</v>
      </c>
      <c r="I148" s="80" t="str">
        <f t="array" ref="I148">IFERROR(INDEX($B$2:$B$401,MATCH(147,$J$2:$J$401,0)),"")</f>
        <v/>
      </c>
      <c r="J148" s="80" t="str">
        <f t="shared" si="3"/>
        <v/>
      </c>
      <c r="L148" s="2"/>
    </row>
    <row r="149" ht="15.75" customHeight="1">
      <c r="A149" s="80">
        <f t="shared" si="1"/>
        <v>148</v>
      </c>
      <c r="B149" s="81" t="s">
        <v>724</v>
      </c>
      <c r="C149" s="13" t="b">
        <v>0</v>
      </c>
      <c r="D149" s="80">
        <f>IF(B149="","",COUNTIFS('Binder Data'!$B$2:$B$6251,B149,'Binder Data'!$E$2:$E$6251,"Y"))</f>
        <v>0</v>
      </c>
      <c r="E149" s="17">
        <f>IF(B149="","",SUMIFS('Binder Data'!$F$2:$F$6251,'Binder Data'!$B$2:$B$6251,B149,'Binder Data'!$E$2:$E$6251,"Y"))</f>
        <v>0</v>
      </c>
      <c r="F149" s="80" t="str">
        <f>IF(B149="","",IF(C149=TRUE(),"Searched / no binder",IF(D149=0,"No cards assigned",IF(OR(D149&gt;=Binders!$D$3,E149&gt;=Binders!$E$3),"Pull","Skip: buy elsewhere"))))</f>
        <v>No cards assigned</v>
      </c>
      <c r="G149" s="80" t="str">
        <f t="shared" si="2"/>
        <v/>
      </c>
      <c r="H149" s="82">
        <v>1.0</v>
      </c>
      <c r="I149" s="80" t="str">
        <f t="array" ref="I149">IFERROR(INDEX($B$2:$B$401,MATCH(148,$J$2:$J$401,0)),"")</f>
        <v/>
      </c>
      <c r="J149" s="80" t="str">
        <f t="shared" si="3"/>
        <v/>
      </c>
      <c r="L149" s="2"/>
    </row>
    <row r="150" ht="15.75" customHeight="1">
      <c r="A150" s="80">
        <f t="shared" si="1"/>
        <v>149</v>
      </c>
      <c r="B150" s="81" t="s">
        <v>149</v>
      </c>
      <c r="C150" s="13" t="b">
        <v>0</v>
      </c>
      <c r="D150" s="80">
        <f>IF(B150="","",COUNTIFS('Binder Data'!$B$2:$B$6251,B150,'Binder Data'!$E$2:$E$6251,"Y"))</f>
        <v>1</v>
      </c>
      <c r="E150" s="17">
        <f>IF(B150="","",SUMIFS('Binder Data'!$F$2:$F$6251,'Binder Data'!$B$2:$B$6251,B150,'Binder Data'!$E$2:$E$6251,"Y"))</f>
        <v>2.43</v>
      </c>
      <c r="F150" s="80" t="str">
        <f>IF(B150="","",IF(C150=TRUE(),"Searched / no binder",IF(D150=0,"No cards assigned",IF(OR(D150&gt;=Binders!$D$3,E150&gt;=Binders!$E$3),"Pull","Skip: buy elsewhere"))))</f>
        <v>Pull</v>
      </c>
      <c r="G150" s="80">
        <f t="shared" si="2"/>
        <v>28</v>
      </c>
      <c r="H150" s="82">
        <v>1.0</v>
      </c>
      <c r="I150" s="80" t="str">
        <f t="array" ref="I150">IFERROR(INDEX($B$2:$B$401,MATCH(149,$J$2:$J$401,0)),"")</f>
        <v/>
      </c>
      <c r="J150" s="80" t="str">
        <f t="shared" si="3"/>
        <v/>
      </c>
      <c r="L150" s="2"/>
    </row>
    <row r="151" ht="15.75" customHeight="1">
      <c r="A151" s="80">
        <f t="shared" si="1"/>
        <v>150</v>
      </c>
      <c r="B151" s="81" t="s">
        <v>725</v>
      </c>
      <c r="C151" s="13" t="b">
        <v>0</v>
      </c>
      <c r="D151" s="80">
        <f>IF(B151="","",COUNTIFS('Binder Data'!$B$2:$B$6251,B151,'Binder Data'!$E$2:$E$6251,"Y"))</f>
        <v>0</v>
      </c>
      <c r="E151" s="17">
        <f>IF(B151="","",SUMIFS('Binder Data'!$F$2:$F$6251,'Binder Data'!$B$2:$B$6251,B151,'Binder Data'!$E$2:$E$6251,"Y"))</f>
        <v>0</v>
      </c>
      <c r="F151" s="80" t="str">
        <f>IF(B151="","",IF(C151=TRUE(),"Searched / no binder",IF(D151=0,"No cards assigned",IF(OR(D151&gt;=Binders!$D$3,E151&gt;=Binders!$E$3),"Pull","Skip: buy elsewhere"))))</f>
        <v>No cards assigned</v>
      </c>
      <c r="G151" s="80" t="str">
        <f t="shared" si="2"/>
        <v/>
      </c>
      <c r="H151" s="82">
        <v>1.0</v>
      </c>
      <c r="I151" s="80" t="str">
        <f t="array" ref="I151">IFERROR(INDEX($B$2:$B$401,MATCH(150,$J$2:$J$401,0)),"")</f>
        <v/>
      </c>
      <c r="J151" s="80" t="str">
        <f t="shared" si="3"/>
        <v/>
      </c>
      <c r="L151" s="2"/>
    </row>
    <row r="152" ht="15.75" customHeight="1">
      <c r="A152" s="80">
        <f t="shared" si="1"/>
        <v>151</v>
      </c>
      <c r="B152" s="81" t="s">
        <v>726</v>
      </c>
      <c r="C152" s="13" t="b">
        <v>0</v>
      </c>
      <c r="D152" s="80">
        <f>IF(B152="","",COUNTIFS('Binder Data'!$B$2:$B$6251,B152,'Binder Data'!$E$2:$E$6251,"Y"))</f>
        <v>0</v>
      </c>
      <c r="E152" s="17">
        <f>IF(B152="","",SUMIFS('Binder Data'!$F$2:$F$6251,'Binder Data'!$B$2:$B$6251,B152,'Binder Data'!$E$2:$E$6251,"Y"))</f>
        <v>0</v>
      </c>
      <c r="F152" s="80" t="str">
        <f>IF(B152="","",IF(C152=TRUE(),"Searched / no binder",IF(D152=0,"No cards assigned",IF(OR(D152&gt;=Binders!$D$3,E152&gt;=Binders!$E$3),"Pull","Skip: buy elsewhere"))))</f>
        <v>No cards assigned</v>
      </c>
      <c r="G152" s="80" t="str">
        <f t="shared" si="2"/>
        <v/>
      </c>
      <c r="H152" s="82">
        <v>1.0</v>
      </c>
      <c r="I152" s="80" t="str">
        <f t="array" ref="I152">IFERROR(INDEX($B$2:$B$401,MATCH(151,$J$2:$J$401,0)),"")</f>
        <v/>
      </c>
      <c r="J152" s="80" t="str">
        <f t="shared" si="3"/>
        <v/>
      </c>
      <c r="L152" s="2"/>
    </row>
    <row r="153" ht="15.75" customHeight="1">
      <c r="A153" s="80">
        <f t="shared" si="1"/>
        <v>152</v>
      </c>
      <c r="B153" s="81" t="s">
        <v>727</v>
      </c>
      <c r="C153" s="13" t="b">
        <v>0</v>
      </c>
      <c r="D153" s="80">
        <f>IF(B153="","",COUNTIFS('Binder Data'!$B$2:$B$6251,B153,'Binder Data'!$E$2:$E$6251,"Y"))</f>
        <v>0</v>
      </c>
      <c r="E153" s="17">
        <f>IF(B153="","",SUMIFS('Binder Data'!$F$2:$F$6251,'Binder Data'!$B$2:$B$6251,B153,'Binder Data'!$E$2:$E$6251,"Y"))</f>
        <v>0</v>
      </c>
      <c r="F153" s="80" t="str">
        <f>IF(B153="","",IF(C153=TRUE(),"Searched / no binder",IF(D153=0,"No cards assigned",IF(OR(D153&gt;=Binders!$D$3,E153&gt;=Binders!$E$3),"Pull","Skip: buy elsewhere"))))</f>
        <v>No cards assigned</v>
      </c>
      <c r="G153" s="80" t="str">
        <f t="shared" si="2"/>
        <v/>
      </c>
      <c r="H153" s="82">
        <v>1.0</v>
      </c>
      <c r="I153" s="80" t="str">
        <f t="array" ref="I153">IFERROR(INDEX($B$2:$B$401,MATCH(152,$J$2:$J$401,0)),"")</f>
        <v/>
      </c>
      <c r="J153" s="80" t="str">
        <f t="shared" si="3"/>
        <v/>
      </c>
      <c r="L153" s="2"/>
    </row>
    <row r="154" ht="15.75" customHeight="1">
      <c r="A154" s="80">
        <f t="shared" si="1"/>
        <v>153</v>
      </c>
      <c r="B154" s="81" t="s">
        <v>728</v>
      </c>
      <c r="C154" s="13" t="b">
        <v>0</v>
      </c>
      <c r="D154" s="80">
        <f>IF(B154="","",COUNTIFS('Binder Data'!$B$2:$B$6251,B154,'Binder Data'!$E$2:$E$6251,"Y"))</f>
        <v>0</v>
      </c>
      <c r="E154" s="17">
        <f>IF(B154="","",SUMIFS('Binder Data'!$F$2:$F$6251,'Binder Data'!$B$2:$B$6251,B154,'Binder Data'!$E$2:$E$6251,"Y"))</f>
        <v>0</v>
      </c>
      <c r="F154" s="80" t="str">
        <f>IF(B154="","",IF(C154=TRUE(),"Searched / no binder",IF(D154=0,"No cards assigned",IF(OR(D154&gt;=Binders!$D$3,E154&gt;=Binders!$E$3),"Pull","Skip: buy elsewhere"))))</f>
        <v>No cards assigned</v>
      </c>
      <c r="G154" s="80" t="str">
        <f t="shared" si="2"/>
        <v/>
      </c>
      <c r="H154" s="82">
        <v>1.0</v>
      </c>
      <c r="I154" s="80" t="str">
        <f t="array" ref="I154">IFERROR(INDEX($B$2:$B$401,MATCH(153,$J$2:$J$401,0)),"")</f>
        <v/>
      </c>
      <c r="J154" s="80" t="str">
        <f t="shared" si="3"/>
        <v/>
      </c>
      <c r="L154" s="2"/>
    </row>
    <row r="155" ht="15.75" customHeight="1">
      <c r="A155" s="80">
        <f t="shared" si="1"/>
        <v>154</v>
      </c>
      <c r="B155" s="81" t="s">
        <v>729</v>
      </c>
      <c r="C155" s="13" t="b">
        <v>0</v>
      </c>
      <c r="D155" s="80">
        <f>IF(B155="","",COUNTIFS('Binder Data'!$B$2:$B$6251,B155,'Binder Data'!$E$2:$E$6251,"Y"))</f>
        <v>0</v>
      </c>
      <c r="E155" s="17">
        <f>IF(B155="","",SUMIFS('Binder Data'!$F$2:$F$6251,'Binder Data'!$B$2:$B$6251,B155,'Binder Data'!$E$2:$E$6251,"Y"))</f>
        <v>0</v>
      </c>
      <c r="F155" s="80" t="str">
        <f>IF(B155="","",IF(C155=TRUE(),"Searched / no binder",IF(D155=0,"No cards assigned",IF(OR(D155&gt;=Binders!$D$3,E155&gt;=Binders!$E$3),"Pull","Skip: buy elsewhere"))))</f>
        <v>No cards assigned</v>
      </c>
      <c r="G155" s="80" t="str">
        <f t="shared" si="2"/>
        <v/>
      </c>
      <c r="H155" s="82">
        <v>1.0</v>
      </c>
      <c r="I155" s="80" t="str">
        <f t="array" ref="I155">IFERROR(INDEX($B$2:$B$401,MATCH(154,$J$2:$J$401,0)),"")</f>
        <v/>
      </c>
      <c r="J155" s="80" t="str">
        <f t="shared" si="3"/>
        <v/>
      </c>
      <c r="L155" s="2"/>
    </row>
    <row r="156" ht="15.75" customHeight="1">
      <c r="A156" s="80">
        <f t="shared" si="1"/>
        <v>155</v>
      </c>
      <c r="B156" s="81" t="s">
        <v>730</v>
      </c>
      <c r="C156" s="13" t="b">
        <v>0</v>
      </c>
      <c r="D156" s="80">
        <f>IF(B156="","",COUNTIFS('Binder Data'!$B$2:$B$6251,B156,'Binder Data'!$E$2:$E$6251,"Y"))</f>
        <v>0</v>
      </c>
      <c r="E156" s="17">
        <f>IF(B156="","",SUMIFS('Binder Data'!$F$2:$F$6251,'Binder Data'!$B$2:$B$6251,B156,'Binder Data'!$E$2:$E$6251,"Y"))</f>
        <v>0</v>
      </c>
      <c r="F156" s="80" t="str">
        <f>IF(B156="","",IF(C156=TRUE(),"Searched / no binder",IF(D156=0,"No cards assigned",IF(OR(D156&gt;=Binders!$D$3,E156&gt;=Binders!$E$3),"Pull","Skip: buy elsewhere"))))</f>
        <v>No cards assigned</v>
      </c>
      <c r="G156" s="80" t="str">
        <f t="shared" si="2"/>
        <v/>
      </c>
      <c r="H156" s="82">
        <v>1.0</v>
      </c>
      <c r="I156" s="80" t="str">
        <f t="array" ref="I156">IFERROR(INDEX($B$2:$B$401,MATCH(155,$J$2:$J$401,0)),"")</f>
        <v/>
      </c>
      <c r="J156" s="80" t="str">
        <f t="shared" si="3"/>
        <v/>
      </c>
      <c r="L156" s="2"/>
    </row>
    <row r="157" ht="15.75" customHeight="1">
      <c r="A157" s="80">
        <f t="shared" si="1"/>
        <v>156</v>
      </c>
      <c r="B157" s="81" t="s">
        <v>731</v>
      </c>
      <c r="C157" s="13" t="b">
        <v>0</v>
      </c>
      <c r="D157" s="80">
        <f>IF(B157="","",COUNTIFS('Binder Data'!$B$2:$B$6251,B157,'Binder Data'!$E$2:$E$6251,"Y"))</f>
        <v>0</v>
      </c>
      <c r="E157" s="17">
        <f>IF(B157="","",SUMIFS('Binder Data'!$F$2:$F$6251,'Binder Data'!$B$2:$B$6251,B157,'Binder Data'!$E$2:$E$6251,"Y"))</f>
        <v>0</v>
      </c>
      <c r="F157" s="80" t="str">
        <f>IF(B157="","",IF(C157=TRUE(),"Searched / no binder",IF(D157=0,"No cards assigned",IF(OR(D157&gt;=Binders!$D$3,E157&gt;=Binders!$E$3),"Pull","Skip: buy elsewhere"))))</f>
        <v>No cards assigned</v>
      </c>
      <c r="G157" s="80" t="str">
        <f t="shared" si="2"/>
        <v/>
      </c>
      <c r="H157" s="82">
        <v>1.0</v>
      </c>
      <c r="I157" s="80" t="str">
        <f t="array" ref="I157">IFERROR(INDEX($B$2:$B$401,MATCH(156,$J$2:$J$401,0)),"")</f>
        <v/>
      </c>
      <c r="J157" s="80" t="str">
        <f t="shared" si="3"/>
        <v/>
      </c>
      <c r="L157" s="2"/>
    </row>
    <row r="158" ht="15.75" customHeight="1">
      <c r="A158" s="80" t="str">
        <f t="shared" si="1"/>
        <v/>
      </c>
      <c r="B158" s="81"/>
      <c r="C158" s="13" t="b">
        <v>0</v>
      </c>
      <c r="D158" s="80" t="str">
        <f>IF(B158="","",COUNTIFS('Binder Data'!$B$2:$B$6251,B158,'Binder Data'!$E$2:$E$6251,"Y"))</f>
        <v/>
      </c>
      <c r="E158" s="17" t="str">
        <f>IF(B158="","",SUMIFS('Binder Data'!$F$2:$F$6251,'Binder Data'!$B$2:$B$6251,B158,'Binder Data'!$E$2:$E$6251,"Y"))</f>
        <v/>
      </c>
      <c r="F158" s="80" t="str">
        <f>IF(B158="","",IF(C158=TRUE(),"Searched / no binder",IF(D158=0,"No cards assigned",IF(OR(D158&gt;=Binders!$D$3,E158&gt;=Binders!$E$3),"Pull","Skip: buy elsewhere"))))</f>
        <v/>
      </c>
      <c r="G158" s="80" t="str">
        <f t="shared" si="2"/>
        <v/>
      </c>
      <c r="H158" s="82"/>
      <c r="I158" s="80" t="str">
        <f t="array" ref="I158">IFERROR(INDEX($B$2:$B$401,MATCH(157,$J$2:$J$401,0)),"")</f>
        <v/>
      </c>
      <c r="J158" s="80" t="str">
        <f t="shared" si="3"/>
        <v/>
      </c>
      <c r="L158" s="2"/>
    </row>
    <row r="159" ht="15.75" customHeight="1">
      <c r="A159" s="80" t="str">
        <f t="shared" si="1"/>
        <v/>
      </c>
      <c r="B159" s="81"/>
      <c r="C159" s="13" t="b">
        <v>0</v>
      </c>
      <c r="D159" s="80" t="str">
        <f>IF(B159="","",COUNTIFS('Binder Data'!$B$2:$B$6251,B159,'Binder Data'!$E$2:$E$6251,"Y"))</f>
        <v/>
      </c>
      <c r="E159" s="17" t="str">
        <f>IF(B159="","",SUMIFS('Binder Data'!$F$2:$F$6251,'Binder Data'!$B$2:$B$6251,B159,'Binder Data'!$E$2:$E$6251,"Y"))</f>
        <v/>
      </c>
      <c r="F159" s="80" t="str">
        <f>IF(B159="","",IF(C159=TRUE(),"Searched / no binder",IF(D159=0,"No cards assigned",IF(OR(D159&gt;=Binders!$D$3,E159&gt;=Binders!$E$3),"Pull","Skip: buy elsewhere"))))</f>
        <v/>
      </c>
      <c r="G159" s="80" t="str">
        <f t="shared" si="2"/>
        <v/>
      </c>
      <c r="H159" s="82"/>
      <c r="I159" s="80" t="str">
        <f t="array" ref="I159">IFERROR(INDEX($B$2:$B$401,MATCH(158,$J$2:$J$401,0)),"")</f>
        <v/>
      </c>
      <c r="J159" s="80" t="str">
        <f t="shared" si="3"/>
        <v/>
      </c>
      <c r="L159" s="2"/>
    </row>
    <row r="160" ht="15.75" customHeight="1">
      <c r="A160" s="80" t="str">
        <f t="shared" si="1"/>
        <v/>
      </c>
      <c r="B160" s="2"/>
      <c r="C160" s="13" t="b">
        <v>0</v>
      </c>
      <c r="D160" s="80" t="str">
        <f>IF(B160="","",COUNTIFS('Binder Data'!$B$2:$B$6251,B160,'Binder Data'!$E$2:$E$6251,"Y"))</f>
        <v/>
      </c>
      <c r="E160" s="17" t="str">
        <f>IF(B160="","",SUMIFS('Binder Data'!$F$2:$F$6251,'Binder Data'!$B$2:$B$6251,B160,'Binder Data'!$E$2:$E$6251,"Y"))</f>
        <v/>
      </c>
      <c r="F160" s="80" t="str">
        <f>IF(B160="","",IF(C160=TRUE(),"Searched / no binder",IF(D160=0,"No cards assigned",IF(OR(D160&gt;=Binders!$D$3,E160&gt;=Binders!$E$3),"Pull","Skip: buy elsewhere"))))</f>
        <v/>
      </c>
      <c r="G160" s="80" t="str">
        <f t="shared" si="2"/>
        <v/>
      </c>
      <c r="H160" s="2"/>
      <c r="I160" s="80" t="str">
        <f t="array" ref="I160">IFERROR(INDEX($B$2:$B$401,MATCH(159,$J$2:$J$401,0)),"")</f>
        <v/>
      </c>
      <c r="J160" s="80" t="str">
        <f t="shared" si="3"/>
        <v/>
      </c>
      <c r="L160" s="2"/>
    </row>
    <row r="161" ht="15.75" customHeight="1">
      <c r="A161" s="80" t="str">
        <f t="shared" si="1"/>
        <v/>
      </c>
      <c r="B161" s="2"/>
      <c r="C161" s="13" t="b">
        <v>0</v>
      </c>
      <c r="D161" s="80" t="str">
        <f>IF(B161="","",COUNTIFS('Binder Data'!$B$2:$B$6251,B161,'Binder Data'!$E$2:$E$6251,"Y"))</f>
        <v/>
      </c>
      <c r="E161" s="17" t="str">
        <f>IF(B161="","",SUMIFS('Binder Data'!$F$2:$F$6251,'Binder Data'!$B$2:$B$6251,B161,'Binder Data'!$E$2:$E$6251,"Y"))</f>
        <v/>
      </c>
      <c r="F161" s="80" t="str">
        <f>IF(B161="","",IF(C161=TRUE(),"Searched / no binder",IF(D161=0,"No cards assigned",IF(OR(D161&gt;=Binders!$D$3,E161&gt;=Binders!$E$3),"Pull","Skip: buy elsewhere"))))</f>
        <v/>
      </c>
      <c r="G161" s="80" t="str">
        <f t="shared" si="2"/>
        <v/>
      </c>
      <c r="H161" s="2"/>
      <c r="I161" s="80" t="str">
        <f t="array" ref="I161">IFERROR(INDEX($B$2:$B$401,MATCH(160,$J$2:$J$401,0)),"")</f>
        <v/>
      </c>
      <c r="J161" s="80" t="str">
        <f t="shared" si="3"/>
        <v/>
      </c>
      <c r="L161" s="2"/>
    </row>
    <row r="162" ht="15.75" customHeight="1">
      <c r="A162" s="80" t="str">
        <f t="shared" si="1"/>
        <v/>
      </c>
      <c r="B162" s="2"/>
      <c r="C162" s="13" t="b">
        <v>0</v>
      </c>
      <c r="D162" s="80" t="str">
        <f>IF(B162="","",COUNTIFS('Binder Data'!$B$2:$B$6251,B162,'Binder Data'!$E$2:$E$6251,"Y"))</f>
        <v/>
      </c>
      <c r="E162" s="17" t="str">
        <f>IF(B162="","",SUMIFS('Binder Data'!$F$2:$F$6251,'Binder Data'!$B$2:$B$6251,B162,'Binder Data'!$E$2:$E$6251,"Y"))</f>
        <v/>
      </c>
      <c r="F162" s="80" t="str">
        <f>IF(B162="","",IF(C162=TRUE(),"Searched / no binder",IF(D162=0,"No cards assigned",IF(OR(D162&gt;=Binders!$D$3,E162&gt;=Binders!$E$3),"Pull","Skip: buy elsewhere"))))</f>
        <v/>
      </c>
      <c r="G162" s="80" t="str">
        <f t="shared" si="2"/>
        <v/>
      </c>
      <c r="H162" s="2"/>
      <c r="I162" s="80" t="str">
        <f t="array" ref="I162">IFERROR(INDEX($B$2:$B$401,MATCH(161,$J$2:$J$401,0)),"")</f>
        <v/>
      </c>
      <c r="J162" s="80" t="str">
        <f t="shared" si="3"/>
        <v/>
      </c>
      <c r="L162" s="2"/>
    </row>
    <row r="163" ht="15.75" customHeight="1">
      <c r="A163" s="80" t="str">
        <f t="shared" si="1"/>
        <v/>
      </c>
      <c r="B163" s="2"/>
      <c r="C163" s="13" t="b">
        <v>0</v>
      </c>
      <c r="D163" s="80" t="str">
        <f>IF(B163="","",COUNTIFS('Binder Data'!$B$2:$B$6251,B163,'Binder Data'!$E$2:$E$6251,"Y"))</f>
        <v/>
      </c>
      <c r="E163" s="17" t="str">
        <f>IF(B163="","",SUMIFS('Binder Data'!$F$2:$F$6251,'Binder Data'!$B$2:$B$6251,B163,'Binder Data'!$E$2:$E$6251,"Y"))</f>
        <v/>
      </c>
      <c r="F163" s="80" t="str">
        <f>IF(B163="","",IF(C163=TRUE(),"Searched / no binder",IF(D163=0,"No cards assigned",IF(OR(D163&gt;=Binders!$D$3,E163&gt;=Binders!$E$3),"Pull","Skip: buy elsewhere"))))</f>
        <v/>
      </c>
      <c r="G163" s="80" t="str">
        <f t="shared" si="2"/>
        <v/>
      </c>
      <c r="H163" s="2"/>
      <c r="I163" s="80" t="str">
        <f t="array" ref="I163">IFERROR(INDEX($B$2:$B$401,MATCH(162,$J$2:$J$401,0)),"")</f>
        <v/>
      </c>
      <c r="J163" s="80" t="str">
        <f t="shared" si="3"/>
        <v/>
      </c>
      <c r="L163" s="2"/>
    </row>
    <row r="164" ht="15.75" customHeight="1">
      <c r="A164" s="80" t="str">
        <f t="shared" si="1"/>
        <v/>
      </c>
      <c r="B164" s="2"/>
      <c r="C164" s="13" t="b">
        <v>0</v>
      </c>
      <c r="D164" s="80" t="str">
        <f>IF(B164="","",COUNTIFS('Binder Data'!$B$2:$B$6251,B164,'Binder Data'!$E$2:$E$6251,"Y"))</f>
        <v/>
      </c>
      <c r="E164" s="17" t="str">
        <f>IF(B164="","",SUMIFS('Binder Data'!$F$2:$F$6251,'Binder Data'!$B$2:$B$6251,B164,'Binder Data'!$E$2:$E$6251,"Y"))</f>
        <v/>
      </c>
      <c r="F164" s="80" t="str">
        <f>IF(B164="","",IF(C164=TRUE(),"Searched / no binder",IF(D164=0,"No cards assigned",IF(OR(D164&gt;=Binders!$D$3,E164&gt;=Binders!$E$3),"Pull","Skip: buy elsewhere"))))</f>
        <v/>
      </c>
      <c r="G164" s="80" t="str">
        <f t="shared" si="2"/>
        <v/>
      </c>
      <c r="H164" s="2"/>
      <c r="I164" s="80" t="str">
        <f t="array" ref="I164">IFERROR(INDEX($B$2:$B$401,MATCH(163,$J$2:$J$401,0)),"")</f>
        <v/>
      </c>
      <c r="J164" s="80" t="str">
        <f t="shared" si="3"/>
        <v/>
      </c>
      <c r="L164" s="2"/>
    </row>
    <row r="165" ht="15.75" customHeight="1">
      <c r="A165" s="80" t="str">
        <f t="shared" si="1"/>
        <v/>
      </c>
      <c r="B165" s="2"/>
      <c r="C165" s="13" t="b">
        <v>0</v>
      </c>
      <c r="D165" s="80" t="str">
        <f>IF(B165="","",COUNTIFS('Binder Data'!$B$2:$B$6251,B165,'Binder Data'!$E$2:$E$6251,"Y"))</f>
        <v/>
      </c>
      <c r="E165" s="17" t="str">
        <f>IF(B165="","",SUMIFS('Binder Data'!$F$2:$F$6251,'Binder Data'!$B$2:$B$6251,B165,'Binder Data'!$E$2:$E$6251,"Y"))</f>
        <v/>
      </c>
      <c r="F165" s="80" t="str">
        <f>IF(B165="","",IF(C165=TRUE(),"Searched / no binder",IF(D165=0,"No cards assigned",IF(OR(D165&gt;=Binders!$D$3,E165&gt;=Binders!$E$3),"Pull","Skip: buy elsewhere"))))</f>
        <v/>
      </c>
      <c r="G165" s="80" t="str">
        <f t="shared" si="2"/>
        <v/>
      </c>
      <c r="H165" s="2"/>
      <c r="I165" s="80" t="str">
        <f t="array" ref="I165">IFERROR(INDEX($B$2:$B$401,MATCH(164,$J$2:$J$401,0)),"")</f>
        <v/>
      </c>
      <c r="J165" s="80" t="str">
        <f t="shared" si="3"/>
        <v/>
      </c>
      <c r="L165" s="2"/>
    </row>
    <row r="166" ht="15.75" customHeight="1">
      <c r="A166" s="80" t="str">
        <f t="shared" si="1"/>
        <v/>
      </c>
      <c r="B166" s="2"/>
      <c r="C166" s="13" t="b">
        <v>0</v>
      </c>
      <c r="D166" s="80" t="str">
        <f>IF(B166="","",COUNTIFS('Binder Data'!$B$2:$B$6251,B166,'Binder Data'!$E$2:$E$6251,"Y"))</f>
        <v/>
      </c>
      <c r="E166" s="17" t="str">
        <f>IF(B166="","",SUMIFS('Binder Data'!$F$2:$F$6251,'Binder Data'!$B$2:$B$6251,B166,'Binder Data'!$E$2:$E$6251,"Y"))</f>
        <v/>
      </c>
      <c r="F166" s="80" t="str">
        <f>IF(B166="","",IF(C166=TRUE(),"Searched / no binder",IF(D166=0,"No cards assigned",IF(OR(D166&gt;=Binders!$D$3,E166&gt;=Binders!$E$3),"Pull","Skip: buy elsewhere"))))</f>
        <v/>
      </c>
      <c r="G166" s="80" t="str">
        <f t="shared" si="2"/>
        <v/>
      </c>
      <c r="H166" s="2"/>
      <c r="I166" s="80" t="str">
        <f t="array" ref="I166">IFERROR(INDEX($B$2:$B$401,MATCH(165,$J$2:$J$401,0)),"")</f>
        <v/>
      </c>
      <c r="J166" s="80" t="str">
        <f t="shared" si="3"/>
        <v/>
      </c>
      <c r="L166" s="2"/>
    </row>
    <row r="167" ht="15.75" customHeight="1">
      <c r="A167" s="80" t="str">
        <f t="shared" si="1"/>
        <v/>
      </c>
      <c r="B167" s="2"/>
      <c r="C167" s="13" t="b">
        <v>0</v>
      </c>
      <c r="D167" s="80" t="str">
        <f>IF(B167="","",COUNTIFS('Binder Data'!$B$2:$B$6251,B167,'Binder Data'!$E$2:$E$6251,"Y"))</f>
        <v/>
      </c>
      <c r="E167" s="17" t="str">
        <f>IF(B167="","",SUMIFS('Binder Data'!$F$2:$F$6251,'Binder Data'!$B$2:$B$6251,B167,'Binder Data'!$E$2:$E$6251,"Y"))</f>
        <v/>
      </c>
      <c r="F167" s="80" t="str">
        <f>IF(B167="","",IF(C167=TRUE(),"Searched / no binder",IF(D167=0,"No cards assigned",IF(OR(D167&gt;=Binders!$D$3,E167&gt;=Binders!$E$3),"Pull","Skip: buy elsewhere"))))</f>
        <v/>
      </c>
      <c r="G167" s="80" t="str">
        <f t="shared" si="2"/>
        <v/>
      </c>
      <c r="H167" s="2"/>
      <c r="I167" s="80" t="str">
        <f t="array" ref="I167">IFERROR(INDEX($B$2:$B$401,MATCH(166,$J$2:$J$401,0)),"")</f>
        <v/>
      </c>
      <c r="J167" s="80" t="str">
        <f t="shared" si="3"/>
        <v/>
      </c>
      <c r="L167" s="2"/>
    </row>
    <row r="168" ht="15.75" customHeight="1">
      <c r="A168" s="80" t="str">
        <f t="shared" si="1"/>
        <v/>
      </c>
      <c r="B168" s="2"/>
      <c r="C168" s="13" t="b">
        <v>0</v>
      </c>
      <c r="D168" s="80" t="str">
        <f>IF(B168="","",COUNTIFS('Binder Data'!$B$2:$B$6251,B168,'Binder Data'!$E$2:$E$6251,"Y"))</f>
        <v/>
      </c>
      <c r="E168" s="17" t="str">
        <f>IF(B168="","",SUMIFS('Binder Data'!$F$2:$F$6251,'Binder Data'!$B$2:$B$6251,B168,'Binder Data'!$E$2:$E$6251,"Y"))</f>
        <v/>
      </c>
      <c r="F168" s="80" t="str">
        <f>IF(B168="","",IF(C168=TRUE(),"Searched / no binder",IF(D168=0,"No cards assigned",IF(OR(D168&gt;=Binders!$D$3,E168&gt;=Binders!$E$3),"Pull","Skip: buy elsewhere"))))</f>
        <v/>
      </c>
      <c r="G168" s="80" t="str">
        <f t="shared" si="2"/>
        <v/>
      </c>
      <c r="H168" s="2"/>
      <c r="I168" s="80" t="str">
        <f t="array" ref="I168">IFERROR(INDEX($B$2:$B$401,MATCH(167,$J$2:$J$401,0)),"")</f>
        <v/>
      </c>
      <c r="J168" s="80" t="str">
        <f t="shared" si="3"/>
        <v/>
      </c>
      <c r="L168" s="2"/>
    </row>
    <row r="169" ht="15.75" customHeight="1">
      <c r="A169" s="80" t="str">
        <f t="shared" si="1"/>
        <v/>
      </c>
      <c r="B169" s="2"/>
      <c r="C169" s="13" t="b">
        <v>0</v>
      </c>
      <c r="D169" s="80" t="str">
        <f>IF(B169="","",COUNTIFS('Binder Data'!$B$2:$B$6251,B169,'Binder Data'!$E$2:$E$6251,"Y"))</f>
        <v/>
      </c>
      <c r="E169" s="17" t="str">
        <f>IF(B169="","",SUMIFS('Binder Data'!$F$2:$F$6251,'Binder Data'!$B$2:$B$6251,B169,'Binder Data'!$E$2:$E$6251,"Y"))</f>
        <v/>
      </c>
      <c r="F169" s="80" t="str">
        <f>IF(B169="","",IF(C169=TRUE(),"Searched / no binder",IF(D169=0,"No cards assigned",IF(OR(D169&gt;=Binders!$D$3,E169&gt;=Binders!$E$3),"Pull","Skip: buy elsewhere"))))</f>
        <v/>
      </c>
      <c r="G169" s="80" t="str">
        <f t="shared" si="2"/>
        <v/>
      </c>
      <c r="H169" s="2"/>
      <c r="I169" s="80" t="str">
        <f t="array" ref="I169">IFERROR(INDEX($B$2:$B$401,MATCH(168,$J$2:$J$401,0)),"")</f>
        <v/>
      </c>
      <c r="J169" s="80" t="str">
        <f t="shared" si="3"/>
        <v/>
      </c>
      <c r="L169" s="2"/>
    </row>
    <row r="170" ht="15.75" customHeight="1">
      <c r="A170" s="80" t="str">
        <f t="shared" si="1"/>
        <v/>
      </c>
      <c r="B170" s="2"/>
      <c r="C170" s="13" t="b">
        <v>0</v>
      </c>
      <c r="D170" s="80" t="str">
        <f>IF(B170="","",COUNTIFS('Binder Data'!$B$2:$B$6251,B170,'Binder Data'!$E$2:$E$6251,"Y"))</f>
        <v/>
      </c>
      <c r="E170" s="17" t="str">
        <f>IF(B170="","",SUMIFS('Binder Data'!$F$2:$F$6251,'Binder Data'!$B$2:$B$6251,B170,'Binder Data'!$E$2:$E$6251,"Y"))</f>
        <v/>
      </c>
      <c r="F170" s="80" t="str">
        <f>IF(B170="","",IF(C170=TRUE(),"Searched / no binder",IF(D170=0,"No cards assigned",IF(OR(D170&gt;=Binders!$D$3,E170&gt;=Binders!$E$3),"Pull","Skip: buy elsewhere"))))</f>
        <v/>
      </c>
      <c r="G170" s="80" t="str">
        <f t="shared" si="2"/>
        <v/>
      </c>
      <c r="H170" s="2"/>
      <c r="I170" s="80" t="str">
        <f t="array" ref="I170">IFERROR(INDEX($B$2:$B$401,MATCH(169,$J$2:$J$401,0)),"")</f>
        <v/>
      </c>
      <c r="J170" s="80" t="str">
        <f t="shared" si="3"/>
        <v/>
      </c>
      <c r="L170" s="2"/>
    </row>
    <row r="171" ht="15.75" customHeight="1">
      <c r="A171" s="80" t="str">
        <f t="shared" si="1"/>
        <v/>
      </c>
      <c r="B171" s="2"/>
      <c r="C171" s="13" t="b">
        <v>0</v>
      </c>
      <c r="D171" s="80" t="str">
        <f>IF(B171="","",COUNTIFS('Binder Data'!$B$2:$B$6251,B171,'Binder Data'!$E$2:$E$6251,"Y"))</f>
        <v/>
      </c>
      <c r="E171" s="17" t="str">
        <f>IF(B171="","",SUMIFS('Binder Data'!$F$2:$F$6251,'Binder Data'!$B$2:$B$6251,B171,'Binder Data'!$E$2:$E$6251,"Y"))</f>
        <v/>
      </c>
      <c r="F171" s="80" t="str">
        <f>IF(B171="","",IF(C171=TRUE(),"Searched / no binder",IF(D171=0,"No cards assigned",IF(OR(D171&gt;=Binders!$D$3,E171&gt;=Binders!$E$3),"Pull","Skip: buy elsewhere"))))</f>
        <v/>
      </c>
      <c r="G171" s="80" t="str">
        <f t="shared" si="2"/>
        <v/>
      </c>
      <c r="H171" s="2"/>
      <c r="I171" s="80" t="str">
        <f t="array" ref="I171">IFERROR(INDEX($B$2:$B$401,MATCH(170,$J$2:$J$401,0)),"")</f>
        <v/>
      </c>
      <c r="J171" s="80" t="str">
        <f t="shared" si="3"/>
        <v/>
      </c>
      <c r="L171" s="2"/>
    </row>
    <row r="172" ht="15.75" customHeight="1">
      <c r="A172" s="80" t="str">
        <f t="shared" si="1"/>
        <v/>
      </c>
      <c r="B172" s="2"/>
      <c r="C172" s="13" t="b">
        <v>0</v>
      </c>
      <c r="D172" s="80" t="str">
        <f>IF(B172="","",COUNTIFS('Binder Data'!$B$2:$B$6251,B172,'Binder Data'!$E$2:$E$6251,"Y"))</f>
        <v/>
      </c>
      <c r="E172" s="17" t="str">
        <f>IF(B172="","",SUMIFS('Binder Data'!$F$2:$F$6251,'Binder Data'!$B$2:$B$6251,B172,'Binder Data'!$E$2:$E$6251,"Y"))</f>
        <v/>
      </c>
      <c r="F172" s="80" t="str">
        <f>IF(B172="","",IF(C172=TRUE(),"Searched / no binder",IF(D172=0,"No cards assigned",IF(OR(D172&gt;=Binders!$D$3,E172&gt;=Binders!$E$3),"Pull","Skip: buy elsewhere"))))</f>
        <v/>
      </c>
      <c r="G172" s="80" t="str">
        <f t="shared" si="2"/>
        <v/>
      </c>
      <c r="H172" s="2"/>
      <c r="I172" s="80" t="str">
        <f t="array" ref="I172">IFERROR(INDEX($B$2:$B$401,MATCH(171,$J$2:$J$401,0)),"")</f>
        <v/>
      </c>
      <c r="J172" s="80" t="str">
        <f t="shared" si="3"/>
        <v/>
      </c>
      <c r="L172" s="2"/>
    </row>
    <row r="173" ht="15.75" customHeight="1">
      <c r="A173" s="80" t="str">
        <f t="shared" si="1"/>
        <v/>
      </c>
      <c r="B173" s="2"/>
      <c r="C173" s="13" t="b">
        <v>0</v>
      </c>
      <c r="D173" s="80" t="str">
        <f>IF(B173="","",COUNTIFS('Binder Data'!$B$2:$B$6251,B173,'Binder Data'!$E$2:$E$6251,"Y"))</f>
        <v/>
      </c>
      <c r="E173" s="17" t="str">
        <f>IF(B173="","",SUMIFS('Binder Data'!$F$2:$F$6251,'Binder Data'!$B$2:$B$6251,B173,'Binder Data'!$E$2:$E$6251,"Y"))</f>
        <v/>
      </c>
      <c r="F173" s="80" t="str">
        <f>IF(B173="","",IF(C173=TRUE(),"Searched / no binder",IF(D173=0,"No cards assigned",IF(OR(D173&gt;=Binders!$D$3,E173&gt;=Binders!$E$3),"Pull","Skip: buy elsewhere"))))</f>
        <v/>
      </c>
      <c r="G173" s="80" t="str">
        <f t="shared" si="2"/>
        <v/>
      </c>
      <c r="H173" s="2"/>
      <c r="I173" s="80" t="str">
        <f t="array" ref="I173">IFERROR(INDEX($B$2:$B$401,MATCH(172,$J$2:$J$401,0)),"")</f>
        <v/>
      </c>
      <c r="J173" s="80" t="str">
        <f t="shared" si="3"/>
        <v/>
      </c>
      <c r="L173" s="2"/>
    </row>
    <row r="174" ht="15.75" customHeight="1">
      <c r="A174" s="80" t="str">
        <f t="shared" si="1"/>
        <v/>
      </c>
      <c r="B174" s="2"/>
      <c r="C174" s="13" t="b">
        <v>0</v>
      </c>
      <c r="D174" s="80" t="str">
        <f>IF(B174="","",COUNTIFS('Binder Data'!$B$2:$B$6251,B174,'Binder Data'!$E$2:$E$6251,"Y"))</f>
        <v/>
      </c>
      <c r="E174" s="17" t="str">
        <f>IF(B174="","",SUMIFS('Binder Data'!$F$2:$F$6251,'Binder Data'!$B$2:$B$6251,B174,'Binder Data'!$E$2:$E$6251,"Y"))</f>
        <v/>
      </c>
      <c r="F174" s="80" t="str">
        <f>IF(B174="","",IF(C174=TRUE(),"Searched / no binder",IF(D174=0,"No cards assigned",IF(OR(D174&gt;=Binders!$D$3,E174&gt;=Binders!$E$3),"Pull","Skip: buy elsewhere"))))</f>
        <v/>
      </c>
      <c r="G174" s="80" t="str">
        <f t="shared" si="2"/>
        <v/>
      </c>
      <c r="H174" s="2"/>
      <c r="I174" s="80" t="str">
        <f t="array" ref="I174">IFERROR(INDEX($B$2:$B$401,MATCH(173,$J$2:$J$401,0)),"")</f>
        <v/>
      </c>
      <c r="J174" s="80" t="str">
        <f t="shared" si="3"/>
        <v/>
      </c>
      <c r="L174" s="2"/>
    </row>
    <row r="175" ht="15.75" customHeight="1">
      <c r="A175" s="80" t="str">
        <f t="shared" si="1"/>
        <v/>
      </c>
      <c r="B175" s="2"/>
      <c r="C175" s="13" t="b">
        <v>0</v>
      </c>
      <c r="D175" s="80" t="str">
        <f>IF(B175="","",COUNTIFS('Binder Data'!$B$2:$B$6251,B175,'Binder Data'!$E$2:$E$6251,"Y"))</f>
        <v/>
      </c>
      <c r="E175" s="17" t="str">
        <f>IF(B175="","",SUMIFS('Binder Data'!$F$2:$F$6251,'Binder Data'!$B$2:$B$6251,B175,'Binder Data'!$E$2:$E$6251,"Y"))</f>
        <v/>
      </c>
      <c r="F175" s="80" t="str">
        <f>IF(B175="","",IF(C175=TRUE(),"Searched / no binder",IF(D175=0,"No cards assigned",IF(OR(D175&gt;=Binders!$D$3,E175&gt;=Binders!$E$3),"Pull","Skip: buy elsewhere"))))</f>
        <v/>
      </c>
      <c r="G175" s="80" t="str">
        <f t="shared" si="2"/>
        <v/>
      </c>
      <c r="H175" s="2"/>
      <c r="I175" s="80" t="str">
        <f t="array" ref="I175">IFERROR(INDEX($B$2:$B$401,MATCH(174,$J$2:$J$401,0)),"")</f>
        <v/>
      </c>
      <c r="J175" s="80" t="str">
        <f t="shared" si="3"/>
        <v/>
      </c>
      <c r="L175" s="2"/>
    </row>
    <row r="176" ht="15.75" customHeight="1">
      <c r="A176" s="80" t="str">
        <f t="shared" si="1"/>
        <v/>
      </c>
      <c r="B176" s="2"/>
      <c r="C176" s="13" t="b">
        <v>0</v>
      </c>
      <c r="D176" s="80" t="str">
        <f>IF(B176="","",COUNTIFS('Binder Data'!$B$2:$B$6251,B176,'Binder Data'!$E$2:$E$6251,"Y"))</f>
        <v/>
      </c>
      <c r="E176" s="17" t="str">
        <f>IF(B176="","",SUMIFS('Binder Data'!$F$2:$F$6251,'Binder Data'!$B$2:$B$6251,B176,'Binder Data'!$E$2:$E$6251,"Y"))</f>
        <v/>
      </c>
      <c r="F176" s="80" t="str">
        <f>IF(B176="","",IF(C176=TRUE(),"Searched / no binder",IF(D176=0,"No cards assigned",IF(OR(D176&gt;=Binders!$D$3,E176&gt;=Binders!$E$3),"Pull","Skip: buy elsewhere"))))</f>
        <v/>
      </c>
      <c r="G176" s="80" t="str">
        <f t="shared" si="2"/>
        <v/>
      </c>
      <c r="H176" s="2"/>
      <c r="I176" s="80" t="str">
        <f t="array" ref="I176">IFERROR(INDEX($B$2:$B$401,MATCH(175,$J$2:$J$401,0)),"")</f>
        <v/>
      </c>
      <c r="J176" s="80" t="str">
        <f t="shared" si="3"/>
        <v/>
      </c>
      <c r="L176" s="2"/>
    </row>
    <row r="177" ht="15.75" customHeight="1">
      <c r="A177" s="80" t="str">
        <f t="shared" si="1"/>
        <v/>
      </c>
      <c r="B177" s="2"/>
      <c r="C177" s="13" t="b">
        <v>0</v>
      </c>
      <c r="D177" s="80" t="str">
        <f>IF(B177="","",COUNTIFS('Binder Data'!$B$2:$B$6251,B177,'Binder Data'!$E$2:$E$6251,"Y"))</f>
        <v/>
      </c>
      <c r="E177" s="17" t="str">
        <f>IF(B177="","",SUMIFS('Binder Data'!$F$2:$F$6251,'Binder Data'!$B$2:$B$6251,B177,'Binder Data'!$E$2:$E$6251,"Y"))</f>
        <v/>
      </c>
      <c r="F177" s="80" t="str">
        <f>IF(B177="","",IF(C177=TRUE(),"Searched / no binder",IF(D177=0,"No cards assigned",IF(OR(D177&gt;=Binders!$D$3,E177&gt;=Binders!$E$3),"Pull","Skip: buy elsewhere"))))</f>
        <v/>
      </c>
      <c r="G177" s="80" t="str">
        <f t="shared" si="2"/>
        <v/>
      </c>
      <c r="H177" s="2"/>
      <c r="I177" s="80" t="str">
        <f t="array" ref="I177">IFERROR(INDEX($B$2:$B$401,MATCH(176,$J$2:$J$401,0)),"")</f>
        <v/>
      </c>
      <c r="J177" s="80" t="str">
        <f t="shared" si="3"/>
        <v/>
      </c>
      <c r="L177" s="2"/>
    </row>
    <row r="178" ht="15.75" customHeight="1">
      <c r="A178" s="80" t="str">
        <f t="shared" si="1"/>
        <v/>
      </c>
      <c r="B178" s="2"/>
      <c r="C178" s="13" t="b">
        <v>0</v>
      </c>
      <c r="D178" s="80" t="str">
        <f>IF(B178="","",COUNTIFS('Binder Data'!$B$2:$B$6251,B178,'Binder Data'!$E$2:$E$6251,"Y"))</f>
        <v/>
      </c>
      <c r="E178" s="17" t="str">
        <f>IF(B178="","",SUMIFS('Binder Data'!$F$2:$F$6251,'Binder Data'!$B$2:$B$6251,B178,'Binder Data'!$E$2:$E$6251,"Y"))</f>
        <v/>
      </c>
      <c r="F178" s="80" t="str">
        <f>IF(B178="","",IF(C178=TRUE(),"Searched / no binder",IF(D178=0,"No cards assigned",IF(OR(D178&gt;=Binders!$D$3,E178&gt;=Binders!$E$3),"Pull","Skip: buy elsewhere"))))</f>
        <v/>
      </c>
      <c r="G178" s="80" t="str">
        <f t="shared" si="2"/>
        <v/>
      </c>
      <c r="H178" s="2"/>
      <c r="I178" s="80" t="str">
        <f t="array" ref="I178">IFERROR(INDEX($B$2:$B$401,MATCH(177,$J$2:$J$401,0)),"")</f>
        <v/>
      </c>
      <c r="J178" s="80" t="str">
        <f t="shared" si="3"/>
        <v/>
      </c>
      <c r="L178" s="2"/>
    </row>
    <row r="179" ht="15.75" customHeight="1">
      <c r="A179" s="80" t="str">
        <f t="shared" si="1"/>
        <v/>
      </c>
      <c r="B179" s="2"/>
      <c r="C179" s="13" t="b">
        <v>0</v>
      </c>
      <c r="D179" s="80" t="str">
        <f>IF(B179="","",COUNTIFS('Binder Data'!$B$2:$B$6251,B179,'Binder Data'!$E$2:$E$6251,"Y"))</f>
        <v/>
      </c>
      <c r="E179" s="17" t="str">
        <f>IF(B179="","",SUMIFS('Binder Data'!$F$2:$F$6251,'Binder Data'!$B$2:$B$6251,B179,'Binder Data'!$E$2:$E$6251,"Y"))</f>
        <v/>
      </c>
      <c r="F179" s="80" t="str">
        <f>IF(B179="","",IF(C179=TRUE(),"Searched / no binder",IF(D179=0,"No cards assigned",IF(OR(D179&gt;=Binders!$D$3,E179&gt;=Binders!$E$3),"Pull","Skip: buy elsewhere"))))</f>
        <v/>
      </c>
      <c r="G179" s="80" t="str">
        <f t="shared" si="2"/>
        <v/>
      </c>
      <c r="H179" s="2"/>
      <c r="I179" s="80" t="str">
        <f t="array" ref="I179">IFERROR(INDEX($B$2:$B$401,MATCH(178,$J$2:$J$401,0)),"")</f>
        <v/>
      </c>
      <c r="J179" s="80" t="str">
        <f t="shared" si="3"/>
        <v/>
      </c>
      <c r="L179" s="2"/>
    </row>
    <row r="180" ht="15.75" customHeight="1">
      <c r="A180" s="80" t="str">
        <f t="shared" si="1"/>
        <v/>
      </c>
      <c r="B180" s="2"/>
      <c r="C180" s="13" t="b">
        <v>0</v>
      </c>
      <c r="D180" s="80" t="str">
        <f>IF(B180="","",COUNTIFS('Binder Data'!$B$2:$B$6251,B180,'Binder Data'!$E$2:$E$6251,"Y"))</f>
        <v/>
      </c>
      <c r="E180" s="17" t="str">
        <f>IF(B180="","",SUMIFS('Binder Data'!$F$2:$F$6251,'Binder Data'!$B$2:$B$6251,B180,'Binder Data'!$E$2:$E$6251,"Y"))</f>
        <v/>
      </c>
      <c r="F180" s="80" t="str">
        <f>IF(B180="","",IF(C180=TRUE(),"Searched / no binder",IF(D180=0,"No cards assigned",IF(OR(D180&gt;=Binders!$D$3,E180&gt;=Binders!$E$3),"Pull","Skip: buy elsewhere"))))</f>
        <v/>
      </c>
      <c r="G180" s="80" t="str">
        <f t="shared" si="2"/>
        <v/>
      </c>
      <c r="H180" s="2"/>
      <c r="I180" s="80" t="str">
        <f t="array" ref="I180">IFERROR(INDEX($B$2:$B$401,MATCH(179,$J$2:$J$401,0)),"")</f>
        <v/>
      </c>
      <c r="J180" s="80" t="str">
        <f t="shared" si="3"/>
        <v/>
      </c>
      <c r="L180" s="2"/>
    </row>
    <row r="181" ht="15.75" customHeight="1">
      <c r="A181" s="80" t="str">
        <f t="shared" si="1"/>
        <v/>
      </c>
      <c r="B181" s="2"/>
      <c r="C181" s="13" t="b">
        <v>0</v>
      </c>
      <c r="D181" s="80" t="str">
        <f>IF(B181="","",COUNTIFS('Binder Data'!$B$2:$B$6251,B181,'Binder Data'!$E$2:$E$6251,"Y"))</f>
        <v/>
      </c>
      <c r="E181" s="17" t="str">
        <f>IF(B181="","",SUMIFS('Binder Data'!$F$2:$F$6251,'Binder Data'!$B$2:$B$6251,B181,'Binder Data'!$E$2:$E$6251,"Y"))</f>
        <v/>
      </c>
      <c r="F181" s="80" t="str">
        <f>IF(B181="","",IF(C181=TRUE(),"Searched / no binder",IF(D181=0,"No cards assigned",IF(OR(D181&gt;=Binders!$D$3,E181&gt;=Binders!$E$3),"Pull","Skip: buy elsewhere"))))</f>
        <v/>
      </c>
      <c r="G181" s="80" t="str">
        <f t="shared" si="2"/>
        <v/>
      </c>
      <c r="H181" s="2"/>
      <c r="I181" s="80" t="str">
        <f t="array" ref="I181">IFERROR(INDEX($B$2:$B$401,MATCH(180,$J$2:$J$401,0)),"")</f>
        <v/>
      </c>
      <c r="J181" s="80" t="str">
        <f t="shared" si="3"/>
        <v/>
      </c>
      <c r="L181" s="2"/>
    </row>
    <row r="182" ht="15.75" customHeight="1">
      <c r="A182" s="80" t="str">
        <f t="shared" si="1"/>
        <v/>
      </c>
      <c r="B182" s="2"/>
      <c r="C182" s="13" t="b">
        <v>0</v>
      </c>
      <c r="D182" s="80" t="str">
        <f>IF(B182="","",COUNTIFS('Binder Data'!$B$2:$B$6251,B182,'Binder Data'!$E$2:$E$6251,"Y"))</f>
        <v/>
      </c>
      <c r="E182" s="17" t="str">
        <f>IF(B182="","",SUMIFS('Binder Data'!$F$2:$F$6251,'Binder Data'!$B$2:$B$6251,B182,'Binder Data'!$E$2:$E$6251,"Y"))</f>
        <v/>
      </c>
      <c r="F182" s="80" t="str">
        <f>IF(B182="","",IF(C182=TRUE(),"Searched / no binder",IF(D182=0,"No cards assigned",IF(OR(D182&gt;=Binders!$D$3,E182&gt;=Binders!$E$3),"Pull","Skip: buy elsewhere"))))</f>
        <v/>
      </c>
      <c r="G182" s="80" t="str">
        <f t="shared" si="2"/>
        <v/>
      </c>
      <c r="H182" s="2"/>
      <c r="I182" s="80" t="str">
        <f t="array" ref="I182">IFERROR(INDEX($B$2:$B$401,MATCH(181,$J$2:$J$401,0)),"")</f>
        <v/>
      </c>
      <c r="J182" s="80" t="str">
        <f t="shared" si="3"/>
        <v/>
      </c>
      <c r="L182" s="2"/>
    </row>
    <row r="183" ht="15.75" customHeight="1">
      <c r="A183" s="80" t="str">
        <f t="shared" si="1"/>
        <v/>
      </c>
      <c r="B183" s="2"/>
      <c r="C183" s="13" t="b">
        <v>0</v>
      </c>
      <c r="D183" s="80" t="str">
        <f>IF(B183="","",COUNTIFS('Binder Data'!$B$2:$B$6251,B183,'Binder Data'!$E$2:$E$6251,"Y"))</f>
        <v/>
      </c>
      <c r="E183" s="17" t="str">
        <f>IF(B183="","",SUMIFS('Binder Data'!$F$2:$F$6251,'Binder Data'!$B$2:$B$6251,B183,'Binder Data'!$E$2:$E$6251,"Y"))</f>
        <v/>
      </c>
      <c r="F183" s="80" t="str">
        <f>IF(B183="","",IF(C183=TRUE(),"Searched / no binder",IF(D183=0,"No cards assigned",IF(OR(D183&gt;=Binders!$D$3,E183&gt;=Binders!$E$3),"Pull","Skip: buy elsewhere"))))</f>
        <v/>
      </c>
      <c r="G183" s="80" t="str">
        <f t="shared" si="2"/>
        <v/>
      </c>
      <c r="H183" s="2"/>
      <c r="I183" s="80" t="str">
        <f t="array" ref="I183">IFERROR(INDEX($B$2:$B$401,MATCH(182,$J$2:$J$401,0)),"")</f>
        <v/>
      </c>
      <c r="J183" s="80" t="str">
        <f t="shared" si="3"/>
        <v/>
      </c>
      <c r="L183" s="2"/>
    </row>
    <row r="184" ht="15.75" customHeight="1">
      <c r="A184" s="80" t="str">
        <f t="shared" si="1"/>
        <v/>
      </c>
      <c r="B184" s="2"/>
      <c r="C184" s="13" t="b">
        <v>0</v>
      </c>
      <c r="D184" s="80" t="str">
        <f>IF(B184="","",COUNTIFS('Binder Data'!$B$2:$B$6251,B184,'Binder Data'!$E$2:$E$6251,"Y"))</f>
        <v/>
      </c>
      <c r="E184" s="17" t="str">
        <f>IF(B184="","",SUMIFS('Binder Data'!$F$2:$F$6251,'Binder Data'!$B$2:$B$6251,B184,'Binder Data'!$E$2:$E$6251,"Y"))</f>
        <v/>
      </c>
      <c r="F184" s="80" t="str">
        <f>IF(B184="","",IF(C184=TRUE(),"Searched / no binder",IF(D184=0,"No cards assigned",IF(OR(D184&gt;=Binders!$D$3,E184&gt;=Binders!$E$3),"Pull","Skip: buy elsewhere"))))</f>
        <v/>
      </c>
      <c r="G184" s="80" t="str">
        <f t="shared" si="2"/>
        <v/>
      </c>
      <c r="H184" s="2"/>
      <c r="I184" s="80" t="str">
        <f t="array" ref="I184">IFERROR(INDEX($B$2:$B$401,MATCH(183,$J$2:$J$401,0)),"")</f>
        <v/>
      </c>
      <c r="J184" s="80" t="str">
        <f t="shared" si="3"/>
        <v/>
      </c>
      <c r="L184" s="2"/>
    </row>
    <row r="185" ht="15.75" customHeight="1">
      <c r="A185" s="80" t="str">
        <f t="shared" si="1"/>
        <v/>
      </c>
      <c r="B185" s="2"/>
      <c r="C185" s="13" t="b">
        <v>0</v>
      </c>
      <c r="D185" s="80" t="str">
        <f>IF(B185="","",COUNTIFS('Binder Data'!$B$2:$B$6251,B185,'Binder Data'!$E$2:$E$6251,"Y"))</f>
        <v/>
      </c>
      <c r="E185" s="17" t="str">
        <f>IF(B185="","",SUMIFS('Binder Data'!$F$2:$F$6251,'Binder Data'!$B$2:$B$6251,B185,'Binder Data'!$E$2:$E$6251,"Y"))</f>
        <v/>
      </c>
      <c r="F185" s="80" t="str">
        <f>IF(B185="","",IF(C185=TRUE(),"Searched / no binder",IF(D185=0,"No cards assigned",IF(OR(D185&gt;=Binders!$D$3,E185&gt;=Binders!$E$3),"Pull","Skip: buy elsewhere"))))</f>
        <v/>
      </c>
      <c r="G185" s="80" t="str">
        <f t="shared" si="2"/>
        <v/>
      </c>
      <c r="H185" s="2"/>
      <c r="I185" s="80" t="str">
        <f t="array" ref="I185">IFERROR(INDEX($B$2:$B$401,MATCH(184,$J$2:$J$401,0)),"")</f>
        <v/>
      </c>
      <c r="J185" s="80" t="str">
        <f t="shared" si="3"/>
        <v/>
      </c>
      <c r="L185" s="2"/>
    </row>
    <row r="186" ht="15.75" customHeight="1">
      <c r="A186" s="80" t="str">
        <f t="shared" si="1"/>
        <v/>
      </c>
      <c r="B186" s="2"/>
      <c r="C186" s="13" t="b">
        <v>0</v>
      </c>
      <c r="D186" s="80" t="str">
        <f>IF(B186="","",COUNTIFS('Binder Data'!$B$2:$B$6251,B186,'Binder Data'!$E$2:$E$6251,"Y"))</f>
        <v/>
      </c>
      <c r="E186" s="17" t="str">
        <f>IF(B186="","",SUMIFS('Binder Data'!$F$2:$F$6251,'Binder Data'!$B$2:$B$6251,B186,'Binder Data'!$E$2:$E$6251,"Y"))</f>
        <v/>
      </c>
      <c r="F186" s="80" t="str">
        <f>IF(B186="","",IF(C186=TRUE(),"Searched / no binder",IF(D186=0,"No cards assigned",IF(OR(D186&gt;=Binders!$D$3,E186&gt;=Binders!$E$3),"Pull","Skip: buy elsewhere"))))</f>
        <v/>
      </c>
      <c r="G186" s="80" t="str">
        <f t="shared" si="2"/>
        <v/>
      </c>
      <c r="H186" s="2"/>
      <c r="I186" s="80" t="str">
        <f t="array" ref="I186">IFERROR(INDEX($B$2:$B$401,MATCH(185,$J$2:$J$401,0)),"")</f>
        <v/>
      </c>
      <c r="J186" s="80" t="str">
        <f t="shared" si="3"/>
        <v/>
      </c>
      <c r="L186" s="2"/>
    </row>
    <row r="187" ht="15.75" customHeight="1">
      <c r="A187" s="80" t="str">
        <f t="shared" si="1"/>
        <v/>
      </c>
      <c r="B187" s="2"/>
      <c r="C187" s="13" t="b">
        <v>0</v>
      </c>
      <c r="D187" s="80" t="str">
        <f>IF(B187="","",COUNTIFS('Binder Data'!$B$2:$B$6251,B187,'Binder Data'!$E$2:$E$6251,"Y"))</f>
        <v/>
      </c>
      <c r="E187" s="17" t="str">
        <f>IF(B187="","",SUMIFS('Binder Data'!$F$2:$F$6251,'Binder Data'!$B$2:$B$6251,B187,'Binder Data'!$E$2:$E$6251,"Y"))</f>
        <v/>
      </c>
      <c r="F187" s="80" t="str">
        <f>IF(B187="","",IF(C187=TRUE(),"Searched / no binder",IF(D187=0,"No cards assigned",IF(OR(D187&gt;=Binders!$D$3,E187&gt;=Binders!$E$3),"Pull","Skip: buy elsewhere"))))</f>
        <v/>
      </c>
      <c r="G187" s="80" t="str">
        <f t="shared" si="2"/>
        <v/>
      </c>
      <c r="H187" s="2"/>
      <c r="I187" s="80" t="str">
        <f t="array" ref="I187">IFERROR(INDEX($B$2:$B$401,MATCH(186,$J$2:$J$401,0)),"")</f>
        <v/>
      </c>
      <c r="J187" s="80" t="str">
        <f t="shared" si="3"/>
        <v/>
      </c>
      <c r="L187" s="2"/>
    </row>
    <row r="188" ht="15.75" customHeight="1">
      <c r="A188" s="80" t="str">
        <f t="shared" si="1"/>
        <v/>
      </c>
      <c r="B188" s="2"/>
      <c r="C188" s="13" t="b">
        <v>0</v>
      </c>
      <c r="D188" s="80" t="str">
        <f>IF(B188="","",COUNTIFS('Binder Data'!$B$2:$B$6251,B188,'Binder Data'!$E$2:$E$6251,"Y"))</f>
        <v/>
      </c>
      <c r="E188" s="17" t="str">
        <f>IF(B188="","",SUMIFS('Binder Data'!$F$2:$F$6251,'Binder Data'!$B$2:$B$6251,B188,'Binder Data'!$E$2:$E$6251,"Y"))</f>
        <v/>
      </c>
      <c r="F188" s="80" t="str">
        <f>IF(B188="","",IF(C188=TRUE(),"Searched / no binder",IF(D188=0,"No cards assigned",IF(OR(D188&gt;=Binders!$D$3,E188&gt;=Binders!$E$3),"Pull","Skip: buy elsewhere"))))</f>
        <v/>
      </c>
      <c r="G188" s="80" t="str">
        <f t="shared" si="2"/>
        <v/>
      </c>
      <c r="H188" s="2"/>
      <c r="I188" s="80" t="str">
        <f t="array" ref="I188">IFERROR(INDEX($B$2:$B$401,MATCH(187,$J$2:$J$401,0)),"")</f>
        <v/>
      </c>
      <c r="J188" s="80" t="str">
        <f t="shared" si="3"/>
        <v/>
      </c>
      <c r="L188" s="2"/>
    </row>
    <row r="189" ht="15.75" customHeight="1">
      <c r="A189" s="80" t="str">
        <f t="shared" si="1"/>
        <v/>
      </c>
      <c r="B189" s="2"/>
      <c r="C189" s="13" t="b">
        <v>0</v>
      </c>
      <c r="D189" s="80" t="str">
        <f>IF(B189="","",COUNTIFS('Binder Data'!$B$2:$B$6251,B189,'Binder Data'!$E$2:$E$6251,"Y"))</f>
        <v/>
      </c>
      <c r="E189" s="17" t="str">
        <f>IF(B189="","",SUMIFS('Binder Data'!$F$2:$F$6251,'Binder Data'!$B$2:$B$6251,B189,'Binder Data'!$E$2:$E$6251,"Y"))</f>
        <v/>
      </c>
      <c r="F189" s="80" t="str">
        <f>IF(B189="","",IF(C189=TRUE(),"Searched / no binder",IF(D189=0,"No cards assigned",IF(OR(D189&gt;=Binders!$D$3,E189&gt;=Binders!$E$3),"Pull","Skip: buy elsewhere"))))</f>
        <v/>
      </c>
      <c r="G189" s="80" t="str">
        <f t="shared" si="2"/>
        <v/>
      </c>
      <c r="H189" s="2"/>
      <c r="I189" s="80" t="str">
        <f t="array" ref="I189">IFERROR(INDEX($B$2:$B$401,MATCH(188,$J$2:$J$401,0)),"")</f>
        <v/>
      </c>
      <c r="J189" s="80" t="str">
        <f t="shared" si="3"/>
        <v/>
      </c>
      <c r="L189" s="2"/>
    </row>
    <row r="190" ht="15.75" customHeight="1">
      <c r="A190" s="80" t="str">
        <f t="shared" si="1"/>
        <v/>
      </c>
      <c r="B190" s="2"/>
      <c r="C190" s="13" t="b">
        <v>0</v>
      </c>
      <c r="D190" s="80" t="str">
        <f>IF(B190="","",COUNTIFS('Binder Data'!$B$2:$B$6251,B190,'Binder Data'!$E$2:$E$6251,"Y"))</f>
        <v/>
      </c>
      <c r="E190" s="17" t="str">
        <f>IF(B190="","",SUMIFS('Binder Data'!$F$2:$F$6251,'Binder Data'!$B$2:$B$6251,B190,'Binder Data'!$E$2:$E$6251,"Y"))</f>
        <v/>
      </c>
      <c r="F190" s="80" t="str">
        <f>IF(B190="","",IF(C190=TRUE(),"Searched / no binder",IF(D190=0,"No cards assigned",IF(OR(D190&gt;=Binders!$D$3,E190&gt;=Binders!$E$3),"Pull","Skip: buy elsewhere"))))</f>
        <v/>
      </c>
      <c r="G190" s="80" t="str">
        <f t="shared" si="2"/>
        <v/>
      </c>
      <c r="H190" s="2"/>
      <c r="I190" s="80" t="str">
        <f t="array" ref="I190">IFERROR(INDEX($B$2:$B$401,MATCH(189,$J$2:$J$401,0)),"")</f>
        <v/>
      </c>
      <c r="J190" s="80" t="str">
        <f t="shared" si="3"/>
        <v/>
      </c>
      <c r="L190" s="2"/>
    </row>
    <row r="191" ht="15.75" customHeight="1">
      <c r="A191" s="80" t="str">
        <f t="shared" si="1"/>
        <v/>
      </c>
      <c r="B191" s="2"/>
      <c r="C191" s="13" t="b">
        <v>0</v>
      </c>
      <c r="D191" s="80" t="str">
        <f>IF(B191="","",COUNTIFS('Binder Data'!$B$2:$B$6251,B191,'Binder Data'!$E$2:$E$6251,"Y"))</f>
        <v/>
      </c>
      <c r="E191" s="17" t="str">
        <f>IF(B191="","",SUMIFS('Binder Data'!$F$2:$F$6251,'Binder Data'!$B$2:$B$6251,B191,'Binder Data'!$E$2:$E$6251,"Y"))</f>
        <v/>
      </c>
      <c r="F191" s="80" t="str">
        <f>IF(B191="","",IF(C191=TRUE(),"Searched / no binder",IF(D191=0,"No cards assigned",IF(OR(D191&gt;=Binders!$D$3,E191&gt;=Binders!$E$3),"Pull","Skip: buy elsewhere"))))</f>
        <v/>
      </c>
      <c r="G191" s="80" t="str">
        <f t="shared" si="2"/>
        <v/>
      </c>
      <c r="H191" s="2"/>
      <c r="I191" s="80" t="str">
        <f t="array" ref="I191">IFERROR(INDEX($B$2:$B$401,MATCH(190,$J$2:$J$401,0)),"")</f>
        <v/>
      </c>
      <c r="J191" s="80" t="str">
        <f t="shared" si="3"/>
        <v/>
      </c>
      <c r="L191" s="2"/>
    </row>
    <row r="192" ht="15.75" customHeight="1">
      <c r="A192" s="80" t="str">
        <f t="shared" si="1"/>
        <v/>
      </c>
      <c r="B192" s="2"/>
      <c r="C192" s="13" t="b">
        <v>0</v>
      </c>
      <c r="D192" s="80" t="str">
        <f>IF(B192="","",COUNTIFS('Binder Data'!$B$2:$B$6251,B192,'Binder Data'!$E$2:$E$6251,"Y"))</f>
        <v/>
      </c>
      <c r="E192" s="17" t="str">
        <f>IF(B192="","",SUMIFS('Binder Data'!$F$2:$F$6251,'Binder Data'!$B$2:$B$6251,B192,'Binder Data'!$E$2:$E$6251,"Y"))</f>
        <v/>
      </c>
      <c r="F192" s="80" t="str">
        <f>IF(B192="","",IF(C192=TRUE(),"Searched / no binder",IF(D192=0,"No cards assigned",IF(OR(D192&gt;=Binders!$D$3,E192&gt;=Binders!$E$3),"Pull","Skip: buy elsewhere"))))</f>
        <v/>
      </c>
      <c r="G192" s="80" t="str">
        <f t="shared" si="2"/>
        <v/>
      </c>
      <c r="H192" s="2"/>
      <c r="I192" s="80" t="str">
        <f t="array" ref="I192">IFERROR(INDEX($B$2:$B$401,MATCH(191,$J$2:$J$401,0)),"")</f>
        <v/>
      </c>
      <c r="J192" s="80" t="str">
        <f t="shared" si="3"/>
        <v/>
      </c>
      <c r="L192" s="2"/>
    </row>
    <row r="193" ht="15.75" customHeight="1">
      <c r="A193" s="80" t="str">
        <f t="shared" si="1"/>
        <v/>
      </c>
      <c r="B193" s="2"/>
      <c r="C193" s="13" t="b">
        <v>0</v>
      </c>
      <c r="D193" s="80" t="str">
        <f>IF(B193="","",COUNTIFS('Binder Data'!$B$2:$B$6251,B193,'Binder Data'!$E$2:$E$6251,"Y"))</f>
        <v/>
      </c>
      <c r="E193" s="17" t="str">
        <f>IF(B193="","",SUMIFS('Binder Data'!$F$2:$F$6251,'Binder Data'!$B$2:$B$6251,B193,'Binder Data'!$E$2:$E$6251,"Y"))</f>
        <v/>
      </c>
      <c r="F193" s="80" t="str">
        <f>IF(B193="","",IF(C193=TRUE(),"Searched / no binder",IF(D193=0,"No cards assigned",IF(OR(D193&gt;=Binders!$D$3,E193&gt;=Binders!$E$3),"Pull","Skip: buy elsewhere"))))</f>
        <v/>
      </c>
      <c r="G193" s="80" t="str">
        <f t="shared" si="2"/>
        <v/>
      </c>
      <c r="H193" s="2"/>
      <c r="I193" s="80" t="str">
        <f t="array" ref="I193">IFERROR(INDEX($B$2:$B$401,MATCH(192,$J$2:$J$401,0)),"")</f>
        <v/>
      </c>
      <c r="J193" s="80" t="str">
        <f t="shared" si="3"/>
        <v/>
      </c>
      <c r="L193" s="2"/>
    </row>
    <row r="194" ht="15.75" customHeight="1">
      <c r="A194" s="80" t="str">
        <f t="shared" si="1"/>
        <v/>
      </c>
      <c r="B194" s="2"/>
      <c r="C194" s="13" t="b">
        <v>0</v>
      </c>
      <c r="D194" s="80" t="str">
        <f>IF(B194="","",COUNTIFS('Binder Data'!$B$2:$B$6251,B194,'Binder Data'!$E$2:$E$6251,"Y"))</f>
        <v/>
      </c>
      <c r="E194" s="17" t="str">
        <f>IF(B194="","",SUMIFS('Binder Data'!$F$2:$F$6251,'Binder Data'!$B$2:$B$6251,B194,'Binder Data'!$E$2:$E$6251,"Y"))</f>
        <v/>
      </c>
      <c r="F194" s="80" t="str">
        <f>IF(B194="","",IF(C194=TRUE(),"Searched / no binder",IF(D194=0,"No cards assigned",IF(OR(D194&gt;=Binders!$D$3,E194&gt;=Binders!$E$3),"Pull","Skip: buy elsewhere"))))</f>
        <v/>
      </c>
      <c r="G194" s="80" t="str">
        <f t="shared" si="2"/>
        <v/>
      </c>
      <c r="H194" s="2"/>
      <c r="I194" s="80" t="str">
        <f t="array" ref="I194">IFERROR(INDEX($B$2:$B$401,MATCH(193,$J$2:$J$401,0)),"")</f>
        <v/>
      </c>
      <c r="J194" s="80" t="str">
        <f t="shared" si="3"/>
        <v/>
      </c>
      <c r="L194" s="2"/>
    </row>
    <row r="195" ht="15.75" customHeight="1">
      <c r="A195" s="80" t="str">
        <f t="shared" si="1"/>
        <v/>
      </c>
      <c r="B195" s="2"/>
      <c r="C195" s="13" t="b">
        <v>0</v>
      </c>
      <c r="D195" s="80" t="str">
        <f>IF(B195="","",COUNTIFS('Binder Data'!$B$2:$B$6251,B195,'Binder Data'!$E$2:$E$6251,"Y"))</f>
        <v/>
      </c>
      <c r="E195" s="17" t="str">
        <f>IF(B195="","",SUMIFS('Binder Data'!$F$2:$F$6251,'Binder Data'!$B$2:$B$6251,B195,'Binder Data'!$E$2:$E$6251,"Y"))</f>
        <v/>
      </c>
      <c r="F195" s="80" t="str">
        <f>IF(B195="","",IF(C195=TRUE(),"Searched / no binder",IF(D195=0,"No cards assigned",IF(OR(D195&gt;=Binders!$D$3,E195&gt;=Binders!$E$3),"Pull","Skip: buy elsewhere"))))</f>
        <v/>
      </c>
      <c r="G195" s="80" t="str">
        <f t="shared" si="2"/>
        <v/>
      </c>
      <c r="H195" s="2"/>
      <c r="I195" s="80" t="str">
        <f t="array" ref="I195">IFERROR(INDEX($B$2:$B$401,MATCH(194,$J$2:$J$401,0)),"")</f>
        <v/>
      </c>
      <c r="J195" s="80" t="str">
        <f t="shared" si="3"/>
        <v/>
      </c>
      <c r="L195" s="2"/>
    </row>
    <row r="196" ht="15.75" customHeight="1">
      <c r="A196" s="80" t="str">
        <f t="shared" si="1"/>
        <v/>
      </c>
      <c r="B196" s="2"/>
      <c r="C196" s="13" t="b">
        <v>0</v>
      </c>
      <c r="D196" s="80" t="str">
        <f>IF(B196="","",COUNTIFS('Binder Data'!$B$2:$B$6251,B196,'Binder Data'!$E$2:$E$6251,"Y"))</f>
        <v/>
      </c>
      <c r="E196" s="17" t="str">
        <f>IF(B196="","",SUMIFS('Binder Data'!$F$2:$F$6251,'Binder Data'!$B$2:$B$6251,B196,'Binder Data'!$E$2:$E$6251,"Y"))</f>
        <v/>
      </c>
      <c r="F196" s="80" t="str">
        <f>IF(B196="","",IF(C196=TRUE(),"Searched / no binder",IF(D196=0,"No cards assigned",IF(OR(D196&gt;=Binders!$D$3,E196&gt;=Binders!$E$3),"Pull","Skip: buy elsewhere"))))</f>
        <v/>
      </c>
      <c r="G196" s="80" t="str">
        <f t="shared" si="2"/>
        <v/>
      </c>
      <c r="H196" s="2"/>
      <c r="I196" s="80" t="str">
        <f t="array" ref="I196">IFERROR(INDEX($B$2:$B$401,MATCH(195,$J$2:$J$401,0)),"")</f>
        <v/>
      </c>
      <c r="J196" s="80" t="str">
        <f t="shared" si="3"/>
        <v/>
      </c>
      <c r="L196" s="2"/>
    </row>
    <row r="197" ht="15.75" customHeight="1">
      <c r="A197" s="80" t="str">
        <f t="shared" si="1"/>
        <v/>
      </c>
      <c r="B197" s="2"/>
      <c r="C197" s="13" t="b">
        <v>0</v>
      </c>
      <c r="D197" s="80" t="str">
        <f>IF(B197="","",COUNTIFS('Binder Data'!$B$2:$B$6251,B197,'Binder Data'!$E$2:$E$6251,"Y"))</f>
        <v/>
      </c>
      <c r="E197" s="17" t="str">
        <f>IF(B197="","",SUMIFS('Binder Data'!$F$2:$F$6251,'Binder Data'!$B$2:$B$6251,B197,'Binder Data'!$E$2:$E$6251,"Y"))</f>
        <v/>
      </c>
      <c r="F197" s="80" t="str">
        <f>IF(B197="","",IF(C197=TRUE(),"Searched / no binder",IF(D197=0,"No cards assigned",IF(OR(D197&gt;=Binders!$D$3,E197&gt;=Binders!$E$3),"Pull","Skip: buy elsewhere"))))</f>
        <v/>
      </c>
      <c r="G197" s="80" t="str">
        <f t="shared" si="2"/>
        <v/>
      </c>
      <c r="H197" s="2"/>
      <c r="I197" s="80" t="str">
        <f t="array" ref="I197">IFERROR(INDEX($B$2:$B$401,MATCH(196,$J$2:$J$401,0)),"")</f>
        <v/>
      </c>
      <c r="J197" s="80" t="str">
        <f t="shared" si="3"/>
        <v/>
      </c>
      <c r="L197" s="2"/>
    </row>
    <row r="198" ht="15.75" customHeight="1">
      <c r="A198" s="80" t="str">
        <f t="shared" si="1"/>
        <v/>
      </c>
      <c r="B198" s="2"/>
      <c r="C198" s="13" t="b">
        <v>0</v>
      </c>
      <c r="D198" s="80" t="str">
        <f>IF(B198="","",COUNTIFS('Binder Data'!$B$2:$B$6251,B198,'Binder Data'!$E$2:$E$6251,"Y"))</f>
        <v/>
      </c>
      <c r="E198" s="17" t="str">
        <f>IF(B198="","",SUMIFS('Binder Data'!$F$2:$F$6251,'Binder Data'!$B$2:$B$6251,B198,'Binder Data'!$E$2:$E$6251,"Y"))</f>
        <v/>
      </c>
      <c r="F198" s="80" t="str">
        <f>IF(B198="","",IF(C198=TRUE(),"Searched / no binder",IF(D198=0,"No cards assigned",IF(OR(D198&gt;=Binders!$D$3,E198&gt;=Binders!$E$3),"Pull","Skip: buy elsewhere"))))</f>
        <v/>
      </c>
      <c r="G198" s="80" t="str">
        <f t="shared" si="2"/>
        <v/>
      </c>
      <c r="H198" s="2"/>
      <c r="I198" s="80" t="str">
        <f t="array" ref="I198">IFERROR(INDEX($B$2:$B$401,MATCH(197,$J$2:$J$401,0)),"")</f>
        <v/>
      </c>
      <c r="J198" s="80" t="str">
        <f t="shared" si="3"/>
        <v/>
      </c>
      <c r="L198" s="2"/>
    </row>
    <row r="199" ht="15.75" customHeight="1">
      <c r="A199" s="80" t="str">
        <f t="shared" si="1"/>
        <v/>
      </c>
      <c r="B199" s="2"/>
      <c r="C199" s="13" t="b">
        <v>0</v>
      </c>
      <c r="D199" s="80" t="str">
        <f>IF(B199="","",COUNTIFS('Binder Data'!$B$2:$B$6251,B199,'Binder Data'!$E$2:$E$6251,"Y"))</f>
        <v/>
      </c>
      <c r="E199" s="17" t="str">
        <f>IF(B199="","",SUMIFS('Binder Data'!$F$2:$F$6251,'Binder Data'!$B$2:$B$6251,B199,'Binder Data'!$E$2:$E$6251,"Y"))</f>
        <v/>
      </c>
      <c r="F199" s="80" t="str">
        <f>IF(B199="","",IF(C199=TRUE(),"Searched / no binder",IF(D199=0,"No cards assigned",IF(OR(D199&gt;=Binders!$D$3,E199&gt;=Binders!$E$3),"Pull","Skip: buy elsewhere"))))</f>
        <v/>
      </c>
      <c r="G199" s="80" t="str">
        <f t="shared" si="2"/>
        <v/>
      </c>
      <c r="H199" s="2"/>
      <c r="I199" s="80" t="str">
        <f t="array" ref="I199">IFERROR(INDEX($B$2:$B$401,MATCH(198,$J$2:$J$401,0)),"")</f>
        <v/>
      </c>
      <c r="J199" s="80" t="str">
        <f t="shared" si="3"/>
        <v/>
      </c>
      <c r="L199" s="2"/>
    </row>
    <row r="200" ht="15.75" customHeight="1">
      <c r="A200" s="80" t="str">
        <f t="shared" si="1"/>
        <v/>
      </c>
      <c r="B200" s="2"/>
      <c r="C200" s="13" t="b">
        <v>0</v>
      </c>
      <c r="D200" s="80" t="str">
        <f>IF(B200="","",COUNTIFS('Binder Data'!$B$2:$B$6251,B200,'Binder Data'!$E$2:$E$6251,"Y"))</f>
        <v/>
      </c>
      <c r="E200" s="17" t="str">
        <f>IF(B200="","",SUMIFS('Binder Data'!$F$2:$F$6251,'Binder Data'!$B$2:$B$6251,B200,'Binder Data'!$E$2:$E$6251,"Y"))</f>
        <v/>
      </c>
      <c r="F200" s="80" t="str">
        <f>IF(B200="","",IF(C200=TRUE(),"Searched / no binder",IF(D200=0,"No cards assigned",IF(OR(D200&gt;=Binders!$D$3,E200&gt;=Binders!$E$3),"Pull","Skip: buy elsewhere"))))</f>
        <v/>
      </c>
      <c r="G200" s="80" t="str">
        <f t="shared" si="2"/>
        <v/>
      </c>
      <c r="H200" s="2"/>
      <c r="I200" s="80" t="str">
        <f t="array" ref="I200">IFERROR(INDEX($B$2:$B$401,MATCH(199,$J$2:$J$401,0)),"")</f>
        <v/>
      </c>
      <c r="J200" s="80" t="str">
        <f t="shared" si="3"/>
        <v/>
      </c>
      <c r="L200" s="2"/>
    </row>
    <row r="201" ht="15.75" customHeight="1">
      <c r="A201" s="80" t="str">
        <f t="shared" si="1"/>
        <v/>
      </c>
      <c r="B201" s="2"/>
      <c r="C201" s="13" t="b">
        <v>0</v>
      </c>
      <c r="D201" s="80" t="str">
        <f>IF(B201="","",COUNTIFS('Binder Data'!$B$2:$B$6251,B201,'Binder Data'!$E$2:$E$6251,"Y"))</f>
        <v/>
      </c>
      <c r="E201" s="17" t="str">
        <f>IF(B201="","",SUMIFS('Binder Data'!$F$2:$F$6251,'Binder Data'!$B$2:$B$6251,B201,'Binder Data'!$E$2:$E$6251,"Y"))</f>
        <v/>
      </c>
      <c r="F201" s="80" t="str">
        <f>IF(B201="","",IF(C201=TRUE(),"Searched / no binder",IF(D201=0,"No cards assigned",IF(OR(D201&gt;=Binders!$D$3,E201&gt;=Binders!$E$3),"Pull","Skip: buy elsewhere"))))</f>
        <v/>
      </c>
      <c r="G201" s="80" t="str">
        <f t="shared" si="2"/>
        <v/>
      </c>
      <c r="H201" s="2"/>
      <c r="I201" s="80" t="str">
        <f t="array" ref="I201">IFERROR(INDEX($B$2:$B$401,MATCH(200,$J$2:$J$401,0)),"")</f>
        <v/>
      </c>
      <c r="J201" s="80" t="str">
        <f t="shared" si="3"/>
        <v/>
      </c>
      <c r="L201" s="2"/>
    </row>
    <row r="202" ht="15.75" customHeight="1">
      <c r="A202" s="80" t="str">
        <f t="shared" si="1"/>
        <v/>
      </c>
      <c r="B202" s="2"/>
      <c r="C202" s="13" t="b">
        <v>0</v>
      </c>
      <c r="D202" s="80" t="str">
        <f>IF(B202="","",COUNTIFS('Binder Data'!$B$2:$B$6251,B202,'Binder Data'!$E$2:$E$6251,"Y"))</f>
        <v/>
      </c>
      <c r="E202" s="17" t="str">
        <f>IF(B202="","",SUMIFS('Binder Data'!$F$2:$F$6251,'Binder Data'!$B$2:$B$6251,B202,'Binder Data'!$E$2:$E$6251,"Y"))</f>
        <v/>
      </c>
      <c r="F202" s="80" t="str">
        <f>IF(B202="","",IF(C202=TRUE(),"Searched / no binder",IF(D202=0,"No cards assigned",IF(OR(D202&gt;=Binders!$D$3,E202&gt;=Binders!$E$3),"Pull","Skip: buy elsewhere"))))</f>
        <v/>
      </c>
      <c r="G202" s="80" t="str">
        <f t="shared" si="2"/>
        <v/>
      </c>
      <c r="H202" s="2"/>
      <c r="I202" s="80" t="str">
        <f t="array" ref="I202">IFERROR(INDEX($B$2:$B$401,MATCH(201,$J$2:$J$401,0)),"")</f>
        <v/>
      </c>
      <c r="J202" s="80" t="str">
        <f t="shared" si="3"/>
        <v/>
      </c>
      <c r="L202" s="2"/>
    </row>
    <row r="203" ht="15.75" customHeight="1">
      <c r="A203" s="80" t="str">
        <f t="shared" si="1"/>
        <v/>
      </c>
      <c r="B203" s="2"/>
      <c r="C203" s="13" t="b">
        <v>0</v>
      </c>
      <c r="D203" s="80" t="str">
        <f>IF(B203="","",COUNTIFS('Binder Data'!$B$2:$B$6251,B203,'Binder Data'!$E$2:$E$6251,"Y"))</f>
        <v/>
      </c>
      <c r="E203" s="17" t="str">
        <f>IF(B203="","",SUMIFS('Binder Data'!$F$2:$F$6251,'Binder Data'!$B$2:$B$6251,B203,'Binder Data'!$E$2:$E$6251,"Y"))</f>
        <v/>
      </c>
      <c r="F203" s="80" t="str">
        <f>IF(B203="","",IF(C203=TRUE(),"Searched / no binder",IF(D203=0,"No cards assigned",IF(OR(D203&gt;=Binders!$D$3,E203&gt;=Binders!$E$3),"Pull","Skip: buy elsewhere"))))</f>
        <v/>
      </c>
      <c r="G203" s="80" t="str">
        <f t="shared" si="2"/>
        <v/>
      </c>
      <c r="H203" s="2"/>
      <c r="I203" s="80" t="str">
        <f t="array" ref="I203">IFERROR(INDEX($B$2:$B$401,MATCH(202,$J$2:$J$401,0)),"")</f>
        <v/>
      </c>
      <c r="J203" s="80" t="str">
        <f t="shared" si="3"/>
        <v/>
      </c>
      <c r="L203" s="2"/>
    </row>
    <row r="204" ht="15.75" customHeight="1">
      <c r="A204" s="80" t="str">
        <f t="shared" si="1"/>
        <v/>
      </c>
      <c r="B204" s="2"/>
      <c r="C204" s="13" t="b">
        <v>0</v>
      </c>
      <c r="D204" s="80" t="str">
        <f>IF(B204="","",COUNTIFS('Binder Data'!$B$2:$B$6251,B204,'Binder Data'!$E$2:$E$6251,"Y"))</f>
        <v/>
      </c>
      <c r="E204" s="17" t="str">
        <f>IF(B204="","",SUMIFS('Binder Data'!$F$2:$F$6251,'Binder Data'!$B$2:$B$6251,B204,'Binder Data'!$E$2:$E$6251,"Y"))</f>
        <v/>
      </c>
      <c r="F204" s="80" t="str">
        <f>IF(B204="","",IF(C204=TRUE(),"Searched / no binder",IF(D204=0,"No cards assigned",IF(OR(D204&gt;=Binders!$D$3,E204&gt;=Binders!$E$3),"Pull","Skip: buy elsewhere"))))</f>
        <v/>
      </c>
      <c r="G204" s="80" t="str">
        <f t="shared" si="2"/>
        <v/>
      </c>
      <c r="H204" s="2"/>
      <c r="I204" s="80" t="str">
        <f t="array" ref="I204">IFERROR(INDEX($B$2:$B$401,MATCH(203,$J$2:$J$401,0)),"")</f>
        <v/>
      </c>
      <c r="J204" s="80" t="str">
        <f t="shared" si="3"/>
        <v/>
      </c>
      <c r="L204" s="2"/>
    </row>
    <row r="205" ht="15.75" customHeight="1">
      <c r="A205" s="80" t="str">
        <f t="shared" si="1"/>
        <v/>
      </c>
      <c r="B205" s="2"/>
      <c r="C205" s="13" t="b">
        <v>0</v>
      </c>
      <c r="D205" s="80" t="str">
        <f>IF(B205="","",COUNTIFS('Binder Data'!$B$2:$B$6251,B205,'Binder Data'!$E$2:$E$6251,"Y"))</f>
        <v/>
      </c>
      <c r="E205" s="17" t="str">
        <f>IF(B205="","",SUMIFS('Binder Data'!$F$2:$F$6251,'Binder Data'!$B$2:$B$6251,B205,'Binder Data'!$E$2:$E$6251,"Y"))</f>
        <v/>
      </c>
      <c r="F205" s="80" t="str">
        <f>IF(B205="","",IF(C205=TRUE(),"Searched / no binder",IF(D205=0,"No cards assigned",IF(OR(D205&gt;=Binders!$D$3,E205&gt;=Binders!$E$3),"Pull","Skip: buy elsewhere"))))</f>
        <v/>
      </c>
      <c r="G205" s="80" t="str">
        <f t="shared" si="2"/>
        <v/>
      </c>
      <c r="H205" s="2"/>
      <c r="I205" s="80" t="str">
        <f t="array" ref="I205">IFERROR(INDEX($B$2:$B$401,MATCH(204,$J$2:$J$401,0)),"")</f>
        <v/>
      </c>
      <c r="J205" s="80" t="str">
        <f t="shared" si="3"/>
        <v/>
      </c>
      <c r="L205" s="2"/>
    </row>
    <row r="206" ht="15.75" customHeight="1">
      <c r="A206" s="80" t="str">
        <f t="shared" si="1"/>
        <v/>
      </c>
      <c r="B206" s="2"/>
      <c r="C206" s="13" t="b">
        <v>0</v>
      </c>
      <c r="D206" s="80" t="str">
        <f>IF(B206="","",COUNTIFS('Binder Data'!$B$2:$B$6251,B206,'Binder Data'!$E$2:$E$6251,"Y"))</f>
        <v/>
      </c>
      <c r="E206" s="17" t="str">
        <f>IF(B206="","",SUMIFS('Binder Data'!$F$2:$F$6251,'Binder Data'!$B$2:$B$6251,B206,'Binder Data'!$E$2:$E$6251,"Y"))</f>
        <v/>
      </c>
      <c r="F206" s="80" t="str">
        <f>IF(B206="","",IF(C206=TRUE(),"Searched / no binder",IF(D206=0,"No cards assigned",IF(OR(D206&gt;=Binders!$D$3,E206&gt;=Binders!$E$3),"Pull","Skip: buy elsewhere"))))</f>
        <v/>
      </c>
      <c r="G206" s="80" t="str">
        <f t="shared" si="2"/>
        <v/>
      </c>
      <c r="H206" s="2"/>
      <c r="I206" s="80" t="str">
        <f t="array" ref="I206">IFERROR(INDEX($B$2:$B$401,MATCH(205,$J$2:$J$401,0)),"")</f>
        <v/>
      </c>
      <c r="J206" s="80" t="str">
        <f t="shared" si="3"/>
        <v/>
      </c>
      <c r="L206" s="2"/>
    </row>
    <row r="207" ht="15.75" customHeight="1">
      <c r="A207" s="80" t="str">
        <f t="shared" si="1"/>
        <v/>
      </c>
      <c r="B207" s="2"/>
      <c r="C207" s="13" t="b">
        <v>0</v>
      </c>
      <c r="D207" s="80" t="str">
        <f>IF(B207="","",COUNTIFS('Binder Data'!$B$2:$B$6251,B207,'Binder Data'!$E$2:$E$6251,"Y"))</f>
        <v/>
      </c>
      <c r="E207" s="17" t="str">
        <f>IF(B207="","",SUMIFS('Binder Data'!$F$2:$F$6251,'Binder Data'!$B$2:$B$6251,B207,'Binder Data'!$E$2:$E$6251,"Y"))</f>
        <v/>
      </c>
      <c r="F207" s="80" t="str">
        <f>IF(B207="","",IF(C207=TRUE(),"Searched / no binder",IF(D207=0,"No cards assigned",IF(OR(D207&gt;=Binders!$D$3,E207&gt;=Binders!$E$3),"Pull","Skip: buy elsewhere"))))</f>
        <v/>
      </c>
      <c r="G207" s="80" t="str">
        <f t="shared" si="2"/>
        <v/>
      </c>
      <c r="H207" s="2"/>
      <c r="I207" s="80" t="str">
        <f t="array" ref="I207">IFERROR(INDEX($B$2:$B$401,MATCH(206,$J$2:$J$401,0)),"")</f>
        <v/>
      </c>
      <c r="J207" s="80" t="str">
        <f t="shared" si="3"/>
        <v/>
      </c>
      <c r="L207" s="2"/>
    </row>
    <row r="208" ht="15.75" customHeight="1">
      <c r="A208" s="80" t="str">
        <f t="shared" si="1"/>
        <v/>
      </c>
      <c r="B208" s="2"/>
      <c r="C208" s="13" t="b">
        <v>0</v>
      </c>
      <c r="D208" s="80" t="str">
        <f>IF(B208="","",COUNTIFS('Binder Data'!$B$2:$B$6251,B208,'Binder Data'!$E$2:$E$6251,"Y"))</f>
        <v/>
      </c>
      <c r="E208" s="17" t="str">
        <f>IF(B208="","",SUMIFS('Binder Data'!$F$2:$F$6251,'Binder Data'!$B$2:$B$6251,B208,'Binder Data'!$E$2:$E$6251,"Y"))</f>
        <v/>
      </c>
      <c r="F208" s="80" t="str">
        <f>IF(B208="","",IF(C208=TRUE(),"Searched / no binder",IF(D208=0,"No cards assigned",IF(OR(D208&gt;=Binders!$D$3,E208&gt;=Binders!$E$3),"Pull","Skip: buy elsewhere"))))</f>
        <v/>
      </c>
      <c r="G208" s="80" t="str">
        <f t="shared" si="2"/>
        <v/>
      </c>
      <c r="H208" s="2"/>
      <c r="I208" s="80" t="str">
        <f t="array" ref="I208">IFERROR(INDEX($B$2:$B$401,MATCH(207,$J$2:$J$401,0)),"")</f>
        <v/>
      </c>
      <c r="J208" s="80" t="str">
        <f t="shared" si="3"/>
        <v/>
      </c>
      <c r="L208" s="2"/>
    </row>
    <row r="209" ht="15.75" customHeight="1">
      <c r="A209" s="80" t="str">
        <f t="shared" si="1"/>
        <v/>
      </c>
      <c r="B209" s="2"/>
      <c r="C209" s="13" t="b">
        <v>0</v>
      </c>
      <c r="D209" s="80" t="str">
        <f>IF(B209="","",COUNTIFS('Binder Data'!$B$2:$B$6251,B209,'Binder Data'!$E$2:$E$6251,"Y"))</f>
        <v/>
      </c>
      <c r="E209" s="17" t="str">
        <f>IF(B209="","",SUMIFS('Binder Data'!$F$2:$F$6251,'Binder Data'!$B$2:$B$6251,B209,'Binder Data'!$E$2:$E$6251,"Y"))</f>
        <v/>
      </c>
      <c r="F209" s="80" t="str">
        <f>IF(B209="","",IF(C209=TRUE(),"Searched / no binder",IF(D209=0,"No cards assigned",IF(OR(D209&gt;=Binders!$D$3,E209&gt;=Binders!$E$3),"Pull","Skip: buy elsewhere"))))</f>
        <v/>
      </c>
      <c r="G209" s="80" t="str">
        <f t="shared" si="2"/>
        <v/>
      </c>
      <c r="H209" s="2"/>
      <c r="I209" s="80" t="str">
        <f t="array" ref="I209">IFERROR(INDEX($B$2:$B$401,MATCH(208,$J$2:$J$401,0)),"")</f>
        <v/>
      </c>
      <c r="J209" s="80" t="str">
        <f t="shared" si="3"/>
        <v/>
      </c>
      <c r="L209" s="2"/>
    </row>
    <row r="210" ht="15.75" customHeight="1">
      <c r="A210" s="80" t="str">
        <f t="shared" si="1"/>
        <v/>
      </c>
      <c r="B210" s="2"/>
      <c r="C210" s="13" t="b">
        <v>0</v>
      </c>
      <c r="D210" s="80" t="str">
        <f>IF(B210="","",COUNTIFS('Binder Data'!$B$2:$B$6251,B210,'Binder Data'!$E$2:$E$6251,"Y"))</f>
        <v/>
      </c>
      <c r="E210" s="17" t="str">
        <f>IF(B210="","",SUMIFS('Binder Data'!$F$2:$F$6251,'Binder Data'!$B$2:$B$6251,B210,'Binder Data'!$E$2:$E$6251,"Y"))</f>
        <v/>
      </c>
      <c r="F210" s="80" t="str">
        <f>IF(B210="","",IF(C210=TRUE(),"Searched / no binder",IF(D210=0,"No cards assigned",IF(OR(D210&gt;=Binders!$D$3,E210&gt;=Binders!$E$3),"Pull","Skip: buy elsewhere"))))</f>
        <v/>
      </c>
      <c r="G210" s="80" t="str">
        <f t="shared" si="2"/>
        <v/>
      </c>
      <c r="H210" s="2"/>
      <c r="I210" s="80" t="str">
        <f t="array" ref="I210">IFERROR(INDEX($B$2:$B$401,MATCH(209,$J$2:$J$401,0)),"")</f>
        <v/>
      </c>
      <c r="J210" s="80" t="str">
        <f t="shared" si="3"/>
        <v/>
      </c>
      <c r="L210" s="2"/>
    </row>
    <row r="211" ht="15.75" customHeight="1">
      <c r="A211" s="80" t="str">
        <f t="shared" si="1"/>
        <v/>
      </c>
      <c r="B211" s="2"/>
      <c r="C211" s="13" t="b">
        <v>0</v>
      </c>
      <c r="D211" s="80" t="str">
        <f>IF(B211="","",COUNTIFS('Binder Data'!$B$2:$B$6251,B211,'Binder Data'!$E$2:$E$6251,"Y"))</f>
        <v/>
      </c>
      <c r="E211" s="17" t="str">
        <f>IF(B211="","",SUMIFS('Binder Data'!$F$2:$F$6251,'Binder Data'!$B$2:$B$6251,B211,'Binder Data'!$E$2:$E$6251,"Y"))</f>
        <v/>
      </c>
      <c r="F211" s="80" t="str">
        <f>IF(B211="","",IF(C211=TRUE(),"Searched / no binder",IF(D211=0,"No cards assigned",IF(OR(D211&gt;=Binders!$D$3,E211&gt;=Binders!$E$3),"Pull","Skip: buy elsewhere"))))</f>
        <v/>
      </c>
      <c r="G211" s="80" t="str">
        <f t="shared" si="2"/>
        <v/>
      </c>
      <c r="H211" s="2"/>
      <c r="I211" s="80" t="str">
        <f t="array" ref="I211">IFERROR(INDEX($B$2:$B$401,MATCH(210,$J$2:$J$401,0)),"")</f>
        <v/>
      </c>
      <c r="J211" s="80" t="str">
        <f t="shared" si="3"/>
        <v/>
      </c>
      <c r="L211" s="2"/>
    </row>
    <row r="212" ht="15.75" customHeight="1">
      <c r="A212" s="80" t="str">
        <f t="shared" si="1"/>
        <v/>
      </c>
      <c r="B212" s="2"/>
      <c r="C212" s="13" t="b">
        <v>0</v>
      </c>
      <c r="D212" s="80" t="str">
        <f>IF(B212="","",COUNTIFS('Binder Data'!$B$2:$B$6251,B212,'Binder Data'!$E$2:$E$6251,"Y"))</f>
        <v/>
      </c>
      <c r="E212" s="17" t="str">
        <f>IF(B212="","",SUMIFS('Binder Data'!$F$2:$F$6251,'Binder Data'!$B$2:$B$6251,B212,'Binder Data'!$E$2:$E$6251,"Y"))</f>
        <v/>
      </c>
      <c r="F212" s="80" t="str">
        <f>IF(B212="","",IF(C212=TRUE(),"Searched / no binder",IF(D212=0,"No cards assigned",IF(OR(D212&gt;=Binders!$D$3,E212&gt;=Binders!$E$3),"Pull","Skip: buy elsewhere"))))</f>
        <v/>
      </c>
      <c r="G212" s="80" t="str">
        <f t="shared" si="2"/>
        <v/>
      </c>
      <c r="H212" s="2"/>
      <c r="I212" s="80" t="str">
        <f t="array" ref="I212">IFERROR(INDEX($B$2:$B$401,MATCH(211,$J$2:$J$401,0)),"")</f>
        <v/>
      </c>
      <c r="J212" s="80" t="str">
        <f t="shared" si="3"/>
        <v/>
      </c>
      <c r="L212" s="2"/>
    </row>
    <row r="213" ht="15.75" customHeight="1">
      <c r="A213" s="80" t="str">
        <f t="shared" si="1"/>
        <v/>
      </c>
      <c r="B213" s="2"/>
      <c r="C213" s="13" t="b">
        <v>0</v>
      </c>
      <c r="D213" s="80" t="str">
        <f>IF(B213="","",COUNTIFS('Binder Data'!$B$2:$B$6251,B213,'Binder Data'!$E$2:$E$6251,"Y"))</f>
        <v/>
      </c>
      <c r="E213" s="17" t="str">
        <f>IF(B213="","",SUMIFS('Binder Data'!$F$2:$F$6251,'Binder Data'!$B$2:$B$6251,B213,'Binder Data'!$E$2:$E$6251,"Y"))</f>
        <v/>
      </c>
      <c r="F213" s="80" t="str">
        <f>IF(B213="","",IF(C213=TRUE(),"Searched / no binder",IF(D213=0,"No cards assigned",IF(OR(D213&gt;=Binders!$D$3,E213&gt;=Binders!$E$3),"Pull","Skip: buy elsewhere"))))</f>
        <v/>
      </c>
      <c r="G213" s="80" t="str">
        <f t="shared" si="2"/>
        <v/>
      </c>
      <c r="H213" s="2"/>
      <c r="I213" s="80" t="str">
        <f t="array" ref="I213">IFERROR(INDEX($B$2:$B$401,MATCH(212,$J$2:$J$401,0)),"")</f>
        <v/>
      </c>
      <c r="J213" s="80" t="str">
        <f t="shared" si="3"/>
        <v/>
      </c>
      <c r="L213" s="2"/>
    </row>
    <row r="214" ht="15.75" customHeight="1">
      <c r="A214" s="80" t="str">
        <f t="shared" si="1"/>
        <v/>
      </c>
      <c r="B214" s="2"/>
      <c r="C214" s="13" t="b">
        <v>0</v>
      </c>
      <c r="D214" s="80" t="str">
        <f>IF(B214="","",COUNTIFS('Binder Data'!$B$2:$B$6251,B214,'Binder Data'!$E$2:$E$6251,"Y"))</f>
        <v/>
      </c>
      <c r="E214" s="17" t="str">
        <f>IF(B214="","",SUMIFS('Binder Data'!$F$2:$F$6251,'Binder Data'!$B$2:$B$6251,B214,'Binder Data'!$E$2:$E$6251,"Y"))</f>
        <v/>
      </c>
      <c r="F214" s="80" t="str">
        <f>IF(B214="","",IF(C214=TRUE(),"Searched / no binder",IF(D214=0,"No cards assigned",IF(OR(D214&gt;=Binders!$D$3,E214&gt;=Binders!$E$3),"Pull","Skip: buy elsewhere"))))</f>
        <v/>
      </c>
      <c r="G214" s="80" t="str">
        <f t="shared" si="2"/>
        <v/>
      </c>
      <c r="H214" s="2"/>
      <c r="I214" s="80" t="str">
        <f t="array" ref="I214">IFERROR(INDEX($B$2:$B$401,MATCH(213,$J$2:$J$401,0)),"")</f>
        <v/>
      </c>
      <c r="J214" s="80" t="str">
        <f t="shared" si="3"/>
        <v/>
      </c>
      <c r="L214" s="2"/>
    </row>
    <row r="215" ht="15.75" customHeight="1">
      <c r="A215" s="80" t="str">
        <f t="shared" si="1"/>
        <v/>
      </c>
      <c r="B215" s="2"/>
      <c r="C215" s="13" t="b">
        <v>0</v>
      </c>
      <c r="D215" s="80" t="str">
        <f>IF(B215="","",COUNTIFS('Binder Data'!$B$2:$B$6251,B215,'Binder Data'!$E$2:$E$6251,"Y"))</f>
        <v/>
      </c>
      <c r="E215" s="17" t="str">
        <f>IF(B215="","",SUMIFS('Binder Data'!$F$2:$F$6251,'Binder Data'!$B$2:$B$6251,B215,'Binder Data'!$E$2:$E$6251,"Y"))</f>
        <v/>
      </c>
      <c r="F215" s="80" t="str">
        <f>IF(B215="","",IF(C215=TRUE(),"Searched / no binder",IF(D215=0,"No cards assigned",IF(OR(D215&gt;=Binders!$D$3,E215&gt;=Binders!$E$3),"Pull","Skip: buy elsewhere"))))</f>
        <v/>
      </c>
      <c r="G215" s="80" t="str">
        <f t="shared" si="2"/>
        <v/>
      </c>
      <c r="H215" s="2"/>
      <c r="I215" s="80" t="str">
        <f t="array" ref="I215">IFERROR(INDEX($B$2:$B$401,MATCH(214,$J$2:$J$401,0)),"")</f>
        <v/>
      </c>
      <c r="J215" s="80" t="str">
        <f t="shared" si="3"/>
        <v/>
      </c>
      <c r="L215" s="2"/>
    </row>
    <row r="216" ht="15.75" customHeight="1">
      <c r="A216" s="80" t="str">
        <f t="shared" si="1"/>
        <v/>
      </c>
      <c r="B216" s="2"/>
      <c r="C216" s="13" t="b">
        <v>0</v>
      </c>
      <c r="D216" s="80" t="str">
        <f>IF(B216="","",COUNTIFS('Binder Data'!$B$2:$B$6251,B216,'Binder Data'!$E$2:$E$6251,"Y"))</f>
        <v/>
      </c>
      <c r="E216" s="17" t="str">
        <f>IF(B216="","",SUMIFS('Binder Data'!$F$2:$F$6251,'Binder Data'!$B$2:$B$6251,B216,'Binder Data'!$E$2:$E$6251,"Y"))</f>
        <v/>
      </c>
      <c r="F216" s="80" t="str">
        <f>IF(B216="","",IF(C216=TRUE(),"Searched / no binder",IF(D216=0,"No cards assigned",IF(OR(D216&gt;=Binders!$D$3,E216&gt;=Binders!$E$3),"Pull","Skip: buy elsewhere"))))</f>
        <v/>
      </c>
      <c r="G216" s="80" t="str">
        <f t="shared" si="2"/>
        <v/>
      </c>
      <c r="H216" s="2"/>
      <c r="I216" s="80" t="str">
        <f t="array" ref="I216">IFERROR(INDEX($B$2:$B$401,MATCH(215,$J$2:$J$401,0)),"")</f>
        <v/>
      </c>
      <c r="J216" s="80" t="str">
        <f t="shared" si="3"/>
        <v/>
      </c>
      <c r="L216" s="2"/>
    </row>
    <row r="217" ht="15.75" customHeight="1">
      <c r="A217" s="80" t="str">
        <f t="shared" si="1"/>
        <v/>
      </c>
      <c r="B217" s="2"/>
      <c r="C217" s="13" t="b">
        <v>0</v>
      </c>
      <c r="D217" s="80" t="str">
        <f>IF(B217="","",COUNTIFS('Binder Data'!$B$2:$B$6251,B217,'Binder Data'!$E$2:$E$6251,"Y"))</f>
        <v/>
      </c>
      <c r="E217" s="17" t="str">
        <f>IF(B217="","",SUMIFS('Binder Data'!$F$2:$F$6251,'Binder Data'!$B$2:$B$6251,B217,'Binder Data'!$E$2:$E$6251,"Y"))</f>
        <v/>
      </c>
      <c r="F217" s="80" t="str">
        <f>IF(B217="","",IF(C217=TRUE(),"Searched / no binder",IF(D217=0,"No cards assigned",IF(OR(D217&gt;=Binders!$D$3,E217&gt;=Binders!$E$3),"Pull","Skip: buy elsewhere"))))</f>
        <v/>
      </c>
      <c r="G217" s="80" t="str">
        <f t="shared" si="2"/>
        <v/>
      </c>
      <c r="H217" s="2"/>
      <c r="I217" s="80" t="str">
        <f t="array" ref="I217">IFERROR(INDEX($B$2:$B$401,MATCH(216,$J$2:$J$401,0)),"")</f>
        <v/>
      </c>
      <c r="J217" s="80" t="str">
        <f t="shared" si="3"/>
        <v/>
      </c>
      <c r="L217" s="2"/>
    </row>
    <row r="218" ht="15.75" customHeight="1">
      <c r="A218" s="80" t="str">
        <f t="shared" si="1"/>
        <v/>
      </c>
      <c r="B218" s="2"/>
      <c r="C218" s="13" t="b">
        <v>0</v>
      </c>
      <c r="D218" s="80" t="str">
        <f>IF(B218="","",COUNTIFS('Binder Data'!$B$2:$B$6251,B218,'Binder Data'!$E$2:$E$6251,"Y"))</f>
        <v/>
      </c>
      <c r="E218" s="17" t="str">
        <f>IF(B218="","",SUMIFS('Binder Data'!$F$2:$F$6251,'Binder Data'!$B$2:$B$6251,B218,'Binder Data'!$E$2:$E$6251,"Y"))</f>
        <v/>
      </c>
      <c r="F218" s="80" t="str">
        <f>IF(B218="","",IF(C218=TRUE(),"Searched / no binder",IF(D218=0,"No cards assigned",IF(OR(D218&gt;=Binders!$D$3,E218&gt;=Binders!$E$3),"Pull","Skip: buy elsewhere"))))</f>
        <v/>
      </c>
      <c r="G218" s="80" t="str">
        <f t="shared" si="2"/>
        <v/>
      </c>
      <c r="H218" s="2"/>
      <c r="I218" s="80" t="str">
        <f t="array" ref="I218">IFERROR(INDEX($B$2:$B$401,MATCH(217,$J$2:$J$401,0)),"")</f>
        <v/>
      </c>
      <c r="J218" s="80" t="str">
        <f t="shared" si="3"/>
        <v/>
      </c>
      <c r="L218" s="2"/>
    </row>
    <row r="219" ht="15.75" customHeight="1">
      <c r="A219" s="80" t="str">
        <f t="shared" si="1"/>
        <v/>
      </c>
      <c r="B219" s="2"/>
      <c r="C219" s="13" t="b">
        <v>0</v>
      </c>
      <c r="D219" s="80" t="str">
        <f>IF(B219="","",COUNTIFS('Binder Data'!$B$2:$B$6251,B219,'Binder Data'!$E$2:$E$6251,"Y"))</f>
        <v/>
      </c>
      <c r="E219" s="17" t="str">
        <f>IF(B219="","",SUMIFS('Binder Data'!$F$2:$F$6251,'Binder Data'!$B$2:$B$6251,B219,'Binder Data'!$E$2:$E$6251,"Y"))</f>
        <v/>
      </c>
      <c r="F219" s="80" t="str">
        <f>IF(B219="","",IF(C219=TRUE(),"Searched / no binder",IF(D219=0,"No cards assigned",IF(OR(D219&gt;=Binders!$D$3,E219&gt;=Binders!$E$3),"Pull","Skip: buy elsewhere"))))</f>
        <v/>
      </c>
      <c r="G219" s="80" t="str">
        <f t="shared" si="2"/>
        <v/>
      </c>
      <c r="H219" s="2"/>
      <c r="I219" s="80" t="str">
        <f t="array" ref="I219">IFERROR(INDEX($B$2:$B$401,MATCH(218,$J$2:$J$401,0)),"")</f>
        <v/>
      </c>
      <c r="J219" s="80" t="str">
        <f t="shared" si="3"/>
        <v/>
      </c>
      <c r="L219" s="2"/>
    </row>
    <row r="220" ht="15.75" customHeight="1">
      <c r="A220" s="80" t="str">
        <f t="shared" si="1"/>
        <v/>
      </c>
      <c r="B220" s="2"/>
      <c r="C220" s="13" t="b">
        <v>0</v>
      </c>
      <c r="D220" s="80" t="str">
        <f>IF(B220="","",COUNTIFS('Binder Data'!$B$2:$B$6251,B220,'Binder Data'!$E$2:$E$6251,"Y"))</f>
        <v/>
      </c>
      <c r="E220" s="17" t="str">
        <f>IF(B220="","",SUMIFS('Binder Data'!$F$2:$F$6251,'Binder Data'!$B$2:$B$6251,B220,'Binder Data'!$E$2:$E$6251,"Y"))</f>
        <v/>
      </c>
      <c r="F220" s="80" t="str">
        <f>IF(B220="","",IF(C220=TRUE(),"Searched / no binder",IF(D220=0,"No cards assigned",IF(OR(D220&gt;=Binders!$D$3,E220&gt;=Binders!$E$3),"Pull","Skip: buy elsewhere"))))</f>
        <v/>
      </c>
      <c r="G220" s="80" t="str">
        <f t="shared" si="2"/>
        <v/>
      </c>
      <c r="H220" s="2"/>
      <c r="I220" s="80" t="str">
        <f t="array" ref="I220">IFERROR(INDEX($B$2:$B$401,MATCH(219,$J$2:$J$401,0)),"")</f>
        <v/>
      </c>
      <c r="J220" s="80" t="str">
        <f t="shared" si="3"/>
        <v/>
      </c>
      <c r="L220" s="2"/>
    </row>
    <row r="221" ht="15.75" customHeight="1">
      <c r="A221" s="80" t="str">
        <f t="shared" si="1"/>
        <v/>
      </c>
      <c r="B221" s="2"/>
      <c r="C221" s="13" t="b">
        <v>0</v>
      </c>
      <c r="D221" s="80" t="str">
        <f>IF(B221="","",COUNTIFS('Binder Data'!$B$2:$B$6251,B221,'Binder Data'!$E$2:$E$6251,"Y"))</f>
        <v/>
      </c>
      <c r="E221" s="17" t="str">
        <f>IF(B221="","",SUMIFS('Binder Data'!$F$2:$F$6251,'Binder Data'!$B$2:$B$6251,B221,'Binder Data'!$E$2:$E$6251,"Y"))</f>
        <v/>
      </c>
      <c r="F221" s="80" t="str">
        <f>IF(B221="","",IF(C221=TRUE(),"Searched / no binder",IF(D221=0,"No cards assigned",IF(OR(D221&gt;=Binders!$D$3,E221&gt;=Binders!$E$3),"Pull","Skip: buy elsewhere"))))</f>
        <v/>
      </c>
      <c r="G221" s="80" t="str">
        <f t="shared" si="2"/>
        <v/>
      </c>
      <c r="H221" s="2"/>
      <c r="I221" s="80" t="str">
        <f t="array" ref="I221">IFERROR(INDEX($B$2:$B$401,MATCH(220,$J$2:$J$401,0)),"")</f>
        <v/>
      </c>
      <c r="J221" s="80" t="str">
        <f t="shared" si="3"/>
        <v/>
      </c>
      <c r="L221" s="2"/>
    </row>
    <row r="222" ht="15.75" customHeight="1">
      <c r="A222" s="80" t="str">
        <f t="shared" si="1"/>
        <v/>
      </c>
      <c r="B222" s="2"/>
      <c r="C222" s="13" t="b">
        <v>0</v>
      </c>
      <c r="D222" s="80" t="str">
        <f>IF(B222="","",COUNTIFS('Binder Data'!$B$2:$B$6251,B222,'Binder Data'!$E$2:$E$6251,"Y"))</f>
        <v/>
      </c>
      <c r="E222" s="17" t="str">
        <f>IF(B222="","",SUMIFS('Binder Data'!$F$2:$F$6251,'Binder Data'!$B$2:$B$6251,B222,'Binder Data'!$E$2:$E$6251,"Y"))</f>
        <v/>
      </c>
      <c r="F222" s="80" t="str">
        <f>IF(B222="","",IF(C222=TRUE(),"Searched / no binder",IF(D222=0,"No cards assigned",IF(OR(D222&gt;=Binders!$D$3,E222&gt;=Binders!$E$3),"Pull","Skip: buy elsewhere"))))</f>
        <v/>
      </c>
      <c r="G222" s="80" t="str">
        <f t="shared" si="2"/>
        <v/>
      </c>
      <c r="H222" s="2"/>
      <c r="I222" s="80" t="str">
        <f t="array" ref="I222">IFERROR(INDEX($B$2:$B$401,MATCH(221,$J$2:$J$401,0)),"")</f>
        <v/>
      </c>
      <c r="J222" s="80" t="str">
        <f t="shared" si="3"/>
        <v/>
      </c>
      <c r="L222" s="2"/>
    </row>
    <row r="223" ht="15.75" customHeight="1">
      <c r="A223" s="80" t="str">
        <f t="shared" si="1"/>
        <v/>
      </c>
      <c r="B223" s="2"/>
      <c r="C223" s="13" t="b">
        <v>0</v>
      </c>
      <c r="D223" s="80" t="str">
        <f>IF(B223="","",COUNTIFS('Binder Data'!$B$2:$B$6251,B223,'Binder Data'!$E$2:$E$6251,"Y"))</f>
        <v/>
      </c>
      <c r="E223" s="17" t="str">
        <f>IF(B223="","",SUMIFS('Binder Data'!$F$2:$F$6251,'Binder Data'!$B$2:$B$6251,B223,'Binder Data'!$E$2:$E$6251,"Y"))</f>
        <v/>
      </c>
      <c r="F223" s="80" t="str">
        <f>IF(B223="","",IF(C223=TRUE(),"Searched / no binder",IF(D223=0,"No cards assigned",IF(OR(D223&gt;=Binders!$D$3,E223&gt;=Binders!$E$3),"Pull","Skip: buy elsewhere"))))</f>
        <v/>
      </c>
      <c r="G223" s="80" t="str">
        <f t="shared" si="2"/>
        <v/>
      </c>
      <c r="H223" s="2"/>
      <c r="I223" s="80" t="str">
        <f t="array" ref="I223">IFERROR(INDEX($B$2:$B$401,MATCH(222,$J$2:$J$401,0)),"")</f>
        <v/>
      </c>
      <c r="J223" s="80" t="str">
        <f t="shared" si="3"/>
        <v/>
      </c>
      <c r="L223" s="2"/>
    </row>
    <row r="224" ht="15.75" customHeight="1">
      <c r="A224" s="80" t="str">
        <f t="shared" si="1"/>
        <v/>
      </c>
      <c r="B224" s="2"/>
      <c r="C224" s="13" t="b">
        <v>0</v>
      </c>
      <c r="D224" s="80" t="str">
        <f>IF(B224="","",COUNTIFS('Binder Data'!$B$2:$B$6251,B224,'Binder Data'!$E$2:$E$6251,"Y"))</f>
        <v/>
      </c>
      <c r="E224" s="17" t="str">
        <f>IF(B224="","",SUMIFS('Binder Data'!$F$2:$F$6251,'Binder Data'!$B$2:$B$6251,B224,'Binder Data'!$E$2:$E$6251,"Y"))</f>
        <v/>
      </c>
      <c r="F224" s="80" t="str">
        <f>IF(B224="","",IF(C224=TRUE(),"Searched / no binder",IF(D224=0,"No cards assigned",IF(OR(D224&gt;=Binders!$D$3,E224&gt;=Binders!$E$3),"Pull","Skip: buy elsewhere"))))</f>
        <v/>
      </c>
      <c r="G224" s="80" t="str">
        <f t="shared" si="2"/>
        <v/>
      </c>
      <c r="H224" s="2"/>
      <c r="I224" s="80" t="str">
        <f t="array" ref="I224">IFERROR(INDEX($B$2:$B$401,MATCH(223,$J$2:$J$401,0)),"")</f>
        <v/>
      </c>
      <c r="J224" s="80" t="str">
        <f t="shared" si="3"/>
        <v/>
      </c>
      <c r="L224" s="2"/>
    </row>
    <row r="225" ht="15.75" customHeight="1">
      <c r="A225" s="80" t="str">
        <f t="shared" si="1"/>
        <v/>
      </c>
      <c r="B225" s="2"/>
      <c r="C225" s="13" t="b">
        <v>0</v>
      </c>
      <c r="D225" s="80" t="str">
        <f>IF(B225="","",COUNTIFS('Binder Data'!$B$2:$B$6251,B225,'Binder Data'!$E$2:$E$6251,"Y"))</f>
        <v/>
      </c>
      <c r="E225" s="17" t="str">
        <f>IF(B225="","",SUMIFS('Binder Data'!$F$2:$F$6251,'Binder Data'!$B$2:$B$6251,B225,'Binder Data'!$E$2:$E$6251,"Y"))</f>
        <v/>
      </c>
      <c r="F225" s="80" t="str">
        <f>IF(B225="","",IF(C225=TRUE(),"Searched / no binder",IF(D225=0,"No cards assigned",IF(OR(D225&gt;=Binders!$D$3,E225&gt;=Binders!$E$3),"Pull","Skip: buy elsewhere"))))</f>
        <v/>
      </c>
      <c r="G225" s="80" t="str">
        <f t="shared" si="2"/>
        <v/>
      </c>
      <c r="H225" s="2"/>
      <c r="I225" s="80" t="str">
        <f t="array" ref="I225">IFERROR(INDEX($B$2:$B$401,MATCH(224,$J$2:$J$401,0)),"")</f>
        <v/>
      </c>
      <c r="J225" s="80" t="str">
        <f t="shared" si="3"/>
        <v/>
      </c>
      <c r="L225" s="2"/>
    </row>
    <row r="226" ht="15.75" customHeight="1">
      <c r="A226" s="80" t="str">
        <f t="shared" si="1"/>
        <v/>
      </c>
      <c r="B226" s="2"/>
      <c r="C226" s="13" t="b">
        <v>0</v>
      </c>
      <c r="D226" s="80" t="str">
        <f>IF(B226="","",COUNTIFS('Binder Data'!$B$2:$B$6251,B226,'Binder Data'!$E$2:$E$6251,"Y"))</f>
        <v/>
      </c>
      <c r="E226" s="17" t="str">
        <f>IF(B226="","",SUMIFS('Binder Data'!$F$2:$F$6251,'Binder Data'!$B$2:$B$6251,B226,'Binder Data'!$E$2:$E$6251,"Y"))</f>
        <v/>
      </c>
      <c r="F226" s="80" t="str">
        <f>IF(B226="","",IF(C226=TRUE(),"Searched / no binder",IF(D226=0,"No cards assigned",IF(OR(D226&gt;=Binders!$D$3,E226&gt;=Binders!$E$3),"Pull","Skip: buy elsewhere"))))</f>
        <v/>
      </c>
      <c r="G226" s="80" t="str">
        <f t="shared" si="2"/>
        <v/>
      </c>
      <c r="H226" s="2"/>
      <c r="I226" s="80" t="str">
        <f t="array" ref="I226">IFERROR(INDEX($B$2:$B$401,MATCH(225,$J$2:$J$401,0)),"")</f>
        <v/>
      </c>
      <c r="J226" s="80" t="str">
        <f t="shared" si="3"/>
        <v/>
      </c>
      <c r="L226" s="2"/>
    </row>
    <row r="227" ht="15.75" customHeight="1">
      <c r="A227" s="80" t="str">
        <f t="shared" si="1"/>
        <v/>
      </c>
      <c r="B227" s="2"/>
      <c r="C227" s="13" t="b">
        <v>0</v>
      </c>
      <c r="D227" s="80" t="str">
        <f>IF(B227="","",COUNTIFS('Binder Data'!$B$2:$B$6251,B227,'Binder Data'!$E$2:$E$6251,"Y"))</f>
        <v/>
      </c>
      <c r="E227" s="17" t="str">
        <f>IF(B227="","",SUMIFS('Binder Data'!$F$2:$F$6251,'Binder Data'!$B$2:$B$6251,B227,'Binder Data'!$E$2:$E$6251,"Y"))</f>
        <v/>
      </c>
      <c r="F227" s="80" t="str">
        <f>IF(B227="","",IF(C227=TRUE(),"Searched / no binder",IF(D227=0,"No cards assigned",IF(OR(D227&gt;=Binders!$D$3,E227&gt;=Binders!$E$3),"Pull","Skip: buy elsewhere"))))</f>
        <v/>
      </c>
      <c r="G227" s="80" t="str">
        <f t="shared" si="2"/>
        <v/>
      </c>
      <c r="H227" s="2"/>
      <c r="I227" s="80" t="str">
        <f t="array" ref="I227">IFERROR(INDEX($B$2:$B$401,MATCH(226,$J$2:$J$401,0)),"")</f>
        <v/>
      </c>
      <c r="J227" s="80" t="str">
        <f t="shared" si="3"/>
        <v/>
      </c>
      <c r="L227" s="2"/>
    </row>
    <row r="228" ht="15.75" customHeight="1">
      <c r="A228" s="80" t="str">
        <f t="shared" si="1"/>
        <v/>
      </c>
      <c r="B228" s="2"/>
      <c r="C228" s="13" t="b">
        <v>0</v>
      </c>
      <c r="D228" s="80" t="str">
        <f>IF(B228="","",COUNTIFS('Binder Data'!$B$2:$B$6251,B228,'Binder Data'!$E$2:$E$6251,"Y"))</f>
        <v/>
      </c>
      <c r="E228" s="17" t="str">
        <f>IF(B228="","",SUMIFS('Binder Data'!$F$2:$F$6251,'Binder Data'!$B$2:$B$6251,B228,'Binder Data'!$E$2:$E$6251,"Y"))</f>
        <v/>
      </c>
      <c r="F228" s="80" t="str">
        <f>IF(B228="","",IF(C228=TRUE(),"Searched / no binder",IF(D228=0,"No cards assigned",IF(OR(D228&gt;=Binders!$D$3,E228&gt;=Binders!$E$3),"Pull","Skip: buy elsewhere"))))</f>
        <v/>
      </c>
      <c r="G228" s="80" t="str">
        <f t="shared" si="2"/>
        <v/>
      </c>
      <c r="H228" s="2"/>
      <c r="I228" s="80" t="str">
        <f t="array" ref="I228">IFERROR(INDEX($B$2:$B$401,MATCH(227,$J$2:$J$401,0)),"")</f>
        <v/>
      </c>
      <c r="J228" s="80" t="str">
        <f t="shared" si="3"/>
        <v/>
      </c>
      <c r="L228" s="2"/>
    </row>
    <row r="229" ht="15.75" customHeight="1">
      <c r="A229" s="80" t="str">
        <f t="shared" si="1"/>
        <v/>
      </c>
      <c r="B229" s="2"/>
      <c r="C229" s="13" t="b">
        <v>0</v>
      </c>
      <c r="D229" s="80" t="str">
        <f>IF(B229="","",COUNTIFS('Binder Data'!$B$2:$B$6251,B229,'Binder Data'!$E$2:$E$6251,"Y"))</f>
        <v/>
      </c>
      <c r="E229" s="17" t="str">
        <f>IF(B229="","",SUMIFS('Binder Data'!$F$2:$F$6251,'Binder Data'!$B$2:$B$6251,B229,'Binder Data'!$E$2:$E$6251,"Y"))</f>
        <v/>
      </c>
      <c r="F229" s="80" t="str">
        <f>IF(B229="","",IF(C229=TRUE(),"Searched / no binder",IF(D229=0,"No cards assigned",IF(OR(D229&gt;=Binders!$D$3,E229&gt;=Binders!$E$3),"Pull","Skip: buy elsewhere"))))</f>
        <v/>
      </c>
      <c r="G229" s="80" t="str">
        <f t="shared" si="2"/>
        <v/>
      </c>
      <c r="H229" s="2"/>
      <c r="I229" s="80" t="str">
        <f t="array" ref="I229">IFERROR(INDEX($B$2:$B$401,MATCH(228,$J$2:$J$401,0)),"")</f>
        <v/>
      </c>
      <c r="J229" s="80" t="str">
        <f t="shared" si="3"/>
        <v/>
      </c>
      <c r="L229" s="2"/>
    </row>
    <row r="230" ht="15.75" customHeight="1">
      <c r="A230" s="80" t="str">
        <f t="shared" si="1"/>
        <v/>
      </c>
      <c r="B230" s="2"/>
      <c r="C230" s="13" t="b">
        <v>0</v>
      </c>
      <c r="D230" s="80" t="str">
        <f>IF(B230="","",COUNTIFS('Binder Data'!$B$2:$B$6251,B230,'Binder Data'!$E$2:$E$6251,"Y"))</f>
        <v/>
      </c>
      <c r="E230" s="17" t="str">
        <f>IF(B230="","",SUMIFS('Binder Data'!$F$2:$F$6251,'Binder Data'!$B$2:$B$6251,B230,'Binder Data'!$E$2:$E$6251,"Y"))</f>
        <v/>
      </c>
      <c r="F230" s="80" t="str">
        <f>IF(B230="","",IF(C230=TRUE(),"Searched / no binder",IF(D230=0,"No cards assigned",IF(OR(D230&gt;=Binders!$D$3,E230&gt;=Binders!$E$3),"Pull","Skip: buy elsewhere"))))</f>
        <v/>
      </c>
      <c r="G230" s="80" t="str">
        <f t="shared" si="2"/>
        <v/>
      </c>
      <c r="H230" s="2"/>
      <c r="I230" s="80" t="str">
        <f t="array" ref="I230">IFERROR(INDEX($B$2:$B$401,MATCH(229,$J$2:$J$401,0)),"")</f>
        <v/>
      </c>
      <c r="J230" s="80" t="str">
        <f t="shared" si="3"/>
        <v/>
      </c>
      <c r="L230" s="2"/>
    </row>
    <row r="231" ht="15.75" customHeight="1">
      <c r="A231" s="80" t="str">
        <f t="shared" si="1"/>
        <v/>
      </c>
      <c r="B231" s="2"/>
      <c r="C231" s="13" t="b">
        <v>0</v>
      </c>
      <c r="D231" s="80" t="str">
        <f>IF(B231="","",COUNTIFS('Binder Data'!$B$2:$B$6251,B231,'Binder Data'!$E$2:$E$6251,"Y"))</f>
        <v/>
      </c>
      <c r="E231" s="17" t="str">
        <f>IF(B231="","",SUMIFS('Binder Data'!$F$2:$F$6251,'Binder Data'!$B$2:$B$6251,B231,'Binder Data'!$E$2:$E$6251,"Y"))</f>
        <v/>
      </c>
      <c r="F231" s="80" t="str">
        <f>IF(B231="","",IF(C231=TRUE(),"Searched / no binder",IF(D231=0,"No cards assigned",IF(OR(D231&gt;=Binders!$D$3,E231&gt;=Binders!$E$3),"Pull","Skip: buy elsewhere"))))</f>
        <v/>
      </c>
      <c r="G231" s="80" t="str">
        <f t="shared" si="2"/>
        <v/>
      </c>
      <c r="H231" s="2"/>
      <c r="I231" s="80" t="str">
        <f t="array" ref="I231">IFERROR(INDEX($B$2:$B$401,MATCH(230,$J$2:$J$401,0)),"")</f>
        <v/>
      </c>
      <c r="J231" s="80" t="str">
        <f t="shared" si="3"/>
        <v/>
      </c>
      <c r="L231" s="2"/>
    </row>
    <row r="232" ht="15.75" customHeight="1">
      <c r="A232" s="80" t="str">
        <f t="shared" si="1"/>
        <v/>
      </c>
      <c r="B232" s="2"/>
      <c r="C232" s="13" t="b">
        <v>0</v>
      </c>
      <c r="D232" s="80" t="str">
        <f>IF(B232="","",COUNTIFS('Binder Data'!$B$2:$B$6251,B232,'Binder Data'!$E$2:$E$6251,"Y"))</f>
        <v/>
      </c>
      <c r="E232" s="17" t="str">
        <f>IF(B232="","",SUMIFS('Binder Data'!$F$2:$F$6251,'Binder Data'!$B$2:$B$6251,B232,'Binder Data'!$E$2:$E$6251,"Y"))</f>
        <v/>
      </c>
      <c r="F232" s="80" t="str">
        <f>IF(B232="","",IF(C232=TRUE(),"Searched / no binder",IF(D232=0,"No cards assigned",IF(OR(D232&gt;=Binders!$D$3,E232&gt;=Binders!$E$3),"Pull","Skip: buy elsewhere"))))</f>
        <v/>
      </c>
      <c r="G232" s="80" t="str">
        <f t="shared" si="2"/>
        <v/>
      </c>
      <c r="H232" s="2"/>
      <c r="I232" s="80" t="str">
        <f t="array" ref="I232">IFERROR(INDEX($B$2:$B$401,MATCH(231,$J$2:$J$401,0)),"")</f>
        <v/>
      </c>
      <c r="J232" s="80" t="str">
        <f t="shared" si="3"/>
        <v/>
      </c>
      <c r="L232" s="2"/>
    </row>
    <row r="233" ht="15.75" customHeight="1">
      <c r="A233" s="80" t="str">
        <f t="shared" si="1"/>
        <v/>
      </c>
      <c r="B233" s="2"/>
      <c r="C233" s="13" t="b">
        <v>0</v>
      </c>
      <c r="D233" s="80" t="str">
        <f>IF(B233="","",COUNTIFS('Binder Data'!$B$2:$B$6251,B233,'Binder Data'!$E$2:$E$6251,"Y"))</f>
        <v/>
      </c>
      <c r="E233" s="17" t="str">
        <f>IF(B233="","",SUMIFS('Binder Data'!$F$2:$F$6251,'Binder Data'!$B$2:$B$6251,B233,'Binder Data'!$E$2:$E$6251,"Y"))</f>
        <v/>
      </c>
      <c r="F233" s="80" t="str">
        <f>IF(B233="","",IF(C233=TRUE(),"Searched / no binder",IF(D233=0,"No cards assigned",IF(OR(D233&gt;=Binders!$D$3,E233&gt;=Binders!$E$3),"Pull","Skip: buy elsewhere"))))</f>
        <v/>
      </c>
      <c r="G233" s="80" t="str">
        <f t="shared" si="2"/>
        <v/>
      </c>
      <c r="H233" s="2"/>
      <c r="I233" s="80" t="str">
        <f t="array" ref="I233">IFERROR(INDEX($B$2:$B$401,MATCH(232,$J$2:$J$401,0)),"")</f>
        <v/>
      </c>
      <c r="J233" s="80" t="str">
        <f t="shared" si="3"/>
        <v/>
      </c>
      <c r="L233" s="2"/>
    </row>
    <row r="234" ht="15.75" customHeight="1">
      <c r="A234" s="80" t="str">
        <f t="shared" si="1"/>
        <v/>
      </c>
      <c r="B234" s="2"/>
      <c r="C234" s="13" t="b">
        <v>0</v>
      </c>
      <c r="D234" s="80" t="str">
        <f>IF(B234="","",COUNTIFS('Binder Data'!$B$2:$B$6251,B234,'Binder Data'!$E$2:$E$6251,"Y"))</f>
        <v/>
      </c>
      <c r="E234" s="17" t="str">
        <f>IF(B234="","",SUMIFS('Binder Data'!$F$2:$F$6251,'Binder Data'!$B$2:$B$6251,B234,'Binder Data'!$E$2:$E$6251,"Y"))</f>
        <v/>
      </c>
      <c r="F234" s="80" t="str">
        <f>IF(B234="","",IF(C234=TRUE(),"Searched / no binder",IF(D234=0,"No cards assigned",IF(OR(D234&gt;=Binders!$D$3,E234&gt;=Binders!$E$3),"Pull","Skip: buy elsewhere"))))</f>
        <v/>
      </c>
      <c r="G234" s="80" t="str">
        <f t="shared" si="2"/>
        <v/>
      </c>
      <c r="H234" s="2"/>
      <c r="I234" s="80" t="str">
        <f t="array" ref="I234">IFERROR(INDEX($B$2:$B$401,MATCH(233,$J$2:$J$401,0)),"")</f>
        <v/>
      </c>
      <c r="J234" s="80" t="str">
        <f t="shared" si="3"/>
        <v/>
      </c>
      <c r="L234" s="2"/>
    </row>
    <row r="235" ht="15.75" customHeight="1">
      <c r="A235" s="80" t="str">
        <f t="shared" si="1"/>
        <v/>
      </c>
      <c r="B235" s="2"/>
      <c r="C235" s="13" t="b">
        <v>0</v>
      </c>
      <c r="D235" s="80" t="str">
        <f>IF(B235="","",COUNTIFS('Binder Data'!$B$2:$B$6251,B235,'Binder Data'!$E$2:$E$6251,"Y"))</f>
        <v/>
      </c>
      <c r="E235" s="17" t="str">
        <f>IF(B235="","",SUMIFS('Binder Data'!$F$2:$F$6251,'Binder Data'!$B$2:$B$6251,B235,'Binder Data'!$E$2:$E$6251,"Y"))</f>
        <v/>
      </c>
      <c r="F235" s="80" t="str">
        <f>IF(B235="","",IF(C235=TRUE(),"Searched / no binder",IF(D235=0,"No cards assigned",IF(OR(D235&gt;=Binders!$D$3,E235&gt;=Binders!$E$3),"Pull","Skip: buy elsewhere"))))</f>
        <v/>
      </c>
      <c r="G235" s="80" t="str">
        <f t="shared" si="2"/>
        <v/>
      </c>
      <c r="H235" s="2"/>
      <c r="I235" s="80" t="str">
        <f t="array" ref="I235">IFERROR(INDEX($B$2:$B$401,MATCH(234,$J$2:$J$401,0)),"")</f>
        <v/>
      </c>
      <c r="J235" s="80" t="str">
        <f t="shared" si="3"/>
        <v/>
      </c>
      <c r="L235" s="2"/>
    </row>
    <row r="236" ht="15.75" customHeight="1">
      <c r="A236" s="80" t="str">
        <f t="shared" si="1"/>
        <v/>
      </c>
      <c r="B236" s="2"/>
      <c r="C236" s="13" t="b">
        <v>0</v>
      </c>
      <c r="D236" s="80" t="str">
        <f>IF(B236="","",COUNTIFS('Binder Data'!$B$2:$B$6251,B236,'Binder Data'!$E$2:$E$6251,"Y"))</f>
        <v/>
      </c>
      <c r="E236" s="17" t="str">
        <f>IF(B236="","",SUMIFS('Binder Data'!$F$2:$F$6251,'Binder Data'!$B$2:$B$6251,B236,'Binder Data'!$E$2:$E$6251,"Y"))</f>
        <v/>
      </c>
      <c r="F236" s="80" t="str">
        <f>IF(B236="","",IF(C236=TRUE(),"Searched / no binder",IF(D236=0,"No cards assigned",IF(OR(D236&gt;=Binders!$D$3,E236&gt;=Binders!$E$3),"Pull","Skip: buy elsewhere"))))</f>
        <v/>
      </c>
      <c r="G236" s="80" t="str">
        <f t="shared" si="2"/>
        <v/>
      </c>
      <c r="H236" s="2"/>
      <c r="I236" s="80" t="str">
        <f t="array" ref="I236">IFERROR(INDEX($B$2:$B$401,MATCH(235,$J$2:$J$401,0)),"")</f>
        <v/>
      </c>
      <c r="J236" s="80" t="str">
        <f t="shared" si="3"/>
        <v/>
      </c>
      <c r="L236" s="2"/>
    </row>
    <row r="237" ht="15.75" customHeight="1">
      <c r="A237" s="80" t="str">
        <f t="shared" si="1"/>
        <v/>
      </c>
      <c r="B237" s="2"/>
      <c r="C237" s="13" t="b">
        <v>0</v>
      </c>
      <c r="D237" s="80" t="str">
        <f>IF(B237="","",COUNTIFS('Binder Data'!$B$2:$B$6251,B237,'Binder Data'!$E$2:$E$6251,"Y"))</f>
        <v/>
      </c>
      <c r="E237" s="17" t="str">
        <f>IF(B237="","",SUMIFS('Binder Data'!$F$2:$F$6251,'Binder Data'!$B$2:$B$6251,B237,'Binder Data'!$E$2:$E$6251,"Y"))</f>
        <v/>
      </c>
      <c r="F237" s="80" t="str">
        <f>IF(B237="","",IF(C237=TRUE(),"Searched / no binder",IF(D237=0,"No cards assigned",IF(OR(D237&gt;=Binders!$D$3,E237&gt;=Binders!$E$3),"Pull","Skip: buy elsewhere"))))</f>
        <v/>
      </c>
      <c r="G237" s="80" t="str">
        <f t="shared" si="2"/>
        <v/>
      </c>
      <c r="H237" s="2"/>
      <c r="I237" s="80" t="str">
        <f t="array" ref="I237">IFERROR(INDEX($B$2:$B$401,MATCH(236,$J$2:$J$401,0)),"")</f>
        <v/>
      </c>
      <c r="J237" s="80" t="str">
        <f t="shared" si="3"/>
        <v/>
      </c>
      <c r="L237" s="2"/>
    </row>
    <row r="238" ht="15.75" customHeight="1">
      <c r="A238" s="80" t="str">
        <f t="shared" si="1"/>
        <v/>
      </c>
      <c r="B238" s="2"/>
      <c r="C238" s="13" t="b">
        <v>0</v>
      </c>
      <c r="D238" s="80" t="str">
        <f>IF(B238="","",COUNTIFS('Binder Data'!$B$2:$B$6251,B238,'Binder Data'!$E$2:$E$6251,"Y"))</f>
        <v/>
      </c>
      <c r="E238" s="17" t="str">
        <f>IF(B238="","",SUMIFS('Binder Data'!$F$2:$F$6251,'Binder Data'!$B$2:$B$6251,B238,'Binder Data'!$E$2:$E$6251,"Y"))</f>
        <v/>
      </c>
      <c r="F238" s="80" t="str">
        <f>IF(B238="","",IF(C238=TRUE(),"Searched / no binder",IF(D238=0,"No cards assigned",IF(OR(D238&gt;=Binders!$D$3,E238&gt;=Binders!$E$3),"Pull","Skip: buy elsewhere"))))</f>
        <v/>
      </c>
      <c r="G238" s="80" t="str">
        <f t="shared" si="2"/>
        <v/>
      </c>
      <c r="H238" s="2"/>
      <c r="I238" s="80" t="str">
        <f t="array" ref="I238">IFERROR(INDEX($B$2:$B$401,MATCH(237,$J$2:$J$401,0)),"")</f>
        <v/>
      </c>
      <c r="J238" s="80" t="str">
        <f t="shared" si="3"/>
        <v/>
      </c>
      <c r="L238" s="2"/>
    </row>
    <row r="239" ht="15.75" customHeight="1">
      <c r="A239" s="80" t="str">
        <f t="shared" si="1"/>
        <v/>
      </c>
      <c r="B239" s="2"/>
      <c r="C239" s="13" t="b">
        <v>0</v>
      </c>
      <c r="D239" s="80" t="str">
        <f>IF(B239="","",COUNTIFS('Binder Data'!$B$2:$B$6251,B239,'Binder Data'!$E$2:$E$6251,"Y"))</f>
        <v/>
      </c>
      <c r="E239" s="17" t="str">
        <f>IF(B239="","",SUMIFS('Binder Data'!$F$2:$F$6251,'Binder Data'!$B$2:$B$6251,B239,'Binder Data'!$E$2:$E$6251,"Y"))</f>
        <v/>
      </c>
      <c r="F239" s="80" t="str">
        <f>IF(B239="","",IF(C239=TRUE(),"Searched / no binder",IF(D239=0,"No cards assigned",IF(OR(D239&gt;=Binders!$D$3,E239&gt;=Binders!$E$3),"Pull","Skip: buy elsewhere"))))</f>
        <v/>
      </c>
      <c r="G239" s="80" t="str">
        <f t="shared" si="2"/>
        <v/>
      </c>
      <c r="H239" s="2"/>
      <c r="I239" s="80" t="str">
        <f t="array" ref="I239">IFERROR(INDEX($B$2:$B$401,MATCH(238,$J$2:$J$401,0)),"")</f>
        <v/>
      </c>
      <c r="J239" s="80" t="str">
        <f t="shared" si="3"/>
        <v/>
      </c>
      <c r="L239" s="2"/>
    </row>
    <row r="240" ht="15.75" customHeight="1">
      <c r="A240" s="80" t="str">
        <f t="shared" si="1"/>
        <v/>
      </c>
      <c r="B240" s="2"/>
      <c r="C240" s="13" t="b">
        <v>0</v>
      </c>
      <c r="D240" s="80" t="str">
        <f>IF(B240="","",COUNTIFS('Binder Data'!$B$2:$B$6251,B240,'Binder Data'!$E$2:$E$6251,"Y"))</f>
        <v/>
      </c>
      <c r="E240" s="17" t="str">
        <f>IF(B240="","",SUMIFS('Binder Data'!$F$2:$F$6251,'Binder Data'!$B$2:$B$6251,B240,'Binder Data'!$E$2:$E$6251,"Y"))</f>
        <v/>
      </c>
      <c r="F240" s="80" t="str">
        <f>IF(B240="","",IF(C240=TRUE(),"Searched / no binder",IF(D240=0,"No cards assigned",IF(OR(D240&gt;=Binders!$D$3,E240&gt;=Binders!$E$3),"Pull","Skip: buy elsewhere"))))</f>
        <v/>
      </c>
      <c r="G240" s="80" t="str">
        <f t="shared" si="2"/>
        <v/>
      </c>
      <c r="H240" s="2"/>
      <c r="I240" s="80" t="str">
        <f t="array" ref="I240">IFERROR(INDEX($B$2:$B$401,MATCH(239,$J$2:$J$401,0)),"")</f>
        <v/>
      </c>
      <c r="J240" s="80" t="str">
        <f t="shared" si="3"/>
        <v/>
      </c>
      <c r="L240" s="2"/>
    </row>
    <row r="241" ht="15.75" customHeight="1">
      <c r="A241" s="80" t="str">
        <f t="shared" si="1"/>
        <v/>
      </c>
      <c r="B241" s="2"/>
      <c r="C241" s="13" t="b">
        <v>0</v>
      </c>
      <c r="D241" s="80" t="str">
        <f>IF(B241="","",COUNTIFS('Binder Data'!$B$2:$B$6251,B241,'Binder Data'!$E$2:$E$6251,"Y"))</f>
        <v/>
      </c>
      <c r="E241" s="17" t="str">
        <f>IF(B241="","",SUMIFS('Binder Data'!$F$2:$F$6251,'Binder Data'!$B$2:$B$6251,B241,'Binder Data'!$E$2:$E$6251,"Y"))</f>
        <v/>
      </c>
      <c r="F241" s="80" t="str">
        <f>IF(B241="","",IF(C241=TRUE(),"Searched / no binder",IF(D241=0,"No cards assigned",IF(OR(D241&gt;=Binders!$D$3,E241&gt;=Binders!$E$3),"Pull","Skip: buy elsewhere"))))</f>
        <v/>
      </c>
      <c r="G241" s="80" t="str">
        <f t="shared" si="2"/>
        <v/>
      </c>
      <c r="H241" s="2"/>
      <c r="I241" s="80" t="str">
        <f t="array" ref="I241">IFERROR(INDEX($B$2:$B$401,MATCH(240,$J$2:$J$401,0)),"")</f>
        <v/>
      </c>
      <c r="J241" s="80" t="str">
        <f t="shared" si="3"/>
        <v/>
      </c>
      <c r="L241" s="2"/>
    </row>
    <row r="242" ht="15.75" customHeight="1">
      <c r="A242" s="80" t="str">
        <f t="shared" si="1"/>
        <v/>
      </c>
      <c r="B242" s="2"/>
      <c r="C242" s="13" t="b">
        <v>0</v>
      </c>
      <c r="D242" s="80" t="str">
        <f>IF(B242="","",COUNTIFS('Binder Data'!$B$2:$B$6251,B242,'Binder Data'!$E$2:$E$6251,"Y"))</f>
        <v/>
      </c>
      <c r="E242" s="17" t="str">
        <f>IF(B242="","",SUMIFS('Binder Data'!$F$2:$F$6251,'Binder Data'!$B$2:$B$6251,B242,'Binder Data'!$E$2:$E$6251,"Y"))</f>
        <v/>
      </c>
      <c r="F242" s="80" t="str">
        <f>IF(B242="","",IF(C242=TRUE(),"Searched / no binder",IF(D242=0,"No cards assigned",IF(OR(D242&gt;=Binders!$D$3,E242&gt;=Binders!$E$3),"Pull","Skip: buy elsewhere"))))</f>
        <v/>
      </c>
      <c r="G242" s="80" t="str">
        <f t="shared" si="2"/>
        <v/>
      </c>
      <c r="H242" s="2"/>
      <c r="I242" s="80" t="str">
        <f t="array" ref="I242">IFERROR(INDEX($B$2:$B$401,MATCH(241,$J$2:$J$401,0)),"")</f>
        <v/>
      </c>
      <c r="J242" s="80" t="str">
        <f t="shared" si="3"/>
        <v/>
      </c>
      <c r="L242" s="2"/>
    </row>
    <row r="243" ht="15.75" customHeight="1">
      <c r="A243" s="80" t="str">
        <f t="shared" si="1"/>
        <v/>
      </c>
      <c r="B243" s="2"/>
      <c r="C243" s="13" t="b">
        <v>0</v>
      </c>
      <c r="D243" s="80" t="str">
        <f>IF(B243="","",COUNTIFS('Binder Data'!$B$2:$B$6251,B243,'Binder Data'!$E$2:$E$6251,"Y"))</f>
        <v/>
      </c>
      <c r="E243" s="17" t="str">
        <f>IF(B243="","",SUMIFS('Binder Data'!$F$2:$F$6251,'Binder Data'!$B$2:$B$6251,B243,'Binder Data'!$E$2:$E$6251,"Y"))</f>
        <v/>
      </c>
      <c r="F243" s="80" t="str">
        <f>IF(B243="","",IF(C243=TRUE(),"Searched / no binder",IF(D243=0,"No cards assigned",IF(OR(D243&gt;=Binders!$D$3,E243&gt;=Binders!$E$3),"Pull","Skip: buy elsewhere"))))</f>
        <v/>
      </c>
      <c r="G243" s="80" t="str">
        <f t="shared" si="2"/>
        <v/>
      </c>
      <c r="H243" s="2"/>
      <c r="I243" s="80" t="str">
        <f t="array" ref="I243">IFERROR(INDEX($B$2:$B$401,MATCH(242,$J$2:$J$401,0)),"")</f>
        <v/>
      </c>
      <c r="J243" s="80" t="str">
        <f t="shared" si="3"/>
        <v/>
      </c>
      <c r="L243" s="2"/>
    </row>
    <row r="244" ht="15.75" customHeight="1">
      <c r="A244" s="80" t="str">
        <f t="shared" si="1"/>
        <v/>
      </c>
      <c r="B244" s="2"/>
      <c r="C244" s="13" t="b">
        <v>0</v>
      </c>
      <c r="D244" s="80" t="str">
        <f>IF(B244="","",COUNTIFS('Binder Data'!$B$2:$B$6251,B244,'Binder Data'!$E$2:$E$6251,"Y"))</f>
        <v/>
      </c>
      <c r="E244" s="17" t="str">
        <f>IF(B244="","",SUMIFS('Binder Data'!$F$2:$F$6251,'Binder Data'!$B$2:$B$6251,B244,'Binder Data'!$E$2:$E$6251,"Y"))</f>
        <v/>
      </c>
      <c r="F244" s="80" t="str">
        <f>IF(B244="","",IF(C244=TRUE(),"Searched / no binder",IF(D244=0,"No cards assigned",IF(OR(D244&gt;=Binders!$D$3,E244&gt;=Binders!$E$3),"Pull","Skip: buy elsewhere"))))</f>
        <v/>
      </c>
      <c r="G244" s="80" t="str">
        <f t="shared" si="2"/>
        <v/>
      </c>
      <c r="H244" s="2"/>
      <c r="I244" s="80" t="str">
        <f t="array" ref="I244">IFERROR(INDEX($B$2:$B$401,MATCH(243,$J$2:$J$401,0)),"")</f>
        <v/>
      </c>
      <c r="J244" s="80" t="str">
        <f t="shared" si="3"/>
        <v/>
      </c>
      <c r="L244" s="2"/>
    </row>
    <row r="245" ht="15.75" customHeight="1">
      <c r="A245" s="80" t="str">
        <f t="shared" si="1"/>
        <v/>
      </c>
      <c r="B245" s="2"/>
      <c r="C245" s="13" t="b">
        <v>0</v>
      </c>
      <c r="D245" s="80" t="str">
        <f>IF(B245="","",COUNTIFS('Binder Data'!$B$2:$B$6251,B245,'Binder Data'!$E$2:$E$6251,"Y"))</f>
        <v/>
      </c>
      <c r="E245" s="17" t="str">
        <f>IF(B245="","",SUMIFS('Binder Data'!$F$2:$F$6251,'Binder Data'!$B$2:$B$6251,B245,'Binder Data'!$E$2:$E$6251,"Y"))</f>
        <v/>
      </c>
      <c r="F245" s="80" t="str">
        <f>IF(B245="","",IF(C245=TRUE(),"Searched / no binder",IF(D245=0,"No cards assigned",IF(OR(D245&gt;=Binders!$D$3,E245&gt;=Binders!$E$3),"Pull","Skip: buy elsewhere"))))</f>
        <v/>
      </c>
      <c r="G245" s="80" t="str">
        <f t="shared" si="2"/>
        <v/>
      </c>
      <c r="H245" s="2"/>
      <c r="I245" s="80" t="str">
        <f t="array" ref="I245">IFERROR(INDEX($B$2:$B$401,MATCH(244,$J$2:$J$401,0)),"")</f>
        <v/>
      </c>
      <c r="J245" s="80" t="str">
        <f t="shared" si="3"/>
        <v/>
      </c>
      <c r="L245" s="2"/>
    </row>
    <row r="246" ht="15.75" customHeight="1">
      <c r="A246" s="80" t="str">
        <f t="shared" si="1"/>
        <v/>
      </c>
      <c r="B246" s="2"/>
      <c r="C246" s="13" t="b">
        <v>0</v>
      </c>
      <c r="D246" s="80" t="str">
        <f>IF(B246="","",COUNTIFS('Binder Data'!$B$2:$B$6251,B246,'Binder Data'!$E$2:$E$6251,"Y"))</f>
        <v/>
      </c>
      <c r="E246" s="17" t="str">
        <f>IF(B246="","",SUMIFS('Binder Data'!$F$2:$F$6251,'Binder Data'!$B$2:$B$6251,B246,'Binder Data'!$E$2:$E$6251,"Y"))</f>
        <v/>
      </c>
      <c r="F246" s="80" t="str">
        <f>IF(B246="","",IF(C246=TRUE(),"Searched / no binder",IF(D246=0,"No cards assigned",IF(OR(D246&gt;=Binders!$D$3,E246&gt;=Binders!$E$3),"Pull","Skip: buy elsewhere"))))</f>
        <v/>
      </c>
      <c r="G246" s="80" t="str">
        <f t="shared" si="2"/>
        <v/>
      </c>
      <c r="H246" s="2"/>
      <c r="I246" s="80" t="str">
        <f t="array" ref="I246">IFERROR(INDEX($B$2:$B$401,MATCH(245,$J$2:$J$401,0)),"")</f>
        <v/>
      </c>
      <c r="J246" s="80" t="str">
        <f t="shared" si="3"/>
        <v/>
      </c>
      <c r="L246" s="2"/>
    </row>
    <row r="247" ht="15.75" customHeight="1">
      <c r="A247" s="80" t="str">
        <f t="shared" si="1"/>
        <v/>
      </c>
      <c r="B247" s="2"/>
      <c r="C247" s="13" t="b">
        <v>0</v>
      </c>
      <c r="D247" s="80" t="str">
        <f>IF(B247="","",COUNTIFS('Binder Data'!$B$2:$B$6251,B247,'Binder Data'!$E$2:$E$6251,"Y"))</f>
        <v/>
      </c>
      <c r="E247" s="17" t="str">
        <f>IF(B247="","",SUMIFS('Binder Data'!$F$2:$F$6251,'Binder Data'!$B$2:$B$6251,B247,'Binder Data'!$E$2:$E$6251,"Y"))</f>
        <v/>
      </c>
      <c r="F247" s="80" t="str">
        <f>IF(B247="","",IF(C247=TRUE(),"Searched / no binder",IF(D247=0,"No cards assigned",IF(OR(D247&gt;=Binders!$D$3,E247&gt;=Binders!$E$3),"Pull","Skip: buy elsewhere"))))</f>
        <v/>
      </c>
      <c r="G247" s="80" t="str">
        <f t="shared" si="2"/>
        <v/>
      </c>
      <c r="H247" s="2"/>
      <c r="I247" s="80" t="str">
        <f t="array" ref="I247">IFERROR(INDEX($B$2:$B$401,MATCH(246,$J$2:$J$401,0)),"")</f>
        <v/>
      </c>
      <c r="J247" s="80" t="str">
        <f t="shared" si="3"/>
        <v/>
      </c>
      <c r="L247" s="2"/>
    </row>
    <row r="248" ht="15.75" customHeight="1">
      <c r="A248" s="80" t="str">
        <f t="shared" si="1"/>
        <v/>
      </c>
      <c r="B248" s="2"/>
      <c r="C248" s="13" t="b">
        <v>0</v>
      </c>
      <c r="D248" s="80" t="str">
        <f>IF(B248="","",COUNTIFS('Binder Data'!$B$2:$B$6251,B248,'Binder Data'!$E$2:$E$6251,"Y"))</f>
        <v/>
      </c>
      <c r="E248" s="17" t="str">
        <f>IF(B248="","",SUMIFS('Binder Data'!$F$2:$F$6251,'Binder Data'!$B$2:$B$6251,B248,'Binder Data'!$E$2:$E$6251,"Y"))</f>
        <v/>
      </c>
      <c r="F248" s="80" t="str">
        <f>IF(B248="","",IF(C248=TRUE(),"Searched / no binder",IF(D248=0,"No cards assigned",IF(OR(D248&gt;=Binders!$D$3,E248&gt;=Binders!$E$3),"Pull","Skip: buy elsewhere"))))</f>
        <v/>
      </c>
      <c r="G248" s="80" t="str">
        <f t="shared" si="2"/>
        <v/>
      </c>
      <c r="H248" s="2"/>
      <c r="I248" s="80" t="str">
        <f t="array" ref="I248">IFERROR(INDEX($B$2:$B$401,MATCH(247,$J$2:$J$401,0)),"")</f>
        <v/>
      </c>
      <c r="J248" s="80" t="str">
        <f t="shared" si="3"/>
        <v/>
      </c>
      <c r="L248" s="2"/>
    </row>
    <row r="249" ht="15.75" customHeight="1">
      <c r="A249" s="80" t="str">
        <f t="shared" si="1"/>
        <v/>
      </c>
      <c r="B249" s="2"/>
      <c r="C249" s="13" t="b">
        <v>0</v>
      </c>
      <c r="D249" s="80" t="str">
        <f>IF(B249="","",COUNTIFS('Binder Data'!$B$2:$B$6251,B249,'Binder Data'!$E$2:$E$6251,"Y"))</f>
        <v/>
      </c>
      <c r="E249" s="17" t="str">
        <f>IF(B249="","",SUMIFS('Binder Data'!$F$2:$F$6251,'Binder Data'!$B$2:$B$6251,B249,'Binder Data'!$E$2:$E$6251,"Y"))</f>
        <v/>
      </c>
      <c r="F249" s="80" t="str">
        <f>IF(B249="","",IF(C249=TRUE(),"Searched / no binder",IF(D249=0,"No cards assigned",IF(OR(D249&gt;=Binders!$D$3,E249&gt;=Binders!$E$3),"Pull","Skip: buy elsewhere"))))</f>
        <v/>
      </c>
      <c r="G249" s="80" t="str">
        <f t="shared" si="2"/>
        <v/>
      </c>
      <c r="H249" s="2"/>
      <c r="I249" s="80" t="str">
        <f t="array" ref="I249">IFERROR(INDEX($B$2:$B$401,MATCH(248,$J$2:$J$401,0)),"")</f>
        <v/>
      </c>
      <c r="J249" s="80" t="str">
        <f t="shared" si="3"/>
        <v/>
      </c>
      <c r="L249" s="2"/>
    </row>
    <row r="250" ht="15.75" customHeight="1">
      <c r="A250" s="80" t="str">
        <f t="shared" si="1"/>
        <v/>
      </c>
      <c r="B250" s="2"/>
      <c r="C250" s="13" t="b">
        <v>0</v>
      </c>
      <c r="D250" s="80" t="str">
        <f>IF(B250="","",COUNTIFS('Binder Data'!$B$2:$B$6251,B250,'Binder Data'!$E$2:$E$6251,"Y"))</f>
        <v/>
      </c>
      <c r="E250" s="17" t="str">
        <f>IF(B250="","",SUMIFS('Binder Data'!$F$2:$F$6251,'Binder Data'!$B$2:$B$6251,B250,'Binder Data'!$E$2:$E$6251,"Y"))</f>
        <v/>
      </c>
      <c r="F250" s="80" t="str">
        <f>IF(B250="","",IF(C250=TRUE(),"Searched / no binder",IF(D250=0,"No cards assigned",IF(OR(D250&gt;=Binders!$D$3,E250&gt;=Binders!$E$3),"Pull","Skip: buy elsewhere"))))</f>
        <v/>
      </c>
      <c r="G250" s="80" t="str">
        <f t="shared" si="2"/>
        <v/>
      </c>
      <c r="H250" s="2"/>
      <c r="I250" s="80" t="str">
        <f t="array" ref="I250">IFERROR(INDEX($B$2:$B$401,MATCH(249,$J$2:$J$401,0)),"")</f>
        <v/>
      </c>
      <c r="J250" s="80" t="str">
        <f t="shared" si="3"/>
        <v/>
      </c>
      <c r="L250" s="2"/>
    </row>
    <row r="251" ht="15.75" customHeight="1">
      <c r="A251" s="80" t="str">
        <f t="shared" si="1"/>
        <v/>
      </c>
      <c r="B251" s="2"/>
      <c r="C251" s="13" t="b">
        <v>0</v>
      </c>
      <c r="D251" s="80" t="str">
        <f>IF(B251="","",COUNTIFS('Binder Data'!$B$2:$B$6251,B251,'Binder Data'!$E$2:$E$6251,"Y"))</f>
        <v/>
      </c>
      <c r="E251" s="17" t="str">
        <f>IF(B251="","",SUMIFS('Binder Data'!$F$2:$F$6251,'Binder Data'!$B$2:$B$6251,B251,'Binder Data'!$E$2:$E$6251,"Y"))</f>
        <v/>
      </c>
      <c r="F251" s="80" t="str">
        <f>IF(B251="","",IF(C251=TRUE(),"Searched / no binder",IF(D251=0,"No cards assigned",IF(OR(D251&gt;=Binders!$D$3,E251&gt;=Binders!$E$3),"Pull","Skip: buy elsewhere"))))</f>
        <v/>
      </c>
      <c r="G251" s="80" t="str">
        <f t="shared" si="2"/>
        <v/>
      </c>
      <c r="H251" s="2"/>
      <c r="I251" s="80" t="str">
        <f t="array" ref="I251">IFERROR(INDEX($B$2:$B$401,MATCH(250,$J$2:$J$401,0)),"")</f>
        <v/>
      </c>
      <c r="J251" s="80" t="str">
        <f t="shared" si="3"/>
        <v/>
      </c>
      <c r="L251" s="2"/>
    </row>
    <row r="252" ht="15.75" customHeight="1">
      <c r="A252" s="80" t="str">
        <f t="shared" si="1"/>
        <v/>
      </c>
      <c r="B252" s="2"/>
      <c r="C252" s="13" t="b">
        <v>0</v>
      </c>
      <c r="D252" s="80" t="str">
        <f>IF(B252="","",COUNTIFS('Binder Data'!$B$2:$B$6251,B252,'Binder Data'!$E$2:$E$6251,"Y"))</f>
        <v/>
      </c>
      <c r="E252" s="17" t="str">
        <f>IF(B252="","",SUMIFS('Binder Data'!$F$2:$F$6251,'Binder Data'!$B$2:$B$6251,B252,'Binder Data'!$E$2:$E$6251,"Y"))</f>
        <v/>
      </c>
      <c r="F252" s="80" t="str">
        <f>IF(B252="","",IF(C252=TRUE(),"Searched / no binder",IF(D252=0,"No cards assigned",IF(OR(D252&gt;=Binders!$D$3,E252&gt;=Binders!$E$3),"Pull","Skip: buy elsewhere"))))</f>
        <v/>
      </c>
      <c r="G252" s="80" t="str">
        <f t="shared" si="2"/>
        <v/>
      </c>
      <c r="H252" s="2"/>
      <c r="I252" s="80" t="str">
        <f t="array" ref="I252">IFERROR(INDEX($B$2:$B$401,MATCH(251,$J$2:$J$401,0)),"")</f>
        <v/>
      </c>
      <c r="J252" s="80" t="str">
        <f t="shared" si="3"/>
        <v/>
      </c>
      <c r="L252" s="2"/>
    </row>
    <row r="253" ht="15.75" customHeight="1">
      <c r="A253" s="80" t="str">
        <f t="shared" si="1"/>
        <v/>
      </c>
      <c r="B253" s="2"/>
      <c r="C253" s="13" t="b">
        <v>0</v>
      </c>
      <c r="D253" s="80" t="str">
        <f>IF(B253="","",COUNTIFS('Binder Data'!$B$2:$B$6251,B253,'Binder Data'!$E$2:$E$6251,"Y"))</f>
        <v/>
      </c>
      <c r="E253" s="17" t="str">
        <f>IF(B253="","",SUMIFS('Binder Data'!$F$2:$F$6251,'Binder Data'!$B$2:$B$6251,B253,'Binder Data'!$E$2:$E$6251,"Y"))</f>
        <v/>
      </c>
      <c r="F253" s="80" t="str">
        <f>IF(B253="","",IF(C253=TRUE(),"Searched / no binder",IF(D253=0,"No cards assigned",IF(OR(D253&gt;=Binders!$D$3,E253&gt;=Binders!$E$3),"Pull","Skip: buy elsewhere"))))</f>
        <v/>
      </c>
      <c r="G253" s="80" t="str">
        <f t="shared" si="2"/>
        <v/>
      </c>
      <c r="H253" s="2"/>
      <c r="I253" s="80" t="str">
        <f t="array" ref="I253">IFERROR(INDEX($B$2:$B$401,MATCH(252,$J$2:$J$401,0)),"")</f>
        <v/>
      </c>
      <c r="J253" s="80" t="str">
        <f t="shared" si="3"/>
        <v/>
      </c>
      <c r="L253" s="2"/>
    </row>
    <row r="254" ht="15.75" customHeight="1">
      <c r="A254" s="80" t="str">
        <f t="shared" si="1"/>
        <v/>
      </c>
      <c r="B254" s="2"/>
      <c r="C254" s="13" t="b">
        <v>0</v>
      </c>
      <c r="D254" s="80" t="str">
        <f>IF(B254="","",COUNTIFS('Binder Data'!$B$2:$B$6251,B254,'Binder Data'!$E$2:$E$6251,"Y"))</f>
        <v/>
      </c>
      <c r="E254" s="17" t="str">
        <f>IF(B254="","",SUMIFS('Binder Data'!$F$2:$F$6251,'Binder Data'!$B$2:$B$6251,B254,'Binder Data'!$E$2:$E$6251,"Y"))</f>
        <v/>
      </c>
      <c r="F254" s="80" t="str">
        <f>IF(B254="","",IF(C254=TRUE(),"Searched / no binder",IF(D254=0,"No cards assigned",IF(OR(D254&gt;=Binders!$D$3,E254&gt;=Binders!$E$3),"Pull","Skip: buy elsewhere"))))</f>
        <v/>
      </c>
      <c r="G254" s="80" t="str">
        <f t="shared" si="2"/>
        <v/>
      </c>
      <c r="H254" s="2"/>
      <c r="I254" s="80" t="str">
        <f t="array" ref="I254">IFERROR(INDEX($B$2:$B$401,MATCH(253,$J$2:$J$401,0)),"")</f>
        <v/>
      </c>
      <c r="J254" s="80" t="str">
        <f t="shared" si="3"/>
        <v/>
      </c>
      <c r="L254" s="2"/>
    </row>
    <row r="255" ht="15.75" customHeight="1">
      <c r="A255" s="80" t="str">
        <f t="shared" si="1"/>
        <v/>
      </c>
      <c r="B255" s="2"/>
      <c r="C255" s="13" t="b">
        <v>0</v>
      </c>
      <c r="D255" s="80" t="str">
        <f>IF(B255="","",COUNTIFS('Binder Data'!$B$2:$B$6251,B255,'Binder Data'!$E$2:$E$6251,"Y"))</f>
        <v/>
      </c>
      <c r="E255" s="17" t="str">
        <f>IF(B255="","",SUMIFS('Binder Data'!$F$2:$F$6251,'Binder Data'!$B$2:$B$6251,B255,'Binder Data'!$E$2:$E$6251,"Y"))</f>
        <v/>
      </c>
      <c r="F255" s="80" t="str">
        <f>IF(B255="","",IF(C255=TRUE(),"Searched / no binder",IF(D255=0,"No cards assigned",IF(OR(D255&gt;=Binders!$D$3,E255&gt;=Binders!$E$3),"Pull","Skip: buy elsewhere"))))</f>
        <v/>
      </c>
      <c r="G255" s="80" t="str">
        <f t="shared" si="2"/>
        <v/>
      </c>
      <c r="H255" s="2"/>
      <c r="I255" s="80" t="str">
        <f t="array" ref="I255">IFERROR(INDEX($B$2:$B$401,MATCH(254,$J$2:$J$401,0)),"")</f>
        <v/>
      </c>
      <c r="J255" s="80" t="str">
        <f t="shared" si="3"/>
        <v/>
      </c>
      <c r="L255" s="2"/>
    </row>
    <row r="256" ht="15.75" customHeight="1">
      <c r="A256" s="80" t="str">
        <f t="shared" si="1"/>
        <v/>
      </c>
      <c r="B256" s="2"/>
      <c r="C256" s="13" t="b">
        <v>0</v>
      </c>
      <c r="D256" s="80" t="str">
        <f>IF(B256="","",COUNTIFS('Binder Data'!$B$2:$B$6251,B256,'Binder Data'!$E$2:$E$6251,"Y"))</f>
        <v/>
      </c>
      <c r="E256" s="17" t="str">
        <f>IF(B256="","",SUMIFS('Binder Data'!$F$2:$F$6251,'Binder Data'!$B$2:$B$6251,B256,'Binder Data'!$E$2:$E$6251,"Y"))</f>
        <v/>
      </c>
      <c r="F256" s="80" t="str">
        <f>IF(B256="","",IF(C256=TRUE(),"Searched / no binder",IF(D256=0,"No cards assigned",IF(OR(D256&gt;=Binders!$D$3,E256&gt;=Binders!$E$3),"Pull","Skip: buy elsewhere"))))</f>
        <v/>
      </c>
      <c r="G256" s="80" t="str">
        <f t="shared" si="2"/>
        <v/>
      </c>
      <c r="H256" s="2"/>
      <c r="I256" s="80" t="str">
        <f t="array" ref="I256">IFERROR(INDEX($B$2:$B$401,MATCH(255,$J$2:$J$401,0)),"")</f>
        <v/>
      </c>
      <c r="J256" s="80" t="str">
        <f t="shared" si="3"/>
        <v/>
      </c>
      <c r="L256" s="2"/>
    </row>
    <row r="257" ht="15.75" customHeight="1">
      <c r="A257" s="80" t="str">
        <f t="shared" si="1"/>
        <v/>
      </c>
      <c r="B257" s="2"/>
      <c r="C257" s="13" t="b">
        <v>0</v>
      </c>
      <c r="D257" s="80" t="str">
        <f>IF(B257="","",COUNTIFS('Binder Data'!$B$2:$B$6251,B257,'Binder Data'!$E$2:$E$6251,"Y"))</f>
        <v/>
      </c>
      <c r="E257" s="17" t="str">
        <f>IF(B257="","",SUMIFS('Binder Data'!$F$2:$F$6251,'Binder Data'!$B$2:$B$6251,B257,'Binder Data'!$E$2:$E$6251,"Y"))</f>
        <v/>
      </c>
      <c r="F257" s="80" t="str">
        <f>IF(B257="","",IF(C257=TRUE(),"Searched / no binder",IF(D257=0,"No cards assigned",IF(OR(D257&gt;=Binders!$D$3,E257&gt;=Binders!$E$3),"Pull","Skip: buy elsewhere"))))</f>
        <v/>
      </c>
      <c r="G257" s="80" t="str">
        <f t="shared" si="2"/>
        <v/>
      </c>
      <c r="H257" s="2"/>
      <c r="I257" s="80" t="str">
        <f t="array" ref="I257">IFERROR(INDEX($B$2:$B$401,MATCH(256,$J$2:$J$401,0)),"")</f>
        <v/>
      </c>
      <c r="J257" s="80" t="str">
        <f t="shared" si="3"/>
        <v/>
      </c>
      <c r="L257" s="2"/>
    </row>
    <row r="258" ht="15.75" customHeight="1">
      <c r="A258" s="80" t="str">
        <f t="shared" si="1"/>
        <v/>
      </c>
      <c r="B258" s="2"/>
      <c r="C258" s="13" t="b">
        <v>0</v>
      </c>
      <c r="D258" s="80" t="str">
        <f>IF(B258="","",COUNTIFS('Binder Data'!$B$2:$B$6251,B258,'Binder Data'!$E$2:$E$6251,"Y"))</f>
        <v/>
      </c>
      <c r="E258" s="17" t="str">
        <f>IF(B258="","",SUMIFS('Binder Data'!$F$2:$F$6251,'Binder Data'!$B$2:$B$6251,B258,'Binder Data'!$E$2:$E$6251,"Y"))</f>
        <v/>
      </c>
      <c r="F258" s="80" t="str">
        <f>IF(B258="","",IF(C258=TRUE(),"Searched / no binder",IF(D258=0,"No cards assigned",IF(OR(D258&gt;=Binders!$D$3,E258&gt;=Binders!$E$3),"Pull","Skip: buy elsewhere"))))</f>
        <v/>
      </c>
      <c r="G258" s="80" t="str">
        <f t="shared" si="2"/>
        <v/>
      </c>
      <c r="H258" s="2"/>
      <c r="I258" s="80" t="str">
        <f t="array" ref="I258">IFERROR(INDEX($B$2:$B$401,MATCH(257,$J$2:$J$401,0)),"")</f>
        <v/>
      </c>
      <c r="J258" s="80" t="str">
        <f t="shared" si="3"/>
        <v/>
      </c>
      <c r="L258" s="2"/>
    </row>
    <row r="259" ht="15.75" customHeight="1">
      <c r="A259" s="80" t="str">
        <f t="shared" si="1"/>
        <v/>
      </c>
      <c r="B259" s="2"/>
      <c r="C259" s="13" t="b">
        <v>0</v>
      </c>
      <c r="D259" s="80" t="str">
        <f>IF(B259="","",COUNTIFS('Binder Data'!$B$2:$B$6251,B259,'Binder Data'!$E$2:$E$6251,"Y"))</f>
        <v/>
      </c>
      <c r="E259" s="17" t="str">
        <f>IF(B259="","",SUMIFS('Binder Data'!$F$2:$F$6251,'Binder Data'!$B$2:$B$6251,B259,'Binder Data'!$E$2:$E$6251,"Y"))</f>
        <v/>
      </c>
      <c r="F259" s="80" t="str">
        <f>IF(B259="","",IF(C259=TRUE(),"Searched / no binder",IF(D259=0,"No cards assigned",IF(OR(D259&gt;=Binders!$D$3,E259&gt;=Binders!$E$3),"Pull","Skip: buy elsewhere"))))</f>
        <v/>
      </c>
      <c r="G259" s="80" t="str">
        <f t="shared" si="2"/>
        <v/>
      </c>
      <c r="H259" s="2"/>
      <c r="I259" s="80" t="str">
        <f t="array" ref="I259">IFERROR(INDEX($B$2:$B$401,MATCH(258,$J$2:$J$401,0)),"")</f>
        <v/>
      </c>
      <c r="J259" s="80" t="str">
        <f t="shared" si="3"/>
        <v/>
      </c>
      <c r="L259" s="2"/>
    </row>
    <row r="260" ht="15.75" customHeight="1">
      <c r="A260" s="80" t="str">
        <f t="shared" si="1"/>
        <v/>
      </c>
      <c r="B260" s="2"/>
      <c r="C260" s="13" t="b">
        <v>0</v>
      </c>
      <c r="D260" s="80" t="str">
        <f>IF(B260="","",COUNTIFS('Binder Data'!$B$2:$B$6251,B260,'Binder Data'!$E$2:$E$6251,"Y"))</f>
        <v/>
      </c>
      <c r="E260" s="17" t="str">
        <f>IF(B260="","",SUMIFS('Binder Data'!$F$2:$F$6251,'Binder Data'!$B$2:$B$6251,B260,'Binder Data'!$E$2:$E$6251,"Y"))</f>
        <v/>
      </c>
      <c r="F260" s="80" t="str">
        <f>IF(B260="","",IF(C260=TRUE(),"Searched / no binder",IF(D260=0,"No cards assigned",IF(OR(D260&gt;=Binders!$D$3,E260&gt;=Binders!$E$3),"Pull","Skip: buy elsewhere"))))</f>
        <v/>
      </c>
      <c r="G260" s="80" t="str">
        <f t="shared" si="2"/>
        <v/>
      </c>
      <c r="H260" s="2"/>
      <c r="I260" s="80" t="str">
        <f t="array" ref="I260">IFERROR(INDEX($B$2:$B$401,MATCH(259,$J$2:$J$401,0)),"")</f>
        <v/>
      </c>
      <c r="J260" s="80" t="str">
        <f t="shared" si="3"/>
        <v/>
      </c>
      <c r="L260" s="2"/>
    </row>
    <row r="261" ht="15.75" customHeight="1">
      <c r="A261" s="80" t="str">
        <f t="shared" si="1"/>
        <v/>
      </c>
      <c r="B261" s="2"/>
      <c r="C261" s="13" t="b">
        <v>0</v>
      </c>
      <c r="D261" s="80" t="str">
        <f>IF(B261="","",COUNTIFS('Binder Data'!$B$2:$B$6251,B261,'Binder Data'!$E$2:$E$6251,"Y"))</f>
        <v/>
      </c>
      <c r="E261" s="17" t="str">
        <f>IF(B261="","",SUMIFS('Binder Data'!$F$2:$F$6251,'Binder Data'!$B$2:$B$6251,B261,'Binder Data'!$E$2:$E$6251,"Y"))</f>
        <v/>
      </c>
      <c r="F261" s="80" t="str">
        <f>IF(B261="","",IF(C261=TRUE(),"Searched / no binder",IF(D261=0,"No cards assigned",IF(OR(D261&gt;=Binders!$D$3,E261&gt;=Binders!$E$3),"Pull","Skip: buy elsewhere"))))</f>
        <v/>
      </c>
      <c r="G261" s="80" t="str">
        <f t="shared" si="2"/>
        <v/>
      </c>
      <c r="H261" s="2"/>
      <c r="I261" s="80" t="str">
        <f t="array" ref="I261">IFERROR(INDEX($B$2:$B$401,MATCH(260,$J$2:$J$401,0)),"")</f>
        <v/>
      </c>
      <c r="J261" s="80" t="str">
        <f t="shared" si="3"/>
        <v/>
      </c>
      <c r="L261" s="2"/>
    </row>
    <row r="262" ht="15.75" customHeight="1">
      <c r="A262" s="80" t="str">
        <f t="shared" si="1"/>
        <v/>
      </c>
      <c r="B262" s="2"/>
      <c r="C262" s="13" t="b">
        <v>0</v>
      </c>
      <c r="D262" s="80" t="str">
        <f>IF(B262="","",COUNTIFS('Binder Data'!$B$2:$B$6251,B262,'Binder Data'!$E$2:$E$6251,"Y"))</f>
        <v/>
      </c>
      <c r="E262" s="17" t="str">
        <f>IF(B262="","",SUMIFS('Binder Data'!$F$2:$F$6251,'Binder Data'!$B$2:$B$6251,B262,'Binder Data'!$E$2:$E$6251,"Y"))</f>
        <v/>
      </c>
      <c r="F262" s="80" t="str">
        <f>IF(B262="","",IF(C262=TRUE(),"Searched / no binder",IF(D262=0,"No cards assigned",IF(OR(D262&gt;=Binders!$D$3,E262&gt;=Binders!$E$3),"Pull","Skip: buy elsewhere"))))</f>
        <v/>
      </c>
      <c r="G262" s="80" t="str">
        <f t="shared" si="2"/>
        <v/>
      </c>
      <c r="H262" s="2"/>
      <c r="I262" s="80" t="str">
        <f t="array" ref="I262">IFERROR(INDEX($B$2:$B$401,MATCH(261,$J$2:$J$401,0)),"")</f>
        <v/>
      </c>
      <c r="J262" s="80" t="str">
        <f t="shared" si="3"/>
        <v/>
      </c>
      <c r="L262" s="2"/>
    </row>
    <row r="263" ht="15.75" customHeight="1">
      <c r="A263" s="80" t="str">
        <f t="shared" si="1"/>
        <v/>
      </c>
      <c r="B263" s="2"/>
      <c r="C263" s="13" t="b">
        <v>0</v>
      </c>
      <c r="D263" s="80" t="str">
        <f>IF(B263="","",COUNTIFS('Binder Data'!$B$2:$B$6251,B263,'Binder Data'!$E$2:$E$6251,"Y"))</f>
        <v/>
      </c>
      <c r="E263" s="17" t="str">
        <f>IF(B263="","",SUMIFS('Binder Data'!$F$2:$F$6251,'Binder Data'!$B$2:$B$6251,B263,'Binder Data'!$E$2:$E$6251,"Y"))</f>
        <v/>
      </c>
      <c r="F263" s="80" t="str">
        <f>IF(B263="","",IF(C263=TRUE(),"Searched / no binder",IF(D263=0,"No cards assigned",IF(OR(D263&gt;=Binders!$D$3,E263&gt;=Binders!$E$3),"Pull","Skip: buy elsewhere"))))</f>
        <v/>
      </c>
      <c r="G263" s="80" t="str">
        <f t="shared" si="2"/>
        <v/>
      </c>
      <c r="H263" s="2"/>
      <c r="I263" s="80" t="str">
        <f t="array" ref="I263">IFERROR(INDEX($B$2:$B$401,MATCH(262,$J$2:$J$401,0)),"")</f>
        <v/>
      </c>
      <c r="J263" s="80" t="str">
        <f t="shared" si="3"/>
        <v/>
      </c>
      <c r="L263" s="2"/>
    </row>
    <row r="264" ht="15.75" customHeight="1">
      <c r="A264" s="80" t="str">
        <f t="shared" si="1"/>
        <v/>
      </c>
      <c r="B264" s="2"/>
      <c r="C264" s="13" t="b">
        <v>0</v>
      </c>
      <c r="D264" s="80" t="str">
        <f>IF(B264="","",COUNTIFS('Binder Data'!$B$2:$B$6251,B264,'Binder Data'!$E$2:$E$6251,"Y"))</f>
        <v/>
      </c>
      <c r="E264" s="17" t="str">
        <f>IF(B264="","",SUMIFS('Binder Data'!$F$2:$F$6251,'Binder Data'!$B$2:$B$6251,B264,'Binder Data'!$E$2:$E$6251,"Y"))</f>
        <v/>
      </c>
      <c r="F264" s="80" t="str">
        <f>IF(B264="","",IF(C264=TRUE(),"Searched / no binder",IF(D264=0,"No cards assigned",IF(OR(D264&gt;=Binders!$D$3,E264&gt;=Binders!$E$3),"Pull","Skip: buy elsewhere"))))</f>
        <v/>
      </c>
      <c r="G264" s="80" t="str">
        <f t="shared" si="2"/>
        <v/>
      </c>
      <c r="H264" s="2"/>
      <c r="I264" s="80" t="str">
        <f t="array" ref="I264">IFERROR(INDEX($B$2:$B$401,MATCH(263,$J$2:$J$401,0)),"")</f>
        <v/>
      </c>
      <c r="J264" s="80" t="str">
        <f t="shared" si="3"/>
        <v/>
      </c>
      <c r="L264" s="2"/>
    </row>
    <row r="265" ht="15.75" customHeight="1">
      <c r="A265" s="80" t="str">
        <f t="shared" si="1"/>
        <v/>
      </c>
      <c r="B265" s="2"/>
      <c r="C265" s="13" t="b">
        <v>0</v>
      </c>
      <c r="D265" s="80" t="str">
        <f>IF(B265="","",COUNTIFS('Binder Data'!$B$2:$B$6251,B265,'Binder Data'!$E$2:$E$6251,"Y"))</f>
        <v/>
      </c>
      <c r="E265" s="17" t="str">
        <f>IF(B265="","",SUMIFS('Binder Data'!$F$2:$F$6251,'Binder Data'!$B$2:$B$6251,B265,'Binder Data'!$E$2:$E$6251,"Y"))</f>
        <v/>
      </c>
      <c r="F265" s="80" t="str">
        <f>IF(B265="","",IF(C265=TRUE(),"Searched / no binder",IF(D265=0,"No cards assigned",IF(OR(D265&gt;=Binders!$D$3,E265&gt;=Binders!$E$3),"Pull","Skip: buy elsewhere"))))</f>
        <v/>
      </c>
      <c r="G265" s="80" t="str">
        <f t="shared" si="2"/>
        <v/>
      </c>
      <c r="H265" s="2"/>
      <c r="I265" s="80" t="str">
        <f t="array" ref="I265">IFERROR(INDEX($B$2:$B$401,MATCH(264,$J$2:$J$401,0)),"")</f>
        <v/>
      </c>
      <c r="J265" s="80" t="str">
        <f t="shared" si="3"/>
        <v/>
      </c>
      <c r="L265" s="2"/>
    </row>
    <row r="266" ht="15.75" customHeight="1">
      <c r="A266" s="80" t="str">
        <f t="shared" si="1"/>
        <v/>
      </c>
      <c r="B266" s="2"/>
      <c r="C266" s="13" t="b">
        <v>0</v>
      </c>
      <c r="D266" s="80" t="str">
        <f>IF(B266="","",COUNTIFS('Binder Data'!$B$2:$B$6251,B266,'Binder Data'!$E$2:$E$6251,"Y"))</f>
        <v/>
      </c>
      <c r="E266" s="17" t="str">
        <f>IF(B266="","",SUMIFS('Binder Data'!$F$2:$F$6251,'Binder Data'!$B$2:$B$6251,B266,'Binder Data'!$E$2:$E$6251,"Y"))</f>
        <v/>
      </c>
      <c r="F266" s="80" t="str">
        <f>IF(B266="","",IF(C266=TRUE(),"Searched / no binder",IF(D266=0,"No cards assigned",IF(OR(D266&gt;=Binders!$D$3,E266&gt;=Binders!$E$3),"Pull","Skip: buy elsewhere"))))</f>
        <v/>
      </c>
      <c r="G266" s="80" t="str">
        <f t="shared" si="2"/>
        <v/>
      </c>
      <c r="H266" s="2"/>
      <c r="I266" s="80" t="str">
        <f t="array" ref="I266">IFERROR(INDEX($B$2:$B$401,MATCH(265,$J$2:$J$401,0)),"")</f>
        <v/>
      </c>
      <c r="J266" s="80" t="str">
        <f t="shared" si="3"/>
        <v/>
      </c>
      <c r="L266" s="2"/>
    </row>
    <row r="267" ht="15.75" customHeight="1">
      <c r="A267" s="80" t="str">
        <f t="shared" si="1"/>
        <v/>
      </c>
      <c r="B267" s="2"/>
      <c r="C267" s="13" t="b">
        <v>0</v>
      </c>
      <c r="D267" s="80" t="str">
        <f>IF(B267="","",COUNTIFS('Binder Data'!$B$2:$B$6251,B267,'Binder Data'!$E$2:$E$6251,"Y"))</f>
        <v/>
      </c>
      <c r="E267" s="17" t="str">
        <f>IF(B267="","",SUMIFS('Binder Data'!$F$2:$F$6251,'Binder Data'!$B$2:$B$6251,B267,'Binder Data'!$E$2:$E$6251,"Y"))</f>
        <v/>
      </c>
      <c r="F267" s="80" t="str">
        <f>IF(B267="","",IF(C267=TRUE(),"Searched / no binder",IF(D267=0,"No cards assigned",IF(OR(D267&gt;=Binders!$D$3,E267&gt;=Binders!$E$3),"Pull","Skip: buy elsewhere"))))</f>
        <v/>
      </c>
      <c r="G267" s="80" t="str">
        <f t="shared" si="2"/>
        <v/>
      </c>
      <c r="H267" s="2"/>
      <c r="I267" s="80" t="str">
        <f t="array" ref="I267">IFERROR(INDEX($B$2:$B$401,MATCH(266,$J$2:$J$401,0)),"")</f>
        <v/>
      </c>
      <c r="J267" s="80" t="str">
        <f t="shared" si="3"/>
        <v/>
      </c>
      <c r="L267" s="2"/>
    </row>
    <row r="268" ht="15.75" customHeight="1">
      <c r="A268" s="80" t="str">
        <f t="shared" si="1"/>
        <v/>
      </c>
      <c r="B268" s="2"/>
      <c r="C268" s="13" t="b">
        <v>0</v>
      </c>
      <c r="D268" s="80" t="str">
        <f>IF(B268="","",COUNTIFS('Binder Data'!$B$2:$B$6251,B268,'Binder Data'!$E$2:$E$6251,"Y"))</f>
        <v/>
      </c>
      <c r="E268" s="17" t="str">
        <f>IF(B268="","",SUMIFS('Binder Data'!$F$2:$F$6251,'Binder Data'!$B$2:$B$6251,B268,'Binder Data'!$E$2:$E$6251,"Y"))</f>
        <v/>
      </c>
      <c r="F268" s="80" t="str">
        <f>IF(B268="","",IF(C268=TRUE(),"Searched / no binder",IF(D268=0,"No cards assigned",IF(OR(D268&gt;=Binders!$D$3,E268&gt;=Binders!$E$3),"Pull","Skip: buy elsewhere"))))</f>
        <v/>
      </c>
      <c r="G268" s="80" t="str">
        <f t="shared" si="2"/>
        <v/>
      </c>
      <c r="H268" s="2"/>
      <c r="I268" s="80" t="str">
        <f t="array" ref="I268">IFERROR(INDEX($B$2:$B$401,MATCH(267,$J$2:$J$401,0)),"")</f>
        <v/>
      </c>
      <c r="J268" s="80" t="str">
        <f t="shared" si="3"/>
        <v/>
      </c>
      <c r="L268" s="2"/>
    </row>
    <row r="269" ht="15.75" customHeight="1">
      <c r="A269" s="80" t="str">
        <f t="shared" si="1"/>
        <v/>
      </c>
      <c r="B269" s="2"/>
      <c r="C269" s="13" t="b">
        <v>0</v>
      </c>
      <c r="D269" s="80" t="str">
        <f>IF(B269="","",COUNTIFS('Binder Data'!$B$2:$B$6251,B269,'Binder Data'!$E$2:$E$6251,"Y"))</f>
        <v/>
      </c>
      <c r="E269" s="17" t="str">
        <f>IF(B269="","",SUMIFS('Binder Data'!$F$2:$F$6251,'Binder Data'!$B$2:$B$6251,B269,'Binder Data'!$E$2:$E$6251,"Y"))</f>
        <v/>
      </c>
      <c r="F269" s="80" t="str">
        <f>IF(B269="","",IF(C269=TRUE(),"Searched / no binder",IF(D269=0,"No cards assigned",IF(OR(D269&gt;=Binders!$D$3,E269&gt;=Binders!$E$3),"Pull","Skip: buy elsewhere"))))</f>
        <v/>
      </c>
      <c r="G269" s="80" t="str">
        <f t="shared" si="2"/>
        <v/>
      </c>
      <c r="H269" s="2"/>
      <c r="I269" s="80" t="str">
        <f t="array" ref="I269">IFERROR(INDEX($B$2:$B$401,MATCH(268,$J$2:$J$401,0)),"")</f>
        <v/>
      </c>
      <c r="J269" s="80" t="str">
        <f t="shared" si="3"/>
        <v/>
      </c>
      <c r="L269" s="2"/>
    </row>
    <row r="270" ht="15.75" customHeight="1">
      <c r="A270" s="80" t="str">
        <f t="shared" si="1"/>
        <v/>
      </c>
      <c r="B270" s="2"/>
      <c r="C270" s="13" t="b">
        <v>0</v>
      </c>
      <c r="D270" s="80" t="str">
        <f>IF(B270="","",COUNTIFS('Binder Data'!$B$2:$B$6251,B270,'Binder Data'!$E$2:$E$6251,"Y"))</f>
        <v/>
      </c>
      <c r="E270" s="17" t="str">
        <f>IF(B270="","",SUMIFS('Binder Data'!$F$2:$F$6251,'Binder Data'!$B$2:$B$6251,B270,'Binder Data'!$E$2:$E$6251,"Y"))</f>
        <v/>
      </c>
      <c r="F270" s="80" t="str">
        <f>IF(B270="","",IF(C270=TRUE(),"Searched / no binder",IF(D270=0,"No cards assigned",IF(OR(D270&gt;=Binders!$D$3,E270&gt;=Binders!$E$3),"Pull","Skip: buy elsewhere"))))</f>
        <v/>
      </c>
      <c r="G270" s="80" t="str">
        <f t="shared" si="2"/>
        <v/>
      </c>
      <c r="H270" s="2"/>
      <c r="I270" s="80" t="str">
        <f t="array" ref="I270">IFERROR(INDEX($B$2:$B$401,MATCH(269,$J$2:$J$401,0)),"")</f>
        <v/>
      </c>
      <c r="J270" s="80" t="str">
        <f t="shared" si="3"/>
        <v/>
      </c>
      <c r="L270" s="2"/>
    </row>
    <row r="271" ht="15.75" customHeight="1">
      <c r="A271" s="80" t="str">
        <f t="shared" si="1"/>
        <v/>
      </c>
      <c r="B271" s="2"/>
      <c r="C271" s="13" t="b">
        <v>0</v>
      </c>
      <c r="D271" s="80" t="str">
        <f>IF(B271="","",COUNTIFS('Binder Data'!$B$2:$B$6251,B271,'Binder Data'!$E$2:$E$6251,"Y"))</f>
        <v/>
      </c>
      <c r="E271" s="17" t="str">
        <f>IF(B271="","",SUMIFS('Binder Data'!$F$2:$F$6251,'Binder Data'!$B$2:$B$6251,B271,'Binder Data'!$E$2:$E$6251,"Y"))</f>
        <v/>
      </c>
      <c r="F271" s="80" t="str">
        <f>IF(B271="","",IF(C271=TRUE(),"Searched / no binder",IF(D271=0,"No cards assigned",IF(OR(D271&gt;=Binders!$D$3,E271&gt;=Binders!$E$3),"Pull","Skip: buy elsewhere"))))</f>
        <v/>
      </c>
      <c r="G271" s="80" t="str">
        <f t="shared" si="2"/>
        <v/>
      </c>
      <c r="H271" s="2"/>
      <c r="I271" s="80" t="str">
        <f t="array" ref="I271">IFERROR(INDEX($B$2:$B$401,MATCH(270,$J$2:$J$401,0)),"")</f>
        <v/>
      </c>
      <c r="J271" s="80" t="str">
        <f t="shared" si="3"/>
        <v/>
      </c>
      <c r="L271" s="2"/>
    </row>
    <row r="272" ht="15.75" customHeight="1">
      <c r="A272" s="80" t="str">
        <f t="shared" si="1"/>
        <v/>
      </c>
      <c r="B272" s="2"/>
      <c r="C272" s="13" t="b">
        <v>0</v>
      </c>
      <c r="D272" s="80" t="str">
        <f>IF(B272="","",COUNTIFS('Binder Data'!$B$2:$B$6251,B272,'Binder Data'!$E$2:$E$6251,"Y"))</f>
        <v/>
      </c>
      <c r="E272" s="17" t="str">
        <f>IF(B272="","",SUMIFS('Binder Data'!$F$2:$F$6251,'Binder Data'!$B$2:$B$6251,B272,'Binder Data'!$E$2:$E$6251,"Y"))</f>
        <v/>
      </c>
      <c r="F272" s="80" t="str">
        <f>IF(B272="","",IF(C272=TRUE(),"Searched / no binder",IF(D272=0,"No cards assigned",IF(OR(D272&gt;=Binders!$D$3,E272&gt;=Binders!$E$3),"Pull","Skip: buy elsewhere"))))</f>
        <v/>
      </c>
      <c r="G272" s="80" t="str">
        <f t="shared" si="2"/>
        <v/>
      </c>
      <c r="H272" s="2"/>
      <c r="I272" s="80" t="str">
        <f t="array" ref="I272">IFERROR(INDEX($B$2:$B$401,MATCH(271,$J$2:$J$401,0)),"")</f>
        <v/>
      </c>
      <c r="J272" s="80" t="str">
        <f t="shared" si="3"/>
        <v/>
      </c>
      <c r="L272" s="2"/>
    </row>
    <row r="273" ht="15.75" customHeight="1">
      <c r="A273" s="80" t="str">
        <f t="shared" si="1"/>
        <v/>
      </c>
      <c r="B273" s="2"/>
      <c r="C273" s="13" t="b">
        <v>0</v>
      </c>
      <c r="D273" s="80" t="str">
        <f>IF(B273="","",COUNTIFS('Binder Data'!$B$2:$B$6251,B273,'Binder Data'!$E$2:$E$6251,"Y"))</f>
        <v/>
      </c>
      <c r="E273" s="17" t="str">
        <f>IF(B273="","",SUMIFS('Binder Data'!$F$2:$F$6251,'Binder Data'!$B$2:$B$6251,B273,'Binder Data'!$E$2:$E$6251,"Y"))</f>
        <v/>
      </c>
      <c r="F273" s="80" t="str">
        <f>IF(B273="","",IF(C273=TRUE(),"Searched / no binder",IF(D273=0,"No cards assigned",IF(OR(D273&gt;=Binders!$D$3,E273&gt;=Binders!$E$3),"Pull","Skip: buy elsewhere"))))</f>
        <v/>
      </c>
      <c r="G273" s="80" t="str">
        <f t="shared" si="2"/>
        <v/>
      </c>
      <c r="H273" s="2"/>
      <c r="I273" s="80" t="str">
        <f t="array" ref="I273">IFERROR(INDEX($B$2:$B$401,MATCH(272,$J$2:$J$401,0)),"")</f>
        <v/>
      </c>
      <c r="J273" s="80" t="str">
        <f t="shared" si="3"/>
        <v/>
      </c>
      <c r="L273" s="2"/>
    </row>
    <row r="274" ht="15.75" customHeight="1">
      <c r="A274" s="80" t="str">
        <f t="shared" si="1"/>
        <v/>
      </c>
      <c r="B274" s="2"/>
      <c r="C274" s="13" t="b">
        <v>0</v>
      </c>
      <c r="D274" s="80" t="str">
        <f>IF(B274="","",COUNTIFS('Binder Data'!$B$2:$B$6251,B274,'Binder Data'!$E$2:$E$6251,"Y"))</f>
        <v/>
      </c>
      <c r="E274" s="17" t="str">
        <f>IF(B274="","",SUMIFS('Binder Data'!$F$2:$F$6251,'Binder Data'!$B$2:$B$6251,B274,'Binder Data'!$E$2:$E$6251,"Y"))</f>
        <v/>
      </c>
      <c r="F274" s="80" t="str">
        <f>IF(B274="","",IF(C274=TRUE(),"Searched / no binder",IF(D274=0,"No cards assigned",IF(OR(D274&gt;=Binders!$D$3,E274&gt;=Binders!$E$3),"Pull","Skip: buy elsewhere"))))</f>
        <v/>
      </c>
      <c r="G274" s="80" t="str">
        <f t="shared" si="2"/>
        <v/>
      </c>
      <c r="H274" s="2"/>
      <c r="I274" s="80" t="str">
        <f t="array" ref="I274">IFERROR(INDEX($B$2:$B$401,MATCH(273,$J$2:$J$401,0)),"")</f>
        <v/>
      </c>
      <c r="J274" s="80" t="str">
        <f t="shared" si="3"/>
        <v/>
      </c>
      <c r="L274" s="2"/>
    </row>
    <row r="275" ht="15.75" customHeight="1">
      <c r="A275" s="80" t="str">
        <f t="shared" si="1"/>
        <v/>
      </c>
      <c r="B275" s="2"/>
      <c r="C275" s="13" t="b">
        <v>0</v>
      </c>
      <c r="D275" s="80" t="str">
        <f>IF(B275="","",COUNTIFS('Binder Data'!$B$2:$B$6251,B275,'Binder Data'!$E$2:$E$6251,"Y"))</f>
        <v/>
      </c>
      <c r="E275" s="17" t="str">
        <f>IF(B275="","",SUMIFS('Binder Data'!$F$2:$F$6251,'Binder Data'!$B$2:$B$6251,B275,'Binder Data'!$E$2:$E$6251,"Y"))</f>
        <v/>
      </c>
      <c r="F275" s="80" t="str">
        <f>IF(B275="","",IF(C275=TRUE(),"Searched / no binder",IF(D275=0,"No cards assigned",IF(OR(D275&gt;=Binders!$D$3,E275&gt;=Binders!$E$3),"Pull","Skip: buy elsewhere"))))</f>
        <v/>
      </c>
      <c r="G275" s="80" t="str">
        <f t="shared" si="2"/>
        <v/>
      </c>
      <c r="H275" s="2"/>
      <c r="I275" s="80" t="str">
        <f t="array" ref="I275">IFERROR(INDEX($B$2:$B$401,MATCH(274,$J$2:$J$401,0)),"")</f>
        <v/>
      </c>
      <c r="J275" s="80" t="str">
        <f t="shared" si="3"/>
        <v/>
      </c>
      <c r="L275" s="2"/>
    </row>
    <row r="276" ht="15.75" customHeight="1">
      <c r="A276" s="80" t="str">
        <f t="shared" si="1"/>
        <v/>
      </c>
      <c r="B276" s="2"/>
      <c r="C276" s="13" t="b">
        <v>0</v>
      </c>
      <c r="D276" s="80" t="str">
        <f>IF(B276="","",COUNTIFS('Binder Data'!$B$2:$B$6251,B276,'Binder Data'!$E$2:$E$6251,"Y"))</f>
        <v/>
      </c>
      <c r="E276" s="17" t="str">
        <f>IF(B276="","",SUMIFS('Binder Data'!$F$2:$F$6251,'Binder Data'!$B$2:$B$6251,B276,'Binder Data'!$E$2:$E$6251,"Y"))</f>
        <v/>
      </c>
      <c r="F276" s="80" t="str">
        <f>IF(B276="","",IF(C276=TRUE(),"Searched / no binder",IF(D276=0,"No cards assigned",IF(OR(D276&gt;=Binders!$D$3,E276&gt;=Binders!$E$3),"Pull","Skip: buy elsewhere"))))</f>
        <v/>
      </c>
      <c r="G276" s="80" t="str">
        <f t="shared" si="2"/>
        <v/>
      </c>
      <c r="H276" s="2"/>
      <c r="I276" s="80" t="str">
        <f t="array" ref="I276">IFERROR(INDEX($B$2:$B$401,MATCH(275,$J$2:$J$401,0)),"")</f>
        <v/>
      </c>
      <c r="J276" s="80" t="str">
        <f t="shared" si="3"/>
        <v/>
      </c>
      <c r="L276" s="2"/>
    </row>
    <row r="277" ht="15.75" customHeight="1">
      <c r="A277" s="80" t="str">
        <f t="shared" si="1"/>
        <v/>
      </c>
      <c r="B277" s="2"/>
      <c r="C277" s="13" t="b">
        <v>0</v>
      </c>
      <c r="D277" s="80" t="str">
        <f>IF(B277="","",COUNTIFS('Binder Data'!$B$2:$B$6251,B277,'Binder Data'!$E$2:$E$6251,"Y"))</f>
        <v/>
      </c>
      <c r="E277" s="17" t="str">
        <f>IF(B277="","",SUMIFS('Binder Data'!$F$2:$F$6251,'Binder Data'!$B$2:$B$6251,B277,'Binder Data'!$E$2:$E$6251,"Y"))</f>
        <v/>
      </c>
      <c r="F277" s="80" t="str">
        <f>IF(B277="","",IF(C277=TRUE(),"Searched / no binder",IF(D277=0,"No cards assigned",IF(OR(D277&gt;=Binders!$D$3,E277&gt;=Binders!$E$3),"Pull","Skip: buy elsewhere"))))</f>
        <v/>
      </c>
      <c r="G277" s="80" t="str">
        <f t="shared" si="2"/>
        <v/>
      </c>
      <c r="H277" s="2"/>
      <c r="I277" s="80" t="str">
        <f t="array" ref="I277">IFERROR(INDEX($B$2:$B$401,MATCH(276,$J$2:$J$401,0)),"")</f>
        <v/>
      </c>
      <c r="J277" s="80" t="str">
        <f t="shared" si="3"/>
        <v/>
      </c>
      <c r="L277" s="2"/>
    </row>
    <row r="278" ht="15.75" customHeight="1">
      <c r="A278" s="80" t="str">
        <f t="shared" si="1"/>
        <v/>
      </c>
      <c r="B278" s="2"/>
      <c r="C278" s="13" t="b">
        <v>0</v>
      </c>
      <c r="D278" s="80" t="str">
        <f>IF(B278="","",COUNTIFS('Binder Data'!$B$2:$B$6251,B278,'Binder Data'!$E$2:$E$6251,"Y"))</f>
        <v/>
      </c>
      <c r="E278" s="17" t="str">
        <f>IF(B278="","",SUMIFS('Binder Data'!$F$2:$F$6251,'Binder Data'!$B$2:$B$6251,B278,'Binder Data'!$E$2:$E$6251,"Y"))</f>
        <v/>
      </c>
      <c r="F278" s="80" t="str">
        <f>IF(B278="","",IF(C278=TRUE(),"Searched / no binder",IF(D278=0,"No cards assigned",IF(OR(D278&gt;=Binders!$D$3,E278&gt;=Binders!$E$3),"Pull","Skip: buy elsewhere"))))</f>
        <v/>
      </c>
      <c r="G278" s="80" t="str">
        <f t="shared" si="2"/>
        <v/>
      </c>
      <c r="H278" s="2"/>
      <c r="I278" s="80" t="str">
        <f t="array" ref="I278">IFERROR(INDEX($B$2:$B$401,MATCH(277,$J$2:$J$401,0)),"")</f>
        <v/>
      </c>
      <c r="J278" s="80" t="str">
        <f t="shared" si="3"/>
        <v/>
      </c>
      <c r="L278" s="2"/>
    </row>
    <row r="279" ht="15.75" customHeight="1">
      <c r="A279" s="80" t="str">
        <f t="shared" si="1"/>
        <v/>
      </c>
      <c r="B279" s="2"/>
      <c r="C279" s="13" t="b">
        <v>0</v>
      </c>
      <c r="D279" s="80" t="str">
        <f>IF(B279="","",COUNTIFS('Binder Data'!$B$2:$B$6251,B279,'Binder Data'!$E$2:$E$6251,"Y"))</f>
        <v/>
      </c>
      <c r="E279" s="17" t="str">
        <f>IF(B279="","",SUMIFS('Binder Data'!$F$2:$F$6251,'Binder Data'!$B$2:$B$6251,B279,'Binder Data'!$E$2:$E$6251,"Y"))</f>
        <v/>
      </c>
      <c r="F279" s="80" t="str">
        <f>IF(B279="","",IF(C279=TRUE(),"Searched / no binder",IF(D279=0,"No cards assigned",IF(OR(D279&gt;=Binders!$D$3,E279&gt;=Binders!$E$3),"Pull","Skip: buy elsewhere"))))</f>
        <v/>
      </c>
      <c r="G279" s="80" t="str">
        <f t="shared" si="2"/>
        <v/>
      </c>
      <c r="H279" s="2"/>
      <c r="I279" s="80" t="str">
        <f t="array" ref="I279">IFERROR(INDEX($B$2:$B$401,MATCH(278,$J$2:$J$401,0)),"")</f>
        <v/>
      </c>
      <c r="J279" s="80" t="str">
        <f t="shared" si="3"/>
        <v/>
      </c>
      <c r="L279" s="2"/>
    </row>
    <row r="280" ht="15.75" customHeight="1">
      <c r="A280" s="80" t="str">
        <f t="shared" si="1"/>
        <v/>
      </c>
      <c r="B280" s="2"/>
      <c r="C280" s="13" t="b">
        <v>0</v>
      </c>
      <c r="D280" s="80" t="str">
        <f>IF(B280="","",COUNTIFS('Binder Data'!$B$2:$B$6251,B280,'Binder Data'!$E$2:$E$6251,"Y"))</f>
        <v/>
      </c>
      <c r="E280" s="17" t="str">
        <f>IF(B280="","",SUMIFS('Binder Data'!$F$2:$F$6251,'Binder Data'!$B$2:$B$6251,B280,'Binder Data'!$E$2:$E$6251,"Y"))</f>
        <v/>
      </c>
      <c r="F280" s="80" t="str">
        <f>IF(B280="","",IF(C280=TRUE(),"Searched / no binder",IF(D280=0,"No cards assigned",IF(OR(D280&gt;=Binders!$D$3,E280&gt;=Binders!$E$3),"Pull","Skip: buy elsewhere"))))</f>
        <v/>
      </c>
      <c r="G280" s="80" t="str">
        <f t="shared" si="2"/>
        <v/>
      </c>
      <c r="H280" s="2"/>
      <c r="I280" s="80" t="str">
        <f t="array" ref="I280">IFERROR(INDEX($B$2:$B$401,MATCH(279,$J$2:$J$401,0)),"")</f>
        <v/>
      </c>
      <c r="J280" s="80" t="str">
        <f t="shared" si="3"/>
        <v/>
      </c>
      <c r="L280" s="2"/>
    </row>
    <row r="281" ht="15.75" customHeight="1">
      <c r="A281" s="80" t="str">
        <f t="shared" si="1"/>
        <v/>
      </c>
      <c r="B281" s="2"/>
      <c r="C281" s="13" t="b">
        <v>0</v>
      </c>
      <c r="D281" s="80" t="str">
        <f>IF(B281="","",COUNTIFS('Binder Data'!$B$2:$B$6251,B281,'Binder Data'!$E$2:$E$6251,"Y"))</f>
        <v/>
      </c>
      <c r="E281" s="17" t="str">
        <f>IF(B281="","",SUMIFS('Binder Data'!$F$2:$F$6251,'Binder Data'!$B$2:$B$6251,B281,'Binder Data'!$E$2:$E$6251,"Y"))</f>
        <v/>
      </c>
      <c r="F281" s="80" t="str">
        <f>IF(B281="","",IF(C281=TRUE(),"Searched / no binder",IF(D281=0,"No cards assigned",IF(OR(D281&gt;=Binders!$D$3,E281&gt;=Binders!$E$3),"Pull","Skip: buy elsewhere"))))</f>
        <v/>
      </c>
      <c r="G281" s="80" t="str">
        <f t="shared" si="2"/>
        <v/>
      </c>
      <c r="H281" s="2"/>
      <c r="I281" s="80" t="str">
        <f t="array" ref="I281">IFERROR(INDEX($B$2:$B$401,MATCH(280,$J$2:$J$401,0)),"")</f>
        <v/>
      </c>
      <c r="J281" s="80" t="str">
        <f t="shared" si="3"/>
        <v/>
      </c>
      <c r="L281" s="2"/>
    </row>
    <row r="282" ht="15.75" customHeight="1">
      <c r="A282" s="80" t="str">
        <f t="shared" si="1"/>
        <v/>
      </c>
      <c r="B282" s="2"/>
      <c r="C282" s="13" t="b">
        <v>0</v>
      </c>
      <c r="D282" s="80" t="str">
        <f>IF(B282="","",COUNTIFS('Binder Data'!$B$2:$B$6251,B282,'Binder Data'!$E$2:$E$6251,"Y"))</f>
        <v/>
      </c>
      <c r="E282" s="17" t="str">
        <f>IF(B282="","",SUMIFS('Binder Data'!$F$2:$F$6251,'Binder Data'!$B$2:$B$6251,B282,'Binder Data'!$E$2:$E$6251,"Y"))</f>
        <v/>
      </c>
      <c r="F282" s="80" t="str">
        <f>IF(B282="","",IF(C282=TRUE(),"Searched / no binder",IF(D282=0,"No cards assigned",IF(OR(D282&gt;=Binders!$D$3,E282&gt;=Binders!$E$3),"Pull","Skip: buy elsewhere"))))</f>
        <v/>
      </c>
      <c r="G282" s="80" t="str">
        <f t="shared" si="2"/>
        <v/>
      </c>
      <c r="H282" s="2"/>
      <c r="I282" s="80" t="str">
        <f t="array" ref="I282">IFERROR(INDEX($B$2:$B$401,MATCH(281,$J$2:$J$401,0)),"")</f>
        <v/>
      </c>
      <c r="J282" s="80" t="str">
        <f t="shared" si="3"/>
        <v/>
      </c>
      <c r="L282" s="2"/>
    </row>
    <row r="283" ht="15.75" customHeight="1">
      <c r="A283" s="80" t="str">
        <f t="shared" si="1"/>
        <v/>
      </c>
      <c r="B283" s="2"/>
      <c r="C283" s="13" t="b">
        <v>0</v>
      </c>
      <c r="D283" s="80" t="str">
        <f>IF(B283="","",COUNTIFS('Binder Data'!$B$2:$B$6251,B283,'Binder Data'!$E$2:$E$6251,"Y"))</f>
        <v/>
      </c>
      <c r="E283" s="17" t="str">
        <f>IF(B283="","",SUMIFS('Binder Data'!$F$2:$F$6251,'Binder Data'!$B$2:$B$6251,B283,'Binder Data'!$E$2:$E$6251,"Y"))</f>
        <v/>
      </c>
      <c r="F283" s="80" t="str">
        <f>IF(B283="","",IF(C283=TRUE(),"Searched / no binder",IF(D283=0,"No cards assigned",IF(OR(D283&gt;=Binders!$D$3,E283&gt;=Binders!$E$3),"Pull","Skip: buy elsewhere"))))</f>
        <v/>
      </c>
      <c r="G283" s="80" t="str">
        <f t="shared" si="2"/>
        <v/>
      </c>
      <c r="H283" s="2"/>
      <c r="I283" s="80" t="str">
        <f t="array" ref="I283">IFERROR(INDEX($B$2:$B$401,MATCH(282,$J$2:$J$401,0)),"")</f>
        <v/>
      </c>
      <c r="J283" s="80" t="str">
        <f t="shared" si="3"/>
        <v/>
      </c>
      <c r="L283" s="2"/>
    </row>
    <row r="284" ht="15.75" customHeight="1">
      <c r="A284" s="80" t="str">
        <f t="shared" si="1"/>
        <v/>
      </c>
      <c r="B284" s="2"/>
      <c r="C284" s="13" t="b">
        <v>0</v>
      </c>
      <c r="D284" s="80" t="str">
        <f>IF(B284="","",COUNTIFS('Binder Data'!$B$2:$B$6251,B284,'Binder Data'!$E$2:$E$6251,"Y"))</f>
        <v/>
      </c>
      <c r="E284" s="17" t="str">
        <f>IF(B284="","",SUMIFS('Binder Data'!$F$2:$F$6251,'Binder Data'!$B$2:$B$6251,B284,'Binder Data'!$E$2:$E$6251,"Y"))</f>
        <v/>
      </c>
      <c r="F284" s="80" t="str">
        <f>IF(B284="","",IF(C284=TRUE(),"Searched / no binder",IF(D284=0,"No cards assigned",IF(OR(D284&gt;=Binders!$D$3,E284&gt;=Binders!$E$3),"Pull","Skip: buy elsewhere"))))</f>
        <v/>
      </c>
      <c r="G284" s="80" t="str">
        <f t="shared" si="2"/>
        <v/>
      </c>
      <c r="H284" s="2"/>
      <c r="I284" s="80" t="str">
        <f t="array" ref="I284">IFERROR(INDEX($B$2:$B$401,MATCH(283,$J$2:$J$401,0)),"")</f>
        <v/>
      </c>
      <c r="J284" s="80" t="str">
        <f t="shared" si="3"/>
        <v/>
      </c>
      <c r="L284" s="2"/>
    </row>
    <row r="285" ht="15.75" customHeight="1">
      <c r="A285" s="80" t="str">
        <f t="shared" si="1"/>
        <v/>
      </c>
      <c r="B285" s="2"/>
      <c r="C285" s="13" t="b">
        <v>0</v>
      </c>
      <c r="D285" s="80" t="str">
        <f>IF(B285="","",COUNTIFS('Binder Data'!$B$2:$B$6251,B285,'Binder Data'!$E$2:$E$6251,"Y"))</f>
        <v/>
      </c>
      <c r="E285" s="17" t="str">
        <f>IF(B285="","",SUMIFS('Binder Data'!$F$2:$F$6251,'Binder Data'!$B$2:$B$6251,B285,'Binder Data'!$E$2:$E$6251,"Y"))</f>
        <v/>
      </c>
      <c r="F285" s="80" t="str">
        <f>IF(B285="","",IF(C285=TRUE(),"Searched / no binder",IF(D285=0,"No cards assigned",IF(OR(D285&gt;=Binders!$D$3,E285&gt;=Binders!$E$3),"Pull","Skip: buy elsewhere"))))</f>
        <v/>
      </c>
      <c r="G285" s="80" t="str">
        <f t="shared" si="2"/>
        <v/>
      </c>
      <c r="H285" s="2"/>
      <c r="I285" s="80" t="str">
        <f t="array" ref="I285">IFERROR(INDEX($B$2:$B$401,MATCH(284,$J$2:$J$401,0)),"")</f>
        <v/>
      </c>
      <c r="J285" s="80" t="str">
        <f t="shared" si="3"/>
        <v/>
      </c>
      <c r="L285" s="2"/>
    </row>
    <row r="286" ht="15.75" customHeight="1">
      <c r="A286" s="80" t="str">
        <f t="shared" si="1"/>
        <v/>
      </c>
      <c r="B286" s="2"/>
      <c r="C286" s="13" t="b">
        <v>0</v>
      </c>
      <c r="D286" s="80" t="str">
        <f>IF(B286="","",COUNTIFS('Binder Data'!$B$2:$B$6251,B286,'Binder Data'!$E$2:$E$6251,"Y"))</f>
        <v/>
      </c>
      <c r="E286" s="17" t="str">
        <f>IF(B286="","",SUMIFS('Binder Data'!$F$2:$F$6251,'Binder Data'!$B$2:$B$6251,B286,'Binder Data'!$E$2:$E$6251,"Y"))</f>
        <v/>
      </c>
      <c r="F286" s="80" t="str">
        <f>IF(B286="","",IF(C286=TRUE(),"Searched / no binder",IF(D286=0,"No cards assigned",IF(OR(D286&gt;=Binders!$D$3,E286&gt;=Binders!$E$3),"Pull","Skip: buy elsewhere"))))</f>
        <v/>
      </c>
      <c r="G286" s="80" t="str">
        <f t="shared" si="2"/>
        <v/>
      </c>
      <c r="H286" s="2"/>
      <c r="I286" s="80" t="str">
        <f t="array" ref="I286">IFERROR(INDEX($B$2:$B$401,MATCH(285,$J$2:$J$401,0)),"")</f>
        <v/>
      </c>
      <c r="J286" s="80" t="str">
        <f t="shared" si="3"/>
        <v/>
      </c>
      <c r="L286" s="2"/>
    </row>
    <row r="287" ht="15.75" customHeight="1">
      <c r="A287" s="80" t="str">
        <f t="shared" si="1"/>
        <v/>
      </c>
      <c r="B287" s="2"/>
      <c r="C287" s="13" t="b">
        <v>0</v>
      </c>
      <c r="D287" s="80" t="str">
        <f>IF(B287="","",COUNTIFS('Binder Data'!$B$2:$B$6251,B287,'Binder Data'!$E$2:$E$6251,"Y"))</f>
        <v/>
      </c>
      <c r="E287" s="17" t="str">
        <f>IF(B287="","",SUMIFS('Binder Data'!$F$2:$F$6251,'Binder Data'!$B$2:$B$6251,B287,'Binder Data'!$E$2:$E$6251,"Y"))</f>
        <v/>
      </c>
      <c r="F287" s="80" t="str">
        <f>IF(B287="","",IF(C287=TRUE(),"Searched / no binder",IF(D287=0,"No cards assigned",IF(OR(D287&gt;=Binders!$D$3,E287&gt;=Binders!$E$3),"Pull","Skip: buy elsewhere"))))</f>
        <v/>
      </c>
      <c r="G287" s="80" t="str">
        <f t="shared" si="2"/>
        <v/>
      </c>
      <c r="H287" s="2"/>
      <c r="I287" s="80" t="str">
        <f t="array" ref="I287">IFERROR(INDEX($B$2:$B$401,MATCH(286,$J$2:$J$401,0)),"")</f>
        <v/>
      </c>
      <c r="J287" s="80" t="str">
        <f t="shared" si="3"/>
        <v/>
      </c>
      <c r="L287" s="2"/>
    </row>
    <row r="288" ht="15.75" customHeight="1">
      <c r="A288" s="80" t="str">
        <f t="shared" si="1"/>
        <v/>
      </c>
      <c r="B288" s="2"/>
      <c r="C288" s="13" t="b">
        <v>0</v>
      </c>
      <c r="D288" s="80" t="str">
        <f>IF(B288="","",COUNTIFS('Binder Data'!$B$2:$B$6251,B288,'Binder Data'!$E$2:$E$6251,"Y"))</f>
        <v/>
      </c>
      <c r="E288" s="17" t="str">
        <f>IF(B288="","",SUMIFS('Binder Data'!$F$2:$F$6251,'Binder Data'!$B$2:$B$6251,B288,'Binder Data'!$E$2:$E$6251,"Y"))</f>
        <v/>
      </c>
      <c r="F288" s="80" t="str">
        <f>IF(B288="","",IF(C288=TRUE(),"Searched / no binder",IF(D288=0,"No cards assigned",IF(OR(D288&gt;=Binders!$D$3,E288&gt;=Binders!$E$3),"Pull","Skip: buy elsewhere"))))</f>
        <v/>
      </c>
      <c r="G288" s="80" t="str">
        <f t="shared" si="2"/>
        <v/>
      </c>
      <c r="H288" s="2"/>
      <c r="I288" s="80" t="str">
        <f t="array" ref="I288">IFERROR(INDEX($B$2:$B$401,MATCH(287,$J$2:$J$401,0)),"")</f>
        <v/>
      </c>
      <c r="J288" s="80" t="str">
        <f t="shared" si="3"/>
        <v/>
      </c>
      <c r="L288" s="2"/>
    </row>
    <row r="289" ht="15.75" customHeight="1">
      <c r="A289" s="80" t="str">
        <f t="shared" si="1"/>
        <v/>
      </c>
      <c r="B289" s="2"/>
      <c r="C289" s="13" t="b">
        <v>0</v>
      </c>
      <c r="D289" s="80" t="str">
        <f>IF(B289="","",COUNTIFS('Binder Data'!$B$2:$B$6251,B289,'Binder Data'!$E$2:$E$6251,"Y"))</f>
        <v/>
      </c>
      <c r="E289" s="17" t="str">
        <f>IF(B289="","",SUMIFS('Binder Data'!$F$2:$F$6251,'Binder Data'!$B$2:$B$6251,B289,'Binder Data'!$E$2:$E$6251,"Y"))</f>
        <v/>
      </c>
      <c r="F289" s="80" t="str">
        <f>IF(B289="","",IF(C289=TRUE(),"Searched / no binder",IF(D289=0,"No cards assigned",IF(OR(D289&gt;=Binders!$D$3,E289&gt;=Binders!$E$3),"Pull","Skip: buy elsewhere"))))</f>
        <v/>
      </c>
      <c r="G289" s="80" t="str">
        <f t="shared" si="2"/>
        <v/>
      </c>
      <c r="H289" s="2"/>
      <c r="I289" s="80" t="str">
        <f t="array" ref="I289">IFERROR(INDEX($B$2:$B$401,MATCH(288,$J$2:$J$401,0)),"")</f>
        <v/>
      </c>
      <c r="J289" s="80" t="str">
        <f t="shared" si="3"/>
        <v/>
      </c>
      <c r="L289" s="2"/>
    </row>
    <row r="290" ht="15.75" customHeight="1">
      <c r="A290" s="80" t="str">
        <f t="shared" si="1"/>
        <v/>
      </c>
      <c r="B290" s="2"/>
      <c r="C290" s="13" t="b">
        <v>0</v>
      </c>
      <c r="D290" s="80" t="str">
        <f>IF(B290="","",COUNTIFS('Binder Data'!$B$2:$B$6251,B290,'Binder Data'!$E$2:$E$6251,"Y"))</f>
        <v/>
      </c>
      <c r="E290" s="17" t="str">
        <f>IF(B290="","",SUMIFS('Binder Data'!$F$2:$F$6251,'Binder Data'!$B$2:$B$6251,B290,'Binder Data'!$E$2:$E$6251,"Y"))</f>
        <v/>
      </c>
      <c r="F290" s="80" t="str">
        <f>IF(B290="","",IF(C290=TRUE(),"Searched / no binder",IF(D290=0,"No cards assigned",IF(OR(D290&gt;=Binders!$D$3,E290&gt;=Binders!$E$3),"Pull","Skip: buy elsewhere"))))</f>
        <v/>
      </c>
      <c r="G290" s="80" t="str">
        <f t="shared" si="2"/>
        <v/>
      </c>
      <c r="H290" s="2"/>
      <c r="I290" s="80" t="str">
        <f t="array" ref="I290">IFERROR(INDEX($B$2:$B$401,MATCH(289,$J$2:$J$401,0)),"")</f>
        <v/>
      </c>
      <c r="J290" s="80" t="str">
        <f t="shared" si="3"/>
        <v/>
      </c>
      <c r="L290" s="2"/>
    </row>
    <row r="291" ht="15.75" customHeight="1">
      <c r="A291" s="80" t="str">
        <f t="shared" si="1"/>
        <v/>
      </c>
      <c r="B291" s="2"/>
      <c r="C291" s="13" t="b">
        <v>0</v>
      </c>
      <c r="D291" s="80" t="str">
        <f>IF(B291="","",COUNTIFS('Binder Data'!$B$2:$B$6251,B291,'Binder Data'!$E$2:$E$6251,"Y"))</f>
        <v/>
      </c>
      <c r="E291" s="17" t="str">
        <f>IF(B291="","",SUMIFS('Binder Data'!$F$2:$F$6251,'Binder Data'!$B$2:$B$6251,B291,'Binder Data'!$E$2:$E$6251,"Y"))</f>
        <v/>
      </c>
      <c r="F291" s="80" t="str">
        <f>IF(B291="","",IF(C291=TRUE(),"Searched / no binder",IF(D291=0,"No cards assigned",IF(OR(D291&gt;=Binders!$D$3,E291&gt;=Binders!$E$3),"Pull","Skip: buy elsewhere"))))</f>
        <v/>
      </c>
      <c r="G291" s="80" t="str">
        <f t="shared" si="2"/>
        <v/>
      </c>
      <c r="H291" s="2"/>
      <c r="I291" s="80" t="str">
        <f t="array" ref="I291">IFERROR(INDEX($B$2:$B$401,MATCH(290,$J$2:$J$401,0)),"")</f>
        <v/>
      </c>
      <c r="J291" s="80" t="str">
        <f t="shared" si="3"/>
        <v/>
      </c>
      <c r="L291" s="2"/>
    </row>
    <row r="292" ht="15.75" customHeight="1">
      <c r="A292" s="80" t="str">
        <f t="shared" si="1"/>
        <v/>
      </c>
      <c r="B292" s="2"/>
      <c r="C292" s="13" t="b">
        <v>0</v>
      </c>
      <c r="D292" s="80" t="str">
        <f>IF(B292="","",COUNTIFS('Binder Data'!$B$2:$B$6251,B292,'Binder Data'!$E$2:$E$6251,"Y"))</f>
        <v/>
      </c>
      <c r="E292" s="17" t="str">
        <f>IF(B292="","",SUMIFS('Binder Data'!$F$2:$F$6251,'Binder Data'!$B$2:$B$6251,B292,'Binder Data'!$E$2:$E$6251,"Y"))</f>
        <v/>
      </c>
      <c r="F292" s="80" t="str">
        <f>IF(B292="","",IF(C292=TRUE(),"Searched / no binder",IF(D292=0,"No cards assigned",IF(OR(D292&gt;=Binders!$D$3,E292&gt;=Binders!$E$3),"Pull","Skip: buy elsewhere"))))</f>
        <v/>
      </c>
      <c r="G292" s="80" t="str">
        <f t="shared" si="2"/>
        <v/>
      </c>
      <c r="H292" s="2"/>
      <c r="I292" s="80" t="str">
        <f t="array" ref="I292">IFERROR(INDEX($B$2:$B$401,MATCH(291,$J$2:$J$401,0)),"")</f>
        <v/>
      </c>
      <c r="J292" s="80" t="str">
        <f t="shared" si="3"/>
        <v/>
      </c>
      <c r="L292" s="2"/>
    </row>
    <row r="293" ht="15.75" customHeight="1">
      <c r="A293" s="80" t="str">
        <f t="shared" si="1"/>
        <v/>
      </c>
      <c r="B293" s="2"/>
      <c r="C293" s="13" t="b">
        <v>0</v>
      </c>
      <c r="D293" s="80" t="str">
        <f>IF(B293="","",COUNTIFS('Binder Data'!$B$2:$B$6251,B293,'Binder Data'!$E$2:$E$6251,"Y"))</f>
        <v/>
      </c>
      <c r="E293" s="17" t="str">
        <f>IF(B293="","",SUMIFS('Binder Data'!$F$2:$F$6251,'Binder Data'!$B$2:$B$6251,B293,'Binder Data'!$E$2:$E$6251,"Y"))</f>
        <v/>
      </c>
      <c r="F293" s="80" t="str">
        <f>IF(B293="","",IF(C293=TRUE(),"Searched / no binder",IF(D293=0,"No cards assigned",IF(OR(D293&gt;=Binders!$D$3,E293&gt;=Binders!$E$3),"Pull","Skip: buy elsewhere"))))</f>
        <v/>
      </c>
      <c r="G293" s="80" t="str">
        <f t="shared" si="2"/>
        <v/>
      </c>
      <c r="H293" s="2"/>
      <c r="I293" s="80" t="str">
        <f t="array" ref="I293">IFERROR(INDEX($B$2:$B$401,MATCH(292,$J$2:$J$401,0)),"")</f>
        <v/>
      </c>
      <c r="J293" s="80" t="str">
        <f t="shared" si="3"/>
        <v/>
      </c>
      <c r="L293" s="2"/>
    </row>
    <row r="294" ht="15.75" customHeight="1">
      <c r="A294" s="80" t="str">
        <f t="shared" si="1"/>
        <v/>
      </c>
      <c r="B294" s="2"/>
      <c r="C294" s="13" t="b">
        <v>0</v>
      </c>
      <c r="D294" s="80" t="str">
        <f>IF(B294="","",COUNTIFS('Binder Data'!$B$2:$B$6251,B294,'Binder Data'!$E$2:$E$6251,"Y"))</f>
        <v/>
      </c>
      <c r="E294" s="17" t="str">
        <f>IF(B294="","",SUMIFS('Binder Data'!$F$2:$F$6251,'Binder Data'!$B$2:$B$6251,B294,'Binder Data'!$E$2:$E$6251,"Y"))</f>
        <v/>
      </c>
      <c r="F294" s="80" t="str">
        <f>IF(B294="","",IF(C294=TRUE(),"Searched / no binder",IF(D294=0,"No cards assigned",IF(OR(D294&gt;=Binders!$D$3,E294&gt;=Binders!$E$3),"Pull","Skip: buy elsewhere"))))</f>
        <v/>
      </c>
      <c r="G294" s="80" t="str">
        <f t="shared" si="2"/>
        <v/>
      </c>
      <c r="H294" s="2"/>
      <c r="I294" s="80" t="str">
        <f t="array" ref="I294">IFERROR(INDEX($B$2:$B$401,MATCH(293,$J$2:$J$401,0)),"")</f>
        <v/>
      </c>
      <c r="J294" s="80" t="str">
        <f t="shared" si="3"/>
        <v/>
      </c>
      <c r="L294" s="2"/>
    </row>
    <row r="295" ht="15.75" customHeight="1">
      <c r="A295" s="80" t="str">
        <f t="shared" si="1"/>
        <v/>
      </c>
      <c r="B295" s="2"/>
      <c r="C295" s="13" t="b">
        <v>0</v>
      </c>
      <c r="D295" s="80" t="str">
        <f>IF(B295="","",COUNTIFS('Binder Data'!$B$2:$B$6251,B295,'Binder Data'!$E$2:$E$6251,"Y"))</f>
        <v/>
      </c>
      <c r="E295" s="17" t="str">
        <f>IF(B295="","",SUMIFS('Binder Data'!$F$2:$F$6251,'Binder Data'!$B$2:$B$6251,B295,'Binder Data'!$E$2:$E$6251,"Y"))</f>
        <v/>
      </c>
      <c r="F295" s="80" t="str">
        <f>IF(B295="","",IF(C295=TRUE(),"Searched / no binder",IF(D295=0,"No cards assigned",IF(OR(D295&gt;=Binders!$D$3,E295&gt;=Binders!$E$3),"Pull","Skip: buy elsewhere"))))</f>
        <v/>
      </c>
      <c r="G295" s="80" t="str">
        <f t="shared" si="2"/>
        <v/>
      </c>
      <c r="H295" s="2"/>
      <c r="I295" s="80" t="str">
        <f t="array" ref="I295">IFERROR(INDEX($B$2:$B$401,MATCH(294,$J$2:$J$401,0)),"")</f>
        <v/>
      </c>
      <c r="J295" s="80" t="str">
        <f t="shared" si="3"/>
        <v/>
      </c>
      <c r="L295" s="2"/>
    </row>
    <row r="296" ht="15.75" customHeight="1">
      <c r="A296" s="80" t="str">
        <f t="shared" si="1"/>
        <v/>
      </c>
      <c r="B296" s="2"/>
      <c r="C296" s="13" t="b">
        <v>0</v>
      </c>
      <c r="D296" s="80" t="str">
        <f>IF(B296="","",COUNTIFS('Binder Data'!$B$2:$B$6251,B296,'Binder Data'!$E$2:$E$6251,"Y"))</f>
        <v/>
      </c>
      <c r="E296" s="17" t="str">
        <f>IF(B296="","",SUMIFS('Binder Data'!$F$2:$F$6251,'Binder Data'!$B$2:$B$6251,B296,'Binder Data'!$E$2:$E$6251,"Y"))</f>
        <v/>
      </c>
      <c r="F296" s="80" t="str">
        <f>IF(B296="","",IF(C296=TRUE(),"Searched / no binder",IF(D296=0,"No cards assigned",IF(OR(D296&gt;=Binders!$D$3,E296&gt;=Binders!$E$3),"Pull","Skip: buy elsewhere"))))</f>
        <v/>
      </c>
      <c r="G296" s="80" t="str">
        <f t="shared" si="2"/>
        <v/>
      </c>
      <c r="H296" s="2"/>
      <c r="I296" s="80" t="str">
        <f t="array" ref="I296">IFERROR(INDEX($B$2:$B$401,MATCH(295,$J$2:$J$401,0)),"")</f>
        <v/>
      </c>
      <c r="J296" s="80" t="str">
        <f t="shared" si="3"/>
        <v/>
      </c>
      <c r="L296" s="2"/>
    </row>
    <row r="297" ht="15.75" customHeight="1">
      <c r="A297" s="80" t="str">
        <f t="shared" si="1"/>
        <v/>
      </c>
      <c r="B297" s="2"/>
      <c r="C297" s="13" t="b">
        <v>0</v>
      </c>
      <c r="D297" s="80" t="str">
        <f>IF(B297="","",COUNTIFS('Binder Data'!$B$2:$B$6251,B297,'Binder Data'!$E$2:$E$6251,"Y"))</f>
        <v/>
      </c>
      <c r="E297" s="17" t="str">
        <f>IF(B297="","",SUMIFS('Binder Data'!$F$2:$F$6251,'Binder Data'!$B$2:$B$6251,B297,'Binder Data'!$E$2:$E$6251,"Y"))</f>
        <v/>
      </c>
      <c r="F297" s="80" t="str">
        <f>IF(B297="","",IF(C297=TRUE(),"Searched / no binder",IF(D297=0,"No cards assigned",IF(OR(D297&gt;=Binders!$D$3,E297&gt;=Binders!$E$3),"Pull","Skip: buy elsewhere"))))</f>
        <v/>
      </c>
      <c r="G297" s="80" t="str">
        <f t="shared" si="2"/>
        <v/>
      </c>
      <c r="H297" s="2"/>
      <c r="I297" s="80" t="str">
        <f t="array" ref="I297">IFERROR(INDEX($B$2:$B$401,MATCH(296,$J$2:$J$401,0)),"")</f>
        <v/>
      </c>
      <c r="J297" s="80" t="str">
        <f t="shared" si="3"/>
        <v/>
      </c>
      <c r="L297" s="2"/>
    </row>
    <row r="298" ht="15.75" customHeight="1">
      <c r="A298" s="80" t="str">
        <f t="shared" si="1"/>
        <v/>
      </c>
      <c r="B298" s="2"/>
      <c r="C298" s="13" t="b">
        <v>0</v>
      </c>
      <c r="D298" s="80" t="str">
        <f>IF(B298="","",COUNTIFS('Binder Data'!$B$2:$B$6251,B298,'Binder Data'!$E$2:$E$6251,"Y"))</f>
        <v/>
      </c>
      <c r="E298" s="17" t="str">
        <f>IF(B298="","",SUMIFS('Binder Data'!$F$2:$F$6251,'Binder Data'!$B$2:$B$6251,B298,'Binder Data'!$E$2:$E$6251,"Y"))</f>
        <v/>
      </c>
      <c r="F298" s="80" t="str">
        <f>IF(B298="","",IF(C298=TRUE(),"Searched / no binder",IF(D298=0,"No cards assigned",IF(OR(D298&gt;=Binders!$D$3,E298&gt;=Binders!$E$3),"Pull","Skip: buy elsewhere"))))</f>
        <v/>
      </c>
      <c r="G298" s="80" t="str">
        <f t="shared" si="2"/>
        <v/>
      </c>
      <c r="H298" s="2"/>
      <c r="I298" s="80" t="str">
        <f t="array" ref="I298">IFERROR(INDEX($B$2:$B$401,MATCH(297,$J$2:$J$401,0)),"")</f>
        <v/>
      </c>
      <c r="J298" s="80" t="str">
        <f t="shared" si="3"/>
        <v/>
      </c>
      <c r="L298" s="2"/>
    </row>
    <row r="299" ht="15.75" customHeight="1">
      <c r="A299" s="80" t="str">
        <f t="shared" si="1"/>
        <v/>
      </c>
      <c r="B299" s="2"/>
      <c r="C299" s="13" t="b">
        <v>0</v>
      </c>
      <c r="D299" s="80" t="str">
        <f>IF(B299="","",COUNTIFS('Binder Data'!$B$2:$B$6251,B299,'Binder Data'!$E$2:$E$6251,"Y"))</f>
        <v/>
      </c>
      <c r="E299" s="17" t="str">
        <f>IF(B299="","",SUMIFS('Binder Data'!$F$2:$F$6251,'Binder Data'!$B$2:$B$6251,B299,'Binder Data'!$E$2:$E$6251,"Y"))</f>
        <v/>
      </c>
      <c r="F299" s="80" t="str">
        <f>IF(B299="","",IF(C299=TRUE(),"Searched / no binder",IF(D299=0,"No cards assigned",IF(OR(D299&gt;=Binders!$D$3,E299&gt;=Binders!$E$3),"Pull","Skip: buy elsewhere"))))</f>
        <v/>
      </c>
      <c r="G299" s="80" t="str">
        <f t="shared" si="2"/>
        <v/>
      </c>
      <c r="H299" s="2"/>
      <c r="I299" s="80" t="str">
        <f t="array" ref="I299">IFERROR(INDEX($B$2:$B$401,MATCH(298,$J$2:$J$401,0)),"")</f>
        <v/>
      </c>
      <c r="J299" s="80" t="str">
        <f t="shared" si="3"/>
        <v/>
      </c>
      <c r="L299" s="2"/>
    </row>
    <row r="300" ht="15.75" customHeight="1">
      <c r="A300" s="80" t="str">
        <f t="shared" si="1"/>
        <v/>
      </c>
      <c r="B300" s="2"/>
      <c r="C300" s="13" t="b">
        <v>0</v>
      </c>
      <c r="D300" s="80" t="str">
        <f>IF(B300="","",COUNTIFS('Binder Data'!$B$2:$B$6251,B300,'Binder Data'!$E$2:$E$6251,"Y"))</f>
        <v/>
      </c>
      <c r="E300" s="17" t="str">
        <f>IF(B300="","",SUMIFS('Binder Data'!$F$2:$F$6251,'Binder Data'!$B$2:$B$6251,B300,'Binder Data'!$E$2:$E$6251,"Y"))</f>
        <v/>
      </c>
      <c r="F300" s="80" t="str">
        <f>IF(B300="","",IF(C300=TRUE(),"Searched / no binder",IF(D300=0,"No cards assigned",IF(OR(D300&gt;=Binders!$D$3,E300&gt;=Binders!$E$3),"Pull","Skip: buy elsewhere"))))</f>
        <v/>
      </c>
      <c r="G300" s="80" t="str">
        <f t="shared" si="2"/>
        <v/>
      </c>
      <c r="H300" s="2"/>
      <c r="I300" s="80" t="str">
        <f t="array" ref="I300">IFERROR(INDEX($B$2:$B$401,MATCH(299,$J$2:$J$401,0)),"")</f>
        <v/>
      </c>
      <c r="J300" s="80" t="str">
        <f t="shared" si="3"/>
        <v/>
      </c>
      <c r="L300" s="2"/>
    </row>
    <row r="301" ht="15.75" customHeight="1">
      <c r="A301" s="80" t="str">
        <f t="shared" si="1"/>
        <v/>
      </c>
      <c r="B301" s="2"/>
      <c r="C301" s="13" t="b">
        <v>0</v>
      </c>
      <c r="D301" s="80" t="str">
        <f>IF(B301="","",COUNTIFS('Binder Data'!$B$2:$B$6251,B301,'Binder Data'!$E$2:$E$6251,"Y"))</f>
        <v/>
      </c>
      <c r="E301" s="17" t="str">
        <f>IF(B301="","",SUMIFS('Binder Data'!$F$2:$F$6251,'Binder Data'!$B$2:$B$6251,B301,'Binder Data'!$E$2:$E$6251,"Y"))</f>
        <v/>
      </c>
      <c r="F301" s="80" t="str">
        <f>IF(B301="","",IF(C301=TRUE(),"Searched / no binder",IF(D301=0,"No cards assigned",IF(OR(D301&gt;=Binders!$D$3,E301&gt;=Binders!$E$3),"Pull","Skip: buy elsewhere"))))</f>
        <v/>
      </c>
      <c r="G301" s="80" t="str">
        <f t="shared" si="2"/>
        <v/>
      </c>
      <c r="H301" s="2"/>
      <c r="I301" s="80" t="str">
        <f t="array" ref="I301">IFERROR(INDEX($B$2:$B$401,MATCH(300,$J$2:$J$401,0)),"")</f>
        <v/>
      </c>
      <c r="J301" s="80" t="str">
        <f t="shared" si="3"/>
        <v/>
      </c>
      <c r="L301" s="2"/>
    </row>
    <row r="302" ht="15.75" customHeight="1">
      <c r="A302" s="80" t="str">
        <f t="shared" si="1"/>
        <v/>
      </c>
      <c r="B302" s="2"/>
      <c r="C302" s="13" t="b">
        <v>0</v>
      </c>
      <c r="D302" s="80" t="str">
        <f>IF(B302="","",COUNTIFS('Binder Data'!$B$2:$B$6251,B302,'Binder Data'!$E$2:$E$6251,"Y"))</f>
        <v/>
      </c>
      <c r="E302" s="17" t="str">
        <f>IF(B302="","",SUMIFS('Binder Data'!$F$2:$F$6251,'Binder Data'!$B$2:$B$6251,B302,'Binder Data'!$E$2:$E$6251,"Y"))</f>
        <v/>
      </c>
      <c r="F302" s="80" t="str">
        <f>IF(B302="","",IF(C302=TRUE(),"Searched / no binder",IF(D302=0,"No cards assigned",IF(OR(D302&gt;=Binders!$D$3,E302&gt;=Binders!$E$3),"Pull","Skip: buy elsewhere"))))</f>
        <v/>
      </c>
      <c r="G302" s="80" t="str">
        <f t="shared" si="2"/>
        <v/>
      </c>
      <c r="H302" s="2"/>
      <c r="I302" s="80" t="str">
        <f t="array" ref="I302">IFERROR(INDEX($B$2:$B$401,MATCH(301,$J$2:$J$401,0)),"")</f>
        <v/>
      </c>
      <c r="J302" s="80" t="str">
        <f t="shared" si="3"/>
        <v/>
      </c>
      <c r="L302" s="2"/>
    </row>
    <row r="303" ht="15.75" customHeight="1">
      <c r="A303" s="80" t="str">
        <f t="shared" si="1"/>
        <v/>
      </c>
      <c r="B303" s="2"/>
      <c r="C303" s="13" t="b">
        <v>0</v>
      </c>
      <c r="D303" s="80" t="str">
        <f>IF(B303="","",COUNTIFS('Binder Data'!$B$2:$B$6251,B303,'Binder Data'!$E$2:$E$6251,"Y"))</f>
        <v/>
      </c>
      <c r="E303" s="17" t="str">
        <f>IF(B303="","",SUMIFS('Binder Data'!$F$2:$F$6251,'Binder Data'!$B$2:$B$6251,B303,'Binder Data'!$E$2:$E$6251,"Y"))</f>
        <v/>
      </c>
      <c r="F303" s="80" t="str">
        <f>IF(B303="","",IF(C303=TRUE(),"Searched / no binder",IF(D303=0,"No cards assigned",IF(OR(D303&gt;=Binders!$D$3,E303&gt;=Binders!$E$3),"Pull","Skip: buy elsewhere"))))</f>
        <v/>
      </c>
      <c r="G303" s="80" t="str">
        <f t="shared" si="2"/>
        <v/>
      </c>
      <c r="H303" s="2"/>
      <c r="I303" s="80" t="str">
        <f t="array" ref="I303">IFERROR(INDEX($B$2:$B$401,MATCH(302,$J$2:$J$401,0)),"")</f>
        <v/>
      </c>
      <c r="J303" s="80" t="str">
        <f t="shared" si="3"/>
        <v/>
      </c>
      <c r="L303" s="2"/>
    </row>
    <row r="304" ht="15.75" customHeight="1">
      <c r="A304" s="80" t="str">
        <f t="shared" si="1"/>
        <v/>
      </c>
      <c r="B304" s="2"/>
      <c r="C304" s="13" t="b">
        <v>0</v>
      </c>
      <c r="D304" s="80" t="str">
        <f>IF(B304="","",COUNTIFS('Binder Data'!$B$2:$B$6251,B304,'Binder Data'!$E$2:$E$6251,"Y"))</f>
        <v/>
      </c>
      <c r="E304" s="17" t="str">
        <f>IF(B304="","",SUMIFS('Binder Data'!$F$2:$F$6251,'Binder Data'!$B$2:$B$6251,B304,'Binder Data'!$E$2:$E$6251,"Y"))</f>
        <v/>
      </c>
      <c r="F304" s="80" t="str">
        <f>IF(B304="","",IF(C304=TRUE(),"Searched / no binder",IF(D304=0,"No cards assigned",IF(OR(D304&gt;=Binders!$D$3,E304&gt;=Binders!$E$3),"Pull","Skip: buy elsewhere"))))</f>
        <v/>
      </c>
      <c r="G304" s="80" t="str">
        <f t="shared" si="2"/>
        <v/>
      </c>
      <c r="H304" s="2"/>
      <c r="I304" s="80" t="str">
        <f t="array" ref="I304">IFERROR(INDEX($B$2:$B$401,MATCH(303,$J$2:$J$401,0)),"")</f>
        <v/>
      </c>
      <c r="J304" s="80" t="str">
        <f t="shared" si="3"/>
        <v/>
      </c>
      <c r="L304" s="2"/>
    </row>
    <row r="305" ht="15.75" customHeight="1">
      <c r="A305" s="80" t="str">
        <f t="shared" si="1"/>
        <v/>
      </c>
      <c r="B305" s="2"/>
      <c r="C305" s="13" t="b">
        <v>0</v>
      </c>
      <c r="D305" s="80" t="str">
        <f>IF(B305="","",COUNTIFS('Binder Data'!$B$2:$B$6251,B305,'Binder Data'!$E$2:$E$6251,"Y"))</f>
        <v/>
      </c>
      <c r="E305" s="17" t="str">
        <f>IF(B305="","",SUMIFS('Binder Data'!$F$2:$F$6251,'Binder Data'!$B$2:$B$6251,B305,'Binder Data'!$E$2:$E$6251,"Y"))</f>
        <v/>
      </c>
      <c r="F305" s="80" t="str">
        <f>IF(B305="","",IF(C305=TRUE(),"Searched / no binder",IF(D305=0,"No cards assigned",IF(OR(D305&gt;=Binders!$D$3,E305&gt;=Binders!$E$3),"Pull","Skip: buy elsewhere"))))</f>
        <v/>
      </c>
      <c r="G305" s="80" t="str">
        <f t="shared" si="2"/>
        <v/>
      </c>
      <c r="H305" s="2"/>
      <c r="I305" s="80" t="str">
        <f t="array" ref="I305">IFERROR(INDEX($B$2:$B$401,MATCH(304,$J$2:$J$401,0)),"")</f>
        <v/>
      </c>
      <c r="J305" s="80" t="str">
        <f t="shared" si="3"/>
        <v/>
      </c>
      <c r="L305" s="2"/>
    </row>
    <row r="306" ht="15.75" customHeight="1">
      <c r="A306" s="80" t="str">
        <f t="shared" si="1"/>
        <v/>
      </c>
      <c r="B306" s="2"/>
      <c r="C306" s="13" t="b">
        <v>0</v>
      </c>
      <c r="D306" s="80" t="str">
        <f>IF(B306="","",COUNTIFS('Binder Data'!$B$2:$B$6251,B306,'Binder Data'!$E$2:$E$6251,"Y"))</f>
        <v/>
      </c>
      <c r="E306" s="17" t="str">
        <f>IF(B306="","",SUMIFS('Binder Data'!$F$2:$F$6251,'Binder Data'!$B$2:$B$6251,B306,'Binder Data'!$E$2:$E$6251,"Y"))</f>
        <v/>
      </c>
      <c r="F306" s="80" t="str">
        <f>IF(B306="","",IF(C306=TRUE(),"Searched / no binder",IF(D306=0,"No cards assigned",IF(OR(D306&gt;=Binders!$D$3,E306&gt;=Binders!$E$3),"Pull","Skip: buy elsewhere"))))</f>
        <v/>
      </c>
      <c r="G306" s="80" t="str">
        <f t="shared" si="2"/>
        <v/>
      </c>
      <c r="H306" s="2"/>
      <c r="I306" s="80" t="str">
        <f t="array" ref="I306">IFERROR(INDEX($B$2:$B$401,MATCH(305,$J$2:$J$401,0)),"")</f>
        <v/>
      </c>
      <c r="J306" s="80" t="str">
        <f t="shared" si="3"/>
        <v/>
      </c>
      <c r="L306" s="2"/>
    </row>
    <row r="307" ht="15.75" customHeight="1">
      <c r="A307" s="80" t="str">
        <f t="shared" si="1"/>
        <v/>
      </c>
      <c r="B307" s="2"/>
      <c r="C307" s="13" t="b">
        <v>0</v>
      </c>
      <c r="D307" s="80" t="str">
        <f>IF(B307="","",COUNTIFS('Binder Data'!$B$2:$B$6251,B307,'Binder Data'!$E$2:$E$6251,"Y"))</f>
        <v/>
      </c>
      <c r="E307" s="17" t="str">
        <f>IF(B307="","",SUMIFS('Binder Data'!$F$2:$F$6251,'Binder Data'!$B$2:$B$6251,B307,'Binder Data'!$E$2:$E$6251,"Y"))</f>
        <v/>
      </c>
      <c r="F307" s="80" t="str">
        <f>IF(B307="","",IF(C307=TRUE(),"Searched / no binder",IF(D307=0,"No cards assigned",IF(OR(D307&gt;=Binders!$D$3,E307&gt;=Binders!$E$3),"Pull","Skip: buy elsewhere"))))</f>
        <v/>
      </c>
      <c r="G307" s="80" t="str">
        <f t="shared" si="2"/>
        <v/>
      </c>
      <c r="H307" s="2"/>
      <c r="I307" s="80" t="str">
        <f t="array" ref="I307">IFERROR(INDEX($B$2:$B$401,MATCH(306,$J$2:$J$401,0)),"")</f>
        <v/>
      </c>
      <c r="J307" s="80" t="str">
        <f t="shared" si="3"/>
        <v/>
      </c>
      <c r="L307" s="2"/>
    </row>
    <row r="308" ht="15.75" customHeight="1">
      <c r="A308" s="80" t="str">
        <f t="shared" si="1"/>
        <v/>
      </c>
      <c r="B308" s="2"/>
      <c r="C308" s="13" t="b">
        <v>0</v>
      </c>
      <c r="D308" s="80" t="str">
        <f>IF(B308="","",COUNTIFS('Binder Data'!$B$2:$B$6251,B308,'Binder Data'!$E$2:$E$6251,"Y"))</f>
        <v/>
      </c>
      <c r="E308" s="17" t="str">
        <f>IF(B308="","",SUMIFS('Binder Data'!$F$2:$F$6251,'Binder Data'!$B$2:$B$6251,B308,'Binder Data'!$E$2:$E$6251,"Y"))</f>
        <v/>
      </c>
      <c r="F308" s="80" t="str">
        <f>IF(B308="","",IF(C308=TRUE(),"Searched / no binder",IF(D308=0,"No cards assigned",IF(OR(D308&gt;=Binders!$D$3,E308&gt;=Binders!$E$3),"Pull","Skip: buy elsewhere"))))</f>
        <v/>
      </c>
      <c r="G308" s="80" t="str">
        <f t="shared" si="2"/>
        <v/>
      </c>
      <c r="H308" s="2"/>
      <c r="I308" s="80" t="str">
        <f t="array" ref="I308">IFERROR(INDEX($B$2:$B$401,MATCH(307,$J$2:$J$401,0)),"")</f>
        <v/>
      </c>
      <c r="J308" s="80" t="str">
        <f t="shared" si="3"/>
        <v/>
      </c>
      <c r="L308" s="2"/>
    </row>
    <row r="309" ht="15.75" customHeight="1">
      <c r="A309" s="80" t="str">
        <f t="shared" si="1"/>
        <v/>
      </c>
      <c r="B309" s="2"/>
      <c r="C309" s="13" t="b">
        <v>0</v>
      </c>
      <c r="D309" s="80" t="str">
        <f>IF(B309="","",COUNTIFS('Binder Data'!$B$2:$B$6251,B309,'Binder Data'!$E$2:$E$6251,"Y"))</f>
        <v/>
      </c>
      <c r="E309" s="17" t="str">
        <f>IF(B309="","",SUMIFS('Binder Data'!$F$2:$F$6251,'Binder Data'!$B$2:$B$6251,B309,'Binder Data'!$E$2:$E$6251,"Y"))</f>
        <v/>
      </c>
      <c r="F309" s="80" t="str">
        <f>IF(B309="","",IF(C309=TRUE(),"Searched / no binder",IF(D309=0,"No cards assigned",IF(OR(D309&gt;=Binders!$D$3,E309&gt;=Binders!$E$3),"Pull","Skip: buy elsewhere"))))</f>
        <v/>
      </c>
      <c r="G309" s="80" t="str">
        <f t="shared" si="2"/>
        <v/>
      </c>
      <c r="H309" s="2"/>
      <c r="I309" s="80" t="str">
        <f t="array" ref="I309">IFERROR(INDEX($B$2:$B$401,MATCH(308,$J$2:$J$401,0)),"")</f>
        <v/>
      </c>
      <c r="J309" s="80" t="str">
        <f t="shared" si="3"/>
        <v/>
      </c>
      <c r="L309" s="2"/>
    </row>
    <row r="310" ht="15.75" customHeight="1">
      <c r="A310" s="80" t="str">
        <f t="shared" si="1"/>
        <v/>
      </c>
      <c r="B310" s="2"/>
      <c r="C310" s="13" t="b">
        <v>0</v>
      </c>
      <c r="D310" s="80" t="str">
        <f>IF(B310="","",COUNTIFS('Binder Data'!$B$2:$B$6251,B310,'Binder Data'!$E$2:$E$6251,"Y"))</f>
        <v/>
      </c>
      <c r="E310" s="17" t="str">
        <f>IF(B310="","",SUMIFS('Binder Data'!$F$2:$F$6251,'Binder Data'!$B$2:$B$6251,B310,'Binder Data'!$E$2:$E$6251,"Y"))</f>
        <v/>
      </c>
      <c r="F310" s="80" t="str">
        <f>IF(B310="","",IF(C310=TRUE(),"Searched / no binder",IF(D310=0,"No cards assigned",IF(OR(D310&gt;=Binders!$D$3,E310&gt;=Binders!$E$3),"Pull","Skip: buy elsewhere"))))</f>
        <v/>
      </c>
      <c r="G310" s="80" t="str">
        <f t="shared" si="2"/>
        <v/>
      </c>
      <c r="H310" s="2"/>
      <c r="I310" s="80" t="str">
        <f t="array" ref="I310">IFERROR(INDEX($B$2:$B$401,MATCH(309,$J$2:$J$401,0)),"")</f>
        <v/>
      </c>
      <c r="J310" s="80" t="str">
        <f t="shared" si="3"/>
        <v/>
      </c>
      <c r="L310" s="2"/>
    </row>
    <row r="311" ht="15.75" customHeight="1">
      <c r="A311" s="80" t="str">
        <f t="shared" si="1"/>
        <v/>
      </c>
      <c r="B311" s="2"/>
      <c r="C311" s="13" t="b">
        <v>0</v>
      </c>
      <c r="D311" s="80" t="str">
        <f>IF(B311="","",COUNTIFS('Binder Data'!$B$2:$B$6251,B311,'Binder Data'!$E$2:$E$6251,"Y"))</f>
        <v/>
      </c>
      <c r="E311" s="17" t="str">
        <f>IF(B311="","",SUMIFS('Binder Data'!$F$2:$F$6251,'Binder Data'!$B$2:$B$6251,B311,'Binder Data'!$E$2:$E$6251,"Y"))</f>
        <v/>
      </c>
      <c r="F311" s="80" t="str">
        <f>IF(B311="","",IF(C311=TRUE(),"Searched / no binder",IF(D311=0,"No cards assigned",IF(OR(D311&gt;=Binders!$D$3,E311&gt;=Binders!$E$3),"Pull","Skip: buy elsewhere"))))</f>
        <v/>
      </c>
      <c r="G311" s="80" t="str">
        <f t="shared" si="2"/>
        <v/>
      </c>
      <c r="H311" s="2"/>
      <c r="I311" s="80" t="str">
        <f t="array" ref="I311">IFERROR(INDEX($B$2:$B$401,MATCH(310,$J$2:$J$401,0)),"")</f>
        <v/>
      </c>
      <c r="J311" s="80" t="str">
        <f t="shared" si="3"/>
        <v/>
      </c>
      <c r="L311" s="2"/>
    </row>
    <row r="312" ht="15.75" customHeight="1">
      <c r="A312" s="80" t="str">
        <f t="shared" si="1"/>
        <v/>
      </c>
      <c r="B312" s="2"/>
      <c r="C312" s="13" t="b">
        <v>0</v>
      </c>
      <c r="D312" s="80" t="str">
        <f>IF(B312="","",COUNTIFS('Binder Data'!$B$2:$B$6251,B312,'Binder Data'!$E$2:$E$6251,"Y"))</f>
        <v/>
      </c>
      <c r="E312" s="17" t="str">
        <f>IF(B312="","",SUMIFS('Binder Data'!$F$2:$F$6251,'Binder Data'!$B$2:$B$6251,B312,'Binder Data'!$E$2:$E$6251,"Y"))</f>
        <v/>
      </c>
      <c r="F312" s="80" t="str">
        <f>IF(B312="","",IF(C312=TRUE(),"Searched / no binder",IF(D312=0,"No cards assigned",IF(OR(D312&gt;=Binders!$D$3,E312&gt;=Binders!$E$3),"Pull","Skip: buy elsewhere"))))</f>
        <v/>
      </c>
      <c r="G312" s="80" t="str">
        <f t="shared" si="2"/>
        <v/>
      </c>
      <c r="H312" s="2"/>
      <c r="I312" s="80" t="str">
        <f t="array" ref="I312">IFERROR(INDEX($B$2:$B$401,MATCH(311,$J$2:$J$401,0)),"")</f>
        <v/>
      </c>
      <c r="J312" s="80" t="str">
        <f t="shared" si="3"/>
        <v/>
      </c>
      <c r="L312" s="2"/>
    </row>
    <row r="313" ht="15.75" customHeight="1">
      <c r="A313" s="80" t="str">
        <f t="shared" si="1"/>
        <v/>
      </c>
      <c r="B313" s="2"/>
      <c r="C313" s="13" t="b">
        <v>0</v>
      </c>
      <c r="D313" s="80" t="str">
        <f>IF(B313="","",COUNTIFS('Binder Data'!$B$2:$B$6251,B313,'Binder Data'!$E$2:$E$6251,"Y"))</f>
        <v/>
      </c>
      <c r="E313" s="17" t="str">
        <f>IF(B313="","",SUMIFS('Binder Data'!$F$2:$F$6251,'Binder Data'!$B$2:$B$6251,B313,'Binder Data'!$E$2:$E$6251,"Y"))</f>
        <v/>
      </c>
      <c r="F313" s="80" t="str">
        <f>IF(B313="","",IF(C313=TRUE(),"Searched / no binder",IF(D313=0,"No cards assigned",IF(OR(D313&gt;=Binders!$D$3,E313&gt;=Binders!$E$3),"Pull","Skip: buy elsewhere"))))</f>
        <v/>
      </c>
      <c r="G313" s="80" t="str">
        <f t="shared" si="2"/>
        <v/>
      </c>
      <c r="H313" s="2"/>
      <c r="I313" s="80" t="str">
        <f t="array" ref="I313">IFERROR(INDEX($B$2:$B$401,MATCH(312,$J$2:$J$401,0)),"")</f>
        <v/>
      </c>
      <c r="J313" s="80" t="str">
        <f t="shared" si="3"/>
        <v/>
      </c>
      <c r="L313" s="2"/>
    </row>
    <row r="314" ht="15.75" customHeight="1">
      <c r="A314" s="80" t="str">
        <f t="shared" si="1"/>
        <v/>
      </c>
      <c r="B314" s="2"/>
      <c r="C314" s="13" t="b">
        <v>0</v>
      </c>
      <c r="D314" s="80" t="str">
        <f>IF(B314="","",COUNTIFS('Binder Data'!$B$2:$B$6251,B314,'Binder Data'!$E$2:$E$6251,"Y"))</f>
        <v/>
      </c>
      <c r="E314" s="17" t="str">
        <f>IF(B314="","",SUMIFS('Binder Data'!$F$2:$F$6251,'Binder Data'!$B$2:$B$6251,B314,'Binder Data'!$E$2:$E$6251,"Y"))</f>
        <v/>
      </c>
      <c r="F314" s="80" t="str">
        <f>IF(B314="","",IF(C314=TRUE(),"Searched / no binder",IF(D314=0,"No cards assigned",IF(OR(D314&gt;=Binders!$D$3,E314&gt;=Binders!$E$3),"Pull","Skip: buy elsewhere"))))</f>
        <v/>
      </c>
      <c r="G314" s="80" t="str">
        <f t="shared" si="2"/>
        <v/>
      </c>
      <c r="H314" s="2"/>
      <c r="I314" s="80" t="str">
        <f t="array" ref="I314">IFERROR(INDEX($B$2:$B$401,MATCH(313,$J$2:$J$401,0)),"")</f>
        <v/>
      </c>
      <c r="J314" s="80" t="str">
        <f t="shared" si="3"/>
        <v/>
      </c>
      <c r="L314" s="2"/>
    </row>
    <row r="315" ht="15.75" customHeight="1">
      <c r="A315" s="80" t="str">
        <f t="shared" si="1"/>
        <v/>
      </c>
      <c r="B315" s="2"/>
      <c r="C315" s="13" t="b">
        <v>0</v>
      </c>
      <c r="D315" s="80" t="str">
        <f>IF(B315="","",COUNTIFS('Binder Data'!$B$2:$B$6251,B315,'Binder Data'!$E$2:$E$6251,"Y"))</f>
        <v/>
      </c>
      <c r="E315" s="17" t="str">
        <f>IF(B315="","",SUMIFS('Binder Data'!$F$2:$F$6251,'Binder Data'!$B$2:$B$6251,B315,'Binder Data'!$E$2:$E$6251,"Y"))</f>
        <v/>
      </c>
      <c r="F315" s="80" t="str">
        <f>IF(B315="","",IF(C315=TRUE(),"Searched / no binder",IF(D315=0,"No cards assigned",IF(OR(D315&gt;=Binders!$D$3,E315&gt;=Binders!$E$3),"Pull","Skip: buy elsewhere"))))</f>
        <v/>
      </c>
      <c r="G315" s="80" t="str">
        <f t="shared" si="2"/>
        <v/>
      </c>
      <c r="H315" s="2"/>
      <c r="I315" s="80" t="str">
        <f t="array" ref="I315">IFERROR(INDEX($B$2:$B$401,MATCH(314,$J$2:$J$401,0)),"")</f>
        <v/>
      </c>
      <c r="J315" s="80" t="str">
        <f t="shared" si="3"/>
        <v/>
      </c>
      <c r="L315" s="2"/>
    </row>
    <row r="316" ht="15.75" customHeight="1">
      <c r="A316" s="80" t="str">
        <f t="shared" si="1"/>
        <v/>
      </c>
      <c r="B316" s="2"/>
      <c r="C316" s="13" t="b">
        <v>0</v>
      </c>
      <c r="D316" s="80" t="str">
        <f>IF(B316="","",COUNTIFS('Binder Data'!$B$2:$B$6251,B316,'Binder Data'!$E$2:$E$6251,"Y"))</f>
        <v/>
      </c>
      <c r="E316" s="17" t="str">
        <f>IF(B316="","",SUMIFS('Binder Data'!$F$2:$F$6251,'Binder Data'!$B$2:$B$6251,B316,'Binder Data'!$E$2:$E$6251,"Y"))</f>
        <v/>
      </c>
      <c r="F316" s="80" t="str">
        <f>IF(B316="","",IF(C316=TRUE(),"Searched / no binder",IF(D316=0,"No cards assigned",IF(OR(D316&gt;=Binders!$D$3,E316&gt;=Binders!$E$3),"Pull","Skip: buy elsewhere"))))</f>
        <v/>
      </c>
      <c r="G316" s="80" t="str">
        <f t="shared" si="2"/>
        <v/>
      </c>
      <c r="H316" s="2"/>
      <c r="I316" s="80" t="str">
        <f t="array" ref="I316">IFERROR(INDEX($B$2:$B$401,MATCH(315,$J$2:$J$401,0)),"")</f>
        <v/>
      </c>
      <c r="J316" s="80" t="str">
        <f t="shared" si="3"/>
        <v/>
      </c>
      <c r="L316" s="2"/>
    </row>
    <row r="317" ht="15.75" customHeight="1">
      <c r="A317" s="80" t="str">
        <f t="shared" si="1"/>
        <v/>
      </c>
      <c r="B317" s="2"/>
      <c r="C317" s="13" t="b">
        <v>0</v>
      </c>
      <c r="D317" s="80" t="str">
        <f>IF(B317="","",COUNTIFS('Binder Data'!$B$2:$B$6251,B317,'Binder Data'!$E$2:$E$6251,"Y"))</f>
        <v/>
      </c>
      <c r="E317" s="17" t="str">
        <f>IF(B317="","",SUMIFS('Binder Data'!$F$2:$F$6251,'Binder Data'!$B$2:$B$6251,B317,'Binder Data'!$E$2:$E$6251,"Y"))</f>
        <v/>
      </c>
      <c r="F317" s="80" t="str">
        <f>IF(B317="","",IF(C317=TRUE(),"Searched / no binder",IF(D317=0,"No cards assigned",IF(OR(D317&gt;=Binders!$D$3,E317&gt;=Binders!$E$3),"Pull","Skip: buy elsewhere"))))</f>
        <v/>
      </c>
      <c r="G317" s="80" t="str">
        <f t="shared" si="2"/>
        <v/>
      </c>
      <c r="H317" s="2"/>
      <c r="I317" s="80" t="str">
        <f t="array" ref="I317">IFERROR(INDEX($B$2:$B$401,MATCH(316,$J$2:$J$401,0)),"")</f>
        <v/>
      </c>
      <c r="J317" s="80" t="str">
        <f t="shared" si="3"/>
        <v/>
      </c>
      <c r="L317" s="2"/>
    </row>
    <row r="318" ht="15.75" customHeight="1">
      <c r="A318" s="80" t="str">
        <f t="shared" si="1"/>
        <v/>
      </c>
      <c r="B318" s="2"/>
      <c r="C318" s="13" t="b">
        <v>0</v>
      </c>
      <c r="D318" s="80" t="str">
        <f>IF(B318="","",COUNTIFS('Binder Data'!$B$2:$B$6251,B318,'Binder Data'!$E$2:$E$6251,"Y"))</f>
        <v/>
      </c>
      <c r="E318" s="17" t="str">
        <f>IF(B318="","",SUMIFS('Binder Data'!$F$2:$F$6251,'Binder Data'!$B$2:$B$6251,B318,'Binder Data'!$E$2:$E$6251,"Y"))</f>
        <v/>
      </c>
      <c r="F318" s="80" t="str">
        <f>IF(B318="","",IF(C318=TRUE(),"Searched / no binder",IF(D318=0,"No cards assigned",IF(OR(D318&gt;=Binders!$D$3,E318&gt;=Binders!$E$3),"Pull","Skip: buy elsewhere"))))</f>
        <v/>
      </c>
      <c r="G318" s="80" t="str">
        <f t="shared" si="2"/>
        <v/>
      </c>
      <c r="H318" s="2"/>
      <c r="I318" s="80" t="str">
        <f t="array" ref="I318">IFERROR(INDEX($B$2:$B$401,MATCH(317,$J$2:$J$401,0)),"")</f>
        <v/>
      </c>
      <c r="J318" s="80" t="str">
        <f t="shared" si="3"/>
        <v/>
      </c>
      <c r="L318" s="2"/>
    </row>
    <row r="319" ht="15.75" customHeight="1">
      <c r="A319" s="80" t="str">
        <f t="shared" si="1"/>
        <v/>
      </c>
      <c r="B319" s="2"/>
      <c r="C319" s="13" t="b">
        <v>0</v>
      </c>
      <c r="D319" s="80" t="str">
        <f>IF(B319="","",COUNTIFS('Binder Data'!$B$2:$B$6251,B319,'Binder Data'!$E$2:$E$6251,"Y"))</f>
        <v/>
      </c>
      <c r="E319" s="17" t="str">
        <f>IF(B319="","",SUMIFS('Binder Data'!$F$2:$F$6251,'Binder Data'!$B$2:$B$6251,B319,'Binder Data'!$E$2:$E$6251,"Y"))</f>
        <v/>
      </c>
      <c r="F319" s="80" t="str">
        <f>IF(B319="","",IF(C319=TRUE(),"Searched / no binder",IF(D319=0,"No cards assigned",IF(OR(D319&gt;=Binders!$D$3,E319&gt;=Binders!$E$3),"Pull","Skip: buy elsewhere"))))</f>
        <v/>
      </c>
      <c r="G319" s="80" t="str">
        <f t="shared" si="2"/>
        <v/>
      </c>
      <c r="H319" s="2"/>
      <c r="I319" s="80" t="str">
        <f t="array" ref="I319">IFERROR(INDEX($B$2:$B$401,MATCH(318,$J$2:$J$401,0)),"")</f>
        <v/>
      </c>
      <c r="J319" s="80" t="str">
        <f t="shared" si="3"/>
        <v/>
      </c>
      <c r="L319" s="2"/>
    </row>
    <row r="320" ht="15.75" customHeight="1">
      <c r="A320" s="80" t="str">
        <f t="shared" si="1"/>
        <v/>
      </c>
      <c r="B320" s="2"/>
      <c r="C320" s="13" t="b">
        <v>0</v>
      </c>
      <c r="D320" s="80" t="str">
        <f>IF(B320="","",COUNTIFS('Binder Data'!$B$2:$B$6251,B320,'Binder Data'!$E$2:$E$6251,"Y"))</f>
        <v/>
      </c>
      <c r="E320" s="17" t="str">
        <f>IF(B320="","",SUMIFS('Binder Data'!$F$2:$F$6251,'Binder Data'!$B$2:$B$6251,B320,'Binder Data'!$E$2:$E$6251,"Y"))</f>
        <v/>
      </c>
      <c r="F320" s="80" t="str">
        <f>IF(B320="","",IF(C320=TRUE(),"Searched / no binder",IF(D320=0,"No cards assigned",IF(OR(D320&gt;=Binders!$D$3,E320&gt;=Binders!$E$3),"Pull","Skip: buy elsewhere"))))</f>
        <v/>
      </c>
      <c r="G320" s="80" t="str">
        <f t="shared" si="2"/>
        <v/>
      </c>
      <c r="H320" s="2"/>
      <c r="I320" s="80" t="str">
        <f t="array" ref="I320">IFERROR(INDEX($B$2:$B$401,MATCH(319,$J$2:$J$401,0)),"")</f>
        <v/>
      </c>
      <c r="J320" s="80" t="str">
        <f t="shared" si="3"/>
        <v/>
      </c>
      <c r="L320" s="2"/>
    </row>
    <row r="321" ht="15.75" customHeight="1">
      <c r="A321" s="80" t="str">
        <f t="shared" si="1"/>
        <v/>
      </c>
      <c r="B321" s="2"/>
      <c r="C321" s="13" t="b">
        <v>0</v>
      </c>
      <c r="D321" s="80" t="str">
        <f>IF(B321="","",COUNTIFS('Binder Data'!$B$2:$B$6251,B321,'Binder Data'!$E$2:$E$6251,"Y"))</f>
        <v/>
      </c>
      <c r="E321" s="17" t="str">
        <f>IF(B321="","",SUMIFS('Binder Data'!$F$2:$F$6251,'Binder Data'!$B$2:$B$6251,B321,'Binder Data'!$E$2:$E$6251,"Y"))</f>
        <v/>
      </c>
      <c r="F321" s="80" t="str">
        <f>IF(B321="","",IF(C321=TRUE(),"Searched / no binder",IF(D321=0,"No cards assigned",IF(OR(D321&gt;=Binders!$D$3,E321&gt;=Binders!$E$3),"Pull","Skip: buy elsewhere"))))</f>
        <v/>
      </c>
      <c r="G321" s="80" t="str">
        <f t="shared" si="2"/>
        <v/>
      </c>
      <c r="H321" s="2"/>
      <c r="I321" s="80" t="str">
        <f t="array" ref="I321">IFERROR(INDEX($B$2:$B$401,MATCH(320,$J$2:$J$401,0)),"")</f>
        <v/>
      </c>
      <c r="J321" s="80" t="str">
        <f t="shared" si="3"/>
        <v/>
      </c>
      <c r="L321" s="2"/>
    </row>
    <row r="322" ht="15.75" customHeight="1">
      <c r="A322" s="80" t="str">
        <f t="shared" si="1"/>
        <v/>
      </c>
      <c r="B322" s="2"/>
      <c r="C322" s="13" t="b">
        <v>0</v>
      </c>
      <c r="D322" s="80" t="str">
        <f>IF(B322="","",COUNTIFS('Binder Data'!$B$2:$B$6251,B322,'Binder Data'!$E$2:$E$6251,"Y"))</f>
        <v/>
      </c>
      <c r="E322" s="17" t="str">
        <f>IF(B322="","",SUMIFS('Binder Data'!$F$2:$F$6251,'Binder Data'!$B$2:$B$6251,B322,'Binder Data'!$E$2:$E$6251,"Y"))</f>
        <v/>
      </c>
      <c r="F322" s="80" t="str">
        <f>IF(B322="","",IF(C322=TRUE(),"Searched / no binder",IF(D322=0,"No cards assigned",IF(OR(D322&gt;=Binders!$D$3,E322&gt;=Binders!$E$3),"Pull","Skip: buy elsewhere"))))</f>
        <v/>
      </c>
      <c r="G322" s="80" t="str">
        <f t="shared" si="2"/>
        <v/>
      </c>
      <c r="H322" s="2"/>
      <c r="I322" s="80" t="str">
        <f t="array" ref="I322">IFERROR(INDEX($B$2:$B$401,MATCH(321,$J$2:$J$401,0)),"")</f>
        <v/>
      </c>
      <c r="J322" s="80" t="str">
        <f t="shared" si="3"/>
        <v/>
      </c>
      <c r="L322" s="2"/>
    </row>
    <row r="323" ht="15.75" customHeight="1">
      <c r="A323" s="80" t="str">
        <f t="shared" si="1"/>
        <v/>
      </c>
      <c r="B323" s="2"/>
      <c r="C323" s="13" t="b">
        <v>0</v>
      </c>
      <c r="D323" s="80" t="str">
        <f>IF(B323="","",COUNTIFS('Binder Data'!$B$2:$B$6251,B323,'Binder Data'!$E$2:$E$6251,"Y"))</f>
        <v/>
      </c>
      <c r="E323" s="17" t="str">
        <f>IF(B323="","",SUMIFS('Binder Data'!$F$2:$F$6251,'Binder Data'!$B$2:$B$6251,B323,'Binder Data'!$E$2:$E$6251,"Y"))</f>
        <v/>
      </c>
      <c r="F323" s="80" t="str">
        <f>IF(B323="","",IF(C323=TRUE(),"Searched / no binder",IF(D323=0,"No cards assigned",IF(OR(D323&gt;=Binders!$D$3,E323&gt;=Binders!$E$3),"Pull","Skip: buy elsewhere"))))</f>
        <v/>
      </c>
      <c r="G323" s="80" t="str">
        <f t="shared" si="2"/>
        <v/>
      </c>
      <c r="H323" s="2"/>
      <c r="I323" s="80" t="str">
        <f t="array" ref="I323">IFERROR(INDEX($B$2:$B$401,MATCH(322,$J$2:$J$401,0)),"")</f>
        <v/>
      </c>
      <c r="J323" s="80" t="str">
        <f t="shared" si="3"/>
        <v/>
      </c>
      <c r="L323" s="2"/>
    </row>
    <row r="324" ht="15.75" customHeight="1">
      <c r="A324" s="80" t="str">
        <f t="shared" si="1"/>
        <v/>
      </c>
      <c r="B324" s="2"/>
      <c r="C324" s="13" t="b">
        <v>0</v>
      </c>
      <c r="D324" s="80" t="str">
        <f>IF(B324="","",COUNTIFS('Binder Data'!$B$2:$B$6251,B324,'Binder Data'!$E$2:$E$6251,"Y"))</f>
        <v/>
      </c>
      <c r="E324" s="17" t="str">
        <f>IF(B324="","",SUMIFS('Binder Data'!$F$2:$F$6251,'Binder Data'!$B$2:$B$6251,B324,'Binder Data'!$E$2:$E$6251,"Y"))</f>
        <v/>
      </c>
      <c r="F324" s="80" t="str">
        <f>IF(B324="","",IF(C324=TRUE(),"Searched / no binder",IF(D324=0,"No cards assigned",IF(OR(D324&gt;=Binders!$D$3,E324&gt;=Binders!$E$3),"Pull","Skip: buy elsewhere"))))</f>
        <v/>
      </c>
      <c r="G324" s="80" t="str">
        <f t="shared" si="2"/>
        <v/>
      </c>
      <c r="H324" s="2"/>
      <c r="I324" s="80" t="str">
        <f t="array" ref="I324">IFERROR(INDEX($B$2:$B$401,MATCH(323,$J$2:$J$401,0)),"")</f>
        <v/>
      </c>
      <c r="J324" s="80" t="str">
        <f t="shared" si="3"/>
        <v/>
      </c>
      <c r="L324" s="2"/>
    </row>
    <row r="325" ht="15.75" customHeight="1">
      <c r="A325" s="80" t="str">
        <f t="shared" si="1"/>
        <v/>
      </c>
      <c r="B325" s="2"/>
      <c r="C325" s="13" t="b">
        <v>0</v>
      </c>
      <c r="D325" s="80" t="str">
        <f>IF(B325="","",COUNTIFS('Binder Data'!$B$2:$B$6251,B325,'Binder Data'!$E$2:$E$6251,"Y"))</f>
        <v/>
      </c>
      <c r="E325" s="17" t="str">
        <f>IF(B325="","",SUMIFS('Binder Data'!$F$2:$F$6251,'Binder Data'!$B$2:$B$6251,B325,'Binder Data'!$E$2:$E$6251,"Y"))</f>
        <v/>
      </c>
      <c r="F325" s="80" t="str">
        <f>IF(B325="","",IF(C325=TRUE(),"Searched / no binder",IF(D325=0,"No cards assigned",IF(OR(D325&gt;=Binders!$D$3,E325&gt;=Binders!$E$3),"Pull","Skip: buy elsewhere"))))</f>
        <v/>
      </c>
      <c r="G325" s="80" t="str">
        <f t="shared" si="2"/>
        <v/>
      </c>
      <c r="H325" s="2"/>
      <c r="I325" s="80" t="str">
        <f t="array" ref="I325">IFERROR(INDEX($B$2:$B$401,MATCH(324,$J$2:$J$401,0)),"")</f>
        <v/>
      </c>
      <c r="J325" s="80" t="str">
        <f t="shared" si="3"/>
        <v/>
      </c>
      <c r="L325" s="2"/>
    </row>
    <row r="326" ht="15.75" customHeight="1">
      <c r="A326" s="80" t="str">
        <f t="shared" si="1"/>
        <v/>
      </c>
      <c r="B326" s="2"/>
      <c r="C326" s="13" t="b">
        <v>0</v>
      </c>
      <c r="D326" s="80" t="str">
        <f>IF(B326="","",COUNTIFS('Binder Data'!$B$2:$B$6251,B326,'Binder Data'!$E$2:$E$6251,"Y"))</f>
        <v/>
      </c>
      <c r="E326" s="17" t="str">
        <f>IF(B326="","",SUMIFS('Binder Data'!$F$2:$F$6251,'Binder Data'!$B$2:$B$6251,B326,'Binder Data'!$E$2:$E$6251,"Y"))</f>
        <v/>
      </c>
      <c r="F326" s="80" t="str">
        <f>IF(B326="","",IF(C326=TRUE(),"Searched / no binder",IF(D326=0,"No cards assigned",IF(OR(D326&gt;=Binders!$D$3,E326&gt;=Binders!$E$3),"Pull","Skip: buy elsewhere"))))</f>
        <v/>
      </c>
      <c r="G326" s="80" t="str">
        <f t="shared" si="2"/>
        <v/>
      </c>
      <c r="H326" s="2"/>
      <c r="I326" s="80" t="str">
        <f t="array" ref="I326">IFERROR(INDEX($B$2:$B$401,MATCH(325,$J$2:$J$401,0)),"")</f>
        <v/>
      </c>
      <c r="J326" s="80" t="str">
        <f t="shared" si="3"/>
        <v/>
      </c>
      <c r="L326" s="2"/>
    </row>
    <row r="327" ht="15.75" customHeight="1">
      <c r="A327" s="80" t="str">
        <f t="shared" si="1"/>
        <v/>
      </c>
      <c r="B327" s="2"/>
      <c r="C327" s="13" t="b">
        <v>0</v>
      </c>
      <c r="D327" s="80" t="str">
        <f>IF(B327="","",COUNTIFS('Binder Data'!$B$2:$B$6251,B327,'Binder Data'!$E$2:$E$6251,"Y"))</f>
        <v/>
      </c>
      <c r="E327" s="17" t="str">
        <f>IF(B327="","",SUMIFS('Binder Data'!$F$2:$F$6251,'Binder Data'!$B$2:$B$6251,B327,'Binder Data'!$E$2:$E$6251,"Y"))</f>
        <v/>
      </c>
      <c r="F327" s="80" t="str">
        <f>IF(B327="","",IF(C327=TRUE(),"Searched / no binder",IF(D327=0,"No cards assigned",IF(OR(D327&gt;=Binders!$D$3,E327&gt;=Binders!$E$3),"Pull","Skip: buy elsewhere"))))</f>
        <v/>
      </c>
      <c r="G327" s="80" t="str">
        <f t="shared" si="2"/>
        <v/>
      </c>
      <c r="H327" s="2"/>
      <c r="I327" s="80" t="str">
        <f t="array" ref="I327">IFERROR(INDEX($B$2:$B$401,MATCH(326,$J$2:$J$401,0)),"")</f>
        <v/>
      </c>
      <c r="J327" s="80" t="str">
        <f t="shared" si="3"/>
        <v/>
      </c>
      <c r="L327" s="2"/>
    </row>
    <row r="328" ht="15.75" customHeight="1">
      <c r="A328" s="80" t="str">
        <f t="shared" si="1"/>
        <v/>
      </c>
      <c r="B328" s="2"/>
      <c r="C328" s="13" t="b">
        <v>0</v>
      </c>
      <c r="D328" s="80" t="str">
        <f>IF(B328="","",COUNTIFS('Binder Data'!$B$2:$B$6251,B328,'Binder Data'!$E$2:$E$6251,"Y"))</f>
        <v/>
      </c>
      <c r="E328" s="17" t="str">
        <f>IF(B328="","",SUMIFS('Binder Data'!$F$2:$F$6251,'Binder Data'!$B$2:$B$6251,B328,'Binder Data'!$E$2:$E$6251,"Y"))</f>
        <v/>
      </c>
      <c r="F328" s="80" t="str">
        <f>IF(B328="","",IF(C328=TRUE(),"Searched / no binder",IF(D328=0,"No cards assigned",IF(OR(D328&gt;=Binders!$D$3,E328&gt;=Binders!$E$3),"Pull","Skip: buy elsewhere"))))</f>
        <v/>
      </c>
      <c r="G328" s="80" t="str">
        <f t="shared" si="2"/>
        <v/>
      </c>
      <c r="H328" s="2"/>
      <c r="I328" s="80" t="str">
        <f t="array" ref="I328">IFERROR(INDEX($B$2:$B$401,MATCH(327,$J$2:$J$401,0)),"")</f>
        <v/>
      </c>
      <c r="J328" s="80" t="str">
        <f t="shared" si="3"/>
        <v/>
      </c>
      <c r="L328" s="2"/>
    </row>
    <row r="329" ht="15.75" customHeight="1">
      <c r="A329" s="80" t="str">
        <f t="shared" si="1"/>
        <v/>
      </c>
      <c r="B329" s="2"/>
      <c r="C329" s="13" t="b">
        <v>0</v>
      </c>
      <c r="D329" s="80" t="str">
        <f>IF(B329="","",COUNTIFS('Binder Data'!$B$2:$B$6251,B329,'Binder Data'!$E$2:$E$6251,"Y"))</f>
        <v/>
      </c>
      <c r="E329" s="17" t="str">
        <f>IF(B329="","",SUMIFS('Binder Data'!$F$2:$F$6251,'Binder Data'!$B$2:$B$6251,B329,'Binder Data'!$E$2:$E$6251,"Y"))</f>
        <v/>
      </c>
      <c r="F329" s="80" t="str">
        <f>IF(B329="","",IF(C329=TRUE(),"Searched / no binder",IF(D329=0,"No cards assigned",IF(OR(D329&gt;=Binders!$D$3,E329&gt;=Binders!$E$3),"Pull","Skip: buy elsewhere"))))</f>
        <v/>
      </c>
      <c r="G329" s="80" t="str">
        <f t="shared" si="2"/>
        <v/>
      </c>
      <c r="H329" s="2"/>
      <c r="I329" s="80" t="str">
        <f t="array" ref="I329">IFERROR(INDEX($B$2:$B$401,MATCH(328,$J$2:$J$401,0)),"")</f>
        <v/>
      </c>
      <c r="J329" s="80" t="str">
        <f t="shared" si="3"/>
        <v/>
      </c>
      <c r="L329" s="2"/>
    </row>
    <row r="330" ht="15.75" customHeight="1">
      <c r="A330" s="80" t="str">
        <f t="shared" si="1"/>
        <v/>
      </c>
      <c r="B330" s="2"/>
      <c r="C330" s="13" t="b">
        <v>0</v>
      </c>
      <c r="D330" s="80" t="str">
        <f>IF(B330="","",COUNTIFS('Binder Data'!$B$2:$B$6251,B330,'Binder Data'!$E$2:$E$6251,"Y"))</f>
        <v/>
      </c>
      <c r="E330" s="17" t="str">
        <f>IF(B330="","",SUMIFS('Binder Data'!$F$2:$F$6251,'Binder Data'!$B$2:$B$6251,B330,'Binder Data'!$E$2:$E$6251,"Y"))</f>
        <v/>
      </c>
      <c r="F330" s="80" t="str">
        <f>IF(B330="","",IF(C330=TRUE(),"Searched / no binder",IF(D330=0,"No cards assigned",IF(OR(D330&gt;=Binders!$D$3,E330&gt;=Binders!$E$3),"Pull","Skip: buy elsewhere"))))</f>
        <v/>
      </c>
      <c r="G330" s="80" t="str">
        <f t="shared" si="2"/>
        <v/>
      </c>
      <c r="H330" s="2"/>
      <c r="I330" s="80" t="str">
        <f t="array" ref="I330">IFERROR(INDEX($B$2:$B$401,MATCH(329,$J$2:$J$401,0)),"")</f>
        <v/>
      </c>
      <c r="J330" s="80" t="str">
        <f t="shared" si="3"/>
        <v/>
      </c>
      <c r="L330" s="2"/>
    </row>
    <row r="331" ht="15.75" customHeight="1">
      <c r="A331" s="80" t="str">
        <f t="shared" si="1"/>
        <v/>
      </c>
      <c r="B331" s="2"/>
      <c r="C331" s="13" t="b">
        <v>0</v>
      </c>
      <c r="D331" s="80" t="str">
        <f>IF(B331="","",COUNTIFS('Binder Data'!$B$2:$B$6251,B331,'Binder Data'!$E$2:$E$6251,"Y"))</f>
        <v/>
      </c>
      <c r="E331" s="17" t="str">
        <f>IF(B331="","",SUMIFS('Binder Data'!$F$2:$F$6251,'Binder Data'!$B$2:$B$6251,B331,'Binder Data'!$E$2:$E$6251,"Y"))</f>
        <v/>
      </c>
      <c r="F331" s="80" t="str">
        <f>IF(B331="","",IF(C331=TRUE(),"Searched / no binder",IF(D331=0,"No cards assigned",IF(OR(D331&gt;=Binders!$D$3,E331&gt;=Binders!$E$3),"Pull","Skip: buy elsewhere"))))</f>
        <v/>
      </c>
      <c r="G331" s="80" t="str">
        <f t="shared" si="2"/>
        <v/>
      </c>
      <c r="H331" s="2"/>
      <c r="I331" s="80" t="str">
        <f t="array" ref="I331">IFERROR(INDEX($B$2:$B$401,MATCH(330,$J$2:$J$401,0)),"")</f>
        <v/>
      </c>
      <c r="J331" s="80" t="str">
        <f t="shared" si="3"/>
        <v/>
      </c>
      <c r="L331" s="2"/>
    </row>
    <row r="332" ht="15.75" customHeight="1">
      <c r="A332" s="80" t="str">
        <f t="shared" si="1"/>
        <v/>
      </c>
      <c r="B332" s="2"/>
      <c r="C332" s="13" t="b">
        <v>0</v>
      </c>
      <c r="D332" s="80" t="str">
        <f>IF(B332="","",COUNTIFS('Binder Data'!$B$2:$B$6251,B332,'Binder Data'!$E$2:$E$6251,"Y"))</f>
        <v/>
      </c>
      <c r="E332" s="17" t="str">
        <f>IF(B332="","",SUMIFS('Binder Data'!$F$2:$F$6251,'Binder Data'!$B$2:$B$6251,B332,'Binder Data'!$E$2:$E$6251,"Y"))</f>
        <v/>
      </c>
      <c r="F332" s="80" t="str">
        <f>IF(B332="","",IF(C332=TRUE(),"Searched / no binder",IF(D332=0,"No cards assigned",IF(OR(D332&gt;=Binders!$D$3,E332&gt;=Binders!$E$3),"Pull","Skip: buy elsewhere"))))</f>
        <v/>
      </c>
      <c r="G332" s="80" t="str">
        <f t="shared" si="2"/>
        <v/>
      </c>
      <c r="H332" s="2"/>
      <c r="I332" s="80" t="str">
        <f t="array" ref="I332">IFERROR(INDEX($B$2:$B$401,MATCH(331,$J$2:$J$401,0)),"")</f>
        <v/>
      </c>
      <c r="J332" s="80" t="str">
        <f t="shared" si="3"/>
        <v/>
      </c>
      <c r="L332" s="2"/>
    </row>
    <row r="333" ht="15.75" customHeight="1">
      <c r="A333" s="80" t="str">
        <f t="shared" si="1"/>
        <v/>
      </c>
      <c r="B333" s="2"/>
      <c r="C333" s="13" t="b">
        <v>0</v>
      </c>
      <c r="D333" s="80" t="str">
        <f>IF(B333="","",COUNTIFS('Binder Data'!$B$2:$B$6251,B333,'Binder Data'!$E$2:$E$6251,"Y"))</f>
        <v/>
      </c>
      <c r="E333" s="17" t="str">
        <f>IF(B333="","",SUMIFS('Binder Data'!$F$2:$F$6251,'Binder Data'!$B$2:$B$6251,B333,'Binder Data'!$E$2:$E$6251,"Y"))</f>
        <v/>
      </c>
      <c r="F333" s="80" t="str">
        <f>IF(B333="","",IF(C333=TRUE(),"Searched / no binder",IF(D333=0,"No cards assigned",IF(OR(D333&gt;=Binders!$D$3,E333&gt;=Binders!$E$3),"Pull","Skip: buy elsewhere"))))</f>
        <v/>
      </c>
      <c r="G333" s="80" t="str">
        <f t="shared" si="2"/>
        <v/>
      </c>
      <c r="H333" s="2"/>
      <c r="I333" s="80" t="str">
        <f t="array" ref="I333">IFERROR(INDEX($B$2:$B$401,MATCH(332,$J$2:$J$401,0)),"")</f>
        <v/>
      </c>
      <c r="J333" s="80" t="str">
        <f t="shared" si="3"/>
        <v/>
      </c>
      <c r="L333" s="2"/>
    </row>
    <row r="334" ht="15.75" customHeight="1">
      <c r="A334" s="80" t="str">
        <f t="shared" si="1"/>
        <v/>
      </c>
      <c r="B334" s="2"/>
      <c r="C334" s="13" t="b">
        <v>0</v>
      </c>
      <c r="D334" s="80" t="str">
        <f>IF(B334="","",COUNTIFS('Binder Data'!$B$2:$B$6251,B334,'Binder Data'!$E$2:$E$6251,"Y"))</f>
        <v/>
      </c>
      <c r="E334" s="17" t="str">
        <f>IF(B334="","",SUMIFS('Binder Data'!$F$2:$F$6251,'Binder Data'!$B$2:$B$6251,B334,'Binder Data'!$E$2:$E$6251,"Y"))</f>
        <v/>
      </c>
      <c r="F334" s="80" t="str">
        <f>IF(B334="","",IF(C334=TRUE(),"Searched / no binder",IF(D334=0,"No cards assigned",IF(OR(D334&gt;=Binders!$D$3,E334&gt;=Binders!$E$3),"Pull","Skip: buy elsewhere"))))</f>
        <v/>
      </c>
      <c r="G334" s="80" t="str">
        <f t="shared" si="2"/>
        <v/>
      </c>
      <c r="H334" s="2"/>
      <c r="I334" s="80" t="str">
        <f t="array" ref="I334">IFERROR(INDEX($B$2:$B$401,MATCH(333,$J$2:$J$401,0)),"")</f>
        <v/>
      </c>
      <c r="J334" s="80" t="str">
        <f t="shared" si="3"/>
        <v/>
      </c>
      <c r="L334" s="2"/>
    </row>
    <row r="335" ht="15.75" customHeight="1">
      <c r="A335" s="80" t="str">
        <f t="shared" si="1"/>
        <v/>
      </c>
      <c r="B335" s="2"/>
      <c r="C335" s="13" t="b">
        <v>0</v>
      </c>
      <c r="D335" s="80" t="str">
        <f>IF(B335="","",COUNTIFS('Binder Data'!$B$2:$B$6251,B335,'Binder Data'!$E$2:$E$6251,"Y"))</f>
        <v/>
      </c>
      <c r="E335" s="17" t="str">
        <f>IF(B335="","",SUMIFS('Binder Data'!$F$2:$F$6251,'Binder Data'!$B$2:$B$6251,B335,'Binder Data'!$E$2:$E$6251,"Y"))</f>
        <v/>
      </c>
      <c r="F335" s="80" t="str">
        <f>IF(B335="","",IF(C335=TRUE(),"Searched / no binder",IF(D335=0,"No cards assigned",IF(OR(D335&gt;=Binders!$D$3,E335&gt;=Binders!$E$3),"Pull","Skip: buy elsewhere"))))</f>
        <v/>
      </c>
      <c r="G335" s="80" t="str">
        <f t="shared" si="2"/>
        <v/>
      </c>
      <c r="H335" s="2"/>
      <c r="I335" s="80" t="str">
        <f t="array" ref="I335">IFERROR(INDEX($B$2:$B$401,MATCH(334,$J$2:$J$401,0)),"")</f>
        <v/>
      </c>
      <c r="J335" s="80" t="str">
        <f t="shared" si="3"/>
        <v/>
      </c>
      <c r="L335" s="2"/>
    </row>
    <row r="336" ht="15.75" customHeight="1">
      <c r="A336" s="80" t="str">
        <f t="shared" si="1"/>
        <v/>
      </c>
      <c r="B336" s="2"/>
      <c r="C336" s="13" t="b">
        <v>0</v>
      </c>
      <c r="D336" s="80" t="str">
        <f>IF(B336="","",COUNTIFS('Binder Data'!$B$2:$B$6251,B336,'Binder Data'!$E$2:$E$6251,"Y"))</f>
        <v/>
      </c>
      <c r="E336" s="17" t="str">
        <f>IF(B336="","",SUMIFS('Binder Data'!$F$2:$F$6251,'Binder Data'!$B$2:$B$6251,B336,'Binder Data'!$E$2:$E$6251,"Y"))</f>
        <v/>
      </c>
      <c r="F336" s="80" t="str">
        <f>IF(B336="","",IF(C336=TRUE(),"Searched / no binder",IF(D336=0,"No cards assigned",IF(OR(D336&gt;=Binders!$D$3,E336&gt;=Binders!$E$3),"Pull","Skip: buy elsewhere"))))</f>
        <v/>
      </c>
      <c r="G336" s="80" t="str">
        <f t="shared" si="2"/>
        <v/>
      </c>
      <c r="H336" s="2"/>
      <c r="I336" s="80" t="str">
        <f t="array" ref="I336">IFERROR(INDEX($B$2:$B$401,MATCH(335,$J$2:$J$401,0)),"")</f>
        <v/>
      </c>
      <c r="J336" s="80" t="str">
        <f t="shared" si="3"/>
        <v/>
      </c>
      <c r="L336" s="2"/>
    </row>
    <row r="337" ht="15.75" customHeight="1">
      <c r="A337" s="80" t="str">
        <f t="shared" si="1"/>
        <v/>
      </c>
      <c r="B337" s="2"/>
      <c r="C337" s="13" t="b">
        <v>0</v>
      </c>
      <c r="D337" s="80" t="str">
        <f>IF(B337="","",COUNTIFS('Binder Data'!$B$2:$B$6251,B337,'Binder Data'!$E$2:$E$6251,"Y"))</f>
        <v/>
      </c>
      <c r="E337" s="17" t="str">
        <f>IF(B337="","",SUMIFS('Binder Data'!$F$2:$F$6251,'Binder Data'!$B$2:$B$6251,B337,'Binder Data'!$E$2:$E$6251,"Y"))</f>
        <v/>
      </c>
      <c r="F337" s="80" t="str">
        <f>IF(B337="","",IF(C337=TRUE(),"Searched / no binder",IF(D337=0,"No cards assigned",IF(OR(D337&gt;=Binders!$D$3,E337&gt;=Binders!$E$3),"Pull","Skip: buy elsewhere"))))</f>
        <v/>
      </c>
      <c r="G337" s="80" t="str">
        <f t="shared" si="2"/>
        <v/>
      </c>
      <c r="H337" s="2"/>
      <c r="I337" s="80" t="str">
        <f t="array" ref="I337">IFERROR(INDEX($B$2:$B$401,MATCH(336,$J$2:$J$401,0)),"")</f>
        <v/>
      </c>
      <c r="J337" s="80" t="str">
        <f t="shared" si="3"/>
        <v/>
      </c>
      <c r="L337" s="2"/>
    </row>
    <row r="338" ht="15.75" customHeight="1">
      <c r="A338" s="80" t="str">
        <f t="shared" si="1"/>
        <v/>
      </c>
      <c r="B338" s="2"/>
      <c r="C338" s="13" t="b">
        <v>0</v>
      </c>
      <c r="D338" s="80" t="str">
        <f>IF(B338="","",COUNTIFS('Binder Data'!$B$2:$B$6251,B338,'Binder Data'!$E$2:$E$6251,"Y"))</f>
        <v/>
      </c>
      <c r="E338" s="17" t="str">
        <f>IF(B338="","",SUMIFS('Binder Data'!$F$2:$F$6251,'Binder Data'!$B$2:$B$6251,B338,'Binder Data'!$E$2:$E$6251,"Y"))</f>
        <v/>
      </c>
      <c r="F338" s="80" t="str">
        <f>IF(B338="","",IF(C338=TRUE(),"Searched / no binder",IF(D338=0,"No cards assigned",IF(OR(D338&gt;=Binders!$D$3,E338&gt;=Binders!$E$3),"Pull","Skip: buy elsewhere"))))</f>
        <v/>
      </c>
      <c r="G338" s="80" t="str">
        <f t="shared" si="2"/>
        <v/>
      </c>
      <c r="H338" s="2"/>
      <c r="I338" s="80" t="str">
        <f t="array" ref="I338">IFERROR(INDEX($B$2:$B$401,MATCH(337,$J$2:$J$401,0)),"")</f>
        <v/>
      </c>
      <c r="J338" s="80" t="str">
        <f t="shared" si="3"/>
        <v/>
      </c>
      <c r="L338" s="2"/>
    </row>
    <row r="339" ht="15.75" customHeight="1">
      <c r="A339" s="80" t="str">
        <f t="shared" si="1"/>
        <v/>
      </c>
      <c r="B339" s="2"/>
      <c r="C339" s="13" t="b">
        <v>0</v>
      </c>
      <c r="D339" s="80" t="str">
        <f>IF(B339="","",COUNTIFS('Binder Data'!$B$2:$B$6251,B339,'Binder Data'!$E$2:$E$6251,"Y"))</f>
        <v/>
      </c>
      <c r="E339" s="17" t="str">
        <f>IF(B339="","",SUMIFS('Binder Data'!$F$2:$F$6251,'Binder Data'!$B$2:$B$6251,B339,'Binder Data'!$E$2:$E$6251,"Y"))</f>
        <v/>
      </c>
      <c r="F339" s="80" t="str">
        <f>IF(B339="","",IF(C339=TRUE(),"Searched / no binder",IF(D339=0,"No cards assigned",IF(OR(D339&gt;=Binders!$D$3,E339&gt;=Binders!$E$3),"Pull","Skip: buy elsewhere"))))</f>
        <v/>
      </c>
      <c r="G339" s="80" t="str">
        <f t="shared" si="2"/>
        <v/>
      </c>
      <c r="H339" s="2"/>
      <c r="I339" s="80" t="str">
        <f t="array" ref="I339">IFERROR(INDEX($B$2:$B$401,MATCH(338,$J$2:$J$401,0)),"")</f>
        <v/>
      </c>
      <c r="J339" s="80" t="str">
        <f t="shared" si="3"/>
        <v/>
      </c>
      <c r="L339" s="2"/>
    </row>
    <row r="340" ht="15.75" customHeight="1">
      <c r="A340" s="80" t="str">
        <f t="shared" si="1"/>
        <v/>
      </c>
      <c r="B340" s="2"/>
      <c r="C340" s="13" t="b">
        <v>0</v>
      </c>
      <c r="D340" s="80" t="str">
        <f>IF(B340="","",COUNTIFS('Binder Data'!$B$2:$B$6251,B340,'Binder Data'!$E$2:$E$6251,"Y"))</f>
        <v/>
      </c>
      <c r="E340" s="17" t="str">
        <f>IF(B340="","",SUMIFS('Binder Data'!$F$2:$F$6251,'Binder Data'!$B$2:$B$6251,B340,'Binder Data'!$E$2:$E$6251,"Y"))</f>
        <v/>
      </c>
      <c r="F340" s="80" t="str">
        <f>IF(B340="","",IF(C340=TRUE(),"Searched / no binder",IF(D340=0,"No cards assigned",IF(OR(D340&gt;=Binders!$D$3,E340&gt;=Binders!$E$3),"Pull","Skip: buy elsewhere"))))</f>
        <v/>
      </c>
      <c r="G340" s="80" t="str">
        <f t="shared" si="2"/>
        <v/>
      </c>
      <c r="H340" s="2"/>
      <c r="I340" s="80" t="str">
        <f t="array" ref="I340">IFERROR(INDEX($B$2:$B$401,MATCH(339,$J$2:$J$401,0)),"")</f>
        <v/>
      </c>
      <c r="J340" s="80" t="str">
        <f t="shared" si="3"/>
        <v/>
      </c>
      <c r="L340" s="2"/>
    </row>
    <row r="341" ht="15.75" customHeight="1">
      <c r="A341" s="80" t="str">
        <f t="shared" si="1"/>
        <v/>
      </c>
      <c r="B341" s="2"/>
      <c r="C341" s="13" t="b">
        <v>0</v>
      </c>
      <c r="D341" s="80" t="str">
        <f>IF(B341="","",COUNTIFS('Binder Data'!$B$2:$B$6251,B341,'Binder Data'!$E$2:$E$6251,"Y"))</f>
        <v/>
      </c>
      <c r="E341" s="17" t="str">
        <f>IF(B341="","",SUMIFS('Binder Data'!$F$2:$F$6251,'Binder Data'!$B$2:$B$6251,B341,'Binder Data'!$E$2:$E$6251,"Y"))</f>
        <v/>
      </c>
      <c r="F341" s="80" t="str">
        <f>IF(B341="","",IF(C341=TRUE(),"Searched / no binder",IF(D341=0,"No cards assigned",IF(OR(D341&gt;=Binders!$D$3,E341&gt;=Binders!$E$3),"Pull","Skip: buy elsewhere"))))</f>
        <v/>
      </c>
      <c r="G341" s="80" t="str">
        <f t="shared" si="2"/>
        <v/>
      </c>
      <c r="H341" s="2"/>
      <c r="I341" s="80" t="str">
        <f t="array" ref="I341">IFERROR(INDEX($B$2:$B$401,MATCH(340,$J$2:$J$401,0)),"")</f>
        <v/>
      </c>
      <c r="J341" s="80" t="str">
        <f t="shared" si="3"/>
        <v/>
      </c>
      <c r="L341" s="2"/>
    </row>
    <row r="342" ht="15.75" customHeight="1">
      <c r="A342" s="80" t="str">
        <f t="shared" si="1"/>
        <v/>
      </c>
      <c r="B342" s="2"/>
      <c r="C342" s="13" t="b">
        <v>0</v>
      </c>
      <c r="D342" s="80" t="str">
        <f>IF(B342="","",COUNTIFS('Binder Data'!$B$2:$B$6251,B342,'Binder Data'!$E$2:$E$6251,"Y"))</f>
        <v/>
      </c>
      <c r="E342" s="17" t="str">
        <f>IF(B342="","",SUMIFS('Binder Data'!$F$2:$F$6251,'Binder Data'!$B$2:$B$6251,B342,'Binder Data'!$E$2:$E$6251,"Y"))</f>
        <v/>
      </c>
      <c r="F342" s="80" t="str">
        <f>IF(B342="","",IF(C342=TRUE(),"Searched / no binder",IF(D342=0,"No cards assigned",IF(OR(D342&gt;=Binders!$D$3,E342&gt;=Binders!$E$3),"Pull","Skip: buy elsewhere"))))</f>
        <v/>
      </c>
      <c r="G342" s="80" t="str">
        <f t="shared" si="2"/>
        <v/>
      </c>
      <c r="H342" s="2"/>
      <c r="I342" s="80" t="str">
        <f t="array" ref="I342">IFERROR(INDEX($B$2:$B$401,MATCH(341,$J$2:$J$401,0)),"")</f>
        <v/>
      </c>
      <c r="J342" s="80" t="str">
        <f t="shared" si="3"/>
        <v/>
      </c>
      <c r="L342" s="2"/>
    </row>
    <row r="343" ht="15.75" customHeight="1">
      <c r="A343" s="80" t="str">
        <f t="shared" si="1"/>
        <v/>
      </c>
      <c r="B343" s="2"/>
      <c r="C343" s="13" t="b">
        <v>0</v>
      </c>
      <c r="D343" s="80" t="str">
        <f>IF(B343="","",COUNTIFS('Binder Data'!$B$2:$B$6251,B343,'Binder Data'!$E$2:$E$6251,"Y"))</f>
        <v/>
      </c>
      <c r="E343" s="17" t="str">
        <f>IF(B343="","",SUMIFS('Binder Data'!$F$2:$F$6251,'Binder Data'!$B$2:$B$6251,B343,'Binder Data'!$E$2:$E$6251,"Y"))</f>
        <v/>
      </c>
      <c r="F343" s="80" t="str">
        <f>IF(B343="","",IF(C343=TRUE(),"Searched / no binder",IF(D343=0,"No cards assigned",IF(OR(D343&gt;=Binders!$D$3,E343&gt;=Binders!$E$3),"Pull","Skip: buy elsewhere"))))</f>
        <v/>
      </c>
      <c r="G343" s="80" t="str">
        <f t="shared" si="2"/>
        <v/>
      </c>
      <c r="H343" s="2"/>
      <c r="I343" s="80" t="str">
        <f t="array" ref="I343">IFERROR(INDEX($B$2:$B$401,MATCH(342,$J$2:$J$401,0)),"")</f>
        <v/>
      </c>
      <c r="J343" s="80" t="str">
        <f t="shared" si="3"/>
        <v/>
      </c>
      <c r="L343" s="2"/>
    </row>
    <row r="344" ht="15.75" customHeight="1">
      <c r="A344" s="80" t="str">
        <f t="shared" si="1"/>
        <v/>
      </c>
      <c r="B344" s="2"/>
      <c r="C344" s="13" t="b">
        <v>0</v>
      </c>
      <c r="D344" s="80" t="str">
        <f>IF(B344="","",COUNTIFS('Binder Data'!$B$2:$B$6251,B344,'Binder Data'!$E$2:$E$6251,"Y"))</f>
        <v/>
      </c>
      <c r="E344" s="17" t="str">
        <f>IF(B344="","",SUMIFS('Binder Data'!$F$2:$F$6251,'Binder Data'!$B$2:$B$6251,B344,'Binder Data'!$E$2:$E$6251,"Y"))</f>
        <v/>
      </c>
      <c r="F344" s="80" t="str">
        <f>IF(B344="","",IF(C344=TRUE(),"Searched / no binder",IF(D344=0,"No cards assigned",IF(OR(D344&gt;=Binders!$D$3,E344&gt;=Binders!$E$3),"Pull","Skip: buy elsewhere"))))</f>
        <v/>
      </c>
      <c r="G344" s="80" t="str">
        <f t="shared" si="2"/>
        <v/>
      </c>
      <c r="H344" s="2"/>
      <c r="I344" s="80" t="str">
        <f t="array" ref="I344">IFERROR(INDEX($B$2:$B$401,MATCH(343,$J$2:$J$401,0)),"")</f>
        <v/>
      </c>
      <c r="J344" s="80" t="str">
        <f t="shared" si="3"/>
        <v/>
      </c>
      <c r="L344" s="2"/>
    </row>
    <row r="345" ht="15.75" customHeight="1">
      <c r="A345" s="80" t="str">
        <f t="shared" si="1"/>
        <v/>
      </c>
      <c r="B345" s="2"/>
      <c r="C345" s="13" t="b">
        <v>0</v>
      </c>
      <c r="D345" s="80" t="str">
        <f>IF(B345="","",COUNTIFS('Binder Data'!$B$2:$B$6251,B345,'Binder Data'!$E$2:$E$6251,"Y"))</f>
        <v/>
      </c>
      <c r="E345" s="17" t="str">
        <f>IF(B345="","",SUMIFS('Binder Data'!$F$2:$F$6251,'Binder Data'!$B$2:$B$6251,B345,'Binder Data'!$E$2:$E$6251,"Y"))</f>
        <v/>
      </c>
      <c r="F345" s="80" t="str">
        <f>IF(B345="","",IF(C345=TRUE(),"Searched / no binder",IF(D345=0,"No cards assigned",IF(OR(D345&gt;=Binders!$D$3,E345&gt;=Binders!$E$3),"Pull","Skip: buy elsewhere"))))</f>
        <v/>
      </c>
      <c r="G345" s="80" t="str">
        <f t="shared" si="2"/>
        <v/>
      </c>
      <c r="H345" s="2"/>
      <c r="I345" s="80" t="str">
        <f t="array" ref="I345">IFERROR(INDEX($B$2:$B$401,MATCH(344,$J$2:$J$401,0)),"")</f>
        <v/>
      </c>
      <c r="J345" s="80" t="str">
        <f t="shared" si="3"/>
        <v/>
      </c>
      <c r="L345" s="2"/>
    </row>
    <row r="346" ht="15.75" customHeight="1">
      <c r="A346" s="80" t="str">
        <f t="shared" si="1"/>
        <v/>
      </c>
      <c r="B346" s="2"/>
      <c r="C346" s="13" t="b">
        <v>0</v>
      </c>
      <c r="D346" s="80" t="str">
        <f>IF(B346="","",COUNTIFS('Binder Data'!$B$2:$B$6251,B346,'Binder Data'!$E$2:$E$6251,"Y"))</f>
        <v/>
      </c>
      <c r="E346" s="17" t="str">
        <f>IF(B346="","",SUMIFS('Binder Data'!$F$2:$F$6251,'Binder Data'!$B$2:$B$6251,B346,'Binder Data'!$E$2:$E$6251,"Y"))</f>
        <v/>
      </c>
      <c r="F346" s="80" t="str">
        <f>IF(B346="","",IF(C346=TRUE(),"Searched / no binder",IF(D346=0,"No cards assigned",IF(OR(D346&gt;=Binders!$D$3,E346&gt;=Binders!$E$3),"Pull","Skip: buy elsewhere"))))</f>
        <v/>
      </c>
      <c r="G346" s="80" t="str">
        <f t="shared" si="2"/>
        <v/>
      </c>
      <c r="H346" s="2"/>
      <c r="I346" s="80" t="str">
        <f t="array" ref="I346">IFERROR(INDEX($B$2:$B$401,MATCH(345,$J$2:$J$401,0)),"")</f>
        <v/>
      </c>
      <c r="J346" s="80" t="str">
        <f t="shared" si="3"/>
        <v/>
      </c>
      <c r="L346" s="2"/>
    </row>
    <row r="347" ht="15.75" customHeight="1">
      <c r="A347" s="80" t="str">
        <f t="shared" si="1"/>
        <v/>
      </c>
      <c r="B347" s="2"/>
      <c r="C347" s="13" t="b">
        <v>0</v>
      </c>
      <c r="D347" s="80" t="str">
        <f>IF(B347="","",COUNTIFS('Binder Data'!$B$2:$B$6251,B347,'Binder Data'!$E$2:$E$6251,"Y"))</f>
        <v/>
      </c>
      <c r="E347" s="17" t="str">
        <f>IF(B347="","",SUMIFS('Binder Data'!$F$2:$F$6251,'Binder Data'!$B$2:$B$6251,B347,'Binder Data'!$E$2:$E$6251,"Y"))</f>
        <v/>
      </c>
      <c r="F347" s="80" t="str">
        <f>IF(B347="","",IF(C347=TRUE(),"Searched / no binder",IF(D347=0,"No cards assigned",IF(OR(D347&gt;=Binders!$D$3,E347&gt;=Binders!$E$3),"Pull","Skip: buy elsewhere"))))</f>
        <v/>
      </c>
      <c r="G347" s="80" t="str">
        <f t="shared" si="2"/>
        <v/>
      </c>
      <c r="H347" s="2"/>
      <c r="I347" s="80" t="str">
        <f t="array" ref="I347">IFERROR(INDEX($B$2:$B$401,MATCH(346,$J$2:$J$401,0)),"")</f>
        <v/>
      </c>
      <c r="J347" s="80" t="str">
        <f t="shared" si="3"/>
        <v/>
      </c>
      <c r="L347" s="2"/>
    </row>
    <row r="348" ht="15.75" customHeight="1">
      <c r="A348" s="80" t="str">
        <f t="shared" si="1"/>
        <v/>
      </c>
      <c r="B348" s="2"/>
      <c r="C348" s="13" t="b">
        <v>0</v>
      </c>
      <c r="D348" s="80" t="str">
        <f>IF(B348="","",COUNTIFS('Binder Data'!$B$2:$B$6251,B348,'Binder Data'!$E$2:$E$6251,"Y"))</f>
        <v/>
      </c>
      <c r="E348" s="17" t="str">
        <f>IF(B348="","",SUMIFS('Binder Data'!$F$2:$F$6251,'Binder Data'!$B$2:$B$6251,B348,'Binder Data'!$E$2:$E$6251,"Y"))</f>
        <v/>
      </c>
      <c r="F348" s="80" t="str">
        <f>IF(B348="","",IF(C348=TRUE(),"Searched / no binder",IF(D348=0,"No cards assigned",IF(OR(D348&gt;=Binders!$D$3,E348&gt;=Binders!$E$3),"Pull","Skip: buy elsewhere"))))</f>
        <v/>
      </c>
      <c r="G348" s="80" t="str">
        <f t="shared" si="2"/>
        <v/>
      </c>
      <c r="H348" s="2"/>
      <c r="I348" s="80" t="str">
        <f t="array" ref="I348">IFERROR(INDEX($B$2:$B$401,MATCH(347,$J$2:$J$401,0)),"")</f>
        <v/>
      </c>
      <c r="J348" s="80" t="str">
        <f t="shared" si="3"/>
        <v/>
      </c>
      <c r="L348" s="2"/>
    </row>
    <row r="349" ht="15.75" customHeight="1">
      <c r="A349" s="80" t="str">
        <f t="shared" si="1"/>
        <v/>
      </c>
      <c r="B349" s="2"/>
      <c r="C349" s="13" t="b">
        <v>0</v>
      </c>
      <c r="D349" s="80" t="str">
        <f>IF(B349="","",COUNTIFS('Binder Data'!$B$2:$B$6251,B349,'Binder Data'!$E$2:$E$6251,"Y"))</f>
        <v/>
      </c>
      <c r="E349" s="17" t="str">
        <f>IF(B349="","",SUMIFS('Binder Data'!$F$2:$F$6251,'Binder Data'!$B$2:$B$6251,B349,'Binder Data'!$E$2:$E$6251,"Y"))</f>
        <v/>
      </c>
      <c r="F349" s="80" t="str">
        <f>IF(B349="","",IF(C349=TRUE(),"Searched / no binder",IF(D349=0,"No cards assigned",IF(OR(D349&gt;=Binders!$D$3,E349&gt;=Binders!$E$3),"Pull","Skip: buy elsewhere"))))</f>
        <v/>
      </c>
      <c r="G349" s="80" t="str">
        <f t="shared" si="2"/>
        <v/>
      </c>
      <c r="H349" s="2"/>
      <c r="I349" s="80" t="str">
        <f t="array" ref="I349">IFERROR(INDEX($B$2:$B$401,MATCH(348,$J$2:$J$401,0)),"")</f>
        <v/>
      </c>
      <c r="J349" s="80" t="str">
        <f t="shared" si="3"/>
        <v/>
      </c>
      <c r="L349" s="2"/>
    </row>
    <row r="350" ht="15.75" customHeight="1">
      <c r="A350" s="80" t="str">
        <f t="shared" si="1"/>
        <v/>
      </c>
      <c r="B350" s="2"/>
      <c r="C350" s="13" t="b">
        <v>0</v>
      </c>
      <c r="D350" s="80" t="str">
        <f>IF(B350="","",COUNTIFS('Binder Data'!$B$2:$B$6251,B350,'Binder Data'!$E$2:$E$6251,"Y"))</f>
        <v/>
      </c>
      <c r="E350" s="17" t="str">
        <f>IF(B350="","",SUMIFS('Binder Data'!$F$2:$F$6251,'Binder Data'!$B$2:$B$6251,B350,'Binder Data'!$E$2:$E$6251,"Y"))</f>
        <v/>
      </c>
      <c r="F350" s="80" t="str">
        <f>IF(B350="","",IF(C350=TRUE(),"Searched / no binder",IF(D350=0,"No cards assigned",IF(OR(D350&gt;=Binders!$D$3,E350&gt;=Binders!$E$3),"Pull","Skip: buy elsewhere"))))</f>
        <v/>
      </c>
      <c r="G350" s="80" t="str">
        <f t="shared" si="2"/>
        <v/>
      </c>
      <c r="H350" s="2"/>
      <c r="I350" s="80" t="str">
        <f t="array" ref="I350">IFERROR(INDEX($B$2:$B$401,MATCH(349,$J$2:$J$401,0)),"")</f>
        <v/>
      </c>
      <c r="J350" s="80" t="str">
        <f t="shared" si="3"/>
        <v/>
      </c>
      <c r="L350" s="2"/>
    </row>
    <row r="351" ht="15.75" customHeight="1">
      <c r="A351" s="80" t="str">
        <f t="shared" si="1"/>
        <v/>
      </c>
      <c r="B351" s="2"/>
      <c r="C351" s="13" t="b">
        <v>0</v>
      </c>
      <c r="D351" s="80" t="str">
        <f>IF(B351="","",COUNTIFS('Binder Data'!$B$2:$B$6251,B351,'Binder Data'!$E$2:$E$6251,"Y"))</f>
        <v/>
      </c>
      <c r="E351" s="17" t="str">
        <f>IF(B351="","",SUMIFS('Binder Data'!$F$2:$F$6251,'Binder Data'!$B$2:$B$6251,B351,'Binder Data'!$E$2:$E$6251,"Y"))</f>
        <v/>
      </c>
      <c r="F351" s="80" t="str">
        <f>IF(B351="","",IF(C351=TRUE(),"Searched / no binder",IF(D351=0,"No cards assigned",IF(OR(D351&gt;=Binders!$D$3,E351&gt;=Binders!$E$3),"Pull","Skip: buy elsewhere"))))</f>
        <v/>
      </c>
      <c r="G351" s="80" t="str">
        <f t="shared" si="2"/>
        <v/>
      </c>
      <c r="H351" s="2"/>
      <c r="I351" s="80" t="str">
        <f t="array" ref="I351">IFERROR(INDEX($B$2:$B$401,MATCH(350,$J$2:$J$401,0)),"")</f>
        <v/>
      </c>
      <c r="J351" s="80" t="str">
        <f t="shared" si="3"/>
        <v/>
      </c>
      <c r="L351" s="2"/>
    </row>
    <row r="352" ht="15.75" customHeight="1">
      <c r="A352" s="80" t="str">
        <f t="shared" si="1"/>
        <v/>
      </c>
      <c r="B352" s="2"/>
      <c r="C352" s="13" t="b">
        <v>0</v>
      </c>
      <c r="D352" s="80" t="str">
        <f>IF(B352="","",COUNTIFS('Binder Data'!$B$2:$B$6251,B352,'Binder Data'!$E$2:$E$6251,"Y"))</f>
        <v/>
      </c>
      <c r="E352" s="17" t="str">
        <f>IF(B352="","",SUMIFS('Binder Data'!$F$2:$F$6251,'Binder Data'!$B$2:$B$6251,B352,'Binder Data'!$E$2:$E$6251,"Y"))</f>
        <v/>
      </c>
      <c r="F352" s="80" t="str">
        <f>IF(B352="","",IF(C352=TRUE(),"Searched / no binder",IF(D352=0,"No cards assigned",IF(OR(D352&gt;=Binders!$D$3,E352&gt;=Binders!$E$3),"Pull","Skip: buy elsewhere"))))</f>
        <v/>
      </c>
      <c r="G352" s="80" t="str">
        <f t="shared" si="2"/>
        <v/>
      </c>
      <c r="H352" s="2"/>
      <c r="I352" s="80" t="str">
        <f t="array" ref="I352">IFERROR(INDEX($B$2:$B$401,MATCH(351,$J$2:$J$401,0)),"")</f>
        <v/>
      </c>
      <c r="J352" s="80" t="str">
        <f t="shared" si="3"/>
        <v/>
      </c>
      <c r="L352" s="2"/>
    </row>
    <row r="353" ht="15.75" customHeight="1">
      <c r="A353" s="80" t="str">
        <f t="shared" si="1"/>
        <v/>
      </c>
      <c r="B353" s="2"/>
      <c r="C353" s="13" t="b">
        <v>0</v>
      </c>
      <c r="D353" s="80" t="str">
        <f>IF(B353="","",COUNTIFS('Binder Data'!$B$2:$B$6251,B353,'Binder Data'!$E$2:$E$6251,"Y"))</f>
        <v/>
      </c>
      <c r="E353" s="17" t="str">
        <f>IF(B353="","",SUMIFS('Binder Data'!$F$2:$F$6251,'Binder Data'!$B$2:$B$6251,B353,'Binder Data'!$E$2:$E$6251,"Y"))</f>
        <v/>
      </c>
      <c r="F353" s="80" t="str">
        <f>IF(B353="","",IF(C353=TRUE(),"Searched / no binder",IF(D353=0,"No cards assigned",IF(OR(D353&gt;=Binders!$D$3,E353&gt;=Binders!$E$3),"Pull","Skip: buy elsewhere"))))</f>
        <v/>
      </c>
      <c r="G353" s="80" t="str">
        <f t="shared" si="2"/>
        <v/>
      </c>
      <c r="H353" s="2"/>
      <c r="I353" s="80" t="str">
        <f t="array" ref="I353">IFERROR(INDEX($B$2:$B$401,MATCH(352,$J$2:$J$401,0)),"")</f>
        <v/>
      </c>
      <c r="J353" s="80" t="str">
        <f t="shared" si="3"/>
        <v/>
      </c>
      <c r="L353" s="2"/>
    </row>
    <row r="354" ht="15.75" customHeight="1">
      <c r="A354" s="80" t="str">
        <f t="shared" si="1"/>
        <v/>
      </c>
      <c r="B354" s="2"/>
      <c r="C354" s="13" t="b">
        <v>0</v>
      </c>
      <c r="D354" s="80" t="str">
        <f>IF(B354="","",COUNTIFS('Binder Data'!$B$2:$B$6251,B354,'Binder Data'!$E$2:$E$6251,"Y"))</f>
        <v/>
      </c>
      <c r="E354" s="17" t="str">
        <f>IF(B354="","",SUMIFS('Binder Data'!$F$2:$F$6251,'Binder Data'!$B$2:$B$6251,B354,'Binder Data'!$E$2:$E$6251,"Y"))</f>
        <v/>
      </c>
      <c r="F354" s="80" t="str">
        <f>IF(B354="","",IF(C354=TRUE(),"Searched / no binder",IF(D354=0,"No cards assigned",IF(OR(D354&gt;=Binders!$D$3,E354&gt;=Binders!$E$3),"Pull","Skip: buy elsewhere"))))</f>
        <v/>
      </c>
      <c r="G354" s="80" t="str">
        <f t="shared" si="2"/>
        <v/>
      </c>
      <c r="H354" s="2"/>
      <c r="I354" s="80" t="str">
        <f t="array" ref="I354">IFERROR(INDEX($B$2:$B$401,MATCH(353,$J$2:$J$401,0)),"")</f>
        <v/>
      </c>
      <c r="J354" s="80" t="str">
        <f t="shared" si="3"/>
        <v/>
      </c>
      <c r="L354" s="2"/>
    </row>
    <row r="355" ht="15.75" customHeight="1">
      <c r="A355" s="80" t="str">
        <f t="shared" si="1"/>
        <v/>
      </c>
      <c r="B355" s="2"/>
      <c r="C355" s="13" t="b">
        <v>0</v>
      </c>
      <c r="D355" s="80" t="str">
        <f>IF(B355="","",COUNTIFS('Binder Data'!$B$2:$B$6251,B355,'Binder Data'!$E$2:$E$6251,"Y"))</f>
        <v/>
      </c>
      <c r="E355" s="17" t="str">
        <f>IF(B355="","",SUMIFS('Binder Data'!$F$2:$F$6251,'Binder Data'!$B$2:$B$6251,B355,'Binder Data'!$E$2:$E$6251,"Y"))</f>
        <v/>
      </c>
      <c r="F355" s="80" t="str">
        <f>IF(B355="","",IF(C355=TRUE(),"Searched / no binder",IF(D355=0,"No cards assigned",IF(OR(D355&gt;=Binders!$D$3,E355&gt;=Binders!$E$3),"Pull","Skip: buy elsewhere"))))</f>
        <v/>
      </c>
      <c r="G355" s="80" t="str">
        <f t="shared" si="2"/>
        <v/>
      </c>
      <c r="H355" s="2"/>
      <c r="I355" s="80" t="str">
        <f t="array" ref="I355">IFERROR(INDEX($B$2:$B$401,MATCH(354,$J$2:$J$401,0)),"")</f>
        <v/>
      </c>
      <c r="J355" s="80" t="str">
        <f t="shared" si="3"/>
        <v/>
      </c>
      <c r="L355" s="2"/>
    </row>
    <row r="356" ht="15.75" customHeight="1">
      <c r="A356" s="80" t="str">
        <f t="shared" si="1"/>
        <v/>
      </c>
      <c r="B356" s="2"/>
      <c r="C356" s="13" t="b">
        <v>0</v>
      </c>
      <c r="D356" s="80" t="str">
        <f>IF(B356="","",COUNTIFS('Binder Data'!$B$2:$B$6251,B356,'Binder Data'!$E$2:$E$6251,"Y"))</f>
        <v/>
      </c>
      <c r="E356" s="17" t="str">
        <f>IF(B356="","",SUMIFS('Binder Data'!$F$2:$F$6251,'Binder Data'!$B$2:$B$6251,B356,'Binder Data'!$E$2:$E$6251,"Y"))</f>
        <v/>
      </c>
      <c r="F356" s="80" t="str">
        <f>IF(B356="","",IF(C356=TRUE(),"Searched / no binder",IF(D356=0,"No cards assigned",IF(OR(D356&gt;=Binders!$D$3,E356&gt;=Binders!$E$3),"Pull","Skip: buy elsewhere"))))</f>
        <v/>
      </c>
      <c r="G356" s="80" t="str">
        <f t="shared" si="2"/>
        <v/>
      </c>
      <c r="H356" s="2"/>
      <c r="I356" s="80" t="str">
        <f t="array" ref="I356">IFERROR(INDEX($B$2:$B$401,MATCH(355,$J$2:$J$401,0)),"")</f>
        <v/>
      </c>
      <c r="J356" s="80" t="str">
        <f t="shared" si="3"/>
        <v/>
      </c>
      <c r="L356" s="2"/>
    </row>
    <row r="357" ht="15.75" customHeight="1">
      <c r="A357" s="80" t="str">
        <f t="shared" si="1"/>
        <v/>
      </c>
      <c r="B357" s="2"/>
      <c r="C357" s="13" t="b">
        <v>0</v>
      </c>
      <c r="D357" s="80" t="str">
        <f>IF(B357="","",COUNTIFS('Binder Data'!$B$2:$B$6251,B357,'Binder Data'!$E$2:$E$6251,"Y"))</f>
        <v/>
      </c>
      <c r="E357" s="17" t="str">
        <f>IF(B357="","",SUMIFS('Binder Data'!$F$2:$F$6251,'Binder Data'!$B$2:$B$6251,B357,'Binder Data'!$E$2:$E$6251,"Y"))</f>
        <v/>
      </c>
      <c r="F357" s="80" t="str">
        <f>IF(B357="","",IF(C357=TRUE(),"Searched / no binder",IF(D357=0,"No cards assigned",IF(OR(D357&gt;=Binders!$D$3,E357&gt;=Binders!$E$3),"Pull","Skip: buy elsewhere"))))</f>
        <v/>
      </c>
      <c r="G357" s="80" t="str">
        <f t="shared" si="2"/>
        <v/>
      </c>
      <c r="H357" s="2"/>
      <c r="I357" s="80" t="str">
        <f t="array" ref="I357">IFERROR(INDEX($B$2:$B$401,MATCH(356,$J$2:$J$401,0)),"")</f>
        <v/>
      </c>
      <c r="J357" s="80" t="str">
        <f t="shared" si="3"/>
        <v/>
      </c>
      <c r="L357" s="2"/>
    </row>
    <row r="358" ht="15.75" customHeight="1">
      <c r="A358" s="80" t="str">
        <f t="shared" si="1"/>
        <v/>
      </c>
      <c r="B358" s="2"/>
      <c r="C358" s="13" t="b">
        <v>0</v>
      </c>
      <c r="D358" s="80" t="str">
        <f>IF(B358="","",COUNTIFS('Binder Data'!$B$2:$B$6251,B358,'Binder Data'!$E$2:$E$6251,"Y"))</f>
        <v/>
      </c>
      <c r="E358" s="17" t="str">
        <f>IF(B358="","",SUMIFS('Binder Data'!$F$2:$F$6251,'Binder Data'!$B$2:$B$6251,B358,'Binder Data'!$E$2:$E$6251,"Y"))</f>
        <v/>
      </c>
      <c r="F358" s="80" t="str">
        <f>IF(B358="","",IF(C358=TRUE(),"Searched / no binder",IF(D358=0,"No cards assigned",IF(OR(D358&gt;=Binders!$D$3,E358&gt;=Binders!$E$3),"Pull","Skip: buy elsewhere"))))</f>
        <v/>
      </c>
      <c r="G358" s="80" t="str">
        <f t="shared" si="2"/>
        <v/>
      </c>
      <c r="H358" s="2"/>
      <c r="I358" s="80" t="str">
        <f t="array" ref="I358">IFERROR(INDEX($B$2:$B$401,MATCH(357,$J$2:$J$401,0)),"")</f>
        <v/>
      </c>
      <c r="J358" s="80" t="str">
        <f t="shared" si="3"/>
        <v/>
      </c>
      <c r="L358" s="2"/>
    </row>
    <row r="359" ht="15.75" customHeight="1">
      <c r="A359" s="80" t="str">
        <f t="shared" si="1"/>
        <v/>
      </c>
      <c r="B359" s="2"/>
      <c r="C359" s="13" t="b">
        <v>0</v>
      </c>
      <c r="D359" s="80" t="str">
        <f>IF(B359="","",COUNTIFS('Binder Data'!$B$2:$B$6251,B359,'Binder Data'!$E$2:$E$6251,"Y"))</f>
        <v/>
      </c>
      <c r="E359" s="17" t="str">
        <f>IF(B359="","",SUMIFS('Binder Data'!$F$2:$F$6251,'Binder Data'!$B$2:$B$6251,B359,'Binder Data'!$E$2:$E$6251,"Y"))</f>
        <v/>
      </c>
      <c r="F359" s="80" t="str">
        <f>IF(B359="","",IF(C359=TRUE(),"Searched / no binder",IF(D359=0,"No cards assigned",IF(OR(D359&gt;=Binders!$D$3,E359&gt;=Binders!$E$3),"Pull","Skip: buy elsewhere"))))</f>
        <v/>
      </c>
      <c r="G359" s="80" t="str">
        <f t="shared" si="2"/>
        <v/>
      </c>
      <c r="H359" s="2"/>
      <c r="I359" s="80" t="str">
        <f t="array" ref="I359">IFERROR(INDEX($B$2:$B$401,MATCH(358,$J$2:$J$401,0)),"")</f>
        <v/>
      </c>
      <c r="J359" s="80" t="str">
        <f t="shared" si="3"/>
        <v/>
      </c>
      <c r="L359" s="2"/>
    </row>
    <row r="360" ht="15.75" customHeight="1">
      <c r="A360" s="80" t="str">
        <f t="shared" si="1"/>
        <v/>
      </c>
      <c r="B360" s="2"/>
      <c r="C360" s="13" t="b">
        <v>0</v>
      </c>
      <c r="D360" s="80" t="str">
        <f>IF(B360="","",COUNTIFS('Binder Data'!$B$2:$B$6251,B360,'Binder Data'!$E$2:$E$6251,"Y"))</f>
        <v/>
      </c>
      <c r="E360" s="17" t="str">
        <f>IF(B360="","",SUMIFS('Binder Data'!$F$2:$F$6251,'Binder Data'!$B$2:$B$6251,B360,'Binder Data'!$E$2:$E$6251,"Y"))</f>
        <v/>
      </c>
      <c r="F360" s="80" t="str">
        <f>IF(B360="","",IF(C360=TRUE(),"Searched / no binder",IF(D360=0,"No cards assigned",IF(OR(D360&gt;=Binders!$D$3,E360&gt;=Binders!$E$3),"Pull","Skip: buy elsewhere"))))</f>
        <v/>
      </c>
      <c r="G360" s="80" t="str">
        <f t="shared" si="2"/>
        <v/>
      </c>
      <c r="H360" s="2"/>
      <c r="I360" s="80" t="str">
        <f t="array" ref="I360">IFERROR(INDEX($B$2:$B$401,MATCH(359,$J$2:$J$401,0)),"")</f>
        <v/>
      </c>
      <c r="J360" s="80" t="str">
        <f t="shared" si="3"/>
        <v/>
      </c>
      <c r="L360" s="2"/>
    </row>
    <row r="361" ht="15.75" customHeight="1">
      <c r="A361" s="80" t="str">
        <f t="shared" si="1"/>
        <v/>
      </c>
      <c r="B361" s="2"/>
      <c r="C361" s="13" t="b">
        <v>0</v>
      </c>
      <c r="D361" s="80" t="str">
        <f>IF(B361="","",COUNTIFS('Binder Data'!$B$2:$B$6251,B361,'Binder Data'!$E$2:$E$6251,"Y"))</f>
        <v/>
      </c>
      <c r="E361" s="17" t="str">
        <f>IF(B361="","",SUMIFS('Binder Data'!$F$2:$F$6251,'Binder Data'!$B$2:$B$6251,B361,'Binder Data'!$E$2:$E$6251,"Y"))</f>
        <v/>
      </c>
      <c r="F361" s="80" t="str">
        <f>IF(B361="","",IF(C361=TRUE(),"Searched / no binder",IF(D361=0,"No cards assigned",IF(OR(D361&gt;=Binders!$D$3,E361&gt;=Binders!$E$3),"Pull","Skip: buy elsewhere"))))</f>
        <v/>
      </c>
      <c r="G361" s="80" t="str">
        <f t="shared" si="2"/>
        <v/>
      </c>
      <c r="H361" s="2"/>
      <c r="I361" s="80" t="str">
        <f t="array" ref="I361">IFERROR(INDEX($B$2:$B$401,MATCH(360,$J$2:$J$401,0)),"")</f>
        <v/>
      </c>
      <c r="J361" s="80" t="str">
        <f t="shared" si="3"/>
        <v/>
      </c>
      <c r="L361" s="2"/>
    </row>
    <row r="362" ht="15.75" customHeight="1">
      <c r="A362" s="80" t="str">
        <f t="shared" si="1"/>
        <v/>
      </c>
      <c r="B362" s="2"/>
      <c r="C362" s="13" t="b">
        <v>0</v>
      </c>
      <c r="D362" s="80" t="str">
        <f>IF(B362="","",COUNTIFS('Binder Data'!$B$2:$B$6251,B362,'Binder Data'!$E$2:$E$6251,"Y"))</f>
        <v/>
      </c>
      <c r="E362" s="17" t="str">
        <f>IF(B362="","",SUMIFS('Binder Data'!$F$2:$F$6251,'Binder Data'!$B$2:$B$6251,B362,'Binder Data'!$E$2:$E$6251,"Y"))</f>
        <v/>
      </c>
      <c r="F362" s="80" t="str">
        <f>IF(B362="","",IF(C362=TRUE(),"Searched / no binder",IF(D362=0,"No cards assigned",IF(OR(D362&gt;=Binders!$D$3,E362&gt;=Binders!$E$3),"Pull","Skip: buy elsewhere"))))</f>
        <v/>
      </c>
      <c r="G362" s="80" t="str">
        <f t="shared" si="2"/>
        <v/>
      </c>
      <c r="H362" s="2"/>
      <c r="I362" s="80" t="str">
        <f t="array" ref="I362">IFERROR(INDEX($B$2:$B$401,MATCH(361,$J$2:$J$401,0)),"")</f>
        <v/>
      </c>
      <c r="J362" s="80" t="str">
        <f t="shared" si="3"/>
        <v/>
      </c>
      <c r="L362" s="2"/>
    </row>
    <row r="363" ht="15.75" customHeight="1">
      <c r="A363" s="80" t="str">
        <f t="shared" si="1"/>
        <v/>
      </c>
      <c r="B363" s="2"/>
      <c r="C363" s="13" t="b">
        <v>0</v>
      </c>
      <c r="D363" s="80" t="str">
        <f>IF(B363="","",COUNTIFS('Binder Data'!$B$2:$B$6251,B363,'Binder Data'!$E$2:$E$6251,"Y"))</f>
        <v/>
      </c>
      <c r="E363" s="17" t="str">
        <f>IF(B363="","",SUMIFS('Binder Data'!$F$2:$F$6251,'Binder Data'!$B$2:$B$6251,B363,'Binder Data'!$E$2:$E$6251,"Y"))</f>
        <v/>
      </c>
      <c r="F363" s="80" t="str">
        <f>IF(B363="","",IF(C363=TRUE(),"Searched / no binder",IF(D363=0,"No cards assigned",IF(OR(D363&gt;=Binders!$D$3,E363&gt;=Binders!$E$3),"Pull","Skip: buy elsewhere"))))</f>
        <v/>
      </c>
      <c r="G363" s="80" t="str">
        <f t="shared" si="2"/>
        <v/>
      </c>
      <c r="H363" s="2"/>
      <c r="I363" s="80" t="str">
        <f t="array" ref="I363">IFERROR(INDEX($B$2:$B$401,MATCH(362,$J$2:$J$401,0)),"")</f>
        <v/>
      </c>
      <c r="J363" s="80" t="str">
        <f t="shared" si="3"/>
        <v/>
      </c>
      <c r="L363" s="2"/>
    </row>
    <row r="364" ht="15.75" customHeight="1">
      <c r="A364" s="80" t="str">
        <f t="shared" si="1"/>
        <v/>
      </c>
      <c r="B364" s="2"/>
      <c r="C364" s="13" t="b">
        <v>0</v>
      </c>
      <c r="D364" s="80" t="str">
        <f>IF(B364="","",COUNTIFS('Binder Data'!$B$2:$B$6251,B364,'Binder Data'!$E$2:$E$6251,"Y"))</f>
        <v/>
      </c>
      <c r="E364" s="17" t="str">
        <f>IF(B364="","",SUMIFS('Binder Data'!$F$2:$F$6251,'Binder Data'!$B$2:$B$6251,B364,'Binder Data'!$E$2:$E$6251,"Y"))</f>
        <v/>
      </c>
      <c r="F364" s="80" t="str">
        <f>IF(B364="","",IF(C364=TRUE(),"Searched / no binder",IF(D364=0,"No cards assigned",IF(OR(D364&gt;=Binders!$D$3,E364&gt;=Binders!$E$3),"Pull","Skip: buy elsewhere"))))</f>
        <v/>
      </c>
      <c r="G364" s="80" t="str">
        <f t="shared" si="2"/>
        <v/>
      </c>
      <c r="H364" s="2"/>
      <c r="I364" s="80" t="str">
        <f t="array" ref="I364">IFERROR(INDEX($B$2:$B$401,MATCH(363,$J$2:$J$401,0)),"")</f>
        <v/>
      </c>
      <c r="J364" s="80" t="str">
        <f t="shared" si="3"/>
        <v/>
      </c>
      <c r="L364" s="2"/>
    </row>
    <row r="365" ht="15.75" customHeight="1">
      <c r="A365" s="80" t="str">
        <f t="shared" si="1"/>
        <v/>
      </c>
      <c r="B365" s="2"/>
      <c r="C365" s="13" t="b">
        <v>0</v>
      </c>
      <c r="D365" s="80" t="str">
        <f>IF(B365="","",COUNTIFS('Binder Data'!$B$2:$B$6251,B365,'Binder Data'!$E$2:$E$6251,"Y"))</f>
        <v/>
      </c>
      <c r="E365" s="17" t="str">
        <f>IF(B365="","",SUMIFS('Binder Data'!$F$2:$F$6251,'Binder Data'!$B$2:$B$6251,B365,'Binder Data'!$E$2:$E$6251,"Y"))</f>
        <v/>
      </c>
      <c r="F365" s="80" t="str">
        <f>IF(B365="","",IF(C365=TRUE(),"Searched / no binder",IF(D365=0,"No cards assigned",IF(OR(D365&gt;=Binders!$D$3,E365&gt;=Binders!$E$3),"Pull","Skip: buy elsewhere"))))</f>
        <v/>
      </c>
      <c r="G365" s="80" t="str">
        <f t="shared" si="2"/>
        <v/>
      </c>
      <c r="H365" s="2"/>
      <c r="I365" s="80" t="str">
        <f t="array" ref="I365">IFERROR(INDEX($B$2:$B$401,MATCH(364,$J$2:$J$401,0)),"")</f>
        <v/>
      </c>
      <c r="J365" s="80" t="str">
        <f t="shared" si="3"/>
        <v/>
      </c>
      <c r="L365" s="2"/>
    </row>
    <row r="366" ht="15.75" customHeight="1">
      <c r="A366" s="80" t="str">
        <f t="shared" si="1"/>
        <v/>
      </c>
      <c r="B366" s="2"/>
      <c r="C366" s="13" t="b">
        <v>0</v>
      </c>
      <c r="D366" s="80" t="str">
        <f>IF(B366="","",COUNTIFS('Binder Data'!$B$2:$B$6251,B366,'Binder Data'!$E$2:$E$6251,"Y"))</f>
        <v/>
      </c>
      <c r="E366" s="17" t="str">
        <f>IF(B366="","",SUMIFS('Binder Data'!$F$2:$F$6251,'Binder Data'!$B$2:$B$6251,B366,'Binder Data'!$E$2:$E$6251,"Y"))</f>
        <v/>
      </c>
      <c r="F366" s="80" t="str">
        <f>IF(B366="","",IF(C366=TRUE(),"Searched / no binder",IF(D366=0,"No cards assigned",IF(OR(D366&gt;=Binders!$D$3,E366&gt;=Binders!$E$3),"Pull","Skip: buy elsewhere"))))</f>
        <v/>
      </c>
      <c r="G366" s="80" t="str">
        <f t="shared" si="2"/>
        <v/>
      </c>
      <c r="H366" s="2"/>
      <c r="I366" s="80" t="str">
        <f t="array" ref="I366">IFERROR(INDEX($B$2:$B$401,MATCH(365,$J$2:$J$401,0)),"")</f>
        <v/>
      </c>
      <c r="J366" s="80" t="str">
        <f t="shared" si="3"/>
        <v/>
      </c>
      <c r="L366" s="2"/>
    </row>
    <row r="367" ht="15.75" customHeight="1">
      <c r="A367" s="80" t="str">
        <f t="shared" si="1"/>
        <v/>
      </c>
      <c r="B367" s="2"/>
      <c r="C367" s="13" t="b">
        <v>0</v>
      </c>
      <c r="D367" s="80" t="str">
        <f>IF(B367="","",COUNTIFS('Binder Data'!$B$2:$B$6251,B367,'Binder Data'!$E$2:$E$6251,"Y"))</f>
        <v/>
      </c>
      <c r="E367" s="17" t="str">
        <f>IF(B367="","",SUMIFS('Binder Data'!$F$2:$F$6251,'Binder Data'!$B$2:$B$6251,B367,'Binder Data'!$E$2:$E$6251,"Y"))</f>
        <v/>
      </c>
      <c r="F367" s="80" t="str">
        <f>IF(B367="","",IF(C367=TRUE(),"Searched / no binder",IF(D367=0,"No cards assigned",IF(OR(D367&gt;=Binders!$D$3,E367&gt;=Binders!$E$3),"Pull","Skip: buy elsewhere"))))</f>
        <v/>
      </c>
      <c r="G367" s="80" t="str">
        <f t="shared" si="2"/>
        <v/>
      </c>
      <c r="H367" s="2"/>
      <c r="I367" s="80" t="str">
        <f t="array" ref="I367">IFERROR(INDEX($B$2:$B$401,MATCH(366,$J$2:$J$401,0)),"")</f>
        <v/>
      </c>
      <c r="J367" s="80" t="str">
        <f t="shared" si="3"/>
        <v/>
      </c>
      <c r="L367" s="2"/>
    </row>
    <row r="368" ht="15.75" customHeight="1">
      <c r="A368" s="80" t="str">
        <f t="shared" si="1"/>
        <v/>
      </c>
      <c r="B368" s="2"/>
      <c r="C368" s="13" t="b">
        <v>0</v>
      </c>
      <c r="D368" s="80" t="str">
        <f>IF(B368="","",COUNTIFS('Binder Data'!$B$2:$B$6251,B368,'Binder Data'!$E$2:$E$6251,"Y"))</f>
        <v/>
      </c>
      <c r="E368" s="17" t="str">
        <f>IF(B368="","",SUMIFS('Binder Data'!$F$2:$F$6251,'Binder Data'!$B$2:$B$6251,B368,'Binder Data'!$E$2:$E$6251,"Y"))</f>
        <v/>
      </c>
      <c r="F368" s="80" t="str">
        <f>IF(B368="","",IF(C368=TRUE(),"Searched / no binder",IF(D368=0,"No cards assigned",IF(OR(D368&gt;=Binders!$D$3,E368&gt;=Binders!$E$3),"Pull","Skip: buy elsewhere"))))</f>
        <v/>
      </c>
      <c r="G368" s="80" t="str">
        <f t="shared" si="2"/>
        <v/>
      </c>
      <c r="H368" s="2"/>
      <c r="I368" s="80" t="str">
        <f t="array" ref="I368">IFERROR(INDEX($B$2:$B$401,MATCH(367,$J$2:$J$401,0)),"")</f>
        <v/>
      </c>
      <c r="J368" s="80" t="str">
        <f t="shared" si="3"/>
        <v/>
      </c>
      <c r="L368" s="2"/>
    </row>
    <row r="369" ht="15.75" customHeight="1">
      <c r="A369" s="80" t="str">
        <f t="shared" si="1"/>
        <v/>
      </c>
      <c r="B369" s="2"/>
      <c r="C369" s="13" t="b">
        <v>0</v>
      </c>
      <c r="D369" s="80" t="str">
        <f>IF(B369="","",COUNTIFS('Binder Data'!$B$2:$B$6251,B369,'Binder Data'!$E$2:$E$6251,"Y"))</f>
        <v/>
      </c>
      <c r="E369" s="17" t="str">
        <f>IF(B369="","",SUMIFS('Binder Data'!$F$2:$F$6251,'Binder Data'!$B$2:$B$6251,B369,'Binder Data'!$E$2:$E$6251,"Y"))</f>
        <v/>
      </c>
      <c r="F369" s="80" t="str">
        <f>IF(B369="","",IF(C369=TRUE(),"Searched / no binder",IF(D369=0,"No cards assigned",IF(OR(D369&gt;=Binders!$D$3,E369&gt;=Binders!$E$3),"Pull","Skip: buy elsewhere"))))</f>
        <v/>
      </c>
      <c r="G369" s="80" t="str">
        <f t="shared" si="2"/>
        <v/>
      </c>
      <c r="H369" s="2"/>
      <c r="I369" s="80" t="str">
        <f t="array" ref="I369">IFERROR(INDEX($B$2:$B$401,MATCH(368,$J$2:$J$401,0)),"")</f>
        <v/>
      </c>
      <c r="J369" s="80" t="str">
        <f t="shared" si="3"/>
        <v/>
      </c>
      <c r="L369" s="2"/>
    </row>
    <row r="370" ht="15.75" customHeight="1">
      <c r="A370" s="80" t="str">
        <f t="shared" si="1"/>
        <v/>
      </c>
      <c r="B370" s="2"/>
      <c r="C370" s="13" t="b">
        <v>0</v>
      </c>
      <c r="D370" s="80" t="str">
        <f>IF(B370="","",COUNTIFS('Binder Data'!$B$2:$B$6251,B370,'Binder Data'!$E$2:$E$6251,"Y"))</f>
        <v/>
      </c>
      <c r="E370" s="17" t="str">
        <f>IF(B370="","",SUMIFS('Binder Data'!$F$2:$F$6251,'Binder Data'!$B$2:$B$6251,B370,'Binder Data'!$E$2:$E$6251,"Y"))</f>
        <v/>
      </c>
      <c r="F370" s="80" t="str">
        <f>IF(B370="","",IF(C370=TRUE(),"Searched / no binder",IF(D370=0,"No cards assigned",IF(OR(D370&gt;=Binders!$D$3,E370&gt;=Binders!$E$3),"Pull","Skip: buy elsewhere"))))</f>
        <v/>
      </c>
      <c r="G370" s="80" t="str">
        <f t="shared" si="2"/>
        <v/>
      </c>
      <c r="H370" s="2"/>
      <c r="I370" s="80" t="str">
        <f t="array" ref="I370">IFERROR(INDEX($B$2:$B$401,MATCH(369,$J$2:$J$401,0)),"")</f>
        <v/>
      </c>
      <c r="J370" s="80" t="str">
        <f t="shared" si="3"/>
        <v/>
      </c>
      <c r="L370" s="2"/>
    </row>
    <row r="371" ht="15.75" customHeight="1">
      <c r="A371" s="80" t="str">
        <f t="shared" si="1"/>
        <v/>
      </c>
      <c r="B371" s="2"/>
      <c r="C371" s="13" t="b">
        <v>0</v>
      </c>
      <c r="D371" s="80" t="str">
        <f>IF(B371="","",COUNTIFS('Binder Data'!$B$2:$B$6251,B371,'Binder Data'!$E$2:$E$6251,"Y"))</f>
        <v/>
      </c>
      <c r="E371" s="17" t="str">
        <f>IF(B371="","",SUMIFS('Binder Data'!$F$2:$F$6251,'Binder Data'!$B$2:$B$6251,B371,'Binder Data'!$E$2:$E$6251,"Y"))</f>
        <v/>
      </c>
      <c r="F371" s="80" t="str">
        <f>IF(B371="","",IF(C371=TRUE(),"Searched / no binder",IF(D371=0,"No cards assigned",IF(OR(D371&gt;=Binders!$D$3,E371&gt;=Binders!$E$3),"Pull","Skip: buy elsewhere"))))</f>
        <v/>
      </c>
      <c r="G371" s="80" t="str">
        <f t="shared" si="2"/>
        <v/>
      </c>
      <c r="H371" s="2"/>
      <c r="I371" s="80" t="str">
        <f t="array" ref="I371">IFERROR(INDEX($B$2:$B$401,MATCH(370,$J$2:$J$401,0)),"")</f>
        <v/>
      </c>
      <c r="J371" s="80" t="str">
        <f t="shared" si="3"/>
        <v/>
      </c>
      <c r="L371" s="2"/>
    </row>
    <row r="372" ht="15.75" customHeight="1">
      <c r="A372" s="80" t="str">
        <f t="shared" si="1"/>
        <v/>
      </c>
      <c r="B372" s="2"/>
      <c r="C372" s="13" t="b">
        <v>0</v>
      </c>
      <c r="D372" s="80" t="str">
        <f>IF(B372="","",COUNTIFS('Binder Data'!$B$2:$B$6251,B372,'Binder Data'!$E$2:$E$6251,"Y"))</f>
        <v/>
      </c>
      <c r="E372" s="17" t="str">
        <f>IF(B372="","",SUMIFS('Binder Data'!$F$2:$F$6251,'Binder Data'!$B$2:$B$6251,B372,'Binder Data'!$E$2:$E$6251,"Y"))</f>
        <v/>
      </c>
      <c r="F372" s="80" t="str">
        <f>IF(B372="","",IF(C372=TRUE(),"Searched / no binder",IF(D372=0,"No cards assigned",IF(OR(D372&gt;=Binders!$D$3,E372&gt;=Binders!$E$3),"Pull","Skip: buy elsewhere"))))</f>
        <v/>
      </c>
      <c r="G372" s="80" t="str">
        <f t="shared" si="2"/>
        <v/>
      </c>
      <c r="H372" s="2"/>
      <c r="I372" s="80" t="str">
        <f t="array" ref="I372">IFERROR(INDEX($B$2:$B$401,MATCH(371,$J$2:$J$401,0)),"")</f>
        <v/>
      </c>
      <c r="J372" s="80" t="str">
        <f t="shared" si="3"/>
        <v/>
      </c>
      <c r="L372" s="2"/>
    </row>
    <row r="373" ht="15.75" customHeight="1">
      <c r="A373" s="80" t="str">
        <f t="shared" si="1"/>
        <v/>
      </c>
      <c r="B373" s="2"/>
      <c r="C373" s="13" t="b">
        <v>0</v>
      </c>
      <c r="D373" s="80" t="str">
        <f>IF(B373="","",COUNTIFS('Binder Data'!$B$2:$B$6251,B373,'Binder Data'!$E$2:$E$6251,"Y"))</f>
        <v/>
      </c>
      <c r="E373" s="17" t="str">
        <f>IF(B373="","",SUMIFS('Binder Data'!$F$2:$F$6251,'Binder Data'!$B$2:$B$6251,B373,'Binder Data'!$E$2:$E$6251,"Y"))</f>
        <v/>
      </c>
      <c r="F373" s="80" t="str">
        <f>IF(B373="","",IF(C373=TRUE(),"Searched / no binder",IF(D373=0,"No cards assigned",IF(OR(D373&gt;=Binders!$D$3,E373&gt;=Binders!$E$3),"Pull","Skip: buy elsewhere"))))</f>
        <v/>
      </c>
      <c r="G373" s="80" t="str">
        <f t="shared" si="2"/>
        <v/>
      </c>
      <c r="H373" s="2"/>
      <c r="I373" s="80" t="str">
        <f t="array" ref="I373">IFERROR(INDEX($B$2:$B$401,MATCH(372,$J$2:$J$401,0)),"")</f>
        <v/>
      </c>
      <c r="J373" s="80" t="str">
        <f t="shared" si="3"/>
        <v/>
      </c>
      <c r="L373" s="2"/>
    </row>
    <row r="374" ht="15.75" customHeight="1">
      <c r="A374" s="80" t="str">
        <f t="shared" si="1"/>
        <v/>
      </c>
      <c r="B374" s="2"/>
      <c r="C374" s="13" t="b">
        <v>0</v>
      </c>
      <c r="D374" s="80" t="str">
        <f>IF(B374="","",COUNTIFS('Binder Data'!$B$2:$B$6251,B374,'Binder Data'!$E$2:$E$6251,"Y"))</f>
        <v/>
      </c>
      <c r="E374" s="17" t="str">
        <f>IF(B374="","",SUMIFS('Binder Data'!$F$2:$F$6251,'Binder Data'!$B$2:$B$6251,B374,'Binder Data'!$E$2:$E$6251,"Y"))</f>
        <v/>
      </c>
      <c r="F374" s="80" t="str">
        <f>IF(B374="","",IF(C374=TRUE(),"Searched / no binder",IF(D374=0,"No cards assigned",IF(OR(D374&gt;=Binders!$D$3,E374&gt;=Binders!$E$3),"Pull","Skip: buy elsewhere"))))</f>
        <v/>
      </c>
      <c r="G374" s="80" t="str">
        <f t="shared" si="2"/>
        <v/>
      </c>
      <c r="H374" s="2"/>
      <c r="I374" s="80" t="str">
        <f t="array" ref="I374">IFERROR(INDEX($B$2:$B$401,MATCH(373,$J$2:$J$401,0)),"")</f>
        <v/>
      </c>
      <c r="J374" s="80" t="str">
        <f t="shared" si="3"/>
        <v/>
      </c>
      <c r="L374" s="2"/>
    </row>
    <row r="375" ht="15.75" customHeight="1">
      <c r="A375" s="80" t="str">
        <f t="shared" si="1"/>
        <v/>
      </c>
      <c r="B375" s="2"/>
      <c r="C375" s="13" t="b">
        <v>0</v>
      </c>
      <c r="D375" s="80" t="str">
        <f>IF(B375="","",COUNTIFS('Binder Data'!$B$2:$B$6251,B375,'Binder Data'!$E$2:$E$6251,"Y"))</f>
        <v/>
      </c>
      <c r="E375" s="17" t="str">
        <f>IF(B375="","",SUMIFS('Binder Data'!$F$2:$F$6251,'Binder Data'!$B$2:$B$6251,B375,'Binder Data'!$E$2:$E$6251,"Y"))</f>
        <v/>
      </c>
      <c r="F375" s="80" t="str">
        <f>IF(B375="","",IF(C375=TRUE(),"Searched / no binder",IF(D375=0,"No cards assigned",IF(OR(D375&gt;=Binders!$D$3,E375&gt;=Binders!$E$3),"Pull","Skip: buy elsewhere"))))</f>
        <v/>
      </c>
      <c r="G375" s="80" t="str">
        <f t="shared" si="2"/>
        <v/>
      </c>
      <c r="H375" s="2"/>
      <c r="I375" s="80" t="str">
        <f t="array" ref="I375">IFERROR(INDEX($B$2:$B$401,MATCH(374,$J$2:$J$401,0)),"")</f>
        <v/>
      </c>
      <c r="J375" s="80" t="str">
        <f t="shared" si="3"/>
        <v/>
      </c>
      <c r="L375" s="2"/>
    </row>
    <row r="376" ht="15.75" customHeight="1">
      <c r="A376" s="80" t="str">
        <f t="shared" si="1"/>
        <v/>
      </c>
      <c r="B376" s="2"/>
      <c r="C376" s="13" t="b">
        <v>0</v>
      </c>
      <c r="D376" s="80" t="str">
        <f>IF(B376="","",COUNTIFS('Binder Data'!$B$2:$B$6251,B376,'Binder Data'!$E$2:$E$6251,"Y"))</f>
        <v/>
      </c>
      <c r="E376" s="17" t="str">
        <f>IF(B376="","",SUMIFS('Binder Data'!$F$2:$F$6251,'Binder Data'!$B$2:$B$6251,B376,'Binder Data'!$E$2:$E$6251,"Y"))</f>
        <v/>
      </c>
      <c r="F376" s="80" t="str">
        <f>IF(B376="","",IF(C376=TRUE(),"Searched / no binder",IF(D376=0,"No cards assigned",IF(OR(D376&gt;=Binders!$D$3,E376&gt;=Binders!$E$3),"Pull","Skip: buy elsewhere"))))</f>
        <v/>
      </c>
      <c r="G376" s="80" t="str">
        <f t="shared" si="2"/>
        <v/>
      </c>
      <c r="H376" s="2"/>
      <c r="I376" s="80" t="str">
        <f t="array" ref="I376">IFERROR(INDEX($B$2:$B$401,MATCH(375,$J$2:$J$401,0)),"")</f>
        <v/>
      </c>
      <c r="J376" s="80" t="str">
        <f t="shared" si="3"/>
        <v/>
      </c>
      <c r="L376" s="2"/>
    </row>
    <row r="377" ht="15.75" customHeight="1">
      <c r="A377" s="80" t="str">
        <f t="shared" si="1"/>
        <v/>
      </c>
      <c r="B377" s="2"/>
      <c r="C377" s="13" t="b">
        <v>0</v>
      </c>
      <c r="D377" s="80" t="str">
        <f>IF(B377="","",COUNTIFS('Binder Data'!$B$2:$B$6251,B377,'Binder Data'!$E$2:$E$6251,"Y"))</f>
        <v/>
      </c>
      <c r="E377" s="17" t="str">
        <f>IF(B377="","",SUMIFS('Binder Data'!$F$2:$F$6251,'Binder Data'!$B$2:$B$6251,B377,'Binder Data'!$E$2:$E$6251,"Y"))</f>
        <v/>
      </c>
      <c r="F377" s="80" t="str">
        <f>IF(B377="","",IF(C377=TRUE(),"Searched / no binder",IF(D377=0,"No cards assigned",IF(OR(D377&gt;=Binders!$D$3,E377&gt;=Binders!$E$3),"Pull","Skip: buy elsewhere"))))</f>
        <v/>
      </c>
      <c r="G377" s="80" t="str">
        <f t="shared" si="2"/>
        <v/>
      </c>
      <c r="H377" s="2"/>
      <c r="I377" s="80" t="str">
        <f t="array" ref="I377">IFERROR(INDEX($B$2:$B$401,MATCH(376,$J$2:$J$401,0)),"")</f>
        <v/>
      </c>
      <c r="J377" s="80" t="str">
        <f t="shared" si="3"/>
        <v/>
      </c>
      <c r="L377" s="2"/>
    </row>
    <row r="378" ht="15.75" customHeight="1">
      <c r="A378" s="80" t="str">
        <f t="shared" si="1"/>
        <v/>
      </c>
      <c r="B378" s="2"/>
      <c r="C378" s="13" t="b">
        <v>0</v>
      </c>
      <c r="D378" s="80" t="str">
        <f>IF(B378="","",COUNTIFS('Binder Data'!$B$2:$B$6251,B378,'Binder Data'!$E$2:$E$6251,"Y"))</f>
        <v/>
      </c>
      <c r="E378" s="17" t="str">
        <f>IF(B378="","",SUMIFS('Binder Data'!$F$2:$F$6251,'Binder Data'!$B$2:$B$6251,B378,'Binder Data'!$E$2:$E$6251,"Y"))</f>
        <v/>
      </c>
      <c r="F378" s="80" t="str">
        <f>IF(B378="","",IF(C378=TRUE(),"Searched / no binder",IF(D378=0,"No cards assigned",IF(OR(D378&gt;=Binders!$D$3,E378&gt;=Binders!$E$3),"Pull","Skip: buy elsewhere"))))</f>
        <v/>
      </c>
      <c r="G378" s="80" t="str">
        <f t="shared" si="2"/>
        <v/>
      </c>
      <c r="H378" s="2"/>
      <c r="I378" s="80" t="str">
        <f t="array" ref="I378">IFERROR(INDEX($B$2:$B$401,MATCH(377,$J$2:$J$401,0)),"")</f>
        <v/>
      </c>
      <c r="J378" s="80" t="str">
        <f t="shared" si="3"/>
        <v/>
      </c>
      <c r="L378" s="2"/>
    </row>
    <row r="379" ht="15.75" customHeight="1">
      <c r="A379" s="80" t="str">
        <f t="shared" si="1"/>
        <v/>
      </c>
      <c r="B379" s="2"/>
      <c r="C379" s="13" t="b">
        <v>0</v>
      </c>
      <c r="D379" s="80" t="str">
        <f>IF(B379="","",COUNTIFS('Binder Data'!$B$2:$B$6251,B379,'Binder Data'!$E$2:$E$6251,"Y"))</f>
        <v/>
      </c>
      <c r="E379" s="17" t="str">
        <f>IF(B379="","",SUMIFS('Binder Data'!$F$2:$F$6251,'Binder Data'!$B$2:$B$6251,B379,'Binder Data'!$E$2:$E$6251,"Y"))</f>
        <v/>
      </c>
      <c r="F379" s="80" t="str">
        <f>IF(B379="","",IF(C379=TRUE(),"Searched / no binder",IF(D379=0,"No cards assigned",IF(OR(D379&gt;=Binders!$D$3,E379&gt;=Binders!$E$3),"Pull","Skip: buy elsewhere"))))</f>
        <v/>
      </c>
      <c r="G379" s="80" t="str">
        <f t="shared" si="2"/>
        <v/>
      </c>
      <c r="H379" s="2"/>
      <c r="I379" s="80" t="str">
        <f t="array" ref="I379">IFERROR(INDEX($B$2:$B$401,MATCH(378,$J$2:$J$401,0)),"")</f>
        <v/>
      </c>
      <c r="J379" s="80" t="str">
        <f t="shared" si="3"/>
        <v/>
      </c>
      <c r="L379" s="2"/>
    </row>
    <row r="380" ht="15.75" customHeight="1">
      <c r="A380" s="80" t="str">
        <f t="shared" si="1"/>
        <v/>
      </c>
      <c r="B380" s="2"/>
      <c r="C380" s="13" t="b">
        <v>0</v>
      </c>
      <c r="D380" s="80" t="str">
        <f>IF(B380="","",COUNTIFS('Binder Data'!$B$2:$B$6251,B380,'Binder Data'!$E$2:$E$6251,"Y"))</f>
        <v/>
      </c>
      <c r="E380" s="17" t="str">
        <f>IF(B380="","",SUMIFS('Binder Data'!$F$2:$F$6251,'Binder Data'!$B$2:$B$6251,B380,'Binder Data'!$E$2:$E$6251,"Y"))</f>
        <v/>
      </c>
      <c r="F380" s="80" t="str">
        <f>IF(B380="","",IF(C380=TRUE(),"Searched / no binder",IF(D380=0,"No cards assigned",IF(OR(D380&gt;=Binders!$D$3,E380&gt;=Binders!$E$3),"Pull","Skip: buy elsewhere"))))</f>
        <v/>
      </c>
      <c r="G380" s="80" t="str">
        <f t="shared" si="2"/>
        <v/>
      </c>
      <c r="H380" s="2"/>
      <c r="I380" s="80" t="str">
        <f t="array" ref="I380">IFERROR(INDEX($B$2:$B$401,MATCH(379,$J$2:$J$401,0)),"")</f>
        <v/>
      </c>
      <c r="J380" s="80" t="str">
        <f t="shared" si="3"/>
        <v/>
      </c>
      <c r="L380" s="2"/>
    </row>
    <row r="381" ht="15.75" customHeight="1">
      <c r="A381" s="80" t="str">
        <f t="shared" si="1"/>
        <v/>
      </c>
      <c r="B381" s="2"/>
      <c r="C381" s="13" t="b">
        <v>0</v>
      </c>
      <c r="D381" s="80" t="str">
        <f>IF(B381="","",COUNTIFS('Binder Data'!$B$2:$B$6251,B381,'Binder Data'!$E$2:$E$6251,"Y"))</f>
        <v/>
      </c>
      <c r="E381" s="17" t="str">
        <f>IF(B381="","",SUMIFS('Binder Data'!$F$2:$F$6251,'Binder Data'!$B$2:$B$6251,B381,'Binder Data'!$E$2:$E$6251,"Y"))</f>
        <v/>
      </c>
      <c r="F381" s="80" t="str">
        <f>IF(B381="","",IF(C381=TRUE(),"Searched / no binder",IF(D381=0,"No cards assigned",IF(OR(D381&gt;=Binders!$D$3,E381&gt;=Binders!$E$3),"Pull","Skip: buy elsewhere"))))</f>
        <v/>
      </c>
      <c r="G381" s="80" t="str">
        <f t="shared" si="2"/>
        <v/>
      </c>
      <c r="H381" s="2"/>
      <c r="I381" s="80" t="str">
        <f t="array" ref="I381">IFERROR(INDEX($B$2:$B$401,MATCH(380,$J$2:$J$401,0)),"")</f>
        <v/>
      </c>
      <c r="J381" s="80" t="str">
        <f t="shared" si="3"/>
        <v/>
      </c>
      <c r="L381" s="2"/>
    </row>
    <row r="382" ht="15.75" customHeight="1">
      <c r="A382" s="80" t="str">
        <f t="shared" si="1"/>
        <v/>
      </c>
      <c r="B382" s="2"/>
      <c r="C382" s="13" t="b">
        <v>0</v>
      </c>
      <c r="D382" s="80" t="str">
        <f>IF(B382="","",COUNTIFS('Binder Data'!$B$2:$B$6251,B382,'Binder Data'!$E$2:$E$6251,"Y"))</f>
        <v/>
      </c>
      <c r="E382" s="17" t="str">
        <f>IF(B382="","",SUMIFS('Binder Data'!$F$2:$F$6251,'Binder Data'!$B$2:$B$6251,B382,'Binder Data'!$E$2:$E$6251,"Y"))</f>
        <v/>
      </c>
      <c r="F382" s="80" t="str">
        <f>IF(B382="","",IF(C382=TRUE(),"Searched / no binder",IF(D382=0,"No cards assigned",IF(OR(D382&gt;=Binders!$D$3,E382&gt;=Binders!$E$3),"Pull","Skip: buy elsewhere"))))</f>
        <v/>
      </c>
      <c r="G382" s="80" t="str">
        <f t="shared" si="2"/>
        <v/>
      </c>
      <c r="H382" s="2"/>
      <c r="I382" s="80" t="str">
        <f t="array" ref="I382">IFERROR(INDEX($B$2:$B$401,MATCH(381,$J$2:$J$401,0)),"")</f>
        <v/>
      </c>
      <c r="J382" s="80" t="str">
        <f t="shared" si="3"/>
        <v/>
      </c>
      <c r="L382" s="2"/>
    </row>
    <row r="383" ht="15.75" customHeight="1">
      <c r="A383" s="80" t="str">
        <f t="shared" si="1"/>
        <v/>
      </c>
      <c r="B383" s="2"/>
      <c r="C383" s="13" t="b">
        <v>0</v>
      </c>
      <c r="D383" s="80" t="str">
        <f>IF(B383="","",COUNTIFS('Binder Data'!$B$2:$B$6251,B383,'Binder Data'!$E$2:$E$6251,"Y"))</f>
        <v/>
      </c>
      <c r="E383" s="17" t="str">
        <f>IF(B383="","",SUMIFS('Binder Data'!$F$2:$F$6251,'Binder Data'!$B$2:$B$6251,B383,'Binder Data'!$E$2:$E$6251,"Y"))</f>
        <v/>
      </c>
      <c r="F383" s="80" t="str">
        <f>IF(B383="","",IF(C383=TRUE(),"Searched / no binder",IF(D383=0,"No cards assigned",IF(OR(D383&gt;=Binders!$D$3,E383&gt;=Binders!$E$3),"Pull","Skip: buy elsewhere"))))</f>
        <v/>
      </c>
      <c r="G383" s="80" t="str">
        <f t="shared" si="2"/>
        <v/>
      </c>
      <c r="H383" s="2"/>
      <c r="I383" s="80" t="str">
        <f t="array" ref="I383">IFERROR(INDEX($B$2:$B$401,MATCH(382,$J$2:$J$401,0)),"")</f>
        <v/>
      </c>
      <c r="J383" s="80" t="str">
        <f t="shared" si="3"/>
        <v/>
      </c>
      <c r="L383" s="2"/>
    </row>
    <row r="384" ht="15.75" customHeight="1">
      <c r="A384" s="80" t="str">
        <f t="shared" si="1"/>
        <v/>
      </c>
      <c r="B384" s="2"/>
      <c r="C384" s="13" t="b">
        <v>0</v>
      </c>
      <c r="D384" s="80" t="str">
        <f>IF(B384="","",COUNTIFS('Binder Data'!$B$2:$B$6251,B384,'Binder Data'!$E$2:$E$6251,"Y"))</f>
        <v/>
      </c>
      <c r="E384" s="17" t="str">
        <f>IF(B384="","",SUMIFS('Binder Data'!$F$2:$F$6251,'Binder Data'!$B$2:$B$6251,B384,'Binder Data'!$E$2:$E$6251,"Y"))</f>
        <v/>
      </c>
      <c r="F384" s="80" t="str">
        <f>IF(B384="","",IF(C384=TRUE(),"Searched / no binder",IF(D384=0,"No cards assigned",IF(OR(D384&gt;=Binders!$D$3,E384&gt;=Binders!$E$3),"Pull","Skip: buy elsewhere"))))</f>
        <v/>
      </c>
      <c r="G384" s="80" t="str">
        <f t="shared" si="2"/>
        <v/>
      </c>
      <c r="H384" s="2"/>
      <c r="I384" s="80" t="str">
        <f t="array" ref="I384">IFERROR(INDEX($B$2:$B$401,MATCH(383,$J$2:$J$401,0)),"")</f>
        <v/>
      </c>
      <c r="J384" s="80" t="str">
        <f t="shared" si="3"/>
        <v/>
      </c>
      <c r="L384" s="2"/>
    </row>
    <row r="385" ht="15.75" customHeight="1">
      <c r="A385" s="80" t="str">
        <f t="shared" si="1"/>
        <v/>
      </c>
      <c r="B385" s="2"/>
      <c r="C385" s="13" t="b">
        <v>0</v>
      </c>
      <c r="D385" s="80" t="str">
        <f>IF(B385="","",COUNTIFS('Binder Data'!$B$2:$B$6251,B385,'Binder Data'!$E$2:$E$6251,"Y"))</f>
        <v/>
      </c>
      <c r="E385" s="17" t="str">
        <f>IF(B385="","",SUMIFS('Binder Data'!$F$2:$F$6251,'Binder Data'!$B$2:$B$6251,B385,'Binder Data'!$E$2:$E$6251,"Y"))</f>
        <v/>
      </c>
      <c r="F385" s="80" t="str">
        <f>IF(B385="","",IF(C385=TRUE(),"Searched / no binder",IF(D385=0,"No cards assigned",IF(OR(D385&gt;=Binders!$D$3,E385&gt;=Binders!$E$3),"Pull","Skip: buy elsewhere"))))</f>
        <v/>
      </c>
      <c r="G385" s="80" t="str">
        <f t="shared" si="2"/>
        <v/>
      </c>
      <c r="H385" s="2"/>
      <c r="I385" s="80" t="str">
        <f t="array" ref="I385">IFERROR(INDEX($B$2:$B$401,MATCH(384,$J$2:$J$401,0)),"")</f>
        <v/>
      </c>
      <c r="J385" s="80" t="str">
        <f t="shared" si="3"/>
        <v/>
      </c>
      <c r="L385" s="2"/>
    </row>
    <row r="386" ht="15.75" customHeight="1">
      <c r="A386" s="80" t="str">
        <f t="shared" si="1"/>
        <v/>
      </c>
      <c r="B386" s="2"/>
      <c r="C386" s="13" t="b">
        <v>0</v>
      </c>
      <c r="D386" s="80" t="str">
        <f>IF(B386="","",COUNTIFS('Binder Data'!$B$2:$B$6251,B386,'Binder Data'!$E$2:$E$6251,"Y"))</f>
        <v/>
      </c>
      <c r="E386" s="17" t="str">
        <f>IF(B386="","",SUMIFS('Binder Data'!$F$2:$F$6251,'Binder Data'!$B$2:$B$6251,B386,'Binder Data'!$E$2:$E$6251,"Y"))</f>
        <v/>
      </c>
      <c r="F386" s="80" t="str">
        <f>IF(B386="","",IF(C386=TRUE(),"Searched / no binder",IF(D386=0,"No cards assigned",IF(OR(D386&gt;=Binders!$D$3,E386&gt;=Binders!$E$3),"Pull","Skip: buy elsewhere"))))</f>
        <v/>
      </c>
      <c r="G386" s="80" t="str">
        <f t="shared" si="2"/>
        <v/>
      </c>
      <c r="H386" s="2"/>
      <c r="I386" s="80" t="str">
        <f t="array" ref="I386">IFERROR(INDEX($B$2:$B$401,MATCH(385,$J$2:$J$401,0)),"")</f>
        <v/>
      </c>
      <c r="J386" s="80" t="str">
        <f t="shared" si="3"/>
        <v/>
      </c>
      <c r="L386" s="2"/>
    </row>
    <row r="387" ht="15.75" customHeight="1">
      <c r="A387" s="80" t="str">
        <f t="shared" si="1"/>
        <v/>
      </c>
      <c r="B387" s="2"/>
      <c r="C387" s="13" t="b">
        <v>0</v>
      </c>
      <c r="D387" s="80" t="str">
        <f>IF(B387="","",COUNTIFS('Binder Data'!$B$2:$B$6251,B387,'Binder Data'!$E$2:$E$6251,"Y"))</f>
        <v/>
      </c>
      <c r="E387" s="17" t="str">
        <f>IF(B387="","",SUMIFS('Binder Data'!$F$2:$F$6251,'Binder Data'!$B$2:$B$6251,B387,'Binder Data'!$E$2:$E$6251,"Y"))</f>
        <v/>
      </c>
      <c r="F387" s="80" t="str">
        <f>IF(B387="","",IF(C387=TRUE(),"Searched / no binder",IF(D387=0,"No cards assigned",IF(OR(D387&gt;=Binders!$D$3,E387&gt;=Binders!$E$3),"Pull","Skip: buy elsewhere"))))</f>
        <v/>
      </c>
      <c r="G387" s="80" t="str">
        <f t="shared" si="2"/>
        <v/>
      </c>
      <c r="H387" s="2"/>
      <c r="I387" s="80" t="str">
        <f t="array" ref="I387">IFERROR(INDEX($B$2:$B$401,MATCH(386,$J$2:$J$401,0)),"")</f>
        <v/>
      </c>
      <c r="J387" s="80" t="str">
        <f t="shared" si="3"/>
        <v/>
      </c>
      <c r="L387" s="2"/>
    </row>
    <row r="388" ht="15.75" customHeight="1">
      <c r="A388" s="80" t="str">
        <f t="shared" si="1"/>
        <v/>
      </c>
      <c r="B388" s="2"/>
      <c r="C388" s="13" t="b">
        <v>0</v>
      </c>
      <c r="D388" s="80" t="str">
        <f>IF(B388="","",COUNTIFS('Binder Data'!$B$2:$B$6251,B388,'Binder Data'!$E$2:$E$6251,"Y"))</f>
        <v/>
      </c>
      <c r="E388" s="17" t="str">
        <f>IF(B388="","",SUMIFS('Binder Data'!$F$2:$F$6251,'Binder Data'!$B$2:$B$6251,B388,'Binder Data'!$E$2:$E$6251,"Y"))</f>
        <v/>
      </c>
      <c r="F388" s="80" t="str">
        <f>IF(B388="","",IF(C388=TRUE(),"Searched / no binder",IF(D388=0,"No cards assigned",IF(OR(D388&gt;=Binders!$D$3,E388&gt;=Binders!$E$3),"Pull","Skip: buy elsewhere"))))</f>
        <v/>
      </c>
      <c r="G388" s="80" t="str">
        <f t="shared" si="2"/>
        <v/>
      </c>
      <c r="H388" s="2"/>
      <c r="I388" s="80" t="str">
        <f t="array" ref="I388">IFERROR(INDEX($B$2:$B$401,MATCH(387,$J$2:$J$401,0)),"")</f>
        <v/>
      </c>
      <c r="J388" s="80" t="str">
        <f t="shared" si="3"/>
        <v/>
      </c>
      <c r="L388" s="2"/>
    </row>
    <row r="389" ht="15.75" customHeight="1">
      <c r="A389" s="80" t="str">
        <f t="shared" si="1"/>
        <v/>
      </c>
      <c r="B389" s="2"/>
      <c r="C389" s="13" t="b">
        <v>0</v>
      </c>
      <c r="D389" s="80" t="str">
        <f>IF(B389="","",COUNTIFS('Binder Data'!$B$2:$B$6251,B389,'Binder Data'!$E$2:$E$6251,"Y"))</f>
        <v/>
      </c>
      <c r="E389" s="17" t="str">
        <f>IF(B389="","",SUMIFS('Binder Data'!$F$2:$F$6251,'Binder Data'!$B$2:$B$6251,B389,'Binder Data'!$E$2:$E$6251,"Y"))</f>
        <v/>
      </c>
      <c r="F389" s="80" t="str">
        <f>IF(B389="","",IF(C389=TRUE(),"Searched / no binder",IF(D389=0,"No cards assigned",IF(OR(D389&gt;=Binders!$D$3,E389&gt;=Binders!$E$3),"Pull","Skip: buy elsewhere"))))</f>
        <v/>
      </c>
      <c r="G389" s="80" t="str">
        <f t="shared" si="2"/>
        <v/>
      </c>
      <c r="H389" s="2"/>
      <c r="I389" s="80" t="str">
        <f t="array" ref="I389">IFERROR(INDEX($B$2:$B$401,MATCH(388,$J$2:$J$401,0)),"")</f>
        <v/>
      </c>
      <c r="J389" s="80" t="str">
        <f t="shared" si="3"/>
        <v/>
      </c>
      <c r="L389" s="2"/>
    </row>
    <row r="390" ht="15.75" customHeight="1">
      <c r="A390" s="80" t="str">
        <f t="shared" si="1"/>
        <v/>
      </c>
      <c r="B390" s="2"/>
      <c r="C390" s="13" t="b">
        <v>0</v>
      </c>
      <c r="D390" s="80" t="str">
        <f>IF(B390="","",COUNTIFS('Binder Data'!$B$2:$B$6251,B390,'Binder Data'!$E$2:$E$6251,"Y"))</f>
        <v/>
      </c>
      <c r="E390" s="17" t="str">
        <f>IF(B390="","",SUMIFS('Binder Data'!$F$2:$F$6251,'Binder Data'!$B$2:$B$6251,B390,'Binder Data'!$E$2:$E$6251,"Y"))</f>
        <v/>
      </c>
      <c r="F390" s="80" t="str">
        <f>IF(B390="","",IF(C390=TRUE(),"Searched / no binder",IF(D390=0,"No cards assigned",IF(OR(D390&gt;=Binders!$D$3,E390&gt;=Binders!$E$3),"Pull","Skip: buy elsewhere"))))</f>
        <v/>
      </c>
      <c r="G390" s="80" t="str">
        <f t="shared" si="2"/>
        <v/>
      </c>
      <c r="H390" s="2"/>
      <c r="I390" s="80" t="str">
        <f t="array" ref="I390">IFERROR(INDEX($B$2:$B$401,MATCH(389,$J$2:$J$401,0)),"")</f>
        <v/>
      </c>
      <c r="J390" s="80" t="str">
        <f t="shared" si="3"/>
        <v/>
      </c>
      <c r="L390" s="2"/>
    </row>
    <row r="391" ht="15.75" customHeight="1">
      <c r="A391" s="80" t="str">
        <f t="shared" si="1"/>
        <v/>
      </c>
      <c r="B391" s="2"/>
      <c r="C391" s="13" t="b">
        <v>0</v>
      </c>
      <c r="D391" s="80" t="str">
        <f>IF(B391="","",COUNTIFS('Binder Data'!$B$2:$B$6251,B391,'Binder Data'!$E$2:$E$6251,"Y"))</f>
        <v/>
      </c>
      <c r="E391" s="17" t="str">
        <f>IF(B391="","",SUMIFS('Binder Data'!$F$2:$F$6251,'Binder Data'!$B$2:$B$6251,B391,'Binder Data'!$E$2:$E$6251,"Y"))</f>
        <v/>
      </c>
      <c r="F391" s="80" t="str">
        <f>IF(B391="","",IF(C391=TRUE(),"Searched / no binder",IF(D391=0,"No cards assigned",IF(OR(D391&gt;=Binders!$D$3,E391&gt;=Binders!$E$3),"Pull","Skip: buy elsewhere"))))</f>
        <v/>
      </c>
      <c r="G391" s="80" t="str">
        <f t="shared" si="2"/>
        <v/>
      </c>
      <c r="H391" s="2"/>
      <c r="I391" s="80" t="str">
        <f t="array" ref="I391">IFERROR(INDEX($B$2:$B$401,MATCH(390,$J$2:$J$401,0)),"")</f>
        <v/>
      </c>
      <c r="J391" s="80" t="str">
        <f t="shared" si="3"/>
        <v/>
      </c>
      <c r="L391" s="2"/>
    </row>
    <row r="392" ht="15.75" customHeight="1">
      <c r="A392" s="80" t="str">
        <f t="shared" si="1"/>
        <v/>
      </c>
      <c r="B392" s="2"/>
      <c r="C392" s="13" t="b">
        <v>0</v>
      </c>
      <c r="D392" s="80" t="str">
        <f>IF(B392="","",COUNTIFS('Binder Data'!$B$2:$B$6251,B392,'Binder Data'!$E$2:$E$6251,"Y"))</f>
        <v/>
      </c>
      <c r="E392" s="17" t="str">
        <f>IF(B392="","",SUMIFS('Binder Data'!$F$2:$F$6251,'Binder Data'!$B$2:$B$6251,B392,'Binder Data'!$E$2:$E$6251,"Y"))</f>
        <v/>
      </c>
      <c r="F392" s="80" t="str">
        <f>IF(B392="","",IF(C392=TRUE(),"Searched / no binder",IF(D392=0,"No cards assigned",IF(OR(D392&gt;=Binders!$D$3,E392&gt;=Binders!$E$3),"Pull","Skip: buy elsewhere"))))</f>
        <v/>
      </c>
      <c r="G392" s="80" t="str">
        <f t="shared" si="2"/>
        <v/>
      </c>
      <c r="H392" s="2"/>
      <c r="I392" s="80" t="str">
        <f t="array" ref="I392">IFERROR(INDEX($B$2:$B$401,MATCH(391,$J$2:$J$401,0)),"")</f>
        <v/>
      </c>
      <c r="J392" s="80" t="str">
        <f t="shared" si="3"/>
        <v/>
      </c>
      <c r="L392" s="2"/>
    </row>
    <row r="393" ht="15.75" customHeight="1">
      <c r="A393" s="80" t="str">
        <f t="shared" si="1"/>
        <v/>
      </c>
      <c r="B393" s="2"/>
      <c r="C393" s="13" t="b">
        <v>0</v>
      </c>
      <c r="D393" s="80" t="str">
        <f>IF(B393="","",COUNTIFS('Binder Data'!$B$2:$B$6251,B393,'Binder Data'!$E$2:$E$6251,"Y"))</f>
        <v/>
      </c>
      <c r="E393" s="17" t="str">
        <f>IF(B393="","",SUMIFS('Binder Data'!$F$2:$F$6251,'Binder Data'!$B$2:$B$6251,B393,'Binder Data'!$E$2:$E$6251,"Y"))</f>
        <v/>
      </c>
      <c r="F393" s="80" t="str">
        <f>IF(B393="","",IF(C393=TRUE(),"Searched / no binder",IF(D393=0,"No cards assigned",IF(OR(D393&gt;=Binders!$D$3,E393&gt;=Binders!$E$3),"Pull","Skip: buy elsewhere"))))</f>
        <v/>
      </c>
      <c r="G393" s="80" t="str">
        <f t="shared" si="2"/>
        <v/>
      </c>
      <c r="H393" s="2"/>
      <c r="I393" s="80" t="str">
        <f t="array" ref="I393">IFERROR(INDEX($B$2:$B$401,MATCH(392,$J$2:$J$401,0)),"")</f>
        <v/>
      </c>
      <c r="J393" s="80" t="str">
        <f t="shared" si="3"/>
        <v/>
      </c>
      <c r="L393" s="2"/>
    </row>
    <row r="394" ht="15.75" customHeight="1">
      <c r="A394" s="80" t="str">
        <f t="shared" si="1"/>
        <v/>
      </c>
      <c r="B394" s="2"/>
      <c r="C394" s="13" t="b">
        <v>0</v>
      </c>
      <c r="D394" s="80" t="str">
        <f>IF(B394="","",COUNTIFS('Binder Data'!$B$2:$B$6251,B394,'Binder Data'!$E$2:$E$6251,"Y"))</f>
        <v/>
      </c>
      <c r="E394" s="17" t="str">
        <f>IF(B394="","",SUMIFS('Binder Data'!$F$2:$F$6251,'Binder Data'!$B$2:$B$6251,B394,'Binder Data'!$E$2:$E$6251,"Y"))</f>
        <v/>
      </c>
      <c r="F394" s="80" t="str">
        <f>IF(B394="","",IF(C394=TRUE(),"Searched / no binder",IF(D394=0,"No cards assigned",IF(OR(D394&gt;=Binders!$D$3,E394&gt;=Binders!$E$3),"Pull","Skip: buy elsewhere"))))</f>
        <v/>
      </c>
      <c r="G394" s="80" t="str">
        <f t="shared" si="2"/>
        <v/>
      </c>
      <c r="H394" s="2"/>
      <c r="I394" s="80" t="str">
        <f t="array" ref="I394">IFERROR(INDEX($B$2:$B$401,MATCH(393,$J$2:$J$401,0)),"")</f>
        <v/>
      </c>
      <c r="J394" s="80" t="str">
        <f t="shared" si="3"/>
        <v/>
      </c>
      <c r="L394" s="2"/>
    </row>
    <row r="395" ht="15.75" customHeight="1">
      <c r="A395" s="80" t="str">
        <f t="shared" si="1"/>
        <v/>
      </c>
      <c r="B395" s="2"/>
      <c r="C395" s="13" t="b">
        <v>0</v>
      </c>
      <c r="D395" s="80" t="str">
        <f>IF(B395="","",COUNTIFS('Binder Data'!$B$2:$B$6251,B395,'Binder Data'!$E$2:$E$6251,"Y"))</f>
        <v/>
      </c>
      <c r="E395" s="17" t="str">
        <f>IF(B395="","",SUMIFS('Binder Data'!$F$2:$F$6251,'Binder Data'!$B$2:$B$6251,B395,'Binder Data'!$E$2:$E$6251,"Y"))</f>
        <v/>
      </c>
      <c r="F395" s="80" t="str">
        <f>IF(B395="","",IF(C395=TRUE(),"Searched / no binder",IF(D395=0,"No cards assigned",IF(OR(D395&gt;=Binders!$D$3,E395&gt;=Binders!$E$3),"Pull","Skip: buy elsewhere"))))</f>
        <v/>
      </c>
      <c r="G395" s="80" t="str">
        <f t="shared" si="2"/>
        <v/>
      </c>
      <c r="H395" s="2"/>
      <c r="I395" s="80" t="str">
        <f t="array" ref="I395">IFERROR(INDEX($B$2:$B$401,MATCH(394,$J$2:$J$401,0)),"")</f>
        <v/>
      </c>
      <c r="J395" s="80" t="str">
        <f t="shared" si="3"/>
        <v/>
      </c>
      <c r="L395" s="2"/>
    </row>
    <row r="396" ht="15.75" customHeight="1">
      <c r="A396" s="80" t="str">
        <f t="shared" si="1"/>
        <v/>
      </c>
      <c r="B396" s="2"/>
      <c r="C396" s="13" t="b">
        <v>0</v>
      </c>
      <c r="D396" s="80" t="str">
        <f>IF(B396="","",COUNTIFS('Binder Data'!$B$2:$B$6251,B396,'Binder Data'!$E$2:$E$6251,"Y"))</f>
        <v/>
      </c>
      <c r="E396" s="17" t="str">
        <f>IF(B396="","",SUMIFS('Binder Data'!$F$2:$F$6251,'Binder Data'!$B$2:$B$6251,B396,'Binder Data'!$E$2:$E$6251,"Y"))</f>
        <v/>
      </c>
      <c r="F396" s="80" t="str">
        <f>IF(B396="","",IF(C396=TRUE(),"Searched / no binder",IF(D396=0,"No cards assigned",IF(OR(D396&gt;=Binders!$D$3,E396&gt;=Binders!$E$3),"Pull","Skip: buy elsewhere"))))</f>
        <v/>
      </c>
      <c r="G396" s="80" t="str">
        <f t="shared" si="2"/>
        <v/>
      </c>
      <c r="H396" s="2"/>
      <c r="I396" s="80" t="str">
        <f t="array" ref="I396">IFERROR(INDEX($B$2:$B$401,MATCH(395,$J$2:$J$401,0)),"")</f>
        <v/>
      </c>
      <c r="J396" s="80" t="str">
        <f t="shared" si="3"/>
        <v/>
      </c>
      <c r="L396" s="2"/>
    </row>
    <row r="397" ht="15.75" customHeight="1">
      <c r="A397" s="80" t="str">
        <f t="shared" si="1"/>
        <v/>
      </c>
      <c r="B397" s="2"/>
      <c r="C397" s="13" t="b">
        <v>0</v>
      </c>
      <c r="D397" s="80" t="str">
        <f>IF(B397="","",COUNTIFS('Binder Data'!$B$2:$B$6251,B397,'Binder Data'!$E$2:$E$6251,"Y"))</f>
        <v/>
      </c>
      <c r="E397" s="17" t="str">
        <f>IF(B397="","",SUMIFS('Binder Data'!$F$2:$F$6251,'Binder Data'!$B$2:$B$6251,B397,'Binder Data'!$E$2:$E$6251,"Y"))</f>
        <v/>
      </c>
      <c r="F397" s="80" t="str">
        <f>IF(B397="","",IF(C397=TRUE(),"Searched / no binder",IF(D397=0,"No cards assigned",IF(OR(D397&gt;=Binders!$D$3,E397&gt;=Binders!$E$3),"Pull","Skip: buy elsewhere"))))</f>
        <v/>
      </c>
      <c r="G397" s="80" t="str">
        <f t="shared" si="2"/>
        <v/>
      </c>
      <c r="H397" s="2"/>
      <c r="I397" s="80" t="str">
        <f t="array" ref="I397">IFERROR(INDEX($B$2:$B$401,MATCH(396,$J$2:$J$401,0)),"")</f>
        <v/>
      </c>
      <c r="J397" s="80" t="str">
        <f t="shared" si="3"/>
        <v/>
      </c>
      <c r="L397" s="2"/>
    </row>
    <row r="398" ht="15.75" customHeight="1">
      <c r="A398" s="80" t="str">
        <f t="shared" si="1"/>
        <v/>
      </c>
      <c r="B398" s="2"/>
      <c r="C398" s="13" t="b">
        <v>0</v>
      </c>
      <c r="D398" s="80" t="str">
        <f>IF(B398="","",COUNTIFS('Binder Data'!$B$2:$B$6251,B398,'Binder Data'!$E$2:$E$6251,"Y"))</f>
        <v/>
      </c>
      <c r="E398" s="17" t="str">
        <f>IF(B398="","",SUMIFS('Binder Data'!$F$2:$F$6251,'Binder Data'!$B$2:$B$6251,B398,'Binder Data'!$E$2:$E$6251,"Y"))</f>
        <v/>
      </c>
      <c r="F398" s="80" t="str">
        <f>IF(B398="","",IF(C398=TRUE(),"Searched / no binder",IF(D398=0,"No cards assigned",IF(OR(D398&gt;=Binders!$D$3,E398&gt;=Binders!$E$3),"Pull","Skip: buy elsewhere"))))</f>
        <v/>
      </c>
      <c r="G398" s="80" t="str">
        <f t="shared" si="2"/>
        <v/>
      </c>
      <c r="H398" s="2"/>
      <c r="I398" s="80" t="str">
        <f t="array" ref="I398">IFERROR(INDEX($B$2:$B$401,MATCH(397,$J$2:$J$401,0)),"")</f>
        <v/>
      </c>
      <c r="J398" s="80" t="str">
        <f t="shared" si="3"/>
        <v/>
      </c>
      <c r="L398" s="2"/>
    </row>
    <row r="399" ht="15.75" customHeight="1">
      <c r="A399" s="80" t="str">
        <f t="shared" si="1"/>
        <v/>
      </c>
      <c r="B399" s="2"/>
      <c r="C399" s="13" t="b">
        <v>0</v>
      </c>
      <c r="D399" s="80" t="str">
        <f>IF(B399="","",COUNTIFS('Binder Data'!$B$2:$B$6251,B399,'Binder Data'!$E$2:$E$6251,"Y"))</f>
        <v/>
      </c>
      <c r="E399" s="17" t="str">
        <f>IF(B399="","",SUMIFS('Binder Data'!$F$2:$F$6251,'Binder Data'!$B$2:$B$6251,B399,'Binder Data'!$E$2:$E$6251,"Y"))</f>
        <v/>
      </c>
      <c r="F399" s="80" t="str">
        <f>IF(B399="","",IF(C399=TRUE(),"Searched / no binder",IF(D399=0,"No cards assigned",IF(OR(D399&gt;=Binders!$D$3,E399&gt;=Binders!$E$3),"Pull","Skip: buy elsewhere"))))</f>
        <v/>
      </c>
      <c r="G399" s="80" t="str">
        <f t="shared" si="2"/>
        <v/>
      </c>
      <c r="H399" s="2"/>
      <c r="I399" s="80" t="str">
        <f t="array" ref="I399">IFERROR(INDEX($B$2:$B$401,MATCH(398,$J$2:$J$401,0)),"")</f>
        <v/>
      </c>
      <c r="J399" s="80" t="str">
        <f t="shared" si="3"/>
        <v/>
      </c>
      <c r="L399" s="2"/>
    </row>
    <row r="400" ht="15.75" customHeight="1">
      <c r="A400" s="80" t="str">
        <f t="shared" si="1"/>
        <v/>
      </c>
      <c r="B400" s="2"/>
      <c r="C400" s="13" t="b">
        <v>0</v>
      </c>
      <c r="D400" s="80" t="str">
        <f>IF(B400="","",COUNTIFS('Binder Data'!$B$2:$B$6251,B400,'Binder Data'!$E$2:$E$6251,"Y"))</f>
        <v/>
      </c>
      <c r="E400" s="17" t="str">
        <f>IF(B400="","",SUMIFS('Binder Data'!$F$2:$F$6251,'Binder Data'!$B$2:$B$6251,B400,'Binder Data'!$E$2:$E$6251,"Y"))</f>
        <v/>
      </c>
      <c r="F400" s="80" t="str">
        <f>IF(B400="","",IF(C400=TRUE(),"Searched / no binder",IF(D400=0,"No cards assigned",IF(OR(D400&gt;=Binders!$D$3,E400&gt;=Binders!$E$3),"Pull","Skip: buy elsewhere"))))</f>
        <v/>
      </c>
      <c r="G400" s="80" t="str">
        <f t="shared" si="2"/>
        <v/>
      </c>
      <c r="H400" s="2"/>
      <c r="I400" s="80" t="str">
        <f t="array" ref="I400">IFERROR(INDEX($B$2:$B$401,MATCH(399,$J$2:$J$401,0)),"")</f>
        <v/>
      </c>
      <c r="J400" s="80" t="str">
        <f t="shared" si="3"/>
        <v/>
      </c>
      <c r="L400" s="2"/>
    </row>
    <row r="401" ht="15.75" customHeight="1">
      <c r="A401" s="80" t="str">
        <f t="shared" si="1"/>
        <v/>
      </c>
      <c r="B401" s="2"/>
      <c r="C401" s="13" t="b">
        <v>0</v>
      </c>
      <c r="D401" s="80" t="str">
        <f>IF(B401="","",COUNTIFS('Binder Data'!$B$2:$B$6251,B401,'Binder Data'!$E$2:$E$6251,"Y"))</f>
        <v/>
      </c>
      <c r="E401" s="17" t="str">
        <f>IF(B401="","",SUMIFS('Binder Data'!$F$2:$F$6251,'Binder Data'!$B$2:$B$6251,B401,'Binder Data'!$E$2:$E$6251,"Y"))</f>
        <v/>
      </c>
      <c r="F401" s="80" t="str">
        <f>IF(B401="","",IF(C401=TRUE(),"Searched / no binder",IF(D401=0,"No cards assigned",IF(OR(D401&gt;=Binders!$D$3,E401&gt;=Binders!$E$3),"Pull","Skip: buy elsewhere"))))</f>
        <v/>
      </c>
      <c r="G401" s="80" t="str">
        <f t="shared" si="2"/>
        <v/>
      </c>
      <c r="H401" s="2"/>
      <c r="I401" s="80" t="str">
        <f t="array" ref="I401">IFERROR(INDEX($B$2:$B$401,MATCH(400,$J$2:$J$401,0)),"")</f>
        <v/>
      </c>
      <c r="J401" s="80" t="str">
        <f t="shared" si="3"/>
        <v/>
      </c>
      <c r="L401" s="2"/>
    </row>
    <row r="402" ht="15.75" customHeight="1">
      <c r="A402" s="2"/>
      <c r="B402" s="2"/>
      <c r="C402" s="2"/>
      <c r="D402" s="2"/>
      <c r="E402" s="2"/>
      <c r="F402" s="2"/>
      <c r="G402" s="2"/>
      <c r="H402" s="2"/>
      <c r="I402" s="2"/>
      <c r="J402" s="2"/>
      <c r="L402" s="2"/>
    </row>
    <row r="403" ht="15.75" customHeight="1">
      <c r="A403" s="2"/>
      <c r="B403" s="2"/>
      <c r="C403" s="2"/>
      <c r="D403" s="2"/>
      <c r="E403" s="2"/>
      <c r="F403" s="2"/>
      <c r="G403" s="2"/>
      <c r="H403" s="2"/>
      <c r="I403" s="2"/>
      <c r="J403" s="2"/>
      <c r="L403" s="2"/>
    </row>
    <row r="404" ht="15.75" customHeight="1">
      <c r="A404" s="2"/>
      <c r="B404" s="2"/>
      <c r="C404" s="2"/>
      <c r="D404" s="2"/>
      <c r="E404" s="2"/>
      <c r="F404" s="2"/>
      <c r="G404" s="2"/>
      <c r="H404" s="2"/>
      <c r="I404" s="2"/>
      <c r="J404" s="2"/>
      <c r="L404" s="2"/>
    </row>
    <row r="405" ht="15.75" customHeight="1">
      <c r="A405" s="2"/>
      <c r="B405" s="2"/>
      <c r="C405" s="2"/>
      <c r="D405" s="2"/>
      <c r="E405" s="2"/>
      <c r="F405" s="2"/>
      <c r="G405" s="2"/>
      <c r="H405" s="2"/>
      <c r="I405" s="2"/>
      <c r="J405" s="2"/>
      <c r="L405" s="2"/>
    </row>
    <row r="406" ht="15.75" customHeight="1">
      <c r="A406" s="2"/>
      <c r="B406" s="2"/>
      <c r="C406" s="2"/>
      <c r="D406" s="2"/>
      <c r="E406" s="2"/>
      <c r="F406" s="2"/>
      <c r="G406" s="2"/>
      <c r="H406" s="2"/>
      <c r="I406" s="2"/>
      <c r="J406" s="2"/>
      <c r="L406" s="2"/>
    </row>
    <row r="407" ht="15.75" customHeight="1">
      <c r="A407" s="2"/>
      <c r="B407" s="2"/>
      <c r="C407" s="2"/>
      <c r="D407" s="2"/>
      <c r="E407" s="2"/>
      <c r="F407" s="2"/>
      <c r="G407" s="2"/>
      <c r="H407" s="2"/>
      <c r="I407" s="2"/>
      <c r="J407" s="2"/>
      <c r="L407" s="2"/>
    </row>
    <row r="408" ht="15.75" customHeight="1">
      <c r="A408" s="2"/>
      <c r="B408" s="2"/>
      <c r="C408" s="2"/>
      <c r="D408" s="2"/>
      <c r="E408" s="2"/>
      <c r="F408" s="2"/>
      <c r="G408" s="2"/>
      <c r="H408" s="2"/>
      <c r="I408" s="2"/>
      <c r="J408" s="2"/>
      <c r="L408" s="2"/>
    </row>
    <row r="409" ht="15.75" customHeight="1">
      <c r="A409" s="2"/>
      <c r="B409" s="2"/>
      <c r="C409" s="2"/>
      <c r="D409" s="2"/>
      <c r="E409" s="2"/>
      <c r="F409" s="2"/>
      <c r="G409" s="2"/>
      <c r="H409" s="2"/>
      <c r="I409" s="2"/>
      <c r="J409" s="2"/>
      <c r="L409" s="2"/>
    </row>
    <row r="410" ht="15.75" customHeight="1">
      <c r="A410" s="2"/>
      <c r="B410" s="2"/>
      <c r="C410" s="2"/>
      <c r="D410" s="2"/>
      <c r="E410" s="2"/>
      <c r="F410" s="2"/>
      <c r="G410" s="2"/>
      <c r="H410" s="2"/>
      <c r="I410" s="2"/>
      <c r="J410" s="2"/>
      <c r="L410" s="2"/>
    </row>
    <row r="411" ht="15.75" customHeight="1">
      <c r="A411" s="2"/>
      <c r="B411" s="2"/>
      <c r="C411" s="2"/>
      <c r="D411" s="2"/>
      <c r="E411" s="2"/>
      <c r="F411" s="2"/>
      <c r="G411" s="2"/>
      <c r="H411" s="2"/>
      <c r="I411" s="2"/>
      <c r="J411" s="2"/>
      <c r="L411" s="2"/>
    </row>
    <row r="412" ht="15.75" customHeight="1">
      <c r="A412" s="2"/>
      <c r="B412" s="2"/>
      <c r="C412" s="2"/>
      <c r="D412" s="2"/>
      <c r="E412" s="2"/>
      <c r="F412" s="2"/>
      <c r="G412" s="2"/>
      <c r="H412" s="2"/>
      <c r="I412" s="2"/>
      <c r="J412" s="2"/>
      <c r="L412" s="2"/>
    </row>
    <row r="413" ht="15.75" customHeight="1">
      <c r="A413" s="2"/>
      <c r="B413" s="2"/>
      <c r="C413" s="2"/>
      <c r="D413" s="2"/>
      <c r="E413" s="2"/>
      <c r="F413" s="2"/>
      <c r="G413" s="2"/>
      <c r="H413" s="2"/>
      <c r="I413" s="2"/>
      <c r="J413" s="2"/>
      <c r="L413" s="2"/>
    </row>
    <row r="414" ht="15.75" customHeight="1">
      <c r="A414" s="2"/>
      <c r="B414" s="2"/>
      <c r="C414" s="2"/>
      <c r="D414" s="2"/>
      <c r="E414" s="2"/>
      <c r="F414" s="2"/>
      <c r="G414" s="2"/>
      <c r="H414" s="2"/>
      <c r="I414" s="2"/>
      <c r="J414" s="2"/>
      <c r="L414" s="2"/>
    </row>
    <row r="415" ht="15.75" customHeight="1">
      <c r="A415" s="2"/>
      <c r="B415" s="2"/>
      <c r="C415" s="2"/>
      <c r="D415" s="2"/>
      <c r="E415" s="2"/>
      <c r="F415" s="2"/>
      <c r="G415" s="2"/>
      <c r="H415" s="2"/>
      <c r="I415" s="2"/>
      <c r="J415" s="2"/>
      <c r="L415" s="2"/>
    </row>
    <row r="416" ht="15.75" customHeight="1">
      <c r="A416" s="2"/>
      <c r="B416" s="2"/>
      <c r="C416" s="2"/>
      <c r="D416" s="2"/>
      <c r="E416" s="2"/>
      <c r="F416" s="2"/>
      <c r="G416" s="2"/>
      <c r="H416" s="2"/>
      <c r="I416" s="2"/>
      <c r="J416" s="2"/>
      <c r="L416" s="2"/>
    </row>
    <row r="417" ht="15.75" customHeight="1">
      <c r="A417" s="2"/>
      <c r="B417" s="2"/>
      <c r="C417" s="2"/>
      <c r="D417" s="2"/>
      <c r="E417" s="2"/>
      <c r="F417" s="2"/>
      <c r="G417" s="2"/>
      <c r="H417" s="2"/>
      <c r="I417" s="2"/>
      <c r="J417" s="2"/>
      <c r="L417" s="2"/>
    </row>
    <row r="418" ht="15.75" customHeight="1">
      <c r="A418" s="2"/>
      <c r="B418" s="2"/>
      <c r="C418" s="2"/>
      <c r="D418" s="2"/>
      <c r="E418" s="2"/>
      <c r="F418" s="2"/>
      <c r="G418" s="2"/>
      <c r="H418" s="2"/>
      <c r="I418" s="2"/>
      <c r="J418" s="2"/>
      <c r="L418" s="2"/>
    </row>
    <row r="419" ht="15.75" customHeight="1">
      <c r="A419" s="2"/>
      <c r="B419" s="2"/>
      <c r="C419" s="2"/>
      <c r="D419" s="2"/>
      <c r="E419" s="2"/>
      <c r="F419" s="2"/>
      <c r="G419" s="2"/>
      <c r="H419" s="2"/>
      <c r="I419" s="2"/>
      <c r="J419" s="2"/>
      <c r="L419" s="2"/>
    </row>
    <row r="420" ht="15.75" customHeight="1">
      <c r="A420" s="2"/>
      <c r="B420" s="2"/>
      <c r="C420" s="2"/>
      <c r="D420" s="2"/>
      <c r="E420" s="2"/>
      <c r="F420" s="2"/>
      <c r="G420" s="2"/>
      <c r="H420" s="2"/>
      <c r="I420" s="2"/>
      <c r="J420" s="2"/>
      <c r="L420" s="2"/>
    </row>
    <row r="421" ht="15.75" customHeight="1">
      <c r="A421" s="2"/>
      <c r="B421" s="2"/>
      <c r="C421" s="2"/>
      <c r="D421" s="2"/>
      <c r="E421" s="2"/>
      <c r="F421" s="2"/>
      <c r="G421" s="2"/>
      <c r="H421" s="2"/>
      <c r="I421" s="2"/>
      <c r="J421" s="2"/>
      <c r="L421" s="2"/>
    </row>
    <row r="422" ht="15.75" customHeight="1">
      <c r="A422" s="2"/>
      <c r="B422" s="2"/>
      <c r="C422" s="2"/>
      <c r="D422" s="2"/>
      <c r="E422" s="2"/>
      <c r="F422" s="2"/>
      <c r="G422" s="2"/>
      <c r="H422" s="2"/>
      <c r="I422" s="2"/>
      <c r="J422" s="2"/>
      <c r="L422" s="2"/>
    </row>
    <row r="423" ht="15.75" customHeight="1">
      <c r="A423" s="2"/>
      <c r="B423" s="2"/>
      <c r="C423" s="2"/>
      <c r="D423" s="2"/>
      <c r="E423" s="2"/>
      <c r="F423" s="2"/>
      <c r="G423" s="2"/>
      <c r="H423" s="2"/>
      <c r="I423" s="2"/>
      <c r="J423" s="2"/>
      <c r="L423" s="2"/>
    </row>
    <row r="424" ht="15.75" customHeight="1">
      <c r="A424" s="2"/>
      <c r="B424" s="2"/>
      <c r="C424" s="2"/>
      <c r="D424" s="2"/>
      <c r="E424" s="2"/>
      <c r="F424" s="2"/>
      <c r="G424" s="2"/>
      <c r="H424" s="2"/>
      <c r="I424" s="2"/>
      <c r="J424" s="2"/>
      <c r="L424" s="2"/>
    </row>
    <row r="425" ht="15.75" customHeight="1">
      <c r="A425" s="2"/>
      <c r="B425" s="2"/>
      <c r="C425" s="2"/>
      <c r="D425" s="2"/>
      <c r="E425" s="2"/>
      <c r="F425" s="2"/>
      <c r="G425" s="2"/>
      <c r="H425" s="2"/>
      <c r="I425" s="2"/>
      <c r="J425" s="2"/>
      <c r="L425" s="2"/>
    </row>
    <row r="426" ht="15.75" customHeight="1">
      <c r="A426" s="2"/>
      <c r="B426" s="2"/>
      <c r="C426" s="2"/>
      <c r="D426" s="2"/>
      <c r="E426" s="2"/>
      <c r="F426" s="2"/>
      <c r="G426" s="2"/>
      <c r="H426" s="2"/>
      <c r="I426" s="2"/>
      <c r="J426" s="2"/>
      <c r="L426" s="2"/>
    </row>
    <row r="427" ht="15.75" customHeight="1">
      <c r="A427" s="2"/>
      <c r="B427" s="2"/>
      <c r="C427" s="2"/>
      <c r="D427" s="2"/>
      <c r="E427" s="2"/>
      <c r="F427" s="2"/>
      <c r="G427" s="2"/>
      <c r="H427" s="2"/>
      <c r="I427" s="2"/>
      <c r="J427" s="2"/>
      <c r="L427" s="2"/>
    </row>
    <row r="428" ht="15.75" customHeight="1">
      <c r="A428" s="2"/>
      <c r="B428" s="2"/>
      <c r="C428" s="2"/>
      <c r="D428" s="2"/>
      <c r="E428" s="2"/>
      <c r="F428" s="2"/>
      <c r="G428" s="2"/>
      <c r="H428" s="2"/>
      <c r="I428" s="2"/>
      <c r="J428" s="2"/>
      <c r="L428" s="2"/>
    </row>
    <row r="429" ht="15.75" customHeight="1">
      <c r="A429" s="2"/>
      <c r="B429" s="2"/>
      <c r="C429" s="2"/>
      <c r="D429" s="2"/>
      <c r="E429" s="2"/>
      <c r="F429" s="2"/>
      <c r="G429" s="2"/>
      <c r="H429" s="2"/>
      <c r="I429" s="2"/>
      <c r="J429" s="2"/>
      <c r="L429" s="2"/>
    </row>
    <row r="430" ht="15.75" customHeight="1">
      <c r="A430" s="2"/>
      <c r="B430" s="2"/>
      <c r="C430" s="2"/>
      <c r="D430" s="2"/>
      <c r="E430" s="2"/>
      <c r="F430" s="2"/>
      <c r="G430" s="2"/>
      <c r="H430" s="2"/>
      <c r="I430" s="2"/>
      <c r="J430" s="2"/>
      <c r="L430" s="2"/>
    </row>
    <row r="431" ht="15.75" customHeight="1">
      <c r="A431" s="2"/>
      <c r="B431" s="2"/>
      <c r="C431" s="2"/>
      <c r="D431" s="2"/>
      <c r="E431" s="2"/>
      <c r="F431" s="2"/>
      <c r="G431" s="2"/>
      <c r="H431" s="2"/>
      <c r="I431" s="2"/>
      <c r="J431" s="2"/>
      <c r="L431" s="2"/>
    </row>
    <row r="432" ht="15.75" customHeight="1">
      <c r="A432" s="2"/>
      <c r="B432" s="2"/>
      <c r="C432" s="2"/>
      <c r="D432" s="2"/>
      <c r="E432" s="2"/>
      <c r="F432" s="2"/>
      <c r="G432" s="2"/>
      <c r="H432" s="2"/>
      <c r="I432" s="2"/>
      <c r="J432" s="2"/>
      <c r="L432" s="2"/>
    </row>
    <row r="433" ht="15.75" customHeight="1">
      <c r="A433" s="2"/>
      <c r="B433" s="2"/>
      <c r="C433" s="2"/>
      <c r="D433" s="2"/>
      <c r="E433" s="2"/>
      <c r="F433" s="2"/>
      <c r="G433" s="2"/>
      <c r="H433" s="2"/>
      <c r="I433" s="2"/>
      <c r="J433" s="2"/>
      <c r="L433" s="2"/>
    </row>
    <row r="434" ht="15.75" customHeight="1">
      <c r="A434" s="2"/>
      <c r="B434" s="2"/>
      <c r="C434" s="2"/>
      <c r="D434" s="2"/>
      <c r="E434" s="2"/>
      <c r="F434" s="2"/>
      <c r="G434" s="2"/>
      <c r="H434" s="2"/>
      <c r="I434" s="2"/>
      <c r="J434" s="2"/>
      <c r="L434" s="2"/>
    </row>
    <row r="435" ht="15.75" customHeight="1">
      <c r="A435" s="2"/>
      <c r="B435" s="2"/>
      <c r="C435" s="2"/>
      <c r="D435" s="2"/>
      <c r="E435" s="2"/>
      <c r="F435" s="2"/>
      <c r="G435" s="2"/>
      <c r="H435" s="2"/>
      <c r="I435" s="2"/>
      <c r="J435" s="2"/>
      <c r="L435" s="2"/>
    </row>
    <row r="436" ht="15.75" customHeight="1">
      <c r="A436" s="2"/>
      <c r="B436" s="2"/>
      <c r="C436" s="2"/>
      <c r="D436" s="2"/>
      <c r="E436" s="2"/>
      <c r="F436" s="2"/>
      <c r="G436" s="2"/>
      <c r="H436" s="2"/>
      <c r="I436" s="2"/>
      <c r="J436" s="2"/>
      <c r="L436" s="2"/>
    </row>
    <row r="437" ht="15.75" customHeight="1">
      <c r="A437" s="2"/>
      <c r="B437" s="2"/>
      <c r="C437" s="2"/>
      <c r="D437" s="2"/>
      <c r="E437" s="2"/>
      <c r="F437" s="2"/>
      <c r="G437" s="2"/>
      <c r="H437" s="2"/>
      <c r="I437" s="2"/>
      <c r="J437" s="2"/>
      <c r="L437" s="2"/>
    </row>
    <row r="438" ht="15.75" customHeight="1">
      <c r="A438" s="2"/>
      <c r="B438" s="2"/>
      <c r="C438" s="2"/>
      <c r="D438" s="2"/>
      <c r="E438" s="2"/>
      <c r="F438" s="2"/>
      <c r="G438" s="2"/>
      <c r="H438" s="2"/>
      <c r="I438" s="2"/>
      <c r="J438" s="2"/>
      <c r="L438" s="2"/>
    </row>
    <row r="439" ht="15.75" customHeight="1">
      <c r="A439" s="2"/>
      <c r="B439" s="2"/>
      <c r="C439" s="2"/>
      <c r="D439" s="2"/>
      <c r="E439" s="2"/>
      <c r="F439" s="2"/>
      <c r="G439" s="2"/>
      <c r="H439" s="2"/>
      <c r="I439" s="2"/>
      <c r="J439" s="2"/>
      <c r="L439" s="2"/>
    </row>
    <row r="440" ht="15.75" customHeight="1">
      <c r="A440" s="2"/>
      <c r="B440" s="2"/>
      <c r="C440" s="2"/>
      <c r="D440" s="2"/>
      <c r="E440" s="2"/>
      <c r="F440" s="2"/>
      <c r="G440" s="2"/>
      <c r="H440" s="2"/>
      <c r="I440" s="2"/>
      <c r="J440" s="2"/>
      <c r="L440" s="2"/>
    </row>
    <row r="441" ht="15.75" customHeight="1">
      <c r="A441" s="2"/>
      <c r="B441" s="2"/>
      <c r="C441" s="2"/>
      <c r="D441" s="2"/>
      <c r="E441" s="2"/>
      <c r="F441" s="2"/>
      <c r="G441" s="2"/>
      <c r="H441" s="2"/>
      <c r="I441" s="2"/>
      <c r="J441" s="2"/>
      <c r="L441" s="2"/>
    </row>
    <row r="442" ht="15.75" customHeight="1">
      <c r="A442" s="2"/>
      <c r="B442" s="2"/>
      <c r="C442" s="2"/>
      <c r="D442" s="2"/>
      <c r="E442" s="2"/>
      <c r="F442" s="2"/>
      <c r="G442" s="2"/>
      <c r="H442" s="2"/>
      <c r="I442" s="2"/>
      <c r="J442" s="2"/>
      <c r="L442" s="2"/>
    </row>
    <row r="443" ht="15.75" customHeight="1">
      <c r="A443" s="2"/>
      <c r="B443" s="2"/>
      <c r="C443" s="2"/>
      <c r="D443" s="2"/>
      <c r="E443" s="2"/>
      <c r="F443" s="2"/>
      <c r="G443" s="2"/>
      <c r="H443" s="2"/>
      <c r="I443" s="2"/>
      <c r="J443" s="2"/>
      <c r="L443" s="2"/>
    </row>
    <row r="444" ht="15.75" customHeight="1">
      <c r="A444" s="2"/>
      <c r="B444" s="2"/>
      <c r="C444" s="2"/>
      <c r="D444" s="2"/>
      <c r="E444" s="2"/>
      <c r="F444" s="2"/>
      <c r="G444" s="2"/>
      <c r="H444" s="2"/>
      <c r="I444" s="2"/>
      <c r="J444" s="2"/>
      <c r="L444" s="2"/>
    </row>
    <row r="445" ht="15.75" customHeight="1">
      <c r="A445" s="2"/>
      <c r="B445" s="2"/>
      <c r="C445" s="2"/>
      <c r="D445" s="2"/>
      <c r="E445" s="2"/>
      <c r="F445" s="2"/>
      <c r="G445" s="2"/>
      <c r="H445" s="2"/>
      <c r="I445" s="2"/>
      <c r="J445" s="2"/>
      <c r="L445" s="2"/>
    </row>
    <row r="446" ht="15.75" customHeight="1">
      <c r="A446" s="2"/>
      <c r="B446" s="2"/>
      <c r="C446" s="2"/>
      <c r="D446" s="2"/>
      <c r="E446" s="2"/>
      <c r="F446" s="2"/>
      <c r="G446" s="2"/>
      <c r="H446" s="2"/>
      <c r="I446" s="2"/>
      <c r="J446" s="2"/>
      <c r="L446" s="2"/>
    </row>
    <row r="447" ht="15.75" customHeight="1">
      <c r="A447" s="2"/>
      <c r="B447" s="2"/>
      <c r="C447" s="2"/>
      <c r="D447" s="2"/>
      <c r="E447" s="2"/>
      <c r="F447" s="2"/>
      <c r="G447" s="2"/>
      <c r="H447" s="2"/>
      <c r="I447" s="2"/>
      <c r="J447" s="2"/>
      <c r="L447" s="2"/>
    </row>
    <row r="448" ht="15.75" customHeight="1">
      <c r="A448" s="2"/>
      <c r="B448" s="2"/>
      <c r="C448" s="2"/>
      <c r="D448" s="2"/>
      <c r="E448" s="2"/>
      <c r="F448" s="2"/>
      <c r="G448" s="2"/>
      <c r="H448" s="2"/>
      <c r="I448" s="2"/>
      <c r="J448" s="2"/>
      <c r="L448" s="2"/>
    </row>
    <row r="449" ht="15.75" customHeight="1">
      <c r="A449" s="2"/>
      <c r="B449" s="2"/>
      <c r="C449" s="2"/>
      <c r="D449" s="2"/>
      <c r="E449" s="2"/>
      <c r="F449" s="2"/>
      <c r="G449" s="2"/>
      <c r="H449" s="2"/>
      <c r="I449" s="2"/>
      <c r="J449" s="2"/>
      <c r="L449" s="2"/>
    </row>
    <row r="450" ht="15.75" customHeight="1">
      <c r="A450" s="2"/>
      <c r="B450" s="2"/>
      <c r="C450" s="2"/>
      <c r="D450" s="2"/>
      <c r="E450" s="2"/>
      <c r="F450" s="2"/>
      <c r="G450" s="2"/>
      <c r="H450" s="2"/>
      <c r="I450" s="2"/>
      <c r="J450" s="2"/>
      <c r="L450" s="2"/>
    </row>
    <row r="451" ht="15.75" customHeight="1">
      <c r="A451" s="2"/>
      <c r="B451" s="2"/>
      <c r="C451" s="2"/>
      <c r="D451" s="2"/>
      <c r="E451" s="2"/>
      <c r="F451" s="2"/>
      <c r="G451" s="2"/>
      <c r="H451" s="2"/>
      <c r="I451" s="2"/>
      <c r="J451" s="2"/>
      <c r="L451" s="2"/>
    </row>
    <row r="452" ht="15.75" customHeight="1">
      <c r="A452" s="2"/>
      <c r="B452" s="2"/>
      <c r="C452" s="2"/>
      <c r="D452" s="2"/>
      <c r="E452" s="2"/>
      <c r="F452" s="2"/>
      <c r="G452" s="2"/>
      <c r="H452" s="2"/>
      <c r="I452" s="2"/>
      <c r="J452" s="2"/>
      <c r="L452" s="2"/>
    </row>
    <row r="453" ht="15.75" customHeight="1">
      <c r="A453" s="2"/>
      <c r="B453" s="2"/>
      <c r="C453" s="2"/>
      <c r="D453" s="2"/>
      <c r="E453" s="2"/>
      <c r="F453" s="2"/>
      <c r="G453" s="2"/>
      <c r="H453" s="2"/>
      <c r="I453" s="2"/>
      <c r="J453" s="2"/>
      <c r="L453" s="2"/>
    </row>
    <row r="454" ht="15.75" customHeight="1">
      <c r="A454" s="2"/>
      <c r="B454" s="2"/>
      <c r="C454" s="2"/>
      <c r="D454" s="2"/>
      <c r="E454" s="2"/>
      <c r="F454" s="2"/>
      <c r="G454" s="2"/>
      <c r="H454" s="2"/>
      <c r="I454" s="2"/>
      <c r="J454" s="2"/>
      <c r="L454" s="2"/>
    </row>
    <row r="455" ht="15.75" customHeight="1">
      <c r="A455" s="2"/>
      <c r="B455" s="2"/>
      <c r="C455" s="2"/>
      <c r="D455" s="2"/>
      <c r="E455" s="2"/>
      <c r="F455" s="2"/>
      <c r="G455" s="2"/>
      <c r="H455" s="2"/>
      <c r="I455" s="2"/>
      <c r="J455" s="2"/>
      <c r="L455" s="2"/>
    </row>
    <row r="456" ht="15.75" customHeight="1">
      <c r="A456" s="2"/>
      <c r="B456" s="2"/>
      <c r="C456" s="2"/>
      <c r="D456" s="2"/>
      <c r="E456" s="2"/>
      <c r="F456" s="2"/>
      <c r="G456" s="2"/>
      <c r="H456" s="2"/>
      <c r="I456" s="2"/>
      <c r="J456" s="2"/>
      <c r="L456" s="2"/>
    </row>
    <row r="457" ht="15.75" customHeight="1">
      <c r="A457" s="2"/>
      <c r="B457" s="2"/>
      <c r="C457" s="2"/>
      <c r="D457" s="2"/>
      <c r="E457" s="2"/>
      <c r="F457" s="2"/>
      <c r="G457" s="2"/>
      <c r="H457" s="2"/>
      <c r="I457" s="2"/>
      <c r="J457" s="2"/>
      <c r="L457" s="2"/>
    </row>
    <row r="458" ht="15.75" customHeight="1">
      <c r="A458" s="2"/>
      <c r="B458" s="2"/>
      <c r="C458" s="2"/>
      <c r="D458" s="2"/>
      <c r="E458" s="2"/>
      <c r="F458" s="2"/>
      <c r="G458" s="2"/>
      <c r="H458" s="2"/>
      <c r="I458" s="2"/>
      <c r="J458" s="2"/>
      <c r="L458" s="2"/>
    </row>
    <row r="459" ht="15.75" customHeight="1">
      <c r="A459" s="2"/>
      <c r="B459" s="2"/>
      <c r="C459" s="2"/>
      <c r="D459" s="2"/>
      <c r="E459" s="2"/>
      <c r="F459" s="2"/>
      <c r="G459" s="2"/>
      <c r="H459" s="2"/>
      <c r="I459" s="2"/>
      <c r="J459" s="2"/>
      <c r="L459" s="2"/>
    </row>
    <row r="460" ht="15.75" customHeight="1">
      <c r="A460" s="2"/>
      <c r="B460" s="2"/>
      <c r="C460" s="2"/>
      <c r="D460" s="2"/>
      <c r="E460" s="2"/>
      <c r="F460" s="2"/>
      <c r="G460" s="2"/>
      <c r="H460" s="2"/>
      <c r="I460" s="2"/>
      <c r="J460" s="2"/>
      <c r="L460" s="2"/>
    </row>
    <row r="461" ht="15.75" customHeight="1">
      <c r="A461" s="2"/>
      <c r="B461" s="2"/>
      <c r="C461" s="2"/>
      <c r="D461" s="2"/>
      <c r="E461" s="2"/>
      <c r="F461" s="2"/>
      <c r="G461" s="2"/>
      <c r="H461" s="2"/>
      <c r="I461" s="2"/>
      <c r="J461" s="2"/>
      <c r="L461" s="2"/>
    </row>
    <row r="462" ht="15.75" customHeight="1">
      <c r="A462" s="2"/>
      <c r="B462" s="2"/>
      <c r="C462" s="2"/>
      <c r="D462" s="2"/>
      <c r="E462" s="2"/>
      <c r="F462" s="2"/>
      <c r="G462" s="2"/>
      <c r="H462" s="2"/>
      <c r="I462" s="2"/>
      <c r="J462" s="2"/>
      <c r="L462" s="2"/>
    </row>
    <row r="463" ht="15.75" customHeight="1">
      <c r="A463" s="2"/>
      <c r="B463" s="2"/>
      <c r="C463" s="2"/>
      <c r="D463" s="2"/>
      <c r="E463" s="2"/>
      <c r="F463" s="2"/>
      <c r="G463" s="2"/>
      <c r="H463" s="2"/>
      <c r="I463" s="2"/>
      <c r="J463" s="2"/>
      <c r="L463" s="2"/>
    </row>
    <row r="464" ht="15.75" customHeight="1">
      <c r="A464" s="2"/>
      <c r="B464" s="2"/>
      <c r="C464" s="2"/>
      <c r="D464" s="2"/>
      <c r="E464" s="2"/>
      <c r="F464" s="2"/>
      <c r="G464" s="2"/>
      <c r="H464" s="2"/>
      <c r="I464" s="2"/>
      <c r="J464" s="2"/>
      <c r="L464" s="2"/>
    </row>
    <row r="465" ht="15.75" customHeight="1">
      <c r="A465" s="2"/>
      <c r="B465" s="2"/>
      <c r="C465" s="2"/>
      <c r="D465" s="2"/>
      <c r="E465" s="2"/>
      <c r="F465" s="2"/>
      <c r="G465" s="2"/>
      <c r="H465" s="2"/>
      <c r="I465" s="2"/>
      <c r="J465" s="2"/>
      <c r="L465" s="2"/>
    </row>
    <row r="466" ht="15.75" customHeight="1">
      <c r="A466" s="2"/>
      <c r="B466" s="2"/>
      <c r="C466" s="2"/>
      <c r="D466" s="2"/>
      <c r="E466" s="2"/>
      <c r="F466" s="2"/>
      <c r="G466" s="2"/>
      <c r="H466" s="2"/>
      <c r="I466" s="2"/>
      <c r="J466" s="2"/>
      <c r="L466" s="2"/>
    </row>
    <row r="467" ht="15.75" customHeight="1">
      <c r="A467" s="2"/>
      <c r="B467" s="2"/>
      <c r="C467" s="2"/>
      <c r="D467" s="2"/>
      <c r="E467" s="2"/>
      <c r="F467" s="2"/>
      <c r="G467" s="2"/>
      <c r="H467" s="2"/>
      <c r="I467" s="2"/>
      <c r="J467" s="2"/>
      <c r="L467" s="2"/>
    </row>
    <row r="468" ht="15.75" customHeight="1">
      <c r="A468" s="2"/>
      <c r="B468" s="2"/>
      <c r="C468" s="2"/>
      <c r="D468" s="2"/>
      <c r="E468" s="2"/>
      <c r="F468" s="2"/>
      <c r="G468" s="2"/>
      <c r="H468" s="2"/>
      <c r="I468" s="2"/>
      <c r="J468" s="2"/>
      <c r="L468" s="2"/>
    </row>
    <row r="469" ht="15.75" customHeight="1">
      <c r="A469" s="2"/>
      <c r="B469" s="2"/>
      <c r="C469" s="2"/>
      <c r="D469" s="2"/>
      <c r="E469" s="2"/>
      <c r="F469" s="2"/>
      <c r="G469" s="2"/>
      <c r="H469" s="2"/>
      <c r="I469" s="2"/>
      <c r="J469" s="2"/>
      <c r="L469" s="2"/>
    </row>
    <row r="470" ht="15.75" customHeight="1">
      <c r="A470" s="2"/>
      <c r="B470" s="2"/>
      <c r="C470" s="2"/>
      <c r="D470" s="2"/>
      <c r="E470" s="2"/>
      <c r="F470" s="2"/>
      <c r="G470" s="2"/>
      <c r="H470" s="2"/>
      <c r="I470" s="2"/>
      <c r="J470" s="2"/>
      <c r="L470" s="2"/>
    </row>
    <row r="471" ht="15.75" customHeight="1">
      <c r="A471" s="2"/>
      <c r="B471" s="2"/>
      <c r="C471" s="2"/>
      <c r="D471" s="2"/>
      <c r="E471" s="2"/>
      <c r="F471" s="2"/>
      <c r="G471" s="2"/>
      <c r="H471" s="2"/>
      <c r="I471" s="2"/>
      <c r="J471" s="2"/>
      <c r="L471" s="2"/>
    </row>
    <row r="472" ht="15.75" customHeight="1">
      <c r="A472" s="2"/>
      <c r="B472" s="2"/>
      <c r="C472" s="2"/>
      <c r="D472" s="2"/>
      <c r="E472" s="2"/>
      <c r="F472" s="2"/>
      <c r="G472" s="2"/>
      <c r="H472" s="2"/>
      <c r="I472" s="2"/>
      <c r="J472" s="2"/>
      <c r="L472" s="2"/>
    </row>
    <row r="473" ht="15.75" customHeight="1">
      <c r="A473" s="2"/>
      <c r="B473" s="2"/>
      <c r="C473" s="2"/>
      <c r="D473" s="2"/>
      <c r="E473" s="2"/>
      <c r="F473" s="2"/>
      <c r="G473" s="2"/>
      <c r="H473" s="2"/>
      <c r="I473" s="2"/>
      <c r="J473" s="2"/>
      <c r="L473" s="2"/>
    </row>
    <row r="474" ht="15.75" customHeight="1">
      <c r="A474" s="2"/>
      <c r="B474" s="2"/>
      <c r="C474" s="2"/>
      <c r="D474" s="2"/>
      <c r="E474" s="2"/>
      <c r="F474" s="2"/>
      <c r="G474" s="2"/>
      <c r="H474" s="2"/>
      <c r="I474" s="2"/>
      <c r="J474" s="2"/>
      <c r="L474" s="2"/>
    </row>
    <row r="475" ht="15.75" customHeight="1">
      <c r="A475" s="2"/>
      <c r="B475" s="2"/>
      <c r="C475" s="2"/>
      <c r="D475" s="2"/>
      <c r="E475" s="2"/>
      <c r="F475" s="2"/>
      <c r="G475" s="2"/>
      <c r="H475" s="2"/>
      <c r="I475" s="2"/>
      <c r="J475" s="2"/>
      <c r="L475" s="2"/>
    </row>
    <row r="476" ht="15.75" customHeight="1">
      <c r="A476" s="2"/>
      <c r="B476" s="2"/>
      <c r="C476" s="2"/>
      <c r="D476" s="2"/>
      <c r="E476" s="2"/>
      <c r="F476" s="2"/>
      <c r="G476" s="2"/>
      <c r="H476" s="2"/>
      <c r="I476" s="2"/>
      <c r="J476" s="2"/>
      <c r="L476" s="2"/>
    </row>
    <row r="477" ht="15.75" customHeight="1">
      <c r="A477" s="2"/>
      <c r="B477" s="2"/>
      <c r="C477" s="2"/>
      <c r="D477" s="2"/>
      <c r="E477" s="2"/>
      <c r="F477" s="2"/>
      <c r="G477" s="2"/>
      <c r="H477" s="2"/>
      <c r="I477" s="2"/>
      <c r="J477" s="2"/>
      <c r="L477" s="2"/>
    </row>
    <row r="478" ht="15.75" customHeight="1">
      <c r="A478" s="2"/>
      <c r="B478" s="2"/>
      <c r="C478" s="2"/>
      <c r="D478" s="2"/>
      <c r="E478" s="2"/>
      <c r="F478" s="2"/>
      <c r="G478" s="2"/>
      <c r="H478" s="2"/>
      <c r="I478" s="2"/>
      <c r="J478" s="2"/>
      <c r="L478" s="2"/>
    </row>
    <row r="479" ht="15.75" customHeight="1">
      <c r="A479" s="2"/>
      <c r="B479" s="2"/>
      <c r="C479" s="2"/>
      <c r="D479" s="2"/>
      <c r="E479" s="2"/>
      <c r="F479" s="2"/>
      <c r="G479" s="2"/>
      <c r="H479" s="2"/>
      <c r="I479" s="2"/>
      <c r="J479" s="2"/>
      <c r="L479" s="2"/>
    </row>
    <row r="480" ht="15.75" customHeight="1">
      <c r="A480" s="2"/>
      <c r="B480" s="2"/>
      <c r="C480" s="2"/>
      <c r="D480" s="2"/>
      <c r="E480" s="2"/>
      <c r="F480" s="2"/>
      <c r="G480" s="2"/>
      <c r="H480" s="2"/>
      <c r="I480" s="2"/>
      <c r="J480" s="2"/>
      <c r="L480" s="2"/>
    </row>
    <row r="481" ht="15.75" customHeight="1">
      <c r="A481" s="2"/>
      <c r="B481" s="2"/>
      <c r="C481" s="2"/>
      <c r="D481" s="2"/>
      <c r="E481" s="2"/>
      <c r="F481" s="2"/>
      <c r="G481" s="2"/>
      <c r="H481" s="2"/>
      <c r="I481" s="2"/>
      <c r="J481" s="2"/>
      <c r="L481" s="2"/>
    </row>
    <row r="482" ht="15.75" customHeight="1">
      <c r="A482" s="2"/>
      <c r="B482" s="2"/>
      <c r="C482" s="2"/>
      <c r="D482" s="2"/>
      <c r="E482" s="2"/>
      <c r="F482" s="2"/>
      <c r="G482" s="2"/>
      <c r="H482" s="2"/>
      <c r="I482" s="2"/>
      <c r="J482" s="2"/>
      <c r="L482" s="2"/>
    </row>
    <row r="483" ht="15.75" customHeight="1">
      <c r="A483" s="2"/>
      <c r="B483" s="2"/>
      <c r="C483" s="2"/>
      <c r="D483" s="2"/>
      <c r="E483" s="2"/>
      <c r="F483" s="2"/>
      <c r="G483" s="2"/>
      <c r="H483" s="2"/>
      <c r="I483" s="2"/>
      <c r="J483" s="2"/>
      <c r="L483" s="2"/>
    </row>
    <row r="484" ht="15.75" customHeight="1">
      <c r="A484" s="2"/>
      <c r="B484" s="2"/>
      <c r="C484" s="2"/>
      <c r="D484" s="2"/>
      <c r="E484" s="2"/>
      <c r="F484" s="2"/>
      <c r="G484" s="2"/>
      <c r="H484" s="2"/>
      <c r="I484" s="2"/>
      <c r="J484" s="2"/>
      <c r="L484" s="2"/>
    </row>
    <row r="485" ht="15.75" customHeight="1">
      <c r="A485" s="2"/>
      <c r="B485" s="2"/>
      <c r="C485" s="2"/>
      <c r="D485" s="2"/>
      <c r="E485" s="2"/>
      <c r="F485" s="2"/>
      <c r="G485" s="2"/>
      <c r="H485" s="2"/>
      <c r="I485" s="2"/>
      <c r="J485" s="2"/>
      <c r="L485" s="2"/>
    </row>
    <row r="486" ht="15.75" customHeight="1">
      <c r="A486" s="2"/>
      <c r="B486" s="2"/>
      <c r="C486" s="2"/>
      <c r="D486" s="2"/>
      <c r="E486" s="2"/>
      <c r="F486" s="2"/>
      <c r="G486" s="2"/>
      <c r="H486" s="2"/>
      <c r="I486" s="2"/>
      <c r="J486" s="2"/>
      <c r="L486" s="2"/>
    </row>
    <row r="487" ht="15.75" customHeight="1">
      <c r="A487" s="2"/>
      <c r="B487" s="2"/>
      <c r="C487" s="2"/>
      <c r="D487" s="2"/>
      <c r="E487" s="2"/>
      <c r="F487" s="2"/>
      <c r="G487" s="2"/>
      <c r="H487" s="2"/>
      <c r="I487" s="2"/>
      <c r="J487" s="2"/>
      <c r="L487" s="2"/>
    </row>
    <row r="488" ht="15.75" customHeight="1">
      <c r="A488" s="2"/>
      <c r="B488" s="2"/>
      <c r="C488" s="2"/>
      <c r="D488" s="2"/>
      <c r="E488" s="2"/>
      <c r="F488" s="2"/>
      <c r="G488" s="2"/>
      <c r="H488" s="2"/>
      <c r="I488" s="2"/>
      <c r="J488" s="2"/>
      <c r="L488" s="2"/>
    </row>
    <row r="489" ht="15.75" customHeight="1">
      <c r="A489" s="2"/>
      <c r="B489" s="2"/>
      <c r="C489" s="2"/>
      <c r="D489" s="2"/>
      <c r="E489" s="2"/>
      <c r="F489" s="2"/>
      <c r="G489" s="2"/>
      <c r="H489" s="2"/>
      <c r="I489" s="2"/>
      <c r="J489" s="2"/>
      <c r="L489" s="2"/>
    </row>
    <row r="490" ht="15.75" customHeight="1">
      <c r="A490" s="2"/>
      <c r="B490" s="2"/>
      <c r="C490" s="2"/>
      <c r="D490" s="2"/>
      <c r="E490" s="2"/>
      <c r="F490" s="2"/>
      <c r="G490" s="2"/>
      <c r="H490" s="2"/>
      <c r="I490" s="2"/>
      <c r="J490" s="2"/>
      <c r="L490" s="2"/>
    </row>
    <row r="491" ht="15.75" customHeight="1">
      <c r="A491" s="2"/>
      <c r="B491" s="2"/>
      <c r="C491" s="2"/>
      <c r="D491" s="2"/>
      <c r="E491" s="2"/>
      <c r="F491" s="2"/>
      <c r="G491" s="2"/>
      <c r="H491" s="2"/>
      <c r="I491" s="2"/>
      <c r="J491" s="2"/>
      <c r="L491" s="2"/>
    </row>
    <row r="492" ht="15.75" customHeight="1">
      <c r="A492" s="2"/>
      <c r="B492" s="2"/>
      <c r="C492" s="2"/>
      <c r="D492" s="2"/>
      <c r="E492" s="2"/>
      <c r="F492" s="2"/>
      <c r="G492" s="2"/>
      <c r="H492" s="2"/>
      <c r="I492" s="2"/>
      <c r="J492" s="2"/>
      <c r="L492" s="2"/>
    </row>
    <row r="493" ht="15.75" customHeight="1">
      <c r="A493" s="2"/>
      <c r="B493" s="2"/>
      <c r="C493" s="2"/>
      <c r="D493" s="2"/>
      <c r="E493" s="2"/>
      <c r="F493" s="2"/>
      <c r="G493" s="2"/>
      <c r="H493" s="2"/>
      <c r="I493" s="2"/>
      <c r="J493" s="2"/>
      <c r="L493" s="2"/>
    </row>
    <row r="494" ht="15.75" customHeight="1">
      <c r="A494" s="2"/>
      <c r="B494" s="2"/>
      <c r="C494" s="2"/>
      <c r="D494" s="2"/>
      <c r="E494" s="2"/>
      <c r="F494" s="2"/>
      <c r="G494" s="2"/>
      <c r="H494" s="2"/>
      <c r="I494" s="2"/>
      <c r="J494" s="2"/>
      <c r="L494" s="2"/>
    </row>
    <row r="495" ht="15.75" customHeight="1">
      <c r="A495" s="2"/>
      <c r="B495" s="2"/>
      <c r="C495" s="2"/>
      <c r="D495" s="2"/>
      <c r="E495" s="2"/>
      <c r="F495" s="2"/>
      <c r="G495" s="2"/>
      <c r="H495" s="2"/>
      <c r="I495" s="2"/>
      <c r="J495" s="2"/>
      <c r="L495" s="2"/>
    </row>
    <row r="496" ht="15.75" customHeight="1">
      <c r="A496" s="2"/>
      <c r="B496" s="2"/>
      <c r="C496" s="2"/>
      <c r="D496" s="2"/>
      <c r="E496" s="2"/>
      <c r="F496" s="2"/>
      <c r="G496" s="2"/>
      <c r="H496" s="2"/>
      <c r="I496" s="2"/>
      <c r="J496" s="2"/>
      <c r="L496" s="2"/>
    </row>
    <row r="497" ht="15.75" customHeight="1">
      <c r="A497" s="2"/>
      <c r="B497" s="2"/>
      <c r="C497" s="2"/>
      <c r="D497" s="2"/>
      <c r="E497" s="2"/>
      <c r="F497" s="2"/>
      <c r="G497" s="2"/>
      <c r="H497" s="2"/>
      <c r="I497" s="2"/>
      <c r="J497" s="2"/>
      <c r="L497" s="2"/>
    </row>
    <row r="498" ht="15.75" customHeight="1">
      <c r="A498" s="2"/>
      <c r="B498" s="2"/>
      <c r="C498" s="2"/>
      <c r="D498" s="2"/>
      <c r="E498" s="2"/>
      <c r="F498" s="2"/>
      <c r="G498" s="2"/>
      <c r="H498" s="2"/>
      <c r="I498" s="2"/>
      <c r="J498" s="2"/>
      <c r="L498" s="2"/>
    </row>
    <row r="499" ht="15.75" customHeight="1">
      <c r="A499" s="2"/>
      <c r="B499" s="2"/>
      <c r="C499" s="2"/>
      <c r="D499" s="2"/>
      <c r="E499" s="2"/>
      <c r="F499" s="2"/>
      <c r="G499" s="2"/>
      <c r="H499" s="2"/>
      <c r="I499" s="2"/>
      <c r="J499" s="2"/>
      <c r="L499" s="2"/>
    </row>
    <row r="500" ht="15.75" customHeight="1">
      <c r="A500" s="2"/>
      <c r="B500" s="2"/>
      <c r="C500" s="2"/>
      <c r="D500" s="2"/>
      <c r="E500" s="2"/>
      <c r="F500" s="2"/>
      <c r="G500" s="2"/>
      <c r="H500" s="2"/>
      <c r="I500" s="2"/>
      <c r="J500" s="2"/>
      <c r="L500" s="2"/>
    </row>
    <row r="501" ht="15.75" customHeight="1">
      <c r="A501" s="2"/>
      <c r="B501" s="2"/>
      <c r="C501" s="2"/>
      <c r="D501" s="2"/>
      <c r="E501" s="2"/>
      <c r="F501" s="2"/>
      <c r="G501" s="2"/>
      <c r="H501" s="2"/>
      <c r="I501" s="2"/>
      <c r="J501" s="2"/>
      <c r="L501" s="2"/>
    </row>
    <row r="502" ht="15.75" customHeight="1">
      <c r="A502" s="2"/>
      <c r="B502" s="2"/>
      <c r="C502" s="2"/>
      <c r="D502" s="2"/>
      <c r="E502" s="2"/>
      <c r="F502" s="2"/>
      <c r="G502" s="2"/>
      <c r="H502" s="2"/>
      <c r="I502" s="2"/>
      <c r="J502" s="2"/>
      <c r="L502" s="2"/>
    </row>
    <row r="503" ht="15.75" customHeight="1">
      <c r="A503" s="2"/>
      <c r="B503" s="2"/>
      <c r="C503" s="2"/>
      <c r="D503" s="2"/>
      <c r="E503" s="2"/>
      <c r="F503" s="2"/>
      <c r="G503" s="2"/>
      <c r="H503" s="2"/>
      <c r="I503" s="2"/>
      <c r="J503" s="2"/>
      <c r="L503" s="2"/>
    </row>
    <row r="504" ht="15.75" customHeight="1">
      <c r="A504" s="2"/>
      <c r="B504" s="2"/>
      <c r="C504" s="2"/>
      <c r="D504" s="2"/>
      <c r="E504" s="2"/>
      <c r="F504" s="2"/>
      <c r="G504" s="2"/>
      <c r="H504" s="2"/>
      <c r="I504" s="2"/>
      <c r="J504" s="2"/>
      <c r="L504" s="2"/>
    </row>
    <row r="505" ht="15.75" customHeight="1">
      <c r="A505" s="2"/>
      <c r="B505" s="2"/>
      <c r="C505" s="2"/>
      <c r="D505" s="2"/>
      <c r="E505" s="2"/>
      <c r="F505" s="2"/>
      <c r="G505" s="2"/>
      <c r="H505" s="2"/>
      <c r="I505" s="2"/>
      <c r="J505" s="2"/>
      <c r="L505" s="2"/>
    </row>
    <row r="506" ht="15.75" customHeight="1">
      <c r="A506" s="2"/>
      <c r="B506" s="2"/>
      <c r="C506" s="2"/>
      <c r="D506" s="2"/>
      <c r="E506" s="2"/>
      <c r="F506" s="2"/>
      <c r="G506" s="2"/>
      <c r="H506" s="2"/>
      <c r="I506" s="2"/>
      <c r="J506" s="2"/>
      <c r="L506" s="2"/>
    </row>
    <row r="507" ht="15.75" customHeight="1">
      <c r="A507" s="2"/>
      <c r="B507" s="2"/>
      <c r="C507" s="2"/>
      <c r="D507" s="2"/>
      <c r="E507" s="2"/>
      <c r="F507" s="2"/>
      <c r="G507" s="2"/>
      <c r="H507" s="2"/>
      <c r="I507" s="2"/>
      <c r="J507" s="2"/>
      <c r="L507" s="2"/>
    </row>
    <row r="508" ht="15.75" customHeight="1">
      <c r="A508" s="2"/>
      <c r="B508" s="2"/>
      <c r="C508" s="2"/>
      <c r="D508" s="2"/>
      <c r="E508" s="2"/>
      <c r="F508" s="2"/>
      <c r="G508" s="2"/>
      <c r="H508" s="2"/>
      <c r="I508" s="2"/>
      <c r="J508" s="2"/>
      <c r="L508" s="2"/>
    </row>
    <row r="509" ht="15.75" customHeight="1">
      <c r="A509" s="2"/>
      <c r="B509" s="2"/>
      <c r="C509" s="2"/>
      <c r="D509" s="2"/>
      <c r="E509" s="2"/>
      <c r="F509" s="2"/>
      <c r="G509" s="2"/>
      <c r="H509" s="2"/>
      <c r="I509" s="2"/>
      <c r="J509" s="2"/>
      <c r="L509" s="2"/>
    </row>
    <row r="510" ht="15.75" customHeight="1">
      <c r="A510" s="2"/>
      <c r="B510" s="2"/>
      <c r="C510" s="2"/>
      <c r="D510" s="2"/>
      <c r="E510" s="2"/>
      <c r="F510" s="2"/>
      <c r="G510" s="2"/>
      <c r="H510" s="2"/>
      <c r="I510" s="2"/>
      <c r="J510" s="2"/>
      <c r="L510" s="2"/>
    </row>
    <row r="511" ht="15.75" customHeight="1">
      <c r="A511" s="2"/>
      <c r="B511" s="2"/>
      <c r="C511" s="2"/>
      <c r="D511" s="2"/>
      <c r="E511" s="2"/>
      <c r="F511" s="2"/>
      <c r="G511" s="2"/>
      <c r="H511" s="2"/>
      <c r="I511" s="2"/>
      <c r="J511" s="2"/>
      <c r="L511" s="2"/>
    </row>
    <row r="512" ht="15.75" customHeight="1">
      <c r="A512" s="2"/>
      <c r="B512" s="2"/>
      <c r="C512" s="2"/>
      <c r="D512" s="2"/>
      <c r="E512" s="2"/>
      <c r="F512" s="2"/>
      <c r="G512" s="2"/>
      <c r="H512" s="2"/>
      <c r="I512" s="2"/>
      <c r="J512" s="2"/>
      <c r="L512" s="2"/>
    </row>
    <row r="513" ht="15.75" customHeight="1">
      <c r="A513" s="2"/>
      <c r="B513" s="2"/>
      <c r="C513" s="2"/>
      <c r="D513" s="2"/>
      <c r="E513" s="2"/>
      <c r="F513" s="2"/>
      <c r="G513" s="2"/>
      <c r="H513" s="2"/>
      <c r="I513" s="2"/>
      <c r="J513" s="2"/>
      <c r="L513" s="2"/>
    </row>
    <row r="514" ht="15.75" customHeight="1">
      <c r="A514" s="2"/>
      <c r="B514" s="2"/>
      <c r="C514" s="2"/>
      <c r="D514" s="2"/>
      <c r="E514" s="2"/>
      <c r="F514" s="2"/>
      <c r="G514" s="2"/>
      <c r="H514" s="2"/>
      <c r="I514" s="2"/>
      <c r="J514" s="2"/>
      <c r="L514" s="2"/>
    </row>
    <row r="515" ht="15.75" customHeight="1">
      <c r="A515" s="2"/>
      <c r="B515" s="2"/>
      <c r="C515" s="2"/>
      <c r="D515" s="2"/>
      <c r="E515" s="2"/>
      <c r="F515" s="2"/>
      <c r="G515" s="2"/>
      <c r="H515" s="2"/>
      <c r="I515" s="2"/>
      <c r="J515" s="2"/>
      <c r="L515" s="2"/>
    </row>
    <row r="516" ht="15.75" customHeight="1">
      <c r="A516" s="2"/>
      <c r="B516" s="2"/>
      <c r="C516" s="2"/>
      <c r="D516" s="2"/>
      <c r="E516" s="2"/>
      <c r="F516" s="2"/>
      <c r="G516" s="2"/>
      <c r="H516" s="2"/>
      <c r="I516" s="2"/>
      <c r="J516" s="2"/>
      <c r="L516" s="2"/>
    </row>
    <row r="517" ht="15.75" customHeight="1">
      <c r="A517" s="2"/>
      <c r="B517" s="2"/>
      <c r="C517" s="2"/>
      <c r="D517" s="2"/>
      <c r="E517" s="2"/>
      <c r="F517" s="2"/>
      <c r="G517" s="2"/>
      <c r="H517" s="2"/>
      <c r="I517" s="2"/>
      <c r="J517" s="2"/>
      <c r="L517" s="2"/>
    </row>
    <row r="518" ht="15.75" customHeight="1">
      <c r="A518" s="2"/>
      <c r="B518" s="2"/>
      <c r="C518" s="2"/>
      <c r="D518" s="2"/>
      <c r="E518" s="2"/>
      <c r="F518" s="2"/>
      <c r="G518" s="2"/>
      <c r="H518" s="2"/>
      <c r="I518" s="2"/>
      <c r="J518" s="2"/>
      <c r="L518" s="2"/>
    </row>
    <row r="519" ht="15.75" customHeight="1">
      <c r="A519" s="2"/>
      <c r="B519" s="2"/>
      <c r="C519" s="2"/>
      <c r="D519" s="2"/>
      <c r="E519" s="2"/>
      <c r="F519" s="2"/>
      <c r="G519" s="2"/>
      <c r="H519" s="2"/>
      <c r="I519" s="2"/>
      <c r="J519" s="2"/>
      <c r="L519" s="2"/>
    </row>
    <row r="520" ht="15.75" customHeight="1">
      <c r="A520" s="2"/>
      <c r="B520" s="2"/>
      <c r="C520" s="2"/>
      <c r="D520" s="2"/>
      <c r="E520" s="2"/>
      <c r="F520" s="2"/>
      <c r="G520" s="2"/>
      <c r="H520" s="2"/>
      <c r="I520" s="2"/>
      <c r="J520" s="2"/>
      <c r="L520" s="2"/>
    </row>
    <row r="521" ht="15.75" customHeight="1">
      <c r="A521" s="2"/>
      <c r="B521" s="2"/>
      <c r="C521" s="2"/>
      <c r="D521" s="2"/>
      <c r="E521" s="2"/>
      <c r="F521" s="2"/>
      <c r="G521" s="2"/>
      <c r="H521" s="2"/>
      <c r="I521" s="2"/>
      <c r="J521" s="2"/>
      <c r="L521" s="2"/>
    </row>
    <row r="522" ht="15.75" customHeight="1">
      <c r="A522" s="2"/>
      <c r="B522" s="2"/>
      <c r="C522" s="2"/>
      <c r="D522" s="2"/>
      <c r="E522" s="2"/>
      <c r="F522" s="2"/>
      <c r="G522" s="2"/>
      <c r="H522" s="2"/>
      <c r="I522" s="2"/>
      <c r="J522" s="2"/>
      <c r="L522" s="2"/>
    </row>
    <row r="523" ht="15.75" customHeight="1">
      <c r="A523" s="2"/>
      <c r="B523" s="2"/>
      <c r="C523" s="2"/>
      <c r="D523" s="2"/>
      <c r="E523" s="2"/>
      <c r="F523" s="2"/>
      <c r="G523" s="2"/>
      <c r="H523" s="2"/>
      <c r="I523" s="2"/>
      <c r="J523" s="2"/>
      <c r="L523" s="2"/>
    </row>
    <row r="524" ht="15.75" customHeight="1">
      <c r="A524" s="2"/>
      <c r="B524" s="2"/>
      <c r="C524" s="2"/>
      <c r="D524" s="2"/>
      <c r="E524" s="2"/>
      <c r="F524" s="2"/>
      <c r="G524" s="2"/>
      <c r="H524" s="2"/>
      <c r="I524" s="2"/>
      <c r="J524" s="2"/>
      <c r="L524" s="2"/>
    </row>
    <row r="525" ht="15.75" customHeight="1">
      <c r="A525" s="2"/>
      <c r="B525" s="2"/>
      <c r="C525" s="2"/>
      <c r="D525" s="2"/>
      <c r="E525" s="2"/>
      <c r="F525" s="2"/>
      <c r="G525" s="2"/>
      <c r="H525" s="2"/>
      <c r="I525" s="2"/>
      <c r="J525" s="2"/>
      <c r="L525" s="2"/>
    </row>
    <row r="526" ht="15.75" customHeight="1">
      <c r="A526" s="2"/>
      <c r="B526" s="2"/>
      <c r="C526" s="2"/>
      <c r="D526" s="2"/>
      <c r="E526" s="2"/>
      <c r="F526" s="2"/>
      <c r="G526" s="2"/>
      <c r="H526" s="2"/>
      <c r="I526" s="2"/>
      <c r="J526" s="2"/>
      <c r="L526" s="2"/>
    </row>
    <row r="527" ht="15.75" customHeight="1">
      <c r="A527" s="2"/>
      <c r="B527" s="2"/>
      <c r="C527" s="2"/>
      <c r="D527" s="2"/>
      <c r="E527" s="2"/>
      <c r="F527" s="2"/>
      <c r="G527" s="2"/>
      <c r="H527" s="2"/>
      <c r="I527" s="2"/>
      <c r="J527" s="2"/>
      <c r="L527" s="2"/>
    </row>
    <row r="528" ht="15.75" customHeight="1">
      <c r="A528" s="2"/>
      <c r="B528" s="2"/>
      <c r="C528" s="2"/>
      <c r="D528" s="2"/>
      <c r="E528" s="2"/>
      <c r="F528" s="2"/>
      <c r="G528" s="2"/>
      <c r="H528" s="2"/>
      <c r="I528" s="2"/>
      <c r="J528" s="2"/>
      <c r="L528" s="2"/>
    </row>
    <row r="529" ht="15.75" customHeight="1">
      <c r="A529" s="2"/>
      <c r="B529" s="2"/>
      <c r="C529" s="2"/>
      <c r="D529" s="2"/>
      <c r="E529" s="2"/>
      <c r="F529" s="2"/>
      <c r="G529" s="2"/>
      <c r="H529" s="2"/>
      <c r="I529" s="2"/>
      <c r="J529" s="2"/>
      <c r="L529" s="2"/>
    </row>
    <row r="530" ht="15.75" customHeight="1">
      <c r="A530" s="2"/>
      <c r="B530" s="2"/>
      <c r="C530" s="2"/>
      <c r="D530" s="2"/>
      <c r="E530" s="2"/>
      <c r="F530" s="2"/>
      <c r="G530" s="2"/>
      <c r="H530" s="2"/>
      <c r="I530" s="2"/>
      <c r="J530" s="2"/>
      <c r="L530" s="2"/>
    </row>
    <row r="531" ht="15.75" customHeight="1">
      <c r="A531" s="2"/>
      <c r="B531" s="2"/>
      <c r="C531" s="2"/>
      <c r="D531" s="2"/>
      <c r="E531" s="2"/>
      <c r="F531" s="2"/>
      <c r="G531" s="2"/>
      <c r="H531" s="2"/>
      <c r="I531" s="2"/>
      <c r="J531" s="2"/>
      <c r="L531" s="2"/>
    </row>
    <row r="532" ht="15.75" customHeight="1">
      <c r="A532" s="2"/>
      <c r="B532" s="2"/>
      <c r="C532" s="2"/>
      <c r="D532" s="2"/>
      <c r="E532" s="2"/>
      <c r="F532" s="2"/>
      <c r="G532" s="2"/>
      <c r="H532" s="2"/>
      <c r="I532" s="2"/>
      <c r="J532" s="2"/>
      <c r="L532" s="2"/>
    </row>
    <row r="533" ht="15.75" customHeight="1">
      <c r="A533" s="2"/>
      <c r="B533" s="2"/>
      <c r="C533" s="2"/>
      <c r="D533" s="2"/>
      <c r="E533" s="2"/>
      <c r="F533" s="2"/>
      <c r="G533" s="2"/>
      <c r="H533" s="2"/>
      <c r="I533" s="2"/>
      <c r="J533" s="2"/>
      <c r="L533" s="2"/>
    </row>
    <row r="534" ht="15.75" customHeight="1">
      <c r="A534" s="2"/>
      <c r="B534" s="2"/>
      <c r="C534" s="2"/>
      <c r="D534" s="2"/>
      <c r="E534" s="2"/>
      <c r="F534" s="2"/>
      <c r="G534" s="2"/>
      <c r="H534" s="2"/>
      <c r="I534" s="2"/>
      <c r="J534" s="2"/>
      <c r="L534" s="2"/>
    </row>
    <row r="535" ht="15.75" customHeight="1">
      <c r="A535" s="2"/>
      <c r="B535" s="2"/>
      <c r="C535" s="2"/>
      <c r="D535" s="2"/>
      <c r="E535" s="2"/>
      <c r="F535" s="2"/>
      <c r="G535" s="2"/>
      <c r="H535" s="2"/>
      <c r="I535" s="2"/>
      <c r="J535" s="2"/>
      <c r="L535" s="2"/>
    </row>
    <row r="536" ht="15.75" customHeight="1">
      <c r="A536" s="2"/>
      <c r="B536" s="2"/>
      <c r="C536" s="2"/>
      <c r="D536" s="2"/>
      <c r="E536" s="2"/>
      <c r="F536" s="2"/>
      <c r="G536" s="2"/>
      <c r="H536" s="2"/>
      <c r="I536" s="2"/>
      <c r="J536" s="2"/>
      <c r="L536" s="2"/>
    </row>
    <row r="537" ht="15.75" customHeight="1">
      <c r="A537" s="2"/>
      <c r="B537" s="2"/>
      <c r="C537" s="2"/>
      <c r="D537" s="2"/>
      <c r="E537" s="2"/>
      <c r="F537" s="2"/>
      <c r="G537" s="2"/>
      <c r="H537" s="2"/>
      <c r="I537" s="2"/>
      <c r="J537" s="2"/>
      <c r="L537" s="2"/>
    </row>
    <row r="538" ht="15.75" customHeight="1">
      <c r="A538" s="2"/>
      <c r="B538" s="2"/>
      <c r="C538" s="2"/>
      <c r="D538" s="2"/>
      <c r="E538" s="2"/>
      <c r="F538" s="2"/>
      <c r="G538" s="2"/>
      <c r="H538" s="2"/>
      <c r="I538" s="2"/>
      <c r="J538" s="2"/>
      <c r="L538" s="2"/>
    </row>
    <row r="539" ht="15.75" customHeight="1">
      <c r="A539" s="2"/>
      <c r="B539" s="2"/>
      <c r="C539" s="2"/>
      <c r="D539" s="2"/>
      <c r="E539" s="2"/>
      <c r="F539" s="2"/>
      <c r="G539" s="2"/>
      <c r="H539" s="2"/>
      <c r="I539" s="2"/>
      <c r="J539" s="2"/>
      <c r="L539" s="2"/>
    </row>
    <row r="540" ht="15.75" customHeight="1">
      <c r="A540" s="2"/>
      <c r="B540" s="2"/>
      <c r="C540" s="2"/>
      <c r="D540" s="2"/>
      <c r="E540" s="2"/>
      <c r="F540" s="2"/>
      <c r="G540" s="2"/>
      <c r="H540" s="2"/>
      <c r="I540" s="2"/>
      <c r="J540" s="2"/>
      <c r="L540" s="2"/>
    </row>
    <row r="541" ht="15.75" customHeight="1">
      <c r="A541" s="2"/>
      <c r="B541" s="2"/>
      <c r="C541" s="2"/>
      <c r="D541" s="2"/>
      <c r="E541" s="2"/>
      <c r="F541" s="2"/>
      <c r="G541" s="2"/>
      <c r="H541" s="2"/>
      <c r="I541" s="2"/>
      <c r="J541" s="2"/>
      <c r="L541" s="2"/>
    </row>
    <row r="542" ht="15.75" customHeight="1">
      <c r="A542" s="2"/>
      <c r="B542" s="2"/>
      <c r="C542" s="2"/>
      <c r="D542" s="2"/>
      <c r="E542" s="2"/>
      <c r="F542" s="2"/>
      <c r="G542" s="2"/>
      <c r="H542" s="2"/>
      <c r="I542" s="2"/>
      <c r="J542" s="2"/>
      <c r="L542" s="2"/>
    </row>
    <row r="543" ht="15.75" customHeight="1">
      <c r="A543" s="2"/>
      <c r="B543" s="2"/>
      <c r="C543" s="2"/>
      <c r="D543" s="2"/>
      <c r="E543" s="2"/>
      <c r="F543" s="2"/>
      <c r="G543" s="2"/>
      <c r="H543" s="2"/>
      <c r="I543" s="2"/>
      <c r="J543" s="2"/>
      <c r="L543" s="2"/>
    </row>
    <row r="544" ht="15.75" customHeight="1">
      <c r="A544" s="2"/>
      <c r="B544" s="2"/>
      <c r="C544" s="2"/>
      <c r="D544" s="2"/>
      <c r="E544" s="2"/>
      <c r="F544" s="2"/>
      <c r="G544" s="2"/>
      <c r="H544" s="2"/>
      <c r="I544" s="2"/>
      <c r="J544" s="2"/>
      <c r="L544" s="2"/>
    </row>
    <row r="545" ht="15.75" customHeight="1">
      <c r="A545" s="2"/>
      <c r="B545" s="2"/>
      <c r="C545" s="2"/>
      <c r="D545" s="2"/>
      <c r="E545" s="2"/>
      <c r="F545" s="2"/>
      <c r="G545" s="2"/>
      <c r="H545" s="2"/>
      <c r="I545" s="2"/>
      <c r="J545" s="2"/>
      <c r="L545" s="2"/>
    </row>
    <row r="546" ht="15.75" customHeight="1">
      <c r="A546" s="2"/>
      <c r="B546" s="2"/>
      <c r="C546" s="2"/>
      <c r="D546" s="2"/>
      <c r="E546" s="2"/>
      <c r="F546" s="2"/>
      <c r="G546" s="2"/>
      <c r="H546" s="2"/>
      <c r="I546" s="2"/>
      <c r="J546" s="2"/>
      <c r="L546" s="2"/>
    </row>
    <row r="547" ht="15.75" customHeight="1">
      <c r="A547" s="2"/>
      <c r="B547" s="2"/>
      <c r="C547" s="2"/>
      <c r="D547" s="2"/>
      <c r="E547" s="2"/>
      <c r="F547" s="2"/>
      <c r="G547" s="2"/>
      <c r="H547" s="2"/>
      <c r="I547" s="2"/>
      <c r="J547" s="2"/>
      <c r="L547" s="2"/>
    </row>
    <row r="548" ht="15.75" customHeight="1">
      <c r="A548" s="2"/>
      <c r="B548" s="2"/>
      <c r="C548" s="2"/>
      <c r="D548" s="2"/>
      <c r="E548" s="2"/>
      <c r="F548" s="2"/>
      <c r="G548" s="2"/>
      <c r="H548" s="2"/>
      <c r="I548" s="2"/>
      <c r="J548" s="2"/>
      <c r="L548" s="2"/>
    </row>
    <row r="549" ht="15.75" customHeight="1">
      <c r="A549" s="2"/>
      <c r="B549" s="2"/>
      <c r="C549" s="2"/>
      <c r="D549" s="2"/>
      <c r="E549" s="2"/>
      <c r="F549" s="2"/>
      <c r="G549" s="2"/>
      <c r="H549" s="2"/>
      <c r="I549" s="2"/>
      <c r="J549" s="2"/>
      <c r="L549" s="2"/>
    </row>
    <row r="550" ht="15.75" customHeight="1">
      <c r="A550" s="2"/>
      <c r="B550" s="2"/>
      <c r="C550" s="2"/>
      <c r="D550" s="2"/>
      <c r="E550" s="2"/>
      <c r="F550" s="2"/>
      <c r="G550" s="2"/>
      <c r="H550" s="2"/>
      <c r="I550" s="2"/>
      <c r="J550" s="2"/>
      <c r="L550" s="2"/>
    </row>
    <row r="551" ht="15.75" customHeight="1">
      <c r="A551" s="2"/>
      <c r="B551" s="2"/>
      <c r="C551" s="2"/>
      <c r="D551" s="2"/>
      <c r="E551" s="2"/>
      <c r="F551" s="2"/>
      <c r="G551" s="2"/>
      <c r="H551" s="2"/>
      <c r="I551" s="2"/>
      <c r="J551" s="2"/>
      <c r="L551" s="2"/>
    </row>
    <row r="552" ht="15.75" customHeight="1">
      <c r="A552" s="2"/>
      <c r="B552" s="2"/>
      <c r="C552" s="2"/>
      <c r="D552" s="2"/>
      <c r="E552" s="2"/>
      <c r="F552" s="2"/>
      <c r="G552" s="2"/>
      <c r="H552" s="2"/>
      <c r="I552" s="2"/>
      <c r="J552" s="2"/>
      <c r="L552" s="2"/>
    </row>
    <row r="553" ht="15.75" customHeight="1">
      <c r="A553" s="2"/>
      <c r="B553" s="2"/>
      <c r="C553" s="2"/>
      <c r="D553" s="2"/>
      <c r="E553" s="2"/>
      <c r="F553" s="2"/>
      <c r="G553" s="2"/>
      <c r="H553" s="2"/>
      <c r="I553" s="2"/>
      <c r="J553" s="2"/>
      <c r="L553" s="2"/>
    </row>
    <row r="554" ht="15.75" customHeight="1">
      <c r="A554" s="2"/>
      <c r="B554" s="2"/>
      <c r="C554" s="2"/>
      <c r="D554" s="2"/>
      <c r="E554" s="2"/>
      <c r="F554" s="2"/>
      <c r="G554" s="2"/>
      <c r="H554" s="2"/>
      <c r="I554" s="2"/>
      <c r="J554" s="2"/>
      <c r="L554" s="2"/>
    </row>
    <row r="555" ht="15.75" customHeight="1">
      <c r="A555" s="2"/>
      <c r="B555" s="2"/>
      <c r="C555" s="2"/>
      <c r="D555" s="2"/>
      <c r="E555" s="2"/>
      <c r="F555" s="2"/>
      <c r="G555" s="2"/>
      <c r="H555" s="2"/>
      <c r="I555" s="2"/>
      <c r="J555" s="2"/>
      <c r="L555" s="2"/>
    </row>
    <row r="556" ht="15.75" customHeight="1">
      <c r="A556" s="2"/>
      <c r="B556" s="2"/>
      <c r="C556" s="2"/>
      <c r="D556" s="2"/>
      <c r="E556" s="2"/>
      <c r="F556" s="2"/>
      <c r="G556" s="2"/>
      <c r="H556" s="2"/>
      <c r="I556" s="2"/>
      <c r="J556" s="2"/>
      <c r="L556" s="2"/>
    </row>
    <row r="557" ht="15.75" customHeight="1">
      <c r="A557" s="2"/>
      <c r="B557" s="2"/>
      <c r="C557" s="2"/>
      <c r="D557" s="2"/>
      <c r="E557" s="2"/>
      <c r="F557" s="2"/>
      <c r="G557" s="2"/>
      <c r="H557" s="2"/>
      <c r="I557" s="2"/>
      <c r="J557" s="2"/>
      <c r="L557" s="2"/>
    </row>
    <row r="558" ht="15.75" customHeight="1">
      <c r="A558" s="2"/>
      <c r="B558" s="2"/>
      <c r="C558" s="2"/>
      <c r="D558" s="2"/>
      <c r="E558" s="2"/>
      <c r="F558" s="2"/>
      <c r="G558" s="2"/>
      <c r="H558" s="2"/>
      <c r="I558" s="2"/>
      <c r="J558" s="2"/>
      <c r="L558" s="2"/>
    </row>
    <row r="559" ht="15.75" customHeight="1">
      <c r="A559" s="2"/>
      <c r="B559" s="2"/>
      <c r="C559" s="2"/>
      <c r="D559" s="2"/>
      <c r="E559" s="2"/>
      <c r="F559" s="2"/>
      <c r="G559" s="2"/>
      <c r="H559" s="2"/>
      <c r="I559" s="2"/>
      <c r="J559" s="2"/>
      <c r="L559" s="2"/>
    </row>
    <row r="560" ht="15.75" customHeight="1">
      <c r="A560" s="2"/>
      <c r="B560" s="2"/>
      <c r="C560" s="2"/>
      <c r="D560" s="2"/>
      <c r="E560" s="2"/>
      <c r="F560" s="2"/>
      <c r="G560" s="2"/>
      <c r="H560" s="2"/>
      <c r="I560" s="2"/>
      <c r="J560" s="2"/>
      <c r="L560" s="2"/>
    </row>
    <row r="561" ht="15.75" customHeight="1">
      <c r="A561" s="2"/>
      <c r="B561" s="2"/>
      <c r="C561" s="2"/>
      <c r="D561" s="2"/>
      <c r="E561" s="2"/>
      <c r="F561" s="2"/>
      <c r="G561" s="2"/>
      <c r="H561" s="2"/>
      <c r="I561" s="2"/>
      <c r="J561" s="2"/>
      <c r="L561" s="2"/>
    </row>
    <row r="562" ht="15.75" customHeight="1">
      <c r="A562" s="2"/>
      <c r="B562" s="2"/>
      <c r="C562" s="2"/>
      <c r="D562" s="2"/>
      <c r="E562" s="2"/>
      <c r="F562" s="2"/>
      <c r="G562" s="2"/>
      <c r="H562" s="2"/>
      <c r="I562" s="2"/>
      <c r="J562" s="2"/>
      <c r="L562" s="2"/>
    </row>
    <row r="563" ht="15.75" customHeight="1">
      <c r="A563" s="2"/>
      <c r="B563" s="2"/>
      <c r="C563" s="2"/>
      <c r="D563" s="2"/>
      <c r="E563" s="2"/>
      <c r="F563" s="2"/>
      <c r="G563" s="2"/>
      <c r="H563" s="2"/>
      <c r="I563" s="2"/>
      <c r="J563" s="2"/>
      <c r="L563" s="2"/>
    </row>
    <row r="564" ht="15.75" customHeight="1">
      <c r="A564" s="2"/>
      <c r="B564" s="2"/>
      <c r="C564" s="2"/>
      <c r="D564" s="2"/>
      <c r="E564" s="2"/>
      <c r="F564" s="2"/>
      <c r="G564" s="2"/>
      <c r="H564" s="2"/>
      <c r="I564" s="2"/>
      <c r="J564" s="2"/>
      <c r="L564" s="2"/>
    </row>
    <row r="565" ht="15.75" customHeight="1">
      <c r="A565" s="2"/>
      <c r="B565" s="2"/>
      <c r="C565" s="2"/>
      <c r="D565" s="2"/>
      <c r="E565" s="2"/>
      <c r="F565" s="2"/>
      <c r="G565" s="2"/>
      <c r="H565" s="2"/>
      <c r="I565" s="2"/>
      <c r="J565" s="2"/>
      <c r="L565" s="2"/>
    </row>
    <row r="566" ht="15.75" customHeight="1">
      <c r="A566" s="2"/>
      <c r="B566" s="2"/>
      <c r="C566" s="2"/>
      <c r="D566" s="2"/>
      <c r="E566" s="2"/>
      <c r="F566" s="2"/>
      <c r="G566" s="2"/>
      <c r="H566" s="2"/>
      <c r="I566" s="2"/>
      <c r="J566" s="2"/>
      <c r="L566" s="2"/>
    </row>
    <row r="567" ht="15.75" customHeight="1">
      <c r="A567" s="2"/>
      <c r="B567" s="2"/>
      <c r="C567" s="2"/>
      <c r="D567" s="2"/>
      <c r="E567" s="2"/>
      <c r="F567" s="2"/>
      <c r="G567" s="2"/>
      <c r="H567" s="2"/>
      <c r="I567" s="2"/>
      <c r="J567" s="2"/>
      <c r="L567" s="2"/>
    </row>
    <row r="568" ht="15.75" customHeight="1">
      <c r="A568" s="2"/>
      <c r="B568" s="2"/>
      <c r="C568" s="2"/>
      <c r="D568" s="2"/>
      <c r="E568" s="2"/>
      <c r="F568" s="2"/>
      <c r="G568" s="2"/>
      <c r="H568" s="2"/>
      <c r="I568" s="2"/>
      <c r="J568" s="2"/>
      <c r="L568" s="2"/>
    </row>
    <row r="569" ht="15.75" customHeight="1">
      <c r="A569" s="2"/>
      <c r="B569" s="2"/>
      <c r="C569" s="2"/>
      <c r="D569" s="2"/>
      <c r="E569" s="2"/>
      <c r="F569" s="2"/>
      <c r="G569" s="2"/>
      <c r="H569" s="2"/>
      <c r="I569" s="2"/>
      <c r="J569" s="2"/>
      <c r="L569" s="2"/>
    </row>
    <row r="570" ht="15.75" customHeight="1">
      <c r="A570" s="2"/>
      <c r="B570" s="2"/>
      <c r="C570" s="2"/>
      <c r="D570" s="2"/>
      <c r="E570" s="2"/>
      <c r="F570" s="2"/>
      <c r="G570" s="2"/>
      <c r="H570" s="2"/>
      <c r="I570" s="2"/>
      <c r="J570" s="2"/>
      <c r="L570" s="2"/>
    </row>
    <row r="571" ht="15.75" customHeight="1">
      <c r="A571" s="2"/>
      <c r="B571" s="2"/>
      <c r="C571" s="2"/>
      <c r="D571" s="2"/>
      <c r="E571" s="2"/>
      <c r="F571" s="2"/>
      <c r="G571" s="2"/>
      <c r="H571" s="2"/>
      <c r="I571" s="2"/>
      <c r="J571" s="2"/>
      <c r="L571" s="2"/>
    </row>
    <row r="572" ht="15.75" customHeight="1">
      <c r="A572" s="2"/>
      <c r="B572" s="2"/>
      <c r="C572" s="2"/>
      <c r="D572" s="2"/>
      <c r="E572" s="2"/>
      <c r="F572" s="2"/>
      <c r="G572" s="2"/>
      <c r="H572" s="2"/>
      <c r="I572" s="2"/>
      <c r="J572" s="2"/>
      <c r="L572" s="2"/>
    </row>
    <row r="573" ht="15.75" customHeight="1">
      <c r="A573" s="2"/>
      <c r="B573" s="2"/>
      <c r="C573" s="2"/>
      <c r="D573" s="2"/>
      <c r="E573" s="2"/>
      <c r="F573" s="2"/>
      <c r="G573" s="2"/>
      <c r="H573" s="2"/>
      <c r="I573" s="2"/>
      <c r="J573" s="2"/>
      <c r="L573" s="2"/>
    </row>
    <row r="574" ht="15.75" customHeight="1">
      <c r="A574" s="2"/>
      <c r="B574" s="2"/>
      <c r="C574" s="2"/>
      <c r="D574" s="2"/>
      <c r="E574" s="2"/>
      <c r="F574" s="2"/>
      <c r="G574" s="2"/>
      <c r="H574" s="2"/>
      <c r="I574" s="2"/>
      <c r="J574" s="2"/>
      <c r="L574" s="2"/>
    </row>
    <row r="575" ht="15.75" customHeight="1">
      <c r="A575" s="2"/>
      <c r="B575" s="2"/>
      <c r="C575" s="2"/>
      <c r="D575" s="2"/>
      <c r="E575" s="2"/>
      <c r="F575" s="2"/>
      <c r="G575" s="2"/>
      <c r="H575" s="2"/>
      <c r="I575" s="2"/>
      <c r="J575" s="2"/>
      <c r="L575" s="2"/>
    </row>
    <row r="576" ht="15.75" customHeight="1">
      <c r="A576" s="2"/>
      <c r="B576" s="2"/>
      <c r="C576" s="2"/>
      <c r="D576" s="2"/>
      <c r="E576" s="2"/>
      <c r="F576" s="2"/>
      <c r="G576" s="2"/>
      <c r="H576" s="2"/>
      <c r="I576" s="2"/>
      <c r="J576" s="2"/>
      <c r="L576" s="2"/>
    </row>
    <row r="577" ht="15.75" customHeight="1">
      <c r="A577" s="2"/>
      <c r="B577" s="2"/>
      <c r="C577" s="2"/>
      <c r="D577" s="2"/>
      <c r="E577" s="2"/>
      <c r="F577" s="2"/>
      <c r="G577" s="2"/>
      <c r="H577" s="2"/>
      <c r="I577" s="2"/>
      <c r="J577" s="2"/>
      <c r="L577" s="2"/>
    </row>
    <row r="578" ht="15.75" customHeight="1">
      <c r="A578" s="2"/>
      <c r="B578" s="2"/>
      <c r="C578" s="2"/>
      <c r="D578" s="2"/>
      <c r="E578" s="2"/>
      <c r="F578" s="2"/>
      <c r="G578" s="2"/>
      <c r="H578" s="2"/>
      <c r="I578" s="2"/>
      <c r="J578" s="2"/>
      <c r="L578" s="2"/>
    </row>
    <row r="579" ht="15.75" customHeight="1">
      <c r="A579" s="2"/>
      <c r="B579" s="2"/>
      <c r="C579" s="2"/>
      <c r="D579" s="2"/>
      <c r="E579" s="2"/>
      <c r="F579" s="2"/>
      <c r="G579" s="2"/>
      <c r="H579" s="2"/>
      <c r="I579" s="2"/>
      <c r="J579" s="2"/>
      <c r="L579" s="2"/>
    </row>
    <row r="580" ht="15.75" customHeight="1">
      <c r="A580" s="2"/>
      <c r="B580" s="2"/>
      <c r="C580" s="2"/>
      <c r="D580" s="2"/>
      <c r="E580" s="2"/>
      <c r="F580" s="2"/>
      <c r="G580" s="2"/>
      <c r="H580" s="2"/>
      <c r="I580" s="2"/>
      <c r="J580" s="2"/>
      <c r="L580" s="2"/>
    </row>
    <row r="581" ht="15.75" customHeight="1">
      <c r="A581" s="2"/>
      <c r="B581" s="2"/>
      <c r="C581" s="2"/>
      <c r="D581" s="2"/>
      <c r="E581" s="2"/>
      <c r="F581" s="2"/>
      <c r="G581" s="2"/>
      <c r="H581" s="2"/>
      <c r="I581" s="2"/>
      <c r="J581" s="2"/>
      <c r="L581" s="2"/>
    </row>
    <row r="582" ht="15.75" customHeight="1">
      <c r="A582" s="2"/>
      <c r="B582" s="2"/>
      <c r="C582" s="2"/>
      <c r="D582" s="2"/>
      <c r="E582" s="2"/>
      <c r="F582" s="2"/>
      <c r="G582" s="2"/>
      <c r="H582" s="2"/>
      <c r="I582" s="2"/>
      <c r="J582" s="2"/>
      <c r="L582" s="2"/>
    </row>
    <row r="583" ht="15.75" customHeight="1">
      <c r="A583" s="2"/>
      <c r="B583" s="2"/>
      <c r="C583" s="2"/>
      <c r="D583" s="2"/>
      <c r="E583" s="2"/>
      <c r="F583" s="2"/>
      <c r="G583" s="2"/>
      <c r="H583" s="2"/>
      <c r="I583" s="2"/>
      <c r="J583" s="2"/>
      <c r="L583" s="2"/>
    </row>
    <row r="584" ht="15.75" customHeight="1">
      <c r="A584" s="2"/>
      <c r="B584" s="2"/>
      <c r="C584" s="2"/>
      <c r="D584" s="2"/>
      <c r="E584" s="2"/>
      <c r="F584" s="2"/>
      <c r="G584" s="2"/>
      <c r="H584" s="2"/>
      <c r="I584" s="2"/>
      <c r="J584" s="2"/>
      <c r="L584" s="2"/>
    </row>
    <row r="585" ht="15.75" customHeight="1">
      <c r="A585" s="2"/>
      <c r="B585" s="2"/>
      <c r="C585" s="2"/>
      <c r="D585" s="2"/>
      <c r="E585" s="2"/>
      <c r="F585" s="2"/>
      <c r="G585" s="2"/>
      <c r="H585" s="2"/>
      <c r="I585" s="2"/>
      <c r="J585" s="2"/>
      <c r="L585" s="2"/>
    </row>
    <row r="586" ht="15.75" customHeight="1">
      <c r="A586" s="2"/>
      <c r="B586" s="2"/>
      <c r="C586" s="2"/>
      <c r="D586" s="2"/>
      <c r="E586" s="2"/>
      <c r="F586" s="2"/>
      <c r="G586" s="2"/>
      <c r="H586" s="2"/>
      <c r="I586" s="2"/>
      <c r="J586" s="2"/>
      <c r="L586" s="2"/>
    </row>
    <row r="587" ht="15.75" customHeight="1">
      <c r="A587" s="2"/>
      <c r="B587" s="2"/>
      <c r="C587" s="2"/>
      <c r="D587" s="2"/>
      <c r="E587" s="2"/>
      <c r="F587" s="2"/>
      <c r="G587" s="2"/>
      <c r="H587" s="2"/>
      <c r="I587" s="2"/>
      <c r="J587" s="2"/>
      <c r="L587" s="2"/>
    </row>
    <row r="588" ht="15.75" customHeight="1">
      <c r="A588" s="2"/>
      <c r="B588" s="2"/>
      <c r="C588" s="2"/>
      <c r="D588" s="2"/>
      <c r="E588" s="2"/>
      <c r="F588" s="2"/>
      <c r="G588" s="2"/>
      <c r="H588" s="2"/>
      <c r="I588" s="2"/>
      <c r="J588" s="2"/>
      <c r="L588" s="2"/>
    </row>
    <row r="589" ht="15.75" customHeight="1">
      <c r="A589" s="2"/>
      <c r="B589" s="2"/>
      <c r="C589" s="2"/>
      <c r="D589" s="2"/>
      <c r="E589" s="2"/>
      <c r="F589" s="2"/>
      <c r="G589" s="2"/>
      <c r="H589" s="2"/>
      <c r="I589" s="2"/>
      <c r="J589" s="2"/>
      <c r="L589" s="2"/>
    </row>
    <row r="590" ht="15.75" customHeight="1">
      <c r="A590" s="2"/>
      <c r="B590" s="2"/>
      <c r="C590" s="2"/>
      <c r="D590" s="2"/>
      <c r="E590" s="2"/>
      <c r="F590" s="2"/>
      <c r="G590" s="2"/>
      <c r="H590" s="2"/>
      <c r="I590" s="2"/>
      <c r="J590" s="2"/>
      <c r="L590" s="2"/>
    </row>
    <row r="591" ht="15.75" customHeight="1">
      <c r="A591" s="2"/>
      <c r="B591" s="2"/>
      <c r="C591" s="2"/>
      <c r="D591" s="2"/>
      <c r="E591" s="2"/>
      <c r="F591" s="2"/>
      <c r="G591" s="2"/>
      <c r="H591" s="2"/>
      <c r="I591" s="2"/>
      <c r="J591" s="2"/>
      <c r="L591" s="2"/>
    </row>
    <row r="592" ht="15.75" customHeight="1">
      <c r="A592" s="2"/>
      <c r="B592" s="2"/>
      <c r="C592" s="2"/>
      <c r="D592" s="2"/>
      <c r="E592" s="2"/>
      <c r="F592" s="2"/>
      <c r="G592" s="2"/>
      <c r="H592" s="2"/>
      <c r="I592" s="2"/>
      <c r="J592" s="2"/>
      <c r="L592" s="2"/>
    </row>
    <row r="593" ht="15.75" customHeight="1">
      <c r="A593" s="2"/>
      <c r="B593" s="2"/>
      <c r="C593" s="2"/>
      <c r="D593" s="2"/>
      <c r="E593" s="2"/>
      <c r="F593" s="2"/>
      <c r="G593" s="2"/>
      <c r="H593" s="2"/>
      <c r="I593" s="2"/>
      <c r="J593" s="2"/>
      <c r="L593" s="2"/>
    </row>
    <row r="594" ht="15.75" customHeight="1">
      <c r="A594" s="2"/>
      <c r="B594" s="2"/>
      <c r="C594" s="2"/>
      <c r="D594" s="2"/>
      <c r="E594" s="2"/>
      <c r="F594" s="2"/>
      <c r="G594" s="2"/>
      <c r="H594" s="2"/>
      <c r="I594" s="2"/>
      <c r="J594" s="2"/>
      <c r="L594" s="2"/>
    </row>
    <row r="595" ht="15.75" customHeight="1">
      <c r="A595" s="2"/>
      <c r="B595" s="2"/>
      <c r="C595" s="2"/>
      <c r="D595" s="2"/>
      <c r="E595" s="2"/>
      <c r="F595" s="2"/>
      <c r="G595" s="2"/>
      <c r="H595" s="2"/>
      <c r="I595" s="2"/>
      <c r="J595" s="2"/>
      <c r="L595" s="2"/>
    </row>
    <row r="596" ht="15.75" customHeight="1">
      <c r="A596" s="2"/>
      <c r="B596" s="2"/>
      <c r="C596" s="2"/>
      <c r="D596" s="2"/>
      <c r="E596" s="2"/>
      <c r="F596" s="2"/>
      <c r="G596" s="2"/>
      <c r="H596" s="2"/>
      <c r="I596" s="2"/>
      <c r="J596" s="2"/>
      <c r="L596" s="2"/>
    </row>
    <row r="597" ht="15.75" customHeight="1">
      <c r="A597" s="2"/>
      <c r="B597" s="2"/>
      <c r="C597" s="2"/>
      <c r="D597" s="2"/>
      <c r="E597" s="2"/>
      <c r="F597" s="2"/>
      <c r="G597" s="2"/>
      <c r="H597" s="2"/>
      <c r="I597" s="2"/>
      <c r="J597" s="2"/>
      <c r="L597" s="2"/>
    </row>
    <row r="598" ht="15.75" customHeight="1">
      <c r="A598" s="2"/>
      <c r="B598" s="2"/>
      <c r="C598" s="2"/>
      <c r="D598" s="2"/>
      <c r="E598" s="2"/>
      <c r="F598" s="2"/>
      <c r="G598" s="2"/>
      <c r="H598" s="2"/>
      <c r="I598" s="2"/>
      <c r="J598" s="2"/>
      <c r="L598" s="2"/>
    </row>
    <row r="599" ht="15.75" customHeight="1">
      <c r="A599" s="2"/>
      <c r="B599" s="2"/>
      <c r="C599" s="2"/>
      <c r="D599" s="2"/>
      <c r="E599" s="2"/>
      <c r="F599" s="2"/>
      <c r="G599" s="2"/>
      <c r="H599" s="2"/>
      <c r="I599" s="2"/>
      <c r="J599" s="2"/>
      <c r="L599" s="2"/>
    </row>
    <row r="600" ht="15.75" customHeight="1">
      <c r="A600" s="2"/>
      <c r="B600" s="2"/>
      <c r="C600" s="2"/>
      <c r="D600" s="2"/>
      <c r="E600" s="2"/>
      <c r="F600" s="2"/>
      <c r="G600" s="2"/>
      <c r="H600" s="2"/>
      <c r="I600" s="2"/>
      <c r="J600" s="2"/>
      <c r="L600" s="2"/>
    </row>
    <row r="601" ht="15.75" customHeight="1">
      <c r="A601" s="2"/>
      <c r="B601" s="2"/>
      <c r="C601" s="2"/>
      <c r="D601" s="2"/>
      <c r="E601" s="2"/>
      <c r="F601" s="2"/>
      <c r="G601" s="2"/>
      <c r="H601" s="2"/>
      <c r="I601" s="2"/>
      <c r="J601" s="2"/>
      <c r="L601" s="2"/>
    </row>
    <row r="602" ht="15.75" customHeight="1">
      <c r="A602" s="2"/>
      <c r="B602" s="2"/>
      <c r="C602" s="2"/>
      <c r="D602" s="2"/>
      <c r="E602" s="2"/>
      <c r="F602" s="2"/>
      <c r="G602" s="2"/>
      <c r="H602" s="2"/>
      <c r="I602" s="2"/>
      <c r="J602" s="2"/>
      <c r="L602" s="2"/>
    </row>
    <row r="603" ht="15.75" customHeight="1">
      <c r="A603" s="2"/>
      <c r="B603" s="2"/>
      <c r="C603" s="2"/>
      <c r="D603" s="2"/>
      <c r="E603" s="2"/>
      <c r="F603" s="2"/>
      <c r="G603" s="2"/>
      <c r="H603" s="2"/>
      <c r="I603" s="2"/>
      <c r="J603" s="2"/>
      <c r="L603" s="2"/>
    </row>
    <row r="604" ht="15.75" customHeight="1">
      <c r="A604" s="2"/>
      <c r="B604" s="2"/>
      <c r="C604" s="2"/>
      <c r="D604" s="2"/>
      <c r="E604" s="2"/>
      <c r="F604" s="2"/>
      <c r="G604" s="2"/>
      <c r="H604" s="2"/>
      <c r="I604" s="2"/>
      <c r="J604" s="2"/>
      <c r="L604" s="2"/>
    </row>
    <row r="605" ht="15.75" customHeight="1">
      <c r="A605" s="2"/>
      <c r="B605" s="2"/>
      <c r="C605" s="2"/>
      <c r="D605" s="2"/>
      <c r="E605" s="2"/>
      <c r="F605" s="2"/>
      <c r="G605" s="2"/>
      <c r="H605" s="2"/>
      <c r="I605" s="2"/>
      <c r="J605" s="2"/>
      <c r="L605" s="2"/>
    </row>
    <row r="606" ht="15.75" customHeight="1">
      <c r="A606" s="2"/>
      <c r="B606" s="2"/>
      <c r="C606" s="2"/>
      <c r="D606" s="2"/>
      <c r="E606" s="2"/>
      <c r="F606" s="2"/>
      <c r="G606" s="2"/>
      <c r="H606" s="2"/>
      <c r="I606" s="2"/>
      <c r="J606" s="2"/>
      <c r="L606" s="2"/>
    </row>
    <row r="607" ht="15.75" customHeight="1">
      <c r="A607" s="2"/>
      <c r="B607" s="2"/>
      <c r="C607" s="2"/>
      <c r="D607" s="2"/>
      <c r="E607" s="2"/>
      <c r="F607" s="2"/>
      <c r="G607" s="2"/>
      <c r="H607" s="2"/>
      <c r="I607" s="2"/>
      <c r="J607" s="2"/>
      <c r="L607" s="2"/>
    </row>
    <row r="608" ht="15.75" customHeight="1">
      <c r="A608" s="2"/>
      <c r="B608" s="2"/>
      <c r="C608" s="2"/>
      <c r="D608" s="2"/>
      <c r="E608" s="2"/>
      <c r="F608" s="2"/>
      <c r="G608" s="2"/>
      <c r="H608" s="2"/>
      <c r="I608" s="2"/>
      <c r="J608" s="2"/>
      <c r="L608" s="2"/>
    </row>
    <row r="609" ht="15.75" customHeight="1">
      <c r="A609" s="2"/>
      <c r="B609" s="2"/>
      <c r="C609" s="2"/>
      <c r="D609" s="2"/>
      <c r="E609" s="2"/>
      <c r="F609" s="2"/>
      <c r="G609" s="2"/>
      <c r="H609" s="2"/>
      <c r="I609" s="2"/>
      <c r="J609" s="2"/>
      <c r="L609" s="2"/>
    </row>
    <row r="610" ht="15.75" customHeight="1">
      <c r="A610" s="2"/>
      <c r="B610" s="2"/>
      <c r="C610" s="2"/>
      <c r="D610" s="2"/>
      <c r="E610" s="2"/>
      <c r="F610" s="2"/>
      <c r="G610" s="2"/>
      <c r="H610" s="2"/>
      <c r="I610" s="2"/>
      <c r="J610" s="2"/>
      <c r="L610" s="2"/>
    </row>
    <row r="611" ht="15.75" customHeight="1">
      <c r="A611" s="2"/>
      <c r="B611" s="2"/>
      <c r="C611" s="2"/>
      <c r="D611" s="2"/>
      <c r="E611" s="2"/>
      <c r="F611" s="2"/>
      <c r="G611" s="2"/>
      <c r="H611" s="2"/>
      <c r="I611" s="2"/>
      <c r="J611" s="2"/>
      <c r="L611" s="2"/>
    </row>
    <row r="612" ht="15.75" customHeight="1">
      <c r="A612" s="2"/>
      <c r="B612" s="2"/>
      <c r="C612" s="2"/>
      <c r="D612" s="2"/>
      <c r="E612" s="2"/>
      <c r="F612" s="2"/>
      <c r="G612" s="2"/>
      <c r="H612" s="2"/>
      <c r="I612" s="2"/>
      <c r="J612" s="2"/>
      <c r="L612" s="2"/>
    </row>
    <row r="613" ht="15.75" customHeight="1">
      <c r="A613" s="2"/>
      <c r="B613" s="2"/>
      <c r="C613" s="2"/>
      <c r="D613" s="2"/>
      <c r="E613" s="2"/>
      <c r="F613" s="2"/>
      <c r="G613" s="2"/>
      <c r="H613" s="2"/>
      <c r="I613" s="2"/>
      <c r="J613" s="2"/>
      <c r="L613" s="2"/>
    </row>
    <row r="614" ht="15.75" customHeight="1">
      <c r="A614" s="2"/>
      <c r="B614" s="2"/>
      <c r="C614" s="2"/>
      <c r="D614" s="2"/>
      <c r="E614" s="2"/>
      <c r="F614" s="2"/>
      <c r="G614" s="2"/>
      <c r="H614" s="2"/>
      <c r="I614" s="2"/>
      <c r="J614" s="2"/>
      <c r="L614" s="2"/>
    </row>
    <row r="615" ht="15.75" customHeight="1">
      <c r="A615" s="2"/>
      <c r="B615" s="2"/>
      <c r="C615" s="2"/>
      <c r="D615" s="2"/>
      <c r="E615" s="2"/>
      <c r="F615" s="2"/>
      <c r="G615" s="2"/>
      <c r="H615" s="2"/>
      <c r="I615" s="2"/>
      <c r="J615" s="2"/>
      <c r="L615" s="2"/>
    </row>
    <row r="616" ht="15.75" customHeight="1">
      <c r="A616" s="2"/>
      <c r="B616" s="2"/>
      <c r="C616" s="2"/>
      <c r="D616" s="2"/>
      <c r="E616" s="2"/>
      <c r="F616" s="2"/>
      <c r="G616" s="2"/>
      <c r="H616" s="2"/>
      <c r="I616" s="2"/>
      <c r="J616" s="2"/>
      <c r="L616" s="2"/>
    </row>
    <row r="617" ht="15.75" customHeight="1">
      <c r="A617" s="2"/>
      <c r="B617" s="2"/>
      <c r="C617" s="2"/>
      <c r="D617" s="2"/>
      <c r="E617" s="2"/>
      <c r="F617" s="2"/>
      <c r="G617" s="2"/>
      <c r="H617" s="2"/>
      <c r="I617" s="2"/>
      <c r="J617" s="2"/>
      <c r="L617" s="2"/>
    </row>
    <row r="618" ht="15.75" customHeight="1">
      <c r="A618" s="2"/>
      <c r="B618" s="2"/>
      <c r="C618" s="2"/>
      <c r="D618" s="2"/>
      <c r="E618" s="2"/>
      <c r="F618" s="2"/>
      <c r="G618" s="2"/>
      <c r="H618" s="2"/>
      <c r="I618" s="2"/>
      <c r="J618" s="2"/>
      <c r="L618" s="2"/>
    </row>
    <row r="619" ht="15.75" customHeight="1">
      <c r="A619" s="2"/>
      <c r="B619" s="2"/>
      <c r="C619" s="2"/>
      <c r="D619" s="2"/>
      <c r="E619" s="2"/>
      <c r="F619" s="2"/>
      <c r="G619" s="2"/>
      <c r="H619" s="2"/>
      <c r="I619" s="2"/>
      <c r="J619" s="2"/>
      <c r="L619" s="2"/>
    </row>
    <row r="620" ht="15.75" customHeight="1">
      <c r="A620" s="2"/>
      <c r="B620" s="2"/>
      <c r="C620" s="2"/>
      <c r="D620" s="2"/>
      <c r="E620" s="2"/>
      <c r="F620" s="2"/>
      <c r="G620" s="2"/>
      <c r="H620" s="2"/>
      <c r="I620" s="2"/>
      <c r="J620" s="2"/>
      <c r="L620" s="2"/>
    </row>
    <row r="621" ht="15.75" customHeight="1">
      <c r="A621" s="2"/>
      <c r="B621" s="2"/>
      <c r="C621" s="2"/>
      <c r="D621" s="2"/>
      <c r="E621" s="2"/>
      <c r="F621" s="2"/>
      <c r="G621" s="2"/>
      <c r="H621" s="2"/>
      <c r="I621" s="2"/>
      <c r="J621" s="2"/>
      <c r="L621" s="2"/>
    </row>
    <row r="622" ht="15.75" customHeight="1">
      <c r="A622" s="2"/>
      <c r="B622" s="2"/>
      <c r="C622" s="2"/>
      <c r="D622" s="2"/>
      <c r="E622" s="2"/>
      <c r="F622" s="2"/>
      <c r="G622" s="2"/>
      <c r="H622" s="2"/>
      <c r="I622" s="2"/>
      <c r="J622" s="2"/>
      <c r="L622" s="2"/>
    </row>
    <row r="623" ht="15.75" customHeight="1">
      <c r="A623" s="2"/>
      <c r="B623" s="2"/>
      <c r="C623" s="2"/>
      <c r="D623" s="2"/>
      <c r="E623" s="2"/>
      <c r="F623" s="2"/>
      <c r="G623" s="2"/>
      <c r="H623" s="2"/>
      <c r="I623" s="2"/>
      <c r="J623" s="2"/>
      <c r="L623" s="2"/>
    </row>
    <row r="624" ht="15.75" customHeight="1">
      <c r="A624" s="2"/>
      <c r="B624" s="2"/>
      <c r="C624" s="2"/>
      <c r="D624" s="2"/>
      <c r="E624" s="2"/>
      <c r="F624" s="2"/>
      <c r="G624" s="2"/>
      <c r="H624" s="2"/>
      <c r="I624" s="2"/>
      <c r="J624" s="2"/>
      <c r="L624" s="2"/>
    </row>
    <row r="625" ht="15.75" customHeight="1">
      <c r="A625" s="2"/>
      <c r="B625" s="2"/>
      <c r="C625" s="2"/>
      <c r="D625" s="2"/>
      <c r="E625" s="2"/>
      <c r="F625" s="2"/>
      <c r="G625" s="2"/>
      <c r="H625" s="2"/>
      <c r="I625" s="2"/>
      <c r="J625" s="2"/>
      <c r="L625" s="2"/>
    </row>
    <row r="626" ht="15.75" customHeight="1">
      <c r="A626" s="2"/>
      <c r="B626" s="2"/>
      <c r="C626" s="2"/>
      <c r="D626" s="2"/>
      <c r="E626" s="2"/>
      <c r="F626" s="2"/>
      <c r="G626" s="2"/>
      <c r="H626" s="2"/>
      <c r="I626" s="2"/>
      <c r="J626" s="2"/>
      <c r="L626" s="2"/>
    </row>
    <row r="627" ht="15.75" customHeight="1">
      <c r="A627" s="2"/>
      <c r="B627" s="2"/>
      <c r="C627" s="2"/>
      <c r="D627" s="2"/>
      <c r="E627" s="2"/>
      <c r="F627" s="2"/>
      <c r="G627" s="2"/>
      <c r="H627" s="2"/>
      <c r="I627" s="2"/>
      <c r="J627" s="2"/>
      <c r="L627" s="2"/>
    </row>
    <row r="628" ht="15.75" customHeight="1">
      <c r="A628" s="2"/>
      <c r="B628" s="2"/>
      <c r="C628" s="2"/>
      <c r="D628" s="2"/>
      <c r="E628" s="2"/>
      <c r="F628" s="2"/>
      <c r="G628" s="2"/>
      <c r="H628" s="2"/>
      <c r="I628" s="2"/>
      <c r="J628" s="2"/>
      <c r="L628" s="2"/>
    </row>
    <row r="629" ht="15.75" customHeight="1">
      <c r="A629" s="2"/>
      <c r="B629" s="2"/>
      <c r="C629" s="2"/>
      <c r="D629" s="2"/>
      <c r="E629" s="2"/>
      <c r="F629" s="2"/>
      <c r="G629" s="2"/>
      <c r="H629" s="2"/>
      <c r="I629" s="2"/>
      <c r="J629" s="2"/>
      <c r="L629" s="2"/>
    </row>
    <row r="630" ht="15.75" customHeight="1">
      <c r="A630" s="2"/>
      <c r="B630" s="2"/>
      <c r="C630" s="2"/>
      <c r="D630" s="2"/>
      <c r="E630" s="2"/>
      <c r="F630" s="2"/>
      <c r="G630" s="2"/>
      <c r="H630" s="2"/>
      <c r="I630" s="2"/>
      <c r="J630" s="2"/>
      <c r="L630" s="2"/>
    </row>
    <row r="631" ht="15.75" customHeight="1">
      <c r="A631" s="2"/>
      <c r="B631" s="2"/>
      <c r="C631" s="2"/>
      <c r="D631" s="2"/>
      <c r="E631" s="2"/>
      <c r="F631" s="2"/>
      <c r="G631" s="2"/>
      <c r="H631" s="2"/>
      <c r="I631" s="2"/>
      <c r="J631" s="2"/>
      <c r="L631" s="2"/>
    </row>
    <row r="632" ht="15.75" customHeight="1">
      <c r="A632" s="2"/>
      <c r="B632" s="2"/>
      <c r="C632" s="2"/>
      <c r="D632" s="2"/>
      <c r="E632" s="2"/>
      <c r="F632" s="2"/>
      <c r="G632" s="2"/>
      <c r="H632" s="2"/>
      <c r="I632" s="2"/>
      <c r="J632" s="2"/>
      <c r="L632" s="2"/>
    </row>
    <row r="633" ht="15.75" customHeight="1">
      <c r="A633" s="2"/>
      <c r="B633" s="2"/>
      <c r="C633" s="2"/>
      <c r="D633" s="2"/>
      <c r="E633" s="2"/>
      <c r="F633" s="2"/>
      <c r="G633" s="2"/>
      <c r="H633" s="2"/>
      <c r="I633" s="2"/>
      <c r="J633" s="2"/>
      <c r="L633" s="2"/>
    </row>
    <row r="634" ht="15.75" customHeight="1">
      <c r="A634" s="2"/>
      <c r="B634" s="2"/>
      <c r="C634" s="2"/>
      <c r="D634" s="2"/>
      <c r="E634" s="2"/>
      <c r="F634" s="2"/>
      <c r="G634" s="2"/>
      <c r="H634" s="2"/>
      <c r="I634" s="2"/>
      <c r="J634" s="2"/>
      <c r="L634" s="2"/>
    </row>
    <row r="635" ht="15.75" customHeight="1">
      <c r="A635" s="2"/>
      <c r="B635" s="2"/>
      <c r="C635" s="2"/>
      <c r="D635" s="2"/>
      <c r="E635" s="2"/>
      <c r="F635" s="2"/>
      <c r="G635" s="2"/>
      <c r="H635" s="2"/>
      <c r="I635" s="2"/>
      <c r="J635" s="2"/>
      <c r="L635" s="2"/>
    </row>
    <row r="636" ht="15.75" customHeight="1">
      <c r="A636" s="2"/>
      <c r="B636" s="2"/>
      <c r="C636" s="2"/>
      <c r="D636" s="2"/>
      <c r="E636" s="2"/>
      <c r="F636" s="2"/>
      <c r="G636" s="2"/>
      <c r="H636" s="2"/>
      <c r="I636" s="2"/>
      <c r="J636" s="2"/>
      <c r="L636" s="2"/>
    </row>
    <row r="637" ht="15.75" customHeight="1">
      <c r="A637" s="2"/>
      <c r="B637" s="2"/>
      <c r="C637" s="2"/>
      <c r="D637" s="2"/>
      <c r="E637" s="2"/>
      <c r="F637" s="2"/>
      <c r="G637" s="2"/>
      <c r="H637" s="2"/>
      <c r="I637" s="2"/>
      <c r="J637" s="2"/>
      <c r="L637" s="2"/>
    </row>
    <row r="638" ht="15.75" customHeight="1">
      <c r="A638" s="2"/>
      <c r="B638" s="2"/>
      <c r="C638" s="2"/>
      <c r="D638" s="2"/>
      <c r="E638" s="2"/>
      <c r="F638" s="2"/>
      <c r="G638" s="2"/>
      <c r="H638" s="2"/>
      <c r="I638" s="2"/>
      <c r="J638" s="2"/>
      <c r="L638" s="2"/>
    </row>
    <row r="639" ht="15.75" customHeight="1">
      <c r="A639" s="2"/>
      <c r="B639" s="2"/>
      <c r="C639" s="2"/>
      <c r="D639" s="2"/>
      <c r="E639" s="2"/>
      <c r="F639" s="2"/>
      <c r="G639" s="2"/>
      <c r="H639" s="2"/>
      <c r="I639" s="2"/>
      <c r="J639" s="2"/>
      <c r="L639" s="2"/>
    </row>
    <row r="640" ht="15.75" customHeight="1">
      <c r="A640" s="2"/>
      <c r="B640" s="2"/>
      <c r="C640" s="2"/>
      <c r="D640" s="2"/>
      <c r="E640" s="2"/>
      <c r="F640" s="2"/>
      <c r="G640" s="2"/>
      <c r="H640" s="2"/>
      <c r="I640" s="2"/>
      <c r="J640" s="2"/>
      <c r="L640" s="2"/>
    </row>
    <row r="641" ht="15.75" customHeight="1">
      <c r="A641" s="2"/>
      <c r="B641" s="2"/>
      <c r="C641" s="2"/>
      <c r="D641" s="2"/>
      <c r="E641" s="2"/>
      <c r="F641" s="2"/>
      <c r="G641" s="2"/>
      <c r="H641" s="2"/>
      <c r="I641" s="2"/>
      <c r="J641" s="2"/>
      <c r="L641" s="2"/>
    </row>
    <row r="642" ht="15.75" customHeight="1">
      <c r="A642" s="2"/>
      <c r="B642" s="2"/>
      <c r="C642" s="2"/>
      <c r="D642" s="2"/>
      <c r="E642" s="2"/>
      <c r="F642" s="2"/>
      <c r="G642" s="2"/>
      <c r="H642" s="2"/>
      <c r="I642" s="2"/>
      <c r="J642" s="2"/>
      <c r="L642" s="2"/>
    </row>
    <row r="643" ht="15.75" customHeight="1">
      <c r="A643" s="2"/>
      <c r="B643" s="2"/>
      <c r="C643" s="2"/>
      <c r="D643" s="2"/>
      <c r="E643" s="2"/>
      <c r="F643" s="2"/>
      <c r="G643" s="2"/>
      <c r="H643" s="2"/>
      <c r="I643" s="2"/>
      <c r="J643" s="2"/>
      <c r="L643" s="2"/>
    </row>
    <row r="644" ht="15.75" customHeight="1">
      <c r="A644" s="2"/>
      <c r="B644" s="2"/>
      <c r="C644" s="2"/>
      <c r="D644" s="2"/>
      <c r="E644" s="2"/>
      <c r="F644" s="2"/>
      <c r="G644" s="2"/>
      <c r="H644" s="2"/>
      <c r="I644" s="2"/>
      <c r="J644" s="2"/>
      <c r="L644" s="2"/>
    </row>
    <row r="645" ht="15.75" customHeight="1">
      <c r="A645" s="2"/>
      <c r="B645" s="2"/>
      <c r="C645" s="2"/>
      <c r="D645" s="2"/>
      <c r="E645" s="2"/>
      <c r="F645" s="2"/>
      <c r="G645" s="2"/>
      <c r="H645" s="2"/>
      <c r="I645" s="2"/>
      <c r="J645" s="2"/>
      <c r="L645" s="2"/>
    </row>
    <row r="646" ht="15.75" customHeight="1">
      <c r="A646" s="2"/>
      <c r="B646" s="2"/>
      <c r="C646" s="2"/>
      <c r="D646" s="2"/>
      <c r="E646" s="2"/>
      <c r="F646" s="2"/>
      <c r="G646" s="2"/>
      <c r="H646" s="2"/>
      <c r="I646" s="2"/>
      <c r="J646" s="2"/>
      <c r="L646" s="2"/>
    </row>
    <row r="647" ht="15.75" customHeight="1">
      <c r="A647" s="2"/>
      <c r="B647" s="2"/>
      <c r="C647" s="2"/>
      <c r="D647" s="2"/>
      <c r="E647" s="2"/>
      <c r="F647" s="2"/>
      <c r="G647" s="2"/>
      <c r="H647" s="2"/>
      <c r="I647" s="2"/>
      <c r="J647" s="2"/>
      <c r="L647" s="2"/>
    </row>
    <row r="648" ht="15.75" customHeight="1">
      <c r="A648" s="2"/>
      <c r="B648" s="2"/>
      <c r="C648" s="2"/>
      <c r="D648" s="2"/>
      <c r="E648" s="2"/>
      <c r="F648" s="2"/>
      <c r="G648" s="2"/>
      <c r="H648" s="2"/>
      <c r="I648" s="2"/>
      <c r="J648" s="2"/>
      <c r="L648" s="2"/>
    </row>
    <row r="649" ht="15.75" customHeight="1">
      <c r="A649" s="2"/>
      <c r="B649" s="2"/>
      <c r="C649" s="2"/>
      <c r="D649" s="2"/>
      <c r="E649" s="2"/>
      <c r="F649" s="2"/>
      <c r="G649" s="2"/>
      <c r="H649" s="2"/>
      <c r="I649" s="2"/>
      <c r="J649" s="2"/>
      <c r="L649" s="2"/>
    </row>
    <row r="650" ht="15.75" customHeight="1">
      <c r="A650" s="2"/>
      <c r="B650" s="2"/>
      <c r="C650" s="2"/>
      <c r="D650" s="2"/>
      <c r="E650" s="2"/>
      <c r="F650" s="2"/>
      <c r="G650" s="2"/>
      <c r="H650" s="2"/>
      <c r="I650" s="2"/>
      <c r="J650" s="2"/>
      <c r="L650" s="2"/>
    </row>
    <row r="651" ht="15.75" customHeight="1">
      <c r="A651" s="2"/>
      <c r="B651" s="2"/>
      <c r="C651" s="2"/>
      <c r="D651" s="2"/>
      <c r="E651" s="2"/>
      <c r="F651" s="2"/>
      <c r="G651" s="2"/>
      <c r="H651" s="2"/>
      <c r="I651" s="2"/>
      <c r="J651" s="2"/>
      <c r="L651" s="2"/>
    </row>
    <row r="652" ht="15.75" customHeight="1">
      <c r="A652" s="2"/>
      <c r="B652" s="2"/>
      <c r="C652" s="2"/>
      <c r="D652" s="2"/>
      <c r="E652" s="2"/>
      <c r="F652" s="2"/>
      <c r="G652" s="2"/>
      <c r="H652" s="2"/>
      <c r="I652" s="2"/>
      <c r="J652" s="2"/>
      <c r="L652" s="2"/>
    </row>
    <row r="653" ht="15.75" customHeight="1">
      <c r="A653" s="2"/>
      <c r="B653" s="2"/>
      <c r="C653" s="2"/>
      <c r="D653" s="2"/>
      <c r="E653" s="2"/>
      <c r="F653" s="2"/>
      <c r="G653" s="2"/>
      <c r="H653" s="2"/>
      <c r="I653" s="2"/>
      <c r="J653" s="2"/>
      <c r="L653" s="2"/>
    </row>
    <row r="654" ht="15.75" customHeight="1">
      <c r="A654" s="2"/>
      <c r="B654" s="2"/>
      <c r="C654" s="2"/>
      <c r="D654" s="2"/>
      <c r="E654" s="2"/>
      <c r="F654" s="2"/>
      <c r="G654" s="2"/>
      <c r="H654" s="2"/>
      <c r="I654" s="2"/>
      <c r="J654" s="2"/>
      <c r="L654" s="2"/>
    </row>
    <row r="655" ht="15.75" customHeight="1">
      <c r="A655" s="2"/>
      <c r="B655" s="2"/>
      <c r="C655" s="2"/>
      <c r="D655" s="2"/>
      <c r="E655" s="2"/>
      <c r="F655" s="2"/>
      <c r="G655" s="2"/>
      <c r="H655" s="2"/>
      <c r="I655" s="2"/>
      <c r="J655" s="2"/>
      <c r="L655" s="2"/>
    </row>
    <row r="656" ht="15.75" customHeight="1">
      <c r="A656" s="2"/>
      <c r="B656" s="2"/>
      <c r="C656" s="2"/>
      <c r="D656" s="2"/>
      <c r="E656" s="2"/>
      <c r="F656" s="2"/>
      <c r="G656" s="2"/>
      <c r="H656" s="2"/>
      <c r="I656" s="2"/>
      <c r="J656" s="2"/>
      <c r="L656" s="2"/>
    </row>
    <row r="657" ht="15.75" customHeight="1">
      <c r="A657" s="2"/>
      <c r="B657" s="2"/>
      <c r="C657" s="2"/>
      <c r="D657" s="2"/>
      <c r="E657" s="2"/>
      <c r="F657" s="2"/>
      <c r="G657" s="2"/>
      <c r="H657" s="2"/>
      <c r="I657" s="2"/>
      <c r="J657" s="2"/>
      <c r="L657" s="2"/>
    </row>
    <row r="658" ht="15.75" customHeight="1">
      <c r="A658" s="2"/>
      <c r="B658" s="2"/>
      <c r="C658" s="2"/>
      <c r="D658" s="2"/>
      <c r="E658" s="2"/>
      <c r="F658" s="2"/>
      <c r="G658" s="2"/>
      <c r="H658" s="2"/>
      <c r="I658" s="2"/>
      <c r="J658" s="2"/>
      <c r="L658" s="2"/>
    </row>
    <row r="659" ht="15.75" customHeight="1">
      <c r="A659" s="2"/>
      <c r="B659" s="2"/>
      <c r="C659" s="2"/>
      <c r="D659" s="2"/>
      <c r="E659" s="2"/>
      <c r="F659" s="2"/>
      <c r="G659" s="2"/>
      <c r="H659" s="2"/>
      <c r="I659" s="2"/>
      <c r="J659" s="2"/>
      <c r="L659" s="2"/>
    </row>
    <row r="660" ht="15.75" customHeight="1">
      <c r="A660" s="2"/>
      <c r="B660" s="2"/>
      <c r="C660" s="2"/>
      <c r="D660" s="2"/>
      <c r="E660" s="2"/>
      <c r="F660" s="2"/>
      <c r="G660" s="2"/>
      <c r="H660" s="2"/>
      <c r="I660" s="2"/>
      <c r="J660" s="2"/>
      <c r="L660" s="2"/>
    </row>
    <row r="661" ht="15.75" customHeight="1">
      <c r="A661" s="2"/>
      <c r="B661" s="2"/>
      <c r="C661" s="2"/>
      <c r="D661" s="2"/>
      <c r="E661" s="2"/>
      <c r="F661" s="2"/>
      <c r="G661" s="2"/>
      <c r="H661" s="2"/>
      <c r="I661" s="2"/>
      <c r="J661" s="2"/>
      <c r="L661" s="2"/>
    </row>
    <row r="662" ht="15.75" customHeight="1">
      <c r="A662" s="2"/>
      <c r="B662" s="2"/>
      <c r="C662" s="2"/>
      <c r="D662" s="2"/>
      <c r="E662" s="2"/>
      <c r="F662" s="2"/>
      <c r="G662" s="2"/>
      <c r="H662" s="2"/>
      <c r="I662" s="2"/>
      <c r="J662" s="2"/>
      <c r="L662" s="2"/>
    </row>
    <row r="663" ht="15.75" customHeight="1">
      <c r="A663" s="2"/>
      <c r="B663" s="2"/>
      <c r="C663" s="2"/>
      <c r="D663" s="2"/>
      <c r="E663" s="2"/>
      <c r="F663" s="2"/>
      <c r="G663" s="2"/>
      <c r="H663" s="2"/>
      <c r="I663" s="2"/>
      <c r="J663" s="2"/>
      <c r="L663" s="2"/>
    </row>
    <row r="664" ht="15.75" customHeight="1">
      <c r="A664" s="2"/>
      <c r="B664" s="2"/>
      <c r="C664" s="2"/>
      <c r="D664" s="2"/>
      <c r="E664" s="2"/>
      <c r="F664" s="2"/>
      <c r="G664" s="2"/>
      <c r="H664" s="2"/>
      <c r="I664" s="2"/>
      <c r="J664" s="2"/>
      <c r="L664" s="2"/>
    </row>
    <row r="665" ht="15.75" customHeight="1">
      <c r="A665" s="2"/>
      <c r="B665" s="2"/>
      <c r="C665" s="2"/>
      <c r="D665" s="2"/>
      <c r="E665" s="2"/>
      <c r="F665" s="2"/>
      <c r="G665" s="2"/>
      <c r="H665" s="2"/>
      <c r="I665" s="2"/>
      <c r="J665" s="2"/>
      <c r="L665" s="2"/>
    </row>
    <row r="666" ht="15.75" customHeight="1">
      <c r="A666" s="2"/>
      <c r="B666" s="2"/>
      <c r="C666" s="2"/>
      <c r="D666" s="2"/>
      <c r="E666" s="2"/>
      <c r="F666" s="2"/>
      <c r="G666" s="2"/>
      <c r="H666" s="2"/>
      <c r="I666" s="2"/>
      <c r="J666" s="2"/>
      <c r="L666" s="2"/>
    </row>
    <row r="667" ht="15.75" customHeight="1">
      <c r="A667" s="2"/>
      <c r="B667" s="2"/>
      <c r="C667" s="2"/>
      <c r="D667" s="2"/>
      <c r="E667" s="2"/>
      <c r="F667" s="2"/>
      <c r="G667" s="2"/>
      <c r="H667" s="2"/>
      <c r="I667" s="2"/>
      <c r="J667" s="2"/>
      <c r="L667" s="2"/>
    </row>
    <row r="668" ht="15.75" customHeight="1">
      <c r="A668" s="2"/>
      <c r="B668" s="2"/>
      <c r="C668" s="2"/>
      <c r="D668" s="2"/>
      <c r="E668" s="2"/>
      <c r="F668" s="2"/>
      <c r="G668" s="2"/>
      <c r="H668" s="2"/>
      <c r="I668" s="2"/>
      <c r="J668" s="2"/>
      <c r="L668" s="2"/>
    </row>
    <row r="669" ht="15.75" customHeight="1">
      <c r="A669" s="2"/>
      <c r="B669" s="2"/>
      <c r="C669" s="2"/>
      <c r="D669" s="2"/>
      <c r="E669" s="2"/>
      <c r="F669" s="2"/>
      <c r="G669" s="2"/>
      <c r="H669" s="2"/>
      <c r="I669" s="2"/>
      <c r="J669" s="2"/>
      <c r="L669" s="2"/>
    </row>
    <row r="670" ht="15.75" customHeight="1">
      <c r="A670" s="2"/>
      <c r="B670" s="2"/>
      <c r="C670" s="2"/>
      <c r="D670" s="2"/>
      <c r="E670" s="2"/>
      <c r="F670" s="2"/>
      <c r="G670" s="2"/>
      <c r="H670" s="2"/>
      <c r="I670" s="2"/>
      <c r="J670" s="2"/>
      <c r="L670" s="2"/>
    </row>
    <row r="671" ht="15.75" customHeight="1">
      <c r="A671" s="2"/>
      <c r="B671" s="2"/>
      <c r="C671" s="2"/>
      <c r="D671" s="2"/>
      <c r="E671" s="2"/>
      <c r="F671" s="2"/>
      <c r="G671" s="2"/>
      <c r="H671" s="2"/>
      <c r="I671" s="2"/>
      <c r="J671" s="2"/>
      <c r="L671" s="2"/>
    </row>
    <row r="672" ht="15.75" customHeight="1">
      <c r="A672" s="2"/>
      <c r="B672" s="2"/>
      <c r="C672" s="2"/>
      <c r="D672" s="2"/>
      <c r="E672" s="2"/>
      <c r="F672" s="2"/>
      <c r="G672" s="2"/>
      <c r="H672" s="2"/>
      <c r="I672" s="2"/>
      <c r="J672" s="2"/>
      <c r="L672" s="2"/>
    </row>
    <row r="673" ht="15.75" customHeight="1">
      <c r="A673" s="2"/>
      <c r="B673" s="2"/>
      <c r="C673" s="2"/>
      <c r="D673" s="2"/>
      <c r="E673" s="2"/>
      <c r="F673" s="2"/>
      <c r="G673" s="2"/>
      <c r="H673" s="2"/>
      <c r="I673" s="2"/>
      <c r="J673" s="2"/>
      <c r="L673" s="2"/>
    </row>
    <row r="674" ht="15.75" customHeight="1">
      <c r="A674" s="2"/>
      <c r="B674" s="2"/>
      <c r="C674" s="2"/>
      <c r="D674" s="2"/>
      <c r="E674" s="2"/>
      <c r="F674" s="2"/>
      <c r="G674" s="2"/>
      <c r="H674" s="2"/>
      <c r="I674" s="2"/>
      <c r="J674" s="2"/>
      <c r="L674" s="2"/>
    </row>
    <row r="675" ht="15.75" customHeight="1">
      <c r="A675" s="2"/>
      <c r="B675" s="2"/>
      <c r="C675" s="2"/>
      <c r="D675" s="2"/>
      <c r="E675" s="2"/>
      <c r="F675" s="2"/>
      <c r="G675" s="2"/>
      <c r="H675" s="2"/>
      <c r="I675" s="2"/>
      <c r="J675" s="2"/>
      <c r="L675" s="2"/>
    </row>
    <row r="676" ht="15.75" customHeight="1">
      <c r="A676" s="2"/>
      <c r="B676" s="2"/>
      <c r="C676" s="2"/>
      <c r="D676" s="2"/>
      <c r="E676" s="2"/>
      <c r="F676" s="2"/>
      <c r="G676" s="2"/>
      <c r="H676" s="2"/>
      <c r="I676" s="2"/>
      <c r="J676" s="2"/>
      <c r="L676" s="2"/>
    </row>
    <row r="677" ht="15.75" customHeight="1">
      <c r="A677" s="2"/>
      <c r="B677" s="2"/>
      <c r="C677" s="2"/>
      <c r="D677" s="2"/>
      <c r="E677" s="2"/>
      <c r="F677" s="2"/>
      <c r="G677" s="2"/>
      <c r="H677" s="2"/>
      <c r="I677" s="2"/>
      <c r="J677" s="2"/>
      <c r="L677" s="2"/>
    </row>
    <row r="678" ht="15.75" customHeight="1">
      <c r="A678" s="2"/>
      <c r="B678" s="2"/>
      <c r="C678" s="2"/>
      <c r="D678" s="2"/>
      <c r="E678" s="2"/>
      <c r="F678" s="2"/>
      <c r="G678" s="2"/>
      <c r="H678" s="2"/>
      <c r="I678" s="2"/>
      <c r="J678" s="2"/>
      <c r="L678" s="2"/>
    </row>
    <row r="679" ht="15.75" customHeight="1">
      <c r="A679" s="2"/>
      <c r="B679" s="2"/>
      <c r="C679" s="2"/>
      <c r="D679" s="2"/>
      <c r="E679" s="2"/>
      <c r="F679" s="2"/>
      <c r="G679" s="2"/>
      <c r="H679" s="2"/>
      <c r="I679" s="2"/>
      <c r="J679" s="2"/>
      <c r="L679" s="2"/>
    </row>
    <row r="680" ht="15.75" customHeight="1">
      <c r="A680" s="2"/>
      <c r="B680" s="2"/>
      <c r="C680" s="2"/>
      <c r="D680" s="2"/>
      <c r="E680" s="2"/>
      <c r="F680" s="2"/>
      <c r="G680" s="2"/>
      <c r="H680" s="2"/>
      <c r="I680" s="2"/>
      <c r="J680" s="2"/>
      <c r="L680" s="2"/>
    </row>
    <row r="681" ht="15.75" customHeight="1">
      <c r="A681" s="2"/>
      <c r="B681" s="2"/>
      <c r="C681" s="2"/>
      <c r="D681" s="2"/>
      <c r="E681" s="2"/>
      <c r="F681" s="2"/>
      <c r="G681" s="2"/>
      <c r="H681" s="2"/>
      <c r="I681" s="2"/>
      <c r="J681" s="2"/>
      <c r="L681" s="2"/>
    </row>
    <row r="682" ht="15.75" customHeight="1">
      <c r="A682" s="2"/>
      <c r="B682" s="2"/>
      <c r="C682" s="2"/>
      <c r="D682" s="2"/>
      <c r="E682" s="2"/>
      <c r="F682" s="2"/>
      <c r="G682" s="2"/>
      <c r="H682" s="2"/>
      <c r="I682" s="2"/>
      <c r="J682" s="2"/>
      <c r="L682" s="2"/>
    </row>
    <row r="683" ht="15.75" customHeight="1">
      <c r="A683" s="2"/>
      <c r="B683" s="2"/>
      <c r="C683" s="2"/>
      <c r="D683" s="2"/>
      <c r="E683" s="2"/>
      <c r="F683" s="2"/>
      <c r="G683" s="2"/>
      <c r="H683" s="2"/>
      <c r="I683" s="2"/>
      <c r="J683" s="2"/>
      <c r="L683" s="2"/>
    </row>
    <row r="684" ht="15.75" customHeight="1">
      <c r="A684" s="2"/>
      <c r="B684" s="2"/>
      <c r="C684" s="2"/>
      <c r="D684" s="2"/>
      <c r="E684" s="2"/>
      <c r="F684" s="2"/>
      <c r="G684" s="2"/>
      <c r="H684" s="2"/>
      <c r="I684" s="2"/>
      <c r="J684" s="2"/>
      <c r="L684" s="2"/>
    </row>
    <row r="685" ht="15.75" customHeight="1">
      <c r="A685" s="2"/>
      <c r="B685" s="2"/>
      <c r="C685" s="2"/>
      <c r="D685" s="2"/>
      <c r="E685" s="2"/>
      <c r="F685" s="2"/>
      <c r="G685" s="2"/>
      <c r="H685" s="2"/>
      <c r="I685" s="2"/>
      <c r="J685" s="2"/>
      <c r="L685" s="2"/>
    </row>
    <row r="686" ht="15.75" customHeight="1">
      <c r="A686" s="2"/>
      <c r="B686" s="2"/>
      <c r="C686" s="2"/>
      <c r="D686" s="2"/>
      <c r="E686" s="2"/>
      <c r="F686" s="2"/>
      <c r="G686" s="2"/>
      <c r="H686" s="2"/>
      <c r="I686" s="2"/>
      <c r="J686" s="2"/>
      <c r="L686" s="2"/>
    </row>
    <row r="687" ht="15.75" customHeight="1">
      <c r="A687" s="2"/>
      <c r="B687" s="2"/>
      <c r="C687" s="2"/>
      <c r="D687" s="2"/>
      <c r="E687" s="2"/>
      <c r="F687" s="2"/>
      <c r="G687" s="2"/>
      <c r="H687" s="2"/>
      <c r="I687" s="2"/>
      <c r="J687" s="2"/>
      <c r="L687" s="2"/>
    </row>
    <row r="688" ht="15.75" customHeight="1">
      <c r="A688" s="2"/>
      <c r="B688" s="2"/>
      <c r="C688" s="2"/>
      <c r="D688" s="2"/>
      <c r="E688" s="2"/>
      <c r="F688" s="2"/>
      <c r="G688" s="2"/>
      <c r="H688" s="2"/>
      <c r="I688" s="2"/>
      <c r="J688" s="2"/>
      <c r="L688" s="2"/>
    </row>
    <row r="689" ht="15.75" customHeight="1">
      <c r="A689" s="2"/>
      <c r="B689" s="2"/>
      <c r="C689" s="2"/>
      <c r="D689" s="2"/>
      <c r="E689" s="2"/>
      <c r="F689" s="2"/>
      <c r="G689" s="2"/>
      <c r="H689" s="2"/>
      <c r="I689" s="2"/>
      <c r="J689" s="2"/>
      <c r="L689" s="2"/>
    </row>
    <row r="690" ht="15.75" customHeight="1">
      <c r="A690" s="2"/>
      <c r="B690" s="2"/>
      <c r="C690" s="2"/>
      <c r="D690" s="2"/>
      <c r="E690" s="2"/>
      <c r="F690" s="2"/>
      <c r="G690" s="2"/>
      <c r="H690" s="2"/>
      <c r="I690" s="2"/>
      <c r="J690" s="2"/>
      <c r="L690" s="2"/>
    </row>
    <row r="691" ht="15.75" customHeight="1">
      <c r="A691" s="2"/>
      <c r="B691" s="2"/>
      <c r="C691" s="2"/>
      <c r="D691" s="2"/>
      <c r="E691" s="2"/>
      <c r="F691" s="2"/>
      <c r="G691" s="2"/>
      <c r="H691" s="2"/>
      <c r="I691" s="2"/>
      <c r="J691" s="2"/>
      <c r="L691" s="2"/>
    </row>
    <row r="692" ht="15.75" customHeight="1">
      <c r="A692" s="2"/>
      <c r="B692" s="2"/>
      <c r="C692" s="2"/>
      <c r="D692" s="2"/>
      <c r="E692" s="2"/>
      <c r="F692" s="2"/>
      <c r="G692" s="2"/>
      <c r="H692" s="2"/>
      <c r="I692" s="2"/>
      <c r="J692" s="2"/>
      <c r="L692" s="2"/>
    </row>
    <row r="693" ht="15.75" customHeight="1">
      <c r="A693" s="2"/>
      <c r="B693" s="2"/>
      <c r="C693" s="2"/>
      <c r="D693" s="2"/>
      <c r="E693" s="2"/>
      <c r="F693" s="2"/>
      <c r="G693" s="2"/>
      <c r="H693" s="2"/>
      <c r="I693" s="2"/>
      <c r="J693" s="2"/>
      <c r="L693" s="2"/>
    </row>
    <row r="694" ht="15.75" customHeight="1">
      <c r="A694" s="2"/>
      <c r="B694" s="2"/>
      <c r="C694" s="2"/>
      <c r="D694" s="2"/>
      <c r="E694" s="2"/>
      <c r="F694" s="2"/>
      <c r="G694" s="2"/>
      <c r="H694" s="2"/>
      <c r="I694" s="2"/>
      <c r="J694" s="2"/>
      <c r="L694" s="2"/>
    </row>
    <row r="695" ht="15.75" customHeight="1">
      <c r="A695" s="2"/>
      <c r="B695" s="2"/>
      <c r="C695" s="2"/>
      <c r="D695" s="2"/>
      <c r="E695" s="2"/>
      <c r="F695" s="2"/>
      <c r="G695" s="2"/>
      <c r="H695" s="2"/>
      <c r="I695" s="2"/>
      <c r="J695" s="2"/>
      <c r="L695" s="2"/>
    </row>
    <row r="696" ht="15.75" customHeight="1">
      <c r="A696" s="2"/>
      <c r="B696" s="2"/>
      <c r="C696" s="2"/>
      <c r="D696" s="2"/>
      <c r="E696" s="2"/>
      <c r="F696" s="2"/>
      <c r="G696" s="2"/>
      <c r="H696" s="2"/>
      <c r="I696" s="2"/>
      <c r="J696" s="2"/>
      <c r="L696" s="2"/>
    </row>
    <row r="697" ht="15.75" customHeight="1">
      <c r="A697" s="2"/>
      <c r="B697" s="2"/>
      <c r="C697" s="2"/>
      <c r="D697" s="2"/>
      <c r="E697" s="2"/>
      <c r="F697" s="2"/>
      <c r="G697" s="2"/>
      <c r="H697" s="2"/>
      <c r="I697" s="2"/>
      <c r="J697" s="2"/>
      <c r="L697" s="2"/>
    </row>
    <row r="698" ht="15.75" customHeight="1">
      <c r="A698" s="2"/>
      <c r="B698" s="2"/>
      <c r="C698" s="2"/>
      <c r="D698" s="2"/>
      <c r="E698" s="2"/>
      <c r="F698" s="2"/>
      <c r="G698" s="2"/>
      <c r="H698" s="2"/>
      <c r="I698" s="2"/>
      <c r="J698" s="2"/>
      <c r="L698" s="2"/>
    </row>
    <row r="699" ht="15.75" customHeight="1">
      <c r="A699" s="2"/>
      <c r="B699" s="2"/>
      <c r="C699" s="2"/>
      <c r="D699" s="2"/>
      <c r="E699" s="2"/>
      <c r="F699" s="2"/>
      <c r="G699" s="2"/>
      <c r="H699" s="2"/>
      <c r="I699" s="2"/>
      <c r="J699" s="2"/>
      <c r="L699" s="2"/>
    </row>
    <row r="700" ht="15.75" customHeight="1">
      <c r="A700" s="2"/>
      <c r="B700" s="2"/>
      <c r="C700" s="2"/>
      <c r="D700" s="2"/>
      <c r="E700" s="2"/>
      <c r="F700" s="2"/>
      <c r="G700" s="2"/>
      <c r="H700" s="2"/>
      <c r="I700" s="2"/>
      <c r="J700" s="2"/>
      <c r="L700" s="2"/>
    </row>
    <row r="701" ht="15.75" customHeight="1">
      <c r="A701" s="2"/>
      <c r="B701" s="2"/>
      <c r="C701" s="2"/>
      <c r="D701" s="2"/>
      <c r="E701" s="2"/>
      <c r="F701" s="2"/>
      <c r="G701" s="2"/>
      <c r="H701" s="2"/>
      <c r="I701" s="2"/>
      <c r="J701" s="2"/>
      <c r="L701" s="2"/>
    </row>
    <row r="702" ht="15.75" customHeight="1">
      <c r="A702" s="2"/>
      <c r="B702" s="2"/>
      <c r="C702" s="2"/>
      <c r="D702" s="2"/>
      <c r="E702" s="2"/>
      <c r="F702" s="2"/>
      <c r="G702" s="2"/>
      <c r="H702" s="2"/>
      <c r="I702" s="2"/>
      <c r="J702" s="2"/>
      <c r="L702" s="2"/>
    </row>
    <row r="703" ht="15.75" customHeight="1">
      <c r="A703" s="2"/>
      <c r="B703" s="2"/>
      <c r="C703" s="2"/>
      <c r="D703" s="2"/>
      <c r="E703" s="2"/>
      <c r="F703" s="2"/>
      <c r="G703" s="2"/>
      <c r="H703" s="2"/>
      <c r="I703" s="2"/>
      <c r="J703" s="2"/>
      <c r="L703" s="2"/>
    </row>
    <row r="704" ht="15.75" customHeight="1">
      <c r="A704" s="2"/>
      <c r="B704" s="2"/>
      <c r="C704" s="2"/>
      <c r="D704" s="2"/>
      <c r="E704" s="2"/>
      <c r="F704" s="2"/>
      <c r="G704" s="2"/>
      <c r="H704" s="2"/>
      <c r="I704" s="2"/>
      <c r="J704" s="2"/>
      <c r="L704" s="2"/>
    </row>
    <row r="705" ht="15.75" customHeight="1">
      <c r="A705" s="2"/>
      <c r="B705" s="2"/>
      <c r="C705" s="2"/>
      <c r="D705" s="2"/>
      <c r="E705" s="2"/>
      <c r="F705" s="2"/>
      <c r="G705" s="2"/>
      <c r="H705" s="2"/>
      <c r="I705" s="2"/>
      <c r="J705" s="2"/>
      <c r="L705" s="2"/>
    </row>
    <row r="706" ht="15.75" customHeight="1">
      <c r="A706" s="2"/>
      <c r="B706" s="2"/>
      <c r="C706" s="2"/>
      <c r="D706" s="2"/>
      <c r="E706" s="2"/>
      <c r="F706" s="2"/>
      <c r="G706" s="2"/>
      <c r="H706" s="2"/>
      <c r="I706" s="2"/>
      <c r="J706" s="2"/>
      <c r="L706" s="2"/>
    </row>
    <row r="707" ht="15.75" customHeight="1">
      <c r="A707" s="2"/>
      <c r="B707" s="2"/>
      <c r="C707" s="2"/>
      <c r="D707" s="2"/>
      <c r="E707" s="2"/>
      <c r="F707" s="2"/>
      <c r="G707" s="2"/>
      <c r="H707" s="2"/>
      <c r="I707" s="2"/>
      <c r="J707" s="2"/>
      <c r="L707" s="2"/>
    </row>
    <row r="708" ht="15.75" customHeight="1">
      <c r="A708" s="2"/>
      <c r="B708" s="2"/>
      <c r="C708" s="2"/>
      <c r="D708" s="2"/>
      <c r="E708" s="2"/>
      <c r="F708" s="2"/>
      <c r="G708" s="2"/>
      <c r="H708" s="2"/>
      <c r="I708" s="2"/>
      <c r="J708" s="2"/>
      <c r="L708" s="2"/>
    </row>
    <row r="709" ht="15.75" customHeight="1">
      <c r="A709" s="2"/>
      <c r="B709" s="2"/>
      <c r="C709" s="2"/>
      <c r="D709" s="2"/>
      <c r="E709" s="2"/>
      <c r="F709" s="2"/>
      <c r="G709" s="2"/>
      <c r="H709" s="2"/>
      <c r="I709" s="2"/>
      <c r="J709" s="2"/>
      <c r="L709" s="2"/>
    </row>
    <row r="710" ht="15.75" customHeight="1">
      <c r="A710" s="2"/>
      <c r="B710" s="2"/>
      <c r="C710" s="2"/>
      <c r="D710" s="2"/>
      <c r="E710" s="2"/>
      <c r="F710" s="2"/>
      <c r="G710" s="2"/>
      <c r="H710" s="2"/>
      <c r="I710" s="2"/>
      <c r="J710" s="2"/>
      <c r="L710" s="2"/>
    </row>
    <row r="711" ht="15.75" customHeight="1">
      <c r="A711" s="2"/>
      <c r="B711" s="2"/>
      <c r="C711" s="2"/>
      <c r="D711" s="2"/>
      <c r="E711" s="2"/>
      <c r="F711" s="2"/>
      <c r="G711" s="2"/>
      <c r="H711" s="2"/>
      <c r="I711" s="2"/>
      <c r="J711" s="2"/>
      <c r="L711" s="2"/>
    </row>
    <row r="712" ht="15.75" customHeight="1">
      <c r="A712" s="2"/>
      <c r="B712" s="2"/>
      <c r="C712" s="2"/>
      <c r="D712" s="2"/>
      <c r="E712" s="2"/>
      <c r="F712" s="2"/>
      <c r="G712" s="2"/>
      <c r="H712" s="2"/>
      <c r="I712" s="2"/>
      <c r="J712" s="2"/>
      <c r="L712" s="2"/>
    </row>
    <row r="713" ht="15.75" customHeight="1">
      <c r="A713" s="2"/>
      <c r="B713" s="2"/>
      <c r="C713" s="2"/>
      <c r="D713" s="2"/>
      <c r="E713" s="2"/>
      <c r="F713" s="2"/>
      <c r="G713" s="2"/>
      <c r="H713" s="2"/>
      <c r="I713" s="2"/>
      <c r="J713" s="2"/>
      <c r="L713" s="2"/>
    </row>
    <row r="714" ht="15.75" customHeight="1">
      <c r="A714" s="2"/>
      <c r="B714" s="2"/>
      <c r="C714" s="2"/>
      <c r="D714" s="2"/>
      <c r="E714" s="2"/>
      <c r="F714" s="2"/>
      <c r="G714" s="2"/>
      <c r="H714" s="2"/>
      <c r="I714" s="2"/>
      <c r="J714" s="2"/>
      <c r="L714" s="2"/>
    </row>
    <row r="715" ht="15.75" customHeight="1">
      <c r="A715" s="2"/>
      <c r="B715" s="2"/>
      <c r="C715" s="2"/>
      <c r="D715" s="2"/>
      <c r="E715" s="2"/>
      <c r="F715" s="2"/>
      <c r="G715" s="2"/>
      <c r="H715" s="2"/>
      <c r="I715" s="2"/>
      <c r="J715" s="2"/>
      <c r="L715" s="2"/>
    </row>
    <row r="716" ht="15.75" customHeight="1">
      <c r="A716" s="2"/>
      <c r="B716" s="2"/>
      <c r="C716" s="2"/>
      <c r="D716" s="2"/>
      <c r="E716" s="2"/>
      <c r="F716" s="2"/>
      <c r="G716" s="2"/>
      <c r="H716" s="2"/>
      <c r="I716" s="2"/>
      <c r="J716" s="2"/>
      <c r="L716" s="2"/>
    </row>
    <row r="717" ht="15.75" customHeight="1">
      <c r="A717" s="2"/>
      <c r="B717" s="2"/>
      <c r="C717" s="2"/>
      <c r="D717" s="2"/>
      <c r="E717" s="2"/>
      <c r="F717" s="2"/>
      <c r="G717" s="2"/>
      <c r="H717" s="2"/>
      <c r="I717" s="2"/>
      <c r="J717" s="2"/>
      <c r="L717" s="2"/>
    </row>
    <row r="718" ht="15.75" customHeight="1">
      <c r="A718" s="2"/>
      <c r="B718" s="2"/>
      <c r="C718" s="2"/>
      <c r="D718" s="2"/>
      <c r="E718" s="2"/>
      <c r="F718" s="2"/>
      <c r="G718" s="2"/>
      <c r="H718" s="2"/>
      <c r="I718" s="2"/>
      <c r="J718" s="2"/>
      <c r="L718" s="2"/>
    </row>
    <row r="719" ht="15.75" customHeight="1">
      <c r="A719" s="2"/>
      <c r="B719" s="2"/>
      <c r="C719" s="2"/>
      <c r="D719" s="2"/>
      <c r="E719" s="2"/>
      <c r="F719" s="2"/>
      <c r="G719" s="2"/>
      <c r="H719" s="2"/>
      <c r="I719" s="2"/>
      <c r="J719" s="2"/>
      <c r="L719" s="2"/>
    </row>
    <row r="720" ht="15.75" customHeight="1">
      <c r="A720" s="2"/>
      <c r="B720" s="2"/>
      <c r="C720" s="2"/>
      <c r="D720" s="2"/>
      <c r="E720" s="2"/>
      <c r="F720" s="2"/>
      <c r="G720" s="2"/>
      <c r="H720" s="2"/>
      <c r="I720" s="2"/>
      <c r="J720" s="2"/>
      <c r="L720" s="2"/>
    </row>
    <row r="721" ht="15.75" customHeight="1">
      <c r="A721" s="2"/>
      <c r="B721" s="2"/>
      <c r="C721" s="2"/>
      <c r="D721" s="2"/>
      <c r="E721" s="2"/>
      <c r="F721" s="2"/>
      <c r="G721" s="2"/>
      <c r="H721" s="2"/>
      <c r="I721" s="2"/>
      <c r="J721" s="2"/>
      <c r="L721" s="2"/>
    </row>
    <row r="722" ht="15.75" customHeight="1">
      <c r="A722" s="2"/>
      <c r="B722" s="2"/>
      <c r="C722" s="2"/>
      <c r="D722" s="2"/>
      <c r="E722" s="2"/>
      <c r="F722" s="2"/>
      <c r="G722" s="2"/>
      <c r="H722" s="2"/>
      <c r="I722" s="2"/>
      <c r="J722" s="2"/>
      <c r="L722" s="2"/>
    </row>
    <row r="723" ht="15.75" customHeight="1">
      <c r="A723" s="2"/>
      <c r="B723" s="2"/>
      <c r="C723" s="2"/>
      <c r="D723" s="2"/>
      <c r="E723" s="2"/>
      <c r="F723" s="2"/>
      <c r="G723" s="2"/>
      <c r="H723" s="2"/>
      <c r="I723" s="2"/>
      <c r="J723" s="2"/>
      <c r="L723" s="2"/>
    </row>
    <row r="724" ht="15.75" customHeight="1">
      <c r="A724" s="2"/>
      <c r="B724" s="2"/>
      <c r="C724" s="2"/>
      <c r="D724" s="2"/>
      <c r="E724" s="2"/>
      <c r="F724" s="2"/>
      <c r="G724" s="2"/>
      <c r="H724" s="2"/>
      <c r="I724" s="2"/>
      <c r="J724" s="2"/>
      <c r="L724" s="2"/>
    </row>
    <row r="725" ht="15.75" customHeight="1">
      <c r="A725" s="2"/>
      <c r="B725" s="2"/>
      <c r="C725" s="2"/>
      <c r="D725" s="2"/>
      <c r="E725" s="2"/>
      <c r="F725" s="2"/>
      <c r="G725" s="2"/>
      <c r="H725" s="2"/>
      <c r="I725" s="2"/>
      <c r="J725" s="2"/>
      <c r="L725" s="2"/>
    </row>
    <row r="726" ht="15.75" customHeight="1">
      <c r="A726" s="2"/>
      <c r="B726" s="2"/>
      <c r="C726" s="2"/>
      <c r="D726" s="2"/>
      <c r="E726" s="2"/>
      <c r="F726" s="2"/>
      <c r="G726" s="2"/>
      <c r="H726" s="2"/>
      <c r="I726" s="2"/>
      <c r="J726" s="2"/>
      <c r="L726" s="2"/>
    </row>
    <row r="727" ht="15.75" customHeight="1">
      <c r="A727" s="2"/>
      <c r="B727" s="2"/>
      <c r="C727" s="2"/>
      <c r="D727" s="2"/>
      <c r="E727" s="2"/>
      <c r="F727" s="2"/>
      <c r="G727" s="2"/>
      <c r="H727" s="2"/>
      <c r="I727" s="2"/>
      <c r="J727" s="2"/>
      <c r="L727" s="2"/>
    </row>
    <row r="728" ht="15.75" customHeight="1">
      <c r="A728" s="2"/>
      <c r="B728" s="2"/>
      <c r="C728" s="2"/>
      <c r="D728" s="2"/>
      <c r="E728" s="2"/>
      <c r="F728" s="2"/>
      <c r="G728" s="2"/>
      <c r="H728" s="2"/>
      <c r="I728" s="2"/>
      <c r="J728" s="2"/>
      <c r="L728" s="2"/>
    </row>
    <row r="729" ht="15.75" customHeight="1">
      <c r="A729" s="2"/>
      <c r="B729" s="2"/>
      <c r="C729" s="2"/>
      <c r="D729" s="2"/>
      <c r="E729" s="2"/>
      <c r="F729" s="2"/>
      <c r="G729" s="2"/>
      <c r="H729" s="2"/>
      <c r="I729" s="2"/>
      <c r="J729" s="2"/>
      <c r="L729" s="2"/>
    </row>
    <row r="730" ht="15.75" customHeight="1">
      <c r="A730" s="2"/>
      <c r="B730" s="2"/>
      <c r="C730" s="2"/>
      <c r="D730" s="2"/>
      <c r="E730" s="2"/>
      <c r="F730" s="2"/>
      <c r="G730" s="2"/>
      <c r="H730" s="2"/>
      <c r="I730" s="2"/>
      <c r="J730" s="2"/>
      <c r="L730" s="2"/>
    </row>
    <row r="731" ht="15.75" customHeight="1">
      <c r="A731" s="2"/>
      <c r="B731" s="2"/>
      <c r="C731" s="2"/>
      <c r="D731" s="2"/>
      <c r="E731" s="2"/>
      <c r="F731" s="2"/>
      <c r="G731" s="2"/>
      <c r="H731" s="2"/>
      <c r="I731" s="2"/>
      <c r="J731" s="2"/>
      <c r="L731" s="2"/>
    </row>
    <row r="732" ht="15.75" customHeight="1">
      <c r="A732" s="2"/>
      <c r="B732" s="2"/>
      <c r="C732" s="2"/>
      <c r="D732" s="2"/>
      <c r="E732" s="2"/>
      <c r="F732" s="2"/>
      <c r="G732" s="2"/>
      <c r="H732" s="2"/>
      <c r="I732" s="2"/>
      <c r="J732" s="2"/>
      <c r="L732" s="2"/>
    </row>
    <row r="733" ht="15.75" customHeight="1">
      <c r="A733" s="2"/>
      <c r="B733" s="2"/>
      <c r="C733" s="2"/>
      <c r="D733" s="2"/>
      <c r="E733" s="2"/>
      <c r="F733" s="2"/>
      <c r="G733" s="2"/>
      <c r="H733" s="2"/>
      <c r="I733" s="2"/>
      <c r="J733" s="2"/>
      <c r="L733" s="2"/>
    </row>
    <row r="734" ht="15.75" customHeight="1">
      <c r="A734" s="2"/>
      <c r="B734" s="2"/>
      <c r="C734" s="2"/>
      <c r="D734" s="2"/>
      <c r="E734" s="2"/>
      <c r="F734" s="2"/>
      <c r="G734" s="2"/>
      <c r="H734" s="2"/>
      <c r="I734" s="2"/>
      <c r="J734" s="2"/>
      <c r="L734" s="2"/>
    </row>
    <row r="735" ht="15.75" customHeight="1">
      <c r="A735" s="2"/>
      <c r="B735" s="2"/>
      <c r="C735" s="2"/>
      <c r="D735" s="2"/>
      <c r="E735" s="2"/>
      <c r="F735" s="2"/>
      <c r="G735" s="2"/>
      <c r="H735" s="2"/>
      <c r="I735" s="2"/>
      <c r="J735" s="2"/>
      <c r="L735" s="2"/>
    </row>
    <row r="736" ht="15.75" customHeight="1">
      <c r="A736" s="2"/>
      <c r="B736" s="2"/>
      <c r="C736" s="2"/>
      <c r="D736" s="2"/>
      <c r="E736" s="2"/>
      <c r="F736" s="2"/>
      <c r="G736" s="2"/>
      <c r="H736" s="2"/>
      <c r="I736" s="2"/>
      <c r="J736" s="2"/>
      <c r="L736" s="2"/>
    </row>
    <row r="737" ht="15.75" customHeight="1">
      <c r="A737" s="2"/>
      <c r="B737" s="2"/>
      <c r="C737" s="2"/>
      <c r="D737" s="2"/>
      <c r="E737" s="2"/>
      <c r="F737" s="2"/>
      <c r="G737" s="2"/>
      <c r="H737" s="2"/>
      <c r="I737" s="2"/>
      <c r="J737" s="2"/>
      <c r="L737" s="2"/>
    </row>
    <row r="738" ht="15.75" customHeight="1">
      <c r="A738" s="2"/>
      <c r="B738" s="2"/>
      <c r="C738" s="2"/>
      <c r="D738" s="2"/>
      <c r="E738" s="2"/>
      <c r="F738" s="2"/>
      <c r="G738" s="2"/>
      <c r="H738" s="2"/>
      <c r="I738" s="2"/>
      <c r="J738" s="2"/>
      <c r="L738" s="2"/>
    </row>
    <row r="739" ht="15.75" customHeight="1">
      <c r="A739" s="2"/>
      <c r="B739" s="2"/>
      <c r="C739" s="2"/>
      <c r="D739" s="2"/>
      <c r="E739" s="2"/>
      <c r="F739" s="2"/>
      <c r="G739" s="2"/>
      <c r="H739" s="2"/>
      <c r="I739" s="2"/>
      <c r="J739" s="2"/>
      <c r="L739" s="2"/>
    </row>
    <row r="740" ht="15.75" customHeight="1">
      <c r="A740" s="2"/>
      <c r="B740" s="2"/>
      <c r="C740" s="2"/>
      <c r="D740" s="2"/>
      <c r="E740" s="2"/>
      <c r="F740" s="2"/>
      <c r="G740" s="2"/>
      <c r="H740" s="2"/>
      <c r="I740" s="2"/>
      <c r="J740" s="2"/>
      <c r="L740" s="2"/>
    </row>
    <row r="741" ht="15.75" customHeight="1">
      <c r="A741" s="2"/>
      <c r="B741" s="2"/>
      <c r="C741" s="2"/>
      <c r="D741" s="2"/>
      <c r="E741" s="2"/>
      <c r="F741" s="2"/>
      <c r="G741" s="2"/>
      <c r="H741" s="2"/>
      <c r="I741" s="2"/>
      <c r="J741" s="2"/>
      <c r="L741" s="2"/>
    </row>
    <row r="742" ht="15.75" customHeight="1">
      <c r="A742" s="2"/>
      <c r="B742" s="2"/>
      <c r="C742" s="2"/>
      <c r="D742" s="2"/>
      <c r="E742" s="2"/>
      <c r="F742" s="2"/>
      <c r="G742" s="2"/>
      <c r="H742" s="2"/>
      <c r="I742" s="2"/>
      <c r="J742" s="2"/>
      <c r="L742" s="2"/>
    </row>
    <row r="743" ht="15.75" customHeight="1">
      <c r="A743" s="2"/>
      <c r="B743" s="2"/>
      <c r="C743" s="2"/>
      <c r="D743" s="2"/>
      <c r="E743" s="2"/>
      <c r="F743" s="2"/>
      <c r="G743" s="2"/>
      <c r="H743" s="2"/>
      <c r="I743" s="2"/>
      <c r="J743" s="2"/>
      <c r="L743" s="2"/>
    </row>
    <row r="744" ht="15.75" customHeight="1">
      <c r="A744" s="2"/>
      <c r="B744" s="2"/>
      <c r="C744" s="2"/>
      <c r="D744" s="2"/>
      <c r="E744" s="2"/>
      <c r="F744" s="2"/>
      <c r="G744" s="2"/>
      <c r="H744" s="2"/>
      <c r="I744" s="2"/>
      <c r="J744" s="2"/>
      <c r="L744" s="2"/>
    </row>
    <row r="745" ht="15.75" customHeight="1">
      <c r="A745" s="2"/>
      <c r="B745" s="2"/>
      <c r="C745" s="2"/>
      <c r="D745" s="2"/>
      <c r="E745" s="2"/>
      <c r="F745" s="2"/>
      <c r="G745" s="2"/>
      <c r="H745" s="2"/>
      <c r="I745" s="2"/>
      <c r="J745" s="2"/>
      <c r="L745" s="2"/>
    </row>
    <row r="746" ht="15.75" customHeight="1">
      <c r="A746" s="2"/>
      <c r="B746" s="2"/>
      <c r="C746" s="2"/>
      <c r="D746" s="2"/>
      <c r="E746" s="2"/>
      <c r="F746" s="2"/>
      <c r="G746" s="2"/>
      <c r="H746" s="2"/>
      <c r="I746" s="2"/>
      <c r="J746" s="2"/>
      <c r="L746" s="2"/>
    </row>
    <row r="747" ht="15.75" customHeight="1">
      <c r="A747" s="2"/>
      <c r="B747" s="2"/>
      <c r="C747" s="2"/>
      <c r="D747" s="2"/>
      <c r="E747" s="2"/>
      <c r="F747" s="2"/>
      <c r="G747" s="2"/>
      <c r="H747" s="2"/>
      <c r="I747" s="2"/>
      <c r="J747" s="2"/>
      <c r="L747" s="2"/>
    </row>
    <row r="748" ht="15.75" customHeight="1">
      <c r="A748" s="2"/>
      <c r="B748" s="2"/>
      <c r="C748" s="2"/>
      <c r="D748" s="2"/>
      <c r="E748" s="2"/>
      <c r="F748" s="2"/>
      <c r="G748" s="2"/>
      <c r="H748" s="2"/>
      <c r="I748" s="2"/>
      <c r="J748" s="2"/>
      <c r="L748" s="2"/>
    </row>
    <row r="749" ht="15.75" customHeight="1">
      <c r="A749" s="2"/>
      <c r="B749" s="2"/>
      <c r="C749" s="2"/>
      <c r="D749" s="2"/>
      <c r="E749" s="2"/>
      <c r="F749" s="2"/>
      <c r="G749" s="2"/>
      <c r="H749" s="2"/>
      <c r="I749" s="2"/>
      <c r="J749" s="2"/>
      <c r="L749" s="2"/>
    </row>
    <row r="750" ht="15.75" customHeight="1">
      <c r="A750" s="2"/>
      <c r="B750" s="2"/>
      <c r="C750" s="2"/>
      <c r="D750" s="2"/>
      <c r="E750" s="2"/>
      <c r="F750" s="2"/>
      <c r="G750" s="2"/>
      <c r="H750" s="2"/>
      <c r="I750" s="2"/>
      <c r="J750" s="2"/>
      <c r="L750" s="2"/>
    </row>
    <row r="751" ht="15.75" customHeight="1">
      <c r="A751" s="2"/>
      <c r="B751" s="2"/>
      <c r="C751" s="2"/>
      <c r="D751" s="2"/>
      <c r="E751" s="2"/>
      <c r="F751" s="2"/>
      <c r="G751" s="2"/>
      <c r="H751" s="2"/>
      <c r="I751" s="2"/>
      <c r="J751" s="2"/>
      <c r="L751" s="2"/>
    </row>
    <row r="752" ht="15.75" customHeight="1">
      <c r="A752" s="2"/>
      <c r="B752" s="2"/>
      <c r="C752" s="2"/>
      <c r="D752" s="2"/>
      <c r="E752" s="2"/>
      <c r="F752" s="2"/>
      <c r="G752" s="2"/>
      <c r="H752" s="2"/>
      <c r="I752" s="2"/>
      <c r="J752" s="2"/>
      <c r="L752" s="2"/>
    </row>
    <row r="753" ht="15.75" customHeight="1">
      <c r="A753" s="2"/>
      <c r="B753" s="2"/>
      <c r="C753" s="2"/>
      <c r="D753" s="2"/>
      <c r="E753" s="2"/>
      <c r="F753" s="2"/>
      <c r="G753" s="2"/>
      <c r="H753" s="2"/>
      <c r="I753" s="2"/>
      <c r="J753" s="2"/>
      <c r="L753" s="2"/>
    </row>
    <row r="754" ht="15.75" customHeight="1">
      <c r="A754" s="2"/>
      <c r="B754" s="2"/>
      <c r="C754" s="2"/>
      <c r="D754" s="2"/>
      <c r="E754" s="2"/>
      <c r="F754" s="2"/>
      <c r="G754" s="2"/>
      <c r="H754" s="2"/>
      <c r="I754" s="2"/>
      <c r="J754" s="2"/>
      <c r="L754" s="2"/>
    </row>
    <row r="755" ht="15.75" customHeight="1">
      <c r="A755" s="2"/>
      <c r="B755" s="2"/>
      <c r="C755" s="2"/>
      <c r="D755" s="2"/>
      <c r="E755" s="2"/>
      <c r="F755" s="2"/>
      <c r="G755" s="2"/>
      <c r="H755" s="2"/>
      <c r="I755" s="2"/>
      <c r="J755" s="2"/>
      <c r="L755" s="2"/>
    </row>
    <row r="756" ht="15.75" customHeight="1">
      <c r="A756" s="2"/>
      <c r="B756" s="2"/>
      <c r="C756" s="2"/>
      <c r="D756" s="2"/>
      <c r="E756" s="2"/>
      <c r="F756" s="2"/>
      <c r="G756" s="2"/>
      <c r="H756" s="2"/>
      <c r="I756" s="2"/>
      <c r="J756" s="2"/>
      <c r="L756" s="2"/>
    </row>
    <row r="757" ht="15.75" customHeight="1">
      <c r="A757" s="2"/>
      <c r="B757" s="2"/>
      <c r="C757" s="2"/>
      <c r="D757" s="2"/>
      <c r="E757" s="2"/>
      <c r="F757" s="2"/>
      <c r="G757" s="2"/>
      <c r="H757" s="2"/>
      <c r="I757" s="2"/>
      <c r="J757" s="2"/>
      <c r="L757" s="2"/>
    </row>
    <row r="758" ht="15.75" customHeight="1">
      <c r="A758" s="2"/>
      <c r="B758" s="2"/>
      <c r="C758" s="2"/>
      <c r="D758" s="2"/>
      <c r="E758" s="2"/>
      <c r="F758" s="2"/>
      <c r="G758" s="2"/>
      <c r="H758" s="2"/>
      <c r="I758" s="2"/>
      <c r="J758" s="2"/>
      <c r="L758" s="2"/>
    </row>
    <row r="759" ht="15.75" customHeight="1">
      <c r="A759" s="2"/>
      <c r="B759" s="2"/>
      <c r="C759" s="2"/>
      <c r="D759" s="2"/>
      <c r="E759" s="2"/>
      <c r="F759" s="2"/>
      <c r="G759" s="2"/>
      <c r="H759" s="2"/>
      <c r="I759" s="2"/>
      <c r="J759" s="2"/>
      <c r="L759" s="2"/>
    </row>
    <row r="760" ht="15.75" customHeight="1">
      <c r="A760" s="2"/>
      <c r="B760" s="2"/>
      <c r="C760" s="2"/>
      <c r="D760" s="2"/>
      <c r="E760" s="2"/>
      <c r="F760" s="2"/>
      <c r="G760" s="2"/>
      <c r="H760" s="2"/>
      <c r="I760" s="2"/>
      <c r="J760" s="2"/>
      <c r="L760" s="2"/>
    </row>
    <row r="761" ht="15.75" customHeight="1">
      <c r="A761" s="2"/>
      <c r="B761" s="2"/>
      <c r="C761" s="2"/>
      <c r="D761" s="2"/>
      <c r="E761" s="2"/>
      <c r="F761" s="2"/>
      <c r="G761" s="2"/>
      <c r="H761" s="2"/>
      <c r="I761" s="2"/>
      <c r="J761" s="2"/>
      <c r="L761" s="2"/>
    </row>
    <row r="762" ht="15.75" customHeight="1">
      <c r="A762" s="2"/>
      <c r="B762" s="2"/>
      <c r="C762" s="2"/>
      <c r="D762" s="2"/>
      <c r="E762" s="2"/>
      <c r="F762" s="2"/>
      <c r="G762" s="2"/>
      <c r="H762" s="2"/>
      <c r="I762" s="2"/>
      <c r="J762" s="2"/>
      <c r="L762" s="2"/>
    </row>
    <row r="763" ht="15.75" customHeight="1">
      <c r="A763" s="2"/>
      <c r="B763" s="2"/>
      <c r="C763" s="2"/>
      <c r="D763" s="2"/>
      <c r="E763" s="2"/>
      <c r="F763" s="2"/>
      <c r="G763" s="2"/>
      <c r="H763" s="2"/>
      <c r="I763" s="2"/>
      <c r="J763" s="2"/>
      <c r="L763" s="2"/>
    </row>
    <row r="764" ht="15.75" customHeight="1">
      <c r="A764" s="2"/>
      <c r="B764" s="2"/>
      <c r="C764" s="2"/>
      <c r="D764" s="2"/>
      <c r="E764" s="2"/>
      <c r="F764" s="2"/>
      <c r="G764" s="2"/>
      <c r="H764" s="2"/>
      <c r="I764" s="2"/>
      <c r="J764" s="2"/>
      <c r="L764" s="2"/>
    </row>
    <row r="765" ht="15.75" customHeight="1">
      <c r="A765" s="2"/>
      <c r="B765" s="2"/>
      <c r="C765" s="2"/>
      <c r="D765" s="2"/>
      <c r="E765" s="2"/>
      <c r="F765" s="2"/>
      <c r="G765" s="2"/>
      <c r="H765" s="2"/>
      <c r="I765" s="2"/>
      <c r="J765" s="2"/>
      <c r="L765" s="2"/>
    </row>
    <row r="766" ht="15.75" customHeight="1">
      <c r="A766" s="2"/>
      <c r="B766" s="2"/>
      <c r="C766" s="2"/>
      <c r="D766" s="2"/>
      <c r="E766" s="2"/>
      <c r="F766" s="2"/>
      <c r="G766" s="2"/>
      <c r="H766" s="2"/>
      <c r="I766" s="2"/>
      <c r="J766" s="2"/>
      <c r="L766" s="2"/>
    </row>
    <row r="767" ht="15.75" customHeight="1">
      <c r="A767" s="2"/>
      <c r="B767" s="2"/>
      <c r="C767" s="2"/>
      <c r="D767" s="2"/>
      <c r="E767" s="2"/>
      <c r="F767" s="2"/>
      <c r="G767" s="2"/>
      <c r="H767" s="2"/>
      <c r="I767" s="2"/>
      <c r="J767" s="2"/>
      <c r="L767" s="2"/>
    </row>
    <row r="768" ht="15.75" customHeight="1">
      <c r="A768" s="2"/>
      <c r="B768" s="2"/>
      <c r="C768" s="2"/>
      <c r="D768" s="2"/>
      <c r="E768" s="2"/>
      <c r="F768" s="2"/>
      <c r="G768" s="2"/>
      <c r="H768" s="2"/>
      <c r="I768" s="2"/>
      <c r="J768" s="2"/>
      <c r="L768" s="2"/>
    </row>
    <row r="769" ht="15.75" customHeight="1">
      <c r="A769" s="2"/>
      <c r="B769" s="2"/>
      <c r="C769" s="2"/>
      <c r="D769" s="2"/>
      <c r="E769" s="2"/>
      <c r="F769" s="2"/>
      <c r="G769" s="2"/>
      <c r="H769" s="2"/>
      <c r="I769" s="2"/>
      <c r="J769" s="2"/>
      <c r="L769" s="2"/>
    </row>
    <row r="770" ht="15.75" customHeight="1">
      <c r="A770" s="2"/>
      <c r="B770" s="2"/>
      <c r="C770" s="2"/>
      <c r="D770" s="2"/>
      <c r="E770" s="2"/>
      <c r="F770" s="2"/>
      <c r="G770" s="2"/>
      <c r="H770" s="2"/>
      <c r="I770" s="2"/>
      <c r="J770" s="2"/>
      <c r="L770" s="2"/>
    </row>
    <row r="771" ht="15.75" customHeight="1">
      <c r="A771" s="2"/>
      <c r="B771" s="2"/>
      <c r="C771" s="2"/>
      <c r="D771" s="2"/>
      <c r="E771" s="2"/>
      <c r="F771" s="2"/>
      <c r="G771" s="2"/>
      <c r="H771" s="2"/>
      <c r="I771" s="2"/>
      <c r="J771" s="2"/>
      <c r="L771" s="2"/>
    </row>
    <row r="772" ht="15.75" customHeight="1">
      <c r="A772" s="2"/>
      <c r="B772" s="2"/>
      <c r="C772" s="2"/>
      <c r="D772" s="2"/>
      <c r="E772" s="2"/>
      <c r="F772" s="2"/>
      <c r="G772" s="2"/>
      <c r="H772" s="2"/>
      <c r="I772" s="2"/>
      <c r="J772" s="2"/>
      <c r="L772" s="2"/>
    </row>
    <row r="773" ht="15.75" customHeight="1">
      <c r="A773" s="2"/>
      <c r="B773" s="2"/>
      <c r="C773" s="2"/>
      <c r="D773" s="2"/>
      <c r="E773" s="2"/>
      <c r="F773" s="2"/>
      <c r="G773" s="2"/>
      <c r="H773" s="2"/>
      <c r="I773" s="2"/>
      <c r="J773" s="2"/>
      <c r="L773" s="2"/>
    </row>
    <row r="774" ht="15.75" customHeight="1">
      <c r="A774" s="2"/>
      <c r="B774" s="2"/>
      <c r="C774" s="2"/>
      <c r="D774" s="2"/>
      <c r="E774" s="2"/>
      <c r="F774" s="2"/>
      <c r="G774" s="2"/>
      <c r="H774" s="2"/>
      <c r="I774" s="2"/>
      <c r="J774" s="2"/>
      <c r="L774" s="2"/>
    </row>
    <row r="775" ht="15.75" customHeight="1">
      <c r="A775" s="2"/>
      <c r="B775" s="2"/>
      <c r="C775" s="2"/>
      <c r="D775" s="2"/>
      <c r="E775" s="2"/>
      <c r="F775" s="2"/>
      <c r="G775" s="2"/>
      <c r="H775" s="2"/>
      <c r="I775" s="2"/>
      <c r="J775" s="2"/>
      <c r="L775" s="2"/>
    </row>
    <row r="776" ht="15.75" customHeight="1">
      <c r="A776" s="2"/>
      <c r="B776" s="2"/>
      <c r="C776" s="2"/>
      <c r="D776" s="2"/>
      <c r="E776" s="2"/>
      <c r="F776" s="2"/>
      <c r="G776" s="2"/>
      <c r="H776" s="2"/>
      <c r="I776" s="2"/>
      <c r="J776" s="2"/>
      <c r="L776" s="2"/>
    </row>
    <row r="777" ht="15.75" customHeight="1">
      <c r="A777" s="2"/>
      <c r="B777" s="2"/>
      <c r="C777" s="2"/>
      <c r="D777" s="2"/>
      <c r="E777" s="2"/>
      <c r="F777" s="2"/>
      <c r="G777" s="2"/>
      <c r="H777" s="2"/>
      <c r="I777" s="2"/>
      <c r="J777" s="2"/>
      <c r="L777" s="2"/>
    </row>
    <row r="778" ht="15.75" customHeight="1">
      <c r="A778" s="2"/>
      <c r="B778" s="2"/>
      <c r="C778" s="2"/>
      <c r="D778" s="2"/>
      <c r="E778" s="2"/>
      <c r="F778" s="2"/>
      <c r="G778" s="2"/>
      <c r="H778" s="2"/>
      <c r="I778" s="2"/>
      <c r="J778" s="2"/>
      <c r="L778" s="2"/>
    </row>
    <row r="779" ht="15.75" customHeight="1">
      <c r="A779" s="2"/>
      <c r="B779" s="2"/>
      <c r="C779" s="2"/>
      <c r="D779" s="2"/>
      <c r="E779" s="2"/>
      <c r="F779" s="2"/>
      <c r="G779" s="2"/>
      <c r="H779" s="2"/>
      <c r="I779" s="2"/>
      <c r="J779" s="2"/>
      <c r="L779" s="2"/>
    </row>
    <row r="780" ht="15.75" customHeight="1">
      <c r="A780" s="2"/>
      <c r="B780" s="2"/>
      <c r="C780" s="2"/>
      <c r="D780" s="2"/>
      <c r="E780" s="2"/>
      <c r="F780" s="2"/>
      <c r="G780" s="2"/>
      <c r="H780" s="2"/>
      <c r="I780" s="2"/>
      <c r="J780" s="2"/>
      <c r="L780" s="2"/>
    </row>
    <row r="781" ht="15.75" customHeight="1">
      <c r="A781" s="2"/>
      <c r="B781" s="2"/>
      <c r="C781" s="2"/>
      <c r="D781" s="2"/>
      <c r="E781" s="2"/>
      <c r="F781" s="2"/>
      <c r="G781" s="2"/>
      <c r="H781" s="2"/>
      <c r="I781" s="2"/>
      <c r="J781" s="2"/>
      <c r="L781" s="2"/>
    </row>
    <row r="782" ht="15.75" customHeight="1">
      <c r="A782" s="2"/>
      <c r="B782" s="2"/>
      <c r="C782" s="2"/>
      <c r="D782" s="2"/>
      <c r="E782" s="2"/>
      <c r="F782" s="2"/>
      <c r="G782" s="2"/>
      <c r="H782" s="2"/>
      <c r="I782" s="2"/>
      <c r="J782" s="2"/>
      <c r="L782" s="2"/>
    </row>
    <row r="783" ht="15.75" customHeight="1">
      <c r="A783" s="2"/>
      <c r="B783" s="2"/>
      <c r="C783" s="2"/>
      <c r="D783" s="2"/>
      <c r="E783" s="2"/>
      <c r="F783" s="2"/>
      <c r="G783" s="2"/>
      <c r="H783" s="2"/>
      <c r="I783" s="2"/>
      <c r="J783" s="2"/>
      <c r="L783" s="2"/>
    </row>
    <row r="784" ht="15.75" customHeight="1">
      <c r="A784" s="2"/>
      <c r="B784" s="2"/>
      <c r="C784" s="2"/>
      <c r="D784" s="2"/>
      <c r="E784" s="2"/>
      <c r="F784" s="2"/>
      <c r="G784" s="2"/>
      <c r="H784" s="2"/>
      <c r="I784" s="2"/>
      <c r="J784" s="2"/>
      <c r="L784" s="2"/>
    </row>
    <row r="785" ht="15.75" customHeight="1">
      <c r="A785" s="2"/>
      <c r="B785" s="2"/>
      <c r="C785" s="2"/>
      <c r="D785" s="2"/>
      <c r="E785" s="2"/>
      <c r="F785" s="2"/>
      <c r="G785" s="2"/>
      <c r="H785" s="2"/>
      <c r="I785" s="2"/>
      <c r="J785" s="2"/>
      <c r="L785" s="2"/>
    </row>
    <row r="786" ht="15.75" customHeight="1">
      <c r="A786" s="2"/>
      <c r="B786" s="2"/>
      <c r="C786" s="2"/>
      <c r="D786" s="2"/>
      <c r="E786" s="2"/>
      <c r="F786" s="2"/>
      <c r="G786" s="2"/>
      <c r="H786" s="2"/>
      <c r="I786" s="2"/>
      <c r="J786" s="2"/>
      <c r="L786" s="2"/>
    </row>
    <row r="787" ht="15.75" customHeight="1">
      <c r="A787" s="2"/>
      <c r="B787" s="2"/>
      <c r="C787" s="2"/>
      <c r="D787" s="2"/>
      <c r="E787" s="2"/>
      <c r="F787" s="2"/>
      <c r="G787" s="2"/>
      <c r="H787" s="2"/>
      <c r="I787" s="2"/>
      <c r="J787" s="2"/>
      <c r="L787" s="2"/>
    </row>
    <row r="788" ht="15.75" customHeight="1">
      <c r="A788" s="2"/>
      <c r="B788" s="2"/>
      <c r="C788" s="2"/>
      <c r="D788" s="2"/>
      <c r="E788" s="2"/>
      <c r="F788" s="2"/>
      <c r="G788" s="2"/>
      <c r="H788" s="2"/>
      <c r="I788" s="2"/>
      <c r="J788" s="2"/>
      <c r="L788" s="2"/>
    </row>
    <row r="789" ht="15.75" customHeight="1">
      <c r="A789" s="2"/>
      <c r="B789" s="2"/>
      <c r="C789" s="2"/>
      <c r="D789" s="2"/>
      <c r="E789" s="2"/>
      <c r="F789" s="2"/>
      <c r="G789" s="2"/>
      <c r="H789" s="2"/>
      <c r="I789" s="2"/>
      <c r="J789" s="2"/>
      <c r="L789" s="2"/>
    </row>
    <row r="790" ht="15.75" customHeight="1">
      <c r="A790" s="2"/>
      <c r="B790" s="2"/>
      <c r="C790" s="2"/>
      <c r="D790" s="2"/>
      <c r="E790" s="2"/>
      <c r="F790" s="2"/>
      <c r="G790" s="2"/>
      <c r="H790" s="2"/>
      <c r="I790" s="2"/>
      <c r="J790" s="2"/>
      <c r="L790" s="2"/>
    </row>
    <row r="791" ht="15.75" customHeight="1">
      <c r="A791" s="2"/>
      <c r="B791" s="2"/>
      <c r="C791" s="2"/>
      <c r="D791" s="2"/>
      <c r="E791" s="2"/>
      <c r="F791" s="2"/>
      <c r="G791" s="2"/>
      <c r="H791" s="2"/>
      <c r="I791" s="2"/>
      <c r="J791" s="2"/>
      <c r="L791" s="2"/>
    </row>
    <row r="792" ht="15.75" customHeight="1">
      <c r="A792" s="2"/>
      <c r="B792" s="2"/>
      <c r="C792" s="2"/>
      <c r="D792" s="2"/>
      <c r="E792" s="2"/>
      <c r="F792" s="2"/>
      <c r="G792" s="2"/>
      <c r="H792" s="2"/>
      <c r="I792" s="2"/>
      <c r="J792" s="2"/>
      <c r="L792" s="2"/>
    </row>
    <row r="793" ht="15.75" customHeight="1">
      <c r="A793" s="2"/>
      <c r="B793" s="2"/>
      <c r="C793" s="2"/>
      <c r="D793" s="2"/>
      <c r="E793" s="2"/>
      <c r="F793" s="2"/>
      <c r="G793" s="2"/>
      <c r="H793" s="2"/>
      <c r="I793" s="2"/>
      <c r="J793" s="2"/>
      <c r="L793" s="2"/>
    </row>
    <row r="794" ht="15.75" customHeight="1">
      <c r="A794" s="2"/>
      <c r="B794" s="2"/>
      <c r="C794" s="2"/>
      <c r="D794" s="2"/>
      <c r="E794" s="2"/>
      <c r="F794" s="2"/>
      <c r="G794" s="2"/>
      <c r="H794" s="2"/>
      <c r="I794" s="2"/>
      <c r="J794" s="2"/>
      <c r="L794" s="2"/>
    </row>
    <row r="795" ht="15.75" customHeight="1">
      <c r="A795" s="2"/>
      <c r="B795" s="2"/>
      <c r="C795" s="2"/>
      <c r="D795" s="2"/>
      <c r="E795" s="2"/>
      <c r="F795" s="2"/>
      <c r="G795" s="2"/>
      <c r="H795" s="2"/>
      <c r="I795" s="2"/>
      <c r="J795" s="2"/>
      <c r="L795" s="2"/>
    </row>
    <row r="796" ht="15.75" customHeight="1">
      <c r="A796" s="2"/>
      <c r="B796" s="2"/>
      <c r="C796" s="2"/>
      <c r="D796" s="2"/>
      <c r="E796" s="2"/>
      <c r="F796" s="2"/>
      <c r="G796" s="2"/>
      <c r="H796" s="2"/>
      <c r="I796" s="2"/>
      <c r="J796" s="2"/>
      <c r="L796" s="2"/>
    </row>
    <row r="797" ht="15.75" customHeight="1">
      <c r="A797" s="2"/>
      <c r="B797" s="2"/>
      <c r="C797" s="2"/>
      <c r="D797" s="2"/>
      <c r="E797" s="2"/>
      <c r="F797" s="2"/>
      <c r="G797" s="2"/>
      <c r="H797" s="2"/>
      <c r="I797" s="2"/>
      <c r="J797" s="2"/>
      <c r="L797" s="2"/>
    </row>
    <row r="798" ht="15.75" customHeight="1">
      <c r="A798" s="2"/>
      <c r="B798" s="2"/>
      <c r="C798" s="2"/>
      <c r="D798" s="2"/>
      <c r="E798" s="2"/>
      <c r="F798" s="2"/>
      <c r="G798" s="2"/>
      <c r="H798" s="2"/>
      <c r="I798" s="2"/>
      <c r="J798" s="2"/>
      <c r="L798" s="2"/>
    </row>
    <row r="799" ht="15.75" customHeight="1">
      <c r="A799" s="2"/>
      <c r="B799" s="2"/>
      <c r="C799" s="2"/>
      <c r="D799" s="2"/>
      <c r="E799" s="2"/>
      <c r="F799" s="2"/>
      <c r="G799" s="2"/>
      <c r="H799" s="2"/>
      <c r="I799" s="2"/>
      <c r="J799" s="2"/>
      <c r="L799" s="2"/>
    </row>
    <row r="800" ht="15.75" customHeight="1">
      <c r="A800" s="2"/>
      <c r="B800" s="2"/>
      <c r="C800" s="2"/>
      <c r="D800" s="2"/>
      <c r="E800" s="2"/>
      <c r="F800" s="2"/>
      <c r="G800" s="2"/>
      <c r="H800" s="2"/>
      <c r="I800" s="2"/>
      <c r="J800" s="2"/>
      <c r="L800" s="2"/>
    </row>
    <row r="801" ht="15.75" customHeight="1">
      <c r="A801" s="2"/>
      <c r="B801" s="2"/>
      <c r="C801" s="2"/>
      <c r="D801" s="2"/>
      <c r="E801" s="2"/>
      <c r="F801" s="2"/>
      <c r="G801" s="2"/>
      <c r="H801" s="2"/>
      <c r="I801" s="2"/>
      <c r="J801" s="2"/>
      <c r="L801" s="2"/>
    </row>
    <row r="802" ht="15.75" customHeight="1">
      <c r="A802" s="2"/>
      <c r="B802" s="2"/>
      <c r="C802" s="2"/>
      <c r="D802" s="2"/>
      <c r="E802" s="2"/>
      <c r="F802" s="2"/>
      <c r="G802" s="2"/>
      <c r="H802" s="2"/>
      <c r="I802" s="2"/>
      <c r="J802" s="2"/>
      <c r="L802" s="2"/>
    </row>
    <row r="803" ht="15.75" customHeight="1">
      <c r="A803" s="2"/>
      <c r="B803" s="2"/>
      <c r="C803" s="2"/>
      <c r="D803" s="2"/>
      <c r="E803" s="2"/>
      <c r="F803" s="2"/>
      <c r="G803" s="2"/>
      <c r="H803" s="2"/>
      <c r="I803" s="2"/>
      <c r="J803" s="2"/>
      <c r="L803" s="2"/>
    </row>
    <row r="804" ht="15.75" customHeight="1">
      <c r="A804" s="2"/>
      <c r="B804" s="2"/>
      <c r="C804" s="2"/>
      <c r="D804" s="2"/>
      <c r="E804" s="2"/>
      <c r="F804" s="2"/>
      <c r="G804" s="2"/>
      <c r="H804" s="2"/>
      <c r="I804" s="2"/>
      <c r="J804" s="2"/>
      <c r="L804" s="2"/>
    </row>
    <row r="805" ht="15.75" customHeight="1">
      <c r="A805" s="2"/>
      <c r="B805" s="2"/>
      <c r="C805" s="2"/>
      <c r="D805" s="2"/>
      <c r="E805" s="2"/>
      <c r="F805" s="2"/>
      <c r="G805" s="2"/>
      <c r="H805" s="2"/>
      <c r="I805" s="2"/>
      <c r="J805" s="2"/>
      <c r="L805" s="2"/>
    </row>
    <row r="806" ht="15.75" customHeight="1">
      <c r="A806" s="2"/>
      <c r="B806" s="2"/>
      <c r="C806" s="2"/>
      <c r="D806" s="2"/>
      <c r="E806" s="2"/>
      <c r="F806" s="2"/>
      <c r="G806" s="2"/>
      <c r="H806" s="2"/>
      <c r="I806" s="2"/>
      <c r="J806" s="2"/>
      <c r="L806" s="2"/>
    </row>
    <row r="807" ht="15.75" customHeight="1">
      <c r="A807" s="2"/>
      <c r="B807" s="2"/>
      <c r="C807" s="2"/>
      <c r="D807" s="2"/>
      <c r="E807" s="2"/>
      <c r="F807" s="2"/>
      <c r="G807" s="2"/>
      <c r="H807" s="2"/>
      <c r="I807" s="2"/>
      <c r="J807" s="2"/>
      <c r="L807" s="2"/>
    </row>
    <row r="808" ht="15.75" customHeight="1">
      <c r="A808" s="2"/>
      <c r="B808" s="2"/>
      <c r="C808" s="2"/>
      <c r="D808" s="2"/>
      <c r="E808" s="2"/>
      <c r="F808" s="2"/>
      <c r="G808" s="2"/>
      <c r="H808" s="2"/>
      <c r="I808" s="2"/>
      <c r="J808" s="2"/>
      <c r="L808" s="2"/>
    </row>
    <row r="809" ht="15.75" customHeight="1">
      <c r="A809" s="2"/>
      <c r="B809" s="2"/>
      <c r="C809" s="2"/>
      <c r="D809" s="2"/>
      <c r="E809" s="2"/>
      <c r="F809" s="2"/>
      <c r="G809" s="2"/>
      <c r="H809" s="2"/>
      <c r="I809" s="2"/>
      <c r="J809" s="2"/>
      <c r="L809" s="2"/>
    </row>
    <row r="810" ht="15.75" customHeight="1">
      <c r="A810" s="2"/>
      <c r="B810" s="2"/>
      <c r="C810" s="2"/>
      <c r="D810" s="2"/>
      <c r="E810" s="2"/>
      <c r="F810" s="2"/>
      <c r="G810" s="2"/>
      <c r="H810" s="2"/>
      <c r="I810" s="2"/>
      <c r="J810" s="2"/>
      <c r="L810" s="2"/>
    </row>
    <row r="811" ht="15.75" customHeight="1">
      <c r="A811" s="2"/>
      <c r="B811" s="2"/>
      <c r="C811" s="2"/>
      <c r="D811" s="2"/>
      <c r="E811" s="2"/>
      <c r="F811" s="2"/>
      <c r="G811" s="2"/>
      <c r="H811" s="2"/>
      <c r="I811" s="2"/>
      <c r="J811" s="2"/>
      <c r="L811" s="2"/>
    </row>
    <row r="812" ht="15.75" customHeight="1">
      <c r="A812" s="2"/>
      <c r="B812" s="2"/>
      <c r="C812" s="2"/>
      <c r="D812" s="2"/>
      <c r="E812" s="2"/>
      <c r="F812" s="2"/>
      <c r="G812" s="2"/>
      <c r="H812" s="2"/>
      <c r="I812" s="2"/>
      <c r="J812" s="2"/>
      <c r="L812" s="2"/>
    </row>
    <row r="813" ht="15.75" customHeight="1">
      <c r="A813" s="2"/>
      <c r="B813" s="2"/>
      <c r="C813" s="2"/>
      <c r="D813" s="2"/>
      <c r="E813" s="2"/>
      <c r="F813" s="2"/>
      <c r="G813" s="2"/>
      <c r="H813" s="2"/>
      <c r="I813" s="2"/>
      <c r="J813" s="2"/>
      <c r="L813" s="2"/>
    </row>
    <row r="814" ht="15.75" customHeight="1">
      <c r="A814" s="2"/>
      <c r="B814" s="2"/>
      <c r="C814" s="2"/>
      <c r="D814" s="2"/>
      <c r="E814" s="2"/>
      <c r="F814" s="2"/>
      <c r="G814" s="2"/>
      <c r="H814" s="2"/>
      <c r="I814" s="2"/>
      <c r="J814" s="2"/>
      <c r="L814" s="2"/>
    </row>
    <row r="815" ht="15.75" customHeight="1">
      <c r="A815" s="2"/>
      <c r="B815" s="2"/>
      <c r="C815" s="2"/>
      <c r="D815" s="2"/>
      <c r="E815" s="2"/>
      <c r="F815" s="2"/>
      <c r="G815" s="2"/>
      <c r="H815" s="2"/>
      <c r="I815" s="2"/>
      <c r="J815" s="2"/>
      <c r="L815" s="2"/>
    </row>
    <row r="816" ht="15.75" customHeight="1">
      <c r="A816" s="2"/>
      <c r="B816" s="2"/>
      <c r="C816" s="2"/>
      <c r="D816" s="2"/>
      <c r="E816" s="2"/>
      <c r="F816" s="2"/>
      <c r="G816" s="2"/>
      <c r="H816" s="2"/>
      <c r="I816" s="2"/>
      <c r="J816" s="2"/>
      <c r="L816" s="2"/>
    </row>
    <row r="817" ht="15.75" customHeight="1">
      <c r="A817" s="2"/>
      <c r="B817" s="2"/>
      <c r="C817" s="2"/>
      <c r="D817" s="2"/>
      <c r="E817" s="2"/>
      <c r="F817" s="2"/>
      <c r="G817" s="2"/>
      <c r="H817" s="2"/>
      <c r="I817" s="2"/>
      <c r="J817" s="2"/>
      <c r="L817" s="2"/>
    </row>
    <row r="818" ht="15.75" customHeight="1">
      <c r="A818" s="2"/>
      <c r="B818" s="2"/>
      <c r="C818" s="2"/>
      <c r="D818" s="2"/>
      <c r="E818" s="2"/>
      <c r="F818" s="2"/>
      <c r="G818" s="2"/>
      <c r="H818" s="2"/>
      <c r="I818" s="2"/>
      <c r="J818" s="2"/>
      <c r="L818" s="2"/>
    </row>
    <row r="819" ht="15.75" customHeight="1">
      <c r="A819" s="2"/>
      <c r="B819" s="2"/>
      <c r="C819" s="2"/>
      <c r="D819" s="2"/>
      <c r="E819" s="2"/>
      <c r="F819" s="2"/>
      <c r="G819" s="2"/>
      <c r="H819" s="2"/>
      <c r="I819" s="2"/>
      <c r="J819" s="2"/>
      <c r="L819" s="2"/>
    </row>
    <row r="820" ht="15.75" customHeight="1">
      <c r="A820" s="2"/>
      <c r="B820" s="2"/>
      <c r="C820" s="2"/>
      <c r="D820" s="2"/>
      <c r="E820" s="2"/>
      <c r="F820" s="2"/>
      <c r="G820" s="2"/>
      <c r="H820" s="2"/>
      <c r="I820" s="2"/>
      <c r="J820" s="2"/>
      <c r="L820" s="2"/>
    </row>
    <row r="821" ht="15.75" customHeight="1">
      <c r="A821" s="2"/>
      <c r="B821" s="2"/>
      <c r="C821" s="2"/>
      <c r="D821" s="2"/>
      <c r="E821" s="2"/>
      <c r="F821" s="2"/>
      <c r="G821" s="2"/>
      <c r="H821" s="2"/>
      <c r="I821" s="2"/>
      <c r="J821" s="2"/>
      <c r="L821" s="2"/>
    </row>
    <row r="822" ht="15.75" customHeight="1">
      <c r="A822" s="2"/>
      <c r="B822" s="2"/>
      <c r="C822" s="2"/>
      <c r="D822" s="2"/>
      <c r="E822" s="2"/>
      <c r="F822" s="2"/>
      <c r="G822" s="2"/>
      <c r="H822" s="2"/>
      <c r="I822" s="2"/>
      <c r="J822" s="2"/>
      <c r="L822" s="2"/>
    </row>
    <row r="823" ht="15.75" customHeight="1">
      <c r="A823" s="2"/>
      <c r="B823" s="2"/>
      <c r="C823" s="2"/>
      <c r="D823" s="2"/>
      <c r="E823" s="2"/>
      <c r="F823" s="2"/>
      <c r="G823" s="2"/>
      <c r="H823" s="2"/>
      <c r="I823" s="2"/>
      <c r="J823" s="2"/>
      <c r="L823" s="2"/>
    </row>
    <row r="824" ht="15.75" customHeight="1">
      <c r="A824" s="2"/>
      <c r="B824" s="2"/>
      <c r="C824" s="2"/>
      <c r="D824" s="2"/>
      <c r="E824" s="2"/>
      <c r="F824" s="2"/>
      <c r="G824" s="2"/>
      <c r="H824" s="2"/>
      <c r="I824" s="2"/>
      <c r="J824" s="2"/>
      <c r="L824" s="2"/>
    </row>
    <row r="825" ht="15.75" customHeight="1">
      <c r="A825" s="2"/>
      <c r="B825" s="2"/>
      <c r="C825" s="2"/>
      <c r="D825" s="2"/>
      <c r="E825" s="2"/>
      <c r="F825" s="2"/>
      <c r="G825" s="2"/>
      <c r="H825" s="2"/>
      <c r="I825" s="2"/>
      <c r="J825" s="2"/>
      <c r="L825" s="2"/>
    </row>
    <row r="826" ht="15.75" customHeight="1">
      <c r="A826" s="2"/>
      <c r="B826" s="2"/>
      <c r="C826" s="2"/>
      <c r="D826" s="2"/>
      <c r="E826" s="2"/>
      <c r="F826" s="2"/>
      <c r="G826" s="2"/>
      <c r="H826" s="2"/>
      <c r="I826" s="2"/>
      <c r="J826" s="2"/>
      <c r="L826" s="2"/>
    </row>
    <row r="827" ht="15.75" customHeight="1">
      <c r="A827" s="2"/>
      <c r="B827" s="2"/>
      <c r="C827" s="2"/>
      <c r="D827" s="2"/>
      <c r="E827" s="2"/>
      <c r="F827" s="2"/>
      <c r="G827" s="2"/>
      <c r="H827" s="2"/>
      <c r="I827" s="2"/>
      <c r="J827" s="2"/>
      <c r="L827" s="2"/>
    </row>
    <row r="828" ht="15.75" customHeight="1">
      <c r="A828" s="2"/>
      <c r="B828" s="2"/>
      <c r="C828" s="2"/>
      <c r="D828" s="2"/>
      <c r="E828" s="2"/>
      <c r="F828" s="2"/>
      <c r="G828" s="2"/>
      <c r="H828" s="2"/>
      <c r="I828" s="2"/>
      <c r="J828" s="2"/>
      <c r="L828" s="2"/>
    </row>
    <row r="829" ht="15.75" customHeight="1">
      <c r="A829" s="2"/>
      <c r="B829" s="2"/>
      <c r="C829" s="2"/>
      <c r="D829" s="2"/>
      <c r="E829" s="2"/>
      <c r="F829" s="2"/>
      <c r="G829" s="2"/>
      <c r="H829" s="2"/>
      <c r="I829" s="2"/>
      <c r="J829" s="2"/>
      <c r="L829" s="2"/>
    </row>
    <row r="830" ht="15.75" customHeight="1">
      <c r="A830" s="2"/>
      <c r="B830" s="2"/>
      <c r="C830" s="2"/>
      <c r="D830" s="2"/>
      <c r="E830" s="2"/>
      <c r="F830" s="2"/>
      <c r="G830" s="2"/>
      <c r="H830" s="2"/>
      <c r="I830" s="2"/>
      <c r="J830" s="2"/>
      <c r="L830" s="2"/>
    </row>
    <row r="831" ht="15.75" customHeight="1">
      <c r="A831" s="2"/>
      <c r="B831" s="2"/>
      <c r="C831" s="2"/>
      <c r="D831" s="2"/>
      <c r="E831" s="2"/>
      <c r="F831" s="2"/>
      <c r="G831" s="2"/>
      <c r="H831" s="2"/>
      <c r="I831" s="2"/>
      <c r="J831" s="2"/>
      <c r="L831" s="2"/>
    </row>
    <row r="832" ht="15.75" customHeight="1">
      <c r="A832" s="2"/>
      <c r="B832" s="2"/>
      <c r="C832" s="2"/>
      <c r="D832" s="2"/>
      <c r="E832" s="2"/>
      <c r="F832" s="2"/>
      <c r="G832" s="2"/>
      <c r="H832" s="2"/>
      <c r="I832" s="2"/>
      <c r="J832" s="2"/>
      <c r="L832" s="2"/>
    </row>
    <row r="833" ht="15.75" customHeight="1">
      <c r="A833" s="2"/>
      <c r="B833" s="2"/>
      <c r="C833" s="2"/>
      <c r="D833" s="2"/>
      <c r="E833" s="2"/>
      <c r="F833" s="2"/>
      <c r="G833" s="2"/>
      <c r="H833" s="2"/>
      <c r="I833" s="2"/>
      <c r="J833" s="2"/>
      <c r="L833" s="2"/>
    </row>
    <row r="834" ht="15.75" customHeight="1">
      <c r="A834" s="2"/>
      <c r="B834" s="2"/>
      <c r="C834" s="2"/>
      <c r="D834" s="2"/>
      <c r="E834" s="2"/>
      <c r="F834" s="2"/>
      <c r="G834" s="2"/>
      <c r="H834" s="2"/>
      <c r="I834" s="2"/>
      <c r="J834" s="2"/>
      <c r="L834" s="2"/>
    </row>
    <row r="835" ht="15.75" customHeight="1">
      <c r="A835" s="2"/>
      <c r="B835" s="2"/>
      <c r="C835" s="2"/>
      <c r="D835" s="2"/>
      <c r="E835" s="2"/>
      <c r="F835" s="2"/>
      <c r="G835" s="2"/>
      <c r="H835" s="2"/>
      <c r="I835" s="2"/>
      <c r="J835" s="2"/>
      <c r="L835" s="2"/>
    </row>
    <row r="836" ht="15.75" customHeight="1">
      <c r="A836" s="2"/>
      <c r="B836" s="2"/>
      <c r="C836" s="2"/>
      <c r="D836" s="2"/>
      <c r="E836" s="2"/>
      <c r="F836" s="2"/>
      <c r="G836" s="2"/>
      <c r="H836" s="2"/>
      <c r="I836" s="2"/>
      <c r="J836" s="2"/>
      <c r="L836" s="2"/>
    </row>
    <row r="837" ht="15.75" customHeight="1">
      <c r="A837" s="2"/>
      <c r="B837" s="2"/>
      <c r="C837" s="2"/>
      <c r="D837" s="2"/>
      <c r="E837" s="2"/>
      <c r="F837" s="2"/>
      <c r="G837" s="2"/>
      <c r="H837" s="2"/>
      <c r="I837" s="2"/>
      <c r="J837" s="2"/>
      <c r="L837" s="2"/>
    </row>
    <row r="838" ht="15.75" customHeight="1">
      <c r="A838" s="2"/>
      <c r="B838" s="2"/>
      <c r="C838" s="2"/>
      <c r="D838" s="2"/>
      <c r="E838" s="2"/>
      <c r="F838" s="2"/>
      <c r="G838" s="2"/>
      <c r="H838" s="2"/>
      <c r="I838" s="2"/>
      <c r="J838" s="2"/>
      <c r="L838" s="2"/>
    </row>
    <row r="839" ht="15.75" customHeight="1">
      <c r="A839" s="2"/>
      <c r="B839" s="2"/>
      <c r="C839" s="2"/>
      <c r="D839" s="2"/>
      <c r="E839" s="2"/>
      <c r="F839" s="2"/>
      <c r="G839" s="2"/>
      <c r="H839" s="2"/>
      <c r="I839" s="2"/>
      <c r="J839" s="2"/>
      <c r="L839" s="2"/>
    </row>
    <row r="840" ht="15.75" customHeight="1">
      <c r="A840" s="2"/>
      <c r="B840" s="2"/>
      <c r="C840" s="2"/>
      <c r="D840" s="2"/>
      <c r="E840" s="2"/>
      <c r="F840" s="2"/>
      <c r="G840" s="2"/>
      <c r="H840" s="2"/>
      <c r="I840" s="2"/>
      <c r="J840" s="2"/>
      <c r="L840" s="2"/>
    </row>
    <row r="841" ht="15.75" customHeight="1">
      <c r="A841" s="2"/>
      <c r="B841" s="2"/>
      <c r="C841" s="2"/>
      <c r="D841" s="2"/>
      <c r="E841" s="2"/>
      <c r="F841" s="2"/>
      <c r="G841" s="2"/>
      <c r="H841" s="2"/>
      <c r="I841" s="2"/>
      <c r="J841" s="2"/>
      <c r="L841" s="2"/>
    </row>
    <row r="842" ht="15.75" customHeight="1">
      <c r="A842" s="2"/>
      <c r="B842" s="2"/>
      <c r="C842" s="2"/>
      <c r="D842" s="2"/>
      <c r="E842" s="2"/>
      <c r="F842" s="2"/>
      <c r="G842" s="2"/>
      <c r="H842" s="2"/>
      <c r="I842" s="2"/>
      <c r="J842" s="2"/>
      <c r="L842" s="2"/>
    </row>
    <row r="843" ht="15.75" customHeight="1">
      <c r="A843" s="2"/>
      <c r="B843" s="2"/>
      <c r="C843" s="2"/>
      <c r="D843" s="2"/>
      <c r="E843" s="2"/>
      <c r="F843" s="2"/>
      <c r="G843" s="2"/>
      <c r="H843" s="2"/>
      <c r="I843" s="2"/>
      <c r="J843" s="2"/>
      <c r="L843" s="2"/>
    </row>
    <row r="844" ht="15.75" customHeight="1">
      <c r="A844" s="2"/>
      <c r="B844" s="2"/>
      <c r="C844" s="2"/>
      <c r="D844" s="2"/>
      <c r="E844" s="2"/>
      <c r="F844" s="2"/>
      <c r="G844" s="2"/>
      <c r="H844" s="2"/>
      <c r="I844" s="2"/>
      <c r="J844" s="2"/>
      <c r="L844" s="2"/>
    </row>
    <row r="845" ht="15.75" customHeight="1">
      <c r="A845" s="2"/>
      <c r="B845" s="2"/>
      <c r="C845" s="2"/>
      <c r="D845" s="2"/>
      <c r="E845" s="2"/>
      <c r="F845" s="2"/>
      <c r="G845" s="2"/>
      <c r="H845" s="2"/>
      <c r="I845" s="2"/>
      <c r="J845" s="2"/>
      <c r="L845" s="2"/>
    </row>
    <row r="846" ht="15.75" customHeight="1">
      <c r="A846" s="2"/>
      <c r="B846" s="2"/>
      <c r="C846" s="2"/>
      <c r="D846" s="2"/>
      <c r="E846" s="2"/>
      <c r="F846" s="2"/>
      <c r="G846" s="2"/>
      <c r="H846" s="2"/>
      <c r="I846" s="2"/>
      <c r="J846" s="2"/>
      <c r="L846" s="2"/>
    </row>
    <row r="847" ht="15.75" customHeight="1">
      <c r="A847" s="2"/>
      <c r="B847" s="2"/>
      <c r="C847" s="2"/>
      <c r="D847" s="2"/>
      <c r="E847" s="2"/>
      <c r="F847" s="2"/>
      <c r="G847" s="2"/>
      <c r="H847" s="2"/>
      <c r="I847" s="2"/>
      <c r="J847" s="2"/>
      <c r="L847" s="2"/>
    </row>
    <row r="848" ht="15.75" customHeight="1">
      <c r="A848" s="2"/>
      <c r="B848" s="2"/>
      <c r="C848" s="2"/>
      <c r="D848" s="2"/>
      <c r="E848" s="2"/>
      <c r="F848" s="2"/>
      <c r="G848" s="2"/>
      <c r="H848" s="2"/>
      <c r="I848" s="2"/>
      <c r="J848" s="2"/>
      <c r="L848" s="2"/>
    </row>
    <row r="849" ht="15.75" customHeight="1">
      <c r="A849" s="2"/>
      <c r="B849" s="2"/>
      <c r="C849" s="2"/>
      <c r="D849" s="2"/>
      <c r="E849" s="2"/>
      <c r="F849" s="2"/>
      <c r="G849" s="2"/>
      <c r="H849" s="2"/>
      <c r="I849" s="2"/>
      <c r="J849" s="2"/>
      <c r="L849" s="2"/>
    </row>
    <row r="850" ht="15.75" customHeight="1">
      <c r="A850" s="2"/>
      <c r="B850" s="2"/>
      <c r="C850" s="2"/>
      <c r="D850" s="2"/>
      <c r="E850" s="2"/>
      <c r="F850" s="2"/>
      <c r="G850" s="2"/>
      <c r="H850" s="2"/>
      <c r="I850" s="2"/>
      <c r="J850" s="2"/>
      <c r="L850" s="2"/>
    </row>
    <row r="851" ht="15.75" customHeight="1">
      <c r="A851" s="2"/>
      <c r="B851" s="2"/>
      <c r="C851" s="2"/>
      <c r="D851" s="2"/>
      <c r="E851" s="2"/>
      <c r="F851" s="2"/>
      <c r="G851" s="2"/>
      <c r="H851" s="2"/>
      <c r="I851" s="2"/>
      <c r="J851" s="2"/>
      <c r="L851" s="2"/>
    </row>
    <row r="852" ht="15.75" customHeight="1">
      <c r="A852" s="2"/>
      <c r="B852" s="2"/>
      <c r="C852" s="2"/>
      <c r="D852" s="2"/>
      <c r="E852" s="2"/>
      <c r="F852" s="2"/>
      <c r="G852" s="2"/>
      <c r="H852" s="2"/>
      <c r="I852" s="2"/>
      <c r="J852" s="2"/>
      <c r="L852" s="2"/>
    </row>
    <row r="853" ht="15.75" customHeight="1">
      <c r="A853" s="2"/>
      <c r="B853" s="2"/>
      <c r="C853" s="2"/>
      <c r="D853" s="2"/>
      <c r="E853" s="2"/>
      <c r="F853" s="2"/>
      <c r="G853" s="2"/>
      <c r="H853" s="2"/>
      <c r="I853" s="2"/>
      <c r="J853" s="2"/>
      <c r="L853" s="2"/>
    </row>
    <row r="854" ht="15.75" customHeight="1">
      <c r="A854" s="2"/>
      <c r="B854" s="2"/>
      <c r="C854" s="2"/>
      <c r="D854" s="2"/>
      <c r="E854" s="2"/>
      <c r="F854" s="2"/>
      <c r="G854" s="2"/>
      <c r="H854" s="2"/>
      <c r="I854" s="2"/>
      <c r="J854" s="2"/>
      <c r="L854" s="2"/>
    </row>
    <row r="855" ht="15.75" customHeight="1">
      <c r="A855" s="2"/>
      <c r="B855" s="2"/>
      <c r="C855" s="2"/>
      <c r="D855" s="2"/>
      <c r="E855" s="2"/>
      <c r="F855" s="2"/>
      <c r="G855" s="2"/>
      <c r="H855" s="2"/>
      <c r="I855" s="2"/>
      <c r="J855" s="2"/>
      <c r="L855" s="2"/>
    </row>
    <row r="856" ht="15.75" customHeight="1">
      <c r="A856" s="2"/>
      <c r="B856" s="2"/>
      <c r="C856" s="2"/>
      <c r="D856" s="2"/>
      <c r="E856" s="2"/>
      <c r="F856" s="2"/>
      <c r="G856" s="2"/>
      <c r="H856" s="2"/>
      <c r="I856" s="2"/>
      <c r="J856" s="2"/>
      <c r="L856" s="2"/>
    </row>
    <row r="857" ht="15.75" customHeight="1">
      <c r="A857" s="2"/>
      <c r="B857" s="2"/>
      <c r="C857" s="2"/>
      <c r="D857" s="2"/>
      <c r="E857" s="2"/>
      <c r="F857" s="2"/>
      <c r="G857" s="2"/>
      <c r="H857" s="2"/>
      <c r="I857" s="2"/>
      <c r="J857" s="2"/>
      <c r="L857" s="2"/>
    </row>
    <row r="858" ht="15.75" customHeight="1">
      <c r="A858" s="2"/>
      <c r="B858" s="2"/>
      <c r="C858" s="2"/>
      <c r="D858" s="2"/>
      <c r="E858" s="2"/>
      <c r="F858" s="2"/>
      <c r="G858" s="2"/>
      <c r="H858" s="2"/>
      <c r="I858" s="2"/>
      <c r="J858" s="2"/>
      <c r="L858" s="2"/>
    </row>
    <row r="859" ht="15.75" customHeight="1">
      <c r="A859" s="2"/>
      <c r="B859" s="2"/>
      <c r="C859" s="2"/>
      <c r="D859" s="2"/>
      <c r="E859" s="2"/>
      <c r="F859" s="2"/>
      <c r="G859" s="2"/>
      <c r="H859" s="2"/>
      <c r="I859" s="2"/>
      <c r="J859" s="2"/>
      <c r="L859" s="2"/>
    </row>
    <row r="860" ht="15.75" customHeight="1">
      <c r="A860" s="2"/>
      <c r="B860" s="2"/>
      <c r="C860" s="2"/>
      <c r="D860" s="2"/>
      <c r="E860" s="2"/>
      <c r="F860" s="2"/>
      <c r="G860" s="2"/>
      <c r="H860" s="2"/>
      <c r="I860" s="2"/>
      <c r="J860" s="2"/>
      <c r="L860" s="2"/>
    </row>
    <row r="861" ht="15.75" customHeight="1">
      <c r="A861" s="2"/>
      <c r="B861" s="2"/>
      <c r="C861" s="2"/>
      <c r="D861" s="2"/>
      <c r="E861" s="2"/>
      <c r="F861" s="2"/>
      <c r="G861" s="2"/>
      <c r="H861" s="2"/>
      <c r="I861" s="2"/>
      <c r="J861" s="2"/>
      <c r="L861" s="2"/>
    </row>
    <row r="862" ht="15.75" customHeight="1">
      <c r="A862" s="2"/>
      <c r="B862" s="2"/>
      <c r="C862" s="2"/>
      <c r="D862" s="2"/>
      <c r="E862" s="2"/>
      <c r="F862" s="2"/>
      <c r="G862" s="2"/>
      <c r="H862" s="2"/>
      <c r="I862" s="2"/>
      <c r="J862" s="2"/>
      <c r="L862" s="2"/>
    </row>
    <row r="863" ht="15.75" customHeight="1">
      <c r="A863" s="2"/>
      <c r="B863" s="2"/>
      <c r="C863" s="2"/>
      <c r="D863" s="2"/>
      <c r="E863" s="2"/>
      <c r="F863" s="2"/>
      <c r="G863" s="2"/>
      <c r="H863" s="2"/>
      <c r="I863" s="2"/>
      <c r="J863" s="2"/>
      <c r="L863" s="2"/>
    </row>
    <row r="864" ht="15.75" customHeight="1">
      <c r="A864" s="2"/>
      <c r="B864" s="2"/>
      <c r="C864" s="2"/>
      <c r="D864" s="2"/>
      <c r="E864" s="2"/>
      <c r="F864" s="2"/>
      <c r="G864" s="2"/>
      <c r="H864" s="2"/>
      <c r="I864" s="2"/>
      <c r="J864" s="2"/>
      <c r="L864" s="2"/>
    </row>
    <row r="865" ht="15.75" customHeight="1">
      <c r="A865" s="2"/>
      <c r="B865" s="2"/>
      <c r="C865" s="2"/>
      <c r="D865" s="2"/>
      <c r="E865" s="2"/>
      <c r="F865" s="2"/>
      <c r="G865" s="2"/>
      <c r="H865" s="2"/>
      <c r="I865" s="2"/>
      <c r="J865" s="2"/>
      <c r="L865" s="2"/>
    </row>
    <row r="866" ht="15.75" customHeight="1">
      <c r="A866" s="2"/>
      <c r="B866" s="2"/>
      <c r="C866" s="2"/>
      <c r="D866" s="2"/>
      <c r="E866" s="2"/>
      <c r="F866" s="2"/>
      <c r="G866" s="2"/>
      <c r="H866" s="2"/>
      <c r="I866" s="2"/>
      <c r="J866" s="2"/>
      <c r="L866" s="2"/>
    </row>
    <row r="867" ht="15.75" customHeight="1">
      <c r="A867" s="2"/>
      <c r="B867" s="2"/>
      <c r="C867" s="2"/>
      <c r="D867" s="2"/>
      <c r="E867" s="2"/>
      <c r="F867" s="2"/>
      <c r="G867" s="2"/>
      <c r="H867" s="2"/>
      <c r="I867" s="2"/>
      <c r="J867" s="2"/>
      <c r="L867" s="2"/>
    </row>
    <row r="868" ht="15.75" customHeight="1">
      <c r="A868" s="2"/>
      <c r="B868" s="2"/>
      <c r="C868" s="2"/>
      <c r="D868" s="2"/>
      <c r="E868" s="2"/>
      <c r="F868" s="2"/>
      <c r="G868" s="2"/>
      <c r="H868" s="2"/>
      <c r="I868" s="2"/>
      <c r="J868" s="2"/>
      <c r="L868" s="2"/>
    </row>
    <row r="869" ht="15.75" customHeight="1">
      <c r="A869" s="2"/>
      <c r="B869" s="2"/>
      <c r="C869" s="2"/>
      <c r="D869" s="2"/>
      <c r="E869" s="2"/>
      <c r="F869" s="2"/>
      <c r="G869" s="2"/>
      <c r="H869" s="2"/>
      <c r="I869" s="2"/>
      <c r="J869" s="2"/>
      <c r="L869" s="2"/>
    </row>
    <row r="870" ht="15.75" customHeight="1">
      <c r="A870" s="2"/>
      <c r="B870" s="2"/>
      <c r="C870" s="2"/>
      <c r="D870" s="2"/>
      <c r="E870" s="2"/>
      <c r="F870" s="2"/>
      <c r="G870" s="2"/>
      <c r="H870" s="2"/>
      <c r="I870" s="2"/>
      <c r="J870" s="2"/>
      <c r="L870" s="2"/>
    </row>
    <row r="871" ht="15.75" customHeight="1">
      <c r="A871" s="2"/>
      <c r="B871" s="2"/>
      <c r="C871" s="2"/>
      <c r="D871" s="2"/>
      <c r="E871" s="2"/>
      <c r="F871" s="2"/>
      <c r="G871" s="2"/>
      <c r="H871" s="2"/>
      <c r="I871" s="2"/>
      <c r="J871" s="2"/>
      <c r="L871" s="2"/>
    </row>
    <row r="872" ht="15.75" customHeight="1">
      <c r="A872" s="2"/>
      <c r="B872" s="2"/>
      <c r="C872" s="2"/>
      <c r="D872" s="2"/>
      <c r="E872" s="2"/>
      <c r="F872" s="2"/>
      <c r="G872" s="2"/>
      <c r="H872" s="2"/>
      <c r="I872" s="2"/>
      <c r="J872" s="2"/>
      <c r="L872" s="2"/>
    </row>
    <row r="873" ht="15.75" customHeight="1">
      <c r="A873" s="2"/>
      <c r="B873" s="2"/>
      <c r="C873" s="2"/>
      <c r="D873" s="2"/>
      <c r="E873" s="2"/>
      <c r="F873" s="2"/>
      <c r="G873" s="2"/>
      <c r="H873" s="2"/>
      <c r="I873" s="2"/>
      <c r="J873" s="2"/>
      <c r="L873" s="2"/>
    </row>
    <row r="874" ht="15.75" customHeight="1">
      <c r="A874" s="2"/>
      <c r="B874" s="2"/>
      <c r="C874" s="2"/>
      <c r="D874" s="2"/>
      <c r="E874" s="2"/>
      <c r="F874" s="2"/>
      <c r="G874" s="2"/>
      <c r="H874" s="2"/>
      <c r="I874" s="2"/>
      <c r="J874" s="2"/>
      <c r="L874" s="2"/>
    </row>
    <row r="875" ht="15.75" customHeight="1">
      <c r="A875" s="2"/>
      <c r="B875" s="2"/>
      <c r="C875" s="2"/>
      <c r="D875" s="2"/>
      <c r="E875" s="2"/>
      <c r="F875" s="2"/>
      <c r="G875" s="2"/>
      <c r="H875" s="2"/>
      <c r="I875" s="2"/>
      <c r="J875" s="2"/>
      <c r="L875" s="2"/>
    </row>
    <row r="876" ht="15.75" customHeight="1">
      <c r="A876" s="2"/>
      <c r="B876" s="2"/>
      <c r="C876" s="2"/>
      <c r="D876" s="2"/>
      <c r="E876" s="2"/>
      <c r="F876" s="2"/>
      <c r="G876" s="2"/>
      <c r="H876" s="2"/>
      <c r="I876" s="2"/>
      <c r="J876" s="2"/>
      <c r="L876" s="2"/>
    </row>
    <row r="877" ht="15.75" customHeight="1">
      <c r="A877" s="2"/>
      <c r="B877" s="2"/>
      <c r="C877" s="2"/>
      <c r="D877" s="2"/>
      <c r="E877" s="2"/>
      <c r="F877" s="2"/>
      <c r="G877" s="2"/>
      <c r="H877" s="2"/>
      <c r="I877" s="2"/>
      <c r="J877" s="2"/>
      <c r="L877" s="2"/>
    </row>
    <row r="878" ht="15.75" customHeight="1">
      <c r="A878" s="2"/>
      <c r="B878" s="2"/>
      <c r="C878" s="2"/>
      <c r="D878" s="2"/>
      <c r="E878" s="2"/>
      <c r="F878" s="2"/>
      <c r="G878" s="2"/>
      <c r="H878" s="2"/>
      <c r="I878" s="2"/>
      <c r="J878" s="2"/>
      <c r="L878" s="2"/>
    </row>
    <row r="879" ht="15.75" customHeight="1">
      <c r="A879" s="2"/>
      <c r="B879" s="2"/>
      <c r="C879" s="2"/>
      <c r="D879" s="2"/>
      <c r="E879" s="2"/>
      <c r="F879" s="2"/>
      <c r="G879" s="2"/>
      <c r="H879" s="2"/>
      <c r="I879" s="2"/>
      <c r="J879" s="2"/>
      <c r="L879" s="2"/>
    </row>
    <row r="880" ht="15.75" customHeight="1">
      <c r="A880" s="2"/>
      <c r="B880" s="2"/>
      <c r="C880" s="2"/>
      <c r="D880" s="2"/>
      <c r="E880" s="2"/>
      <c r="F880" s="2"/>
      <c r="G880" s="2"/>
      <c r="H880" s="2"/>
      <c r="I880" s="2"/>
      <c r="J880" s="2"/>
      <c r="L880" s="2"/>
    </row>
    <row r="881" ht="15.75" customHeight="1">
      <c r="A881" s="2"/>
      <c r="B881" s="2"/>
      <c r="C881" s="2"/>
      <c r="D881" s="2"/>
      <c r="E881" s="2"/>
      <c r="F881" s="2"/>
      <c r="G881" s="2"/>
      <c r="H881" s="2"/>
      <c r="I881" s="2"/>
      <c r="J881" s="2"/>
      <c r="L881" s="2"/>
    </row>
    <row r="882" ht="15.75" customHeight="1">
      <c r="A882" s="2"/>
      <c r="B882" s="2"/>
      <c r="C882" s="2"/>
      <c r="D882" s="2"/>
      <c r="E882" s="2"/>
      <c r="F882" s="2"/>
      <c r="G882" s="2"/>
      <c r="H882" s="2"/>
      <c r="I882" s="2"/>
      <c r="J882" s="2"/>
      <c r="L882" s="2"/>
    </row>
    <row r="883" ht="15.75" customHeight="1">
      <c r="A883" s="2"/>
      <c r="B883" s="2"/>
      <c r="C883" s="2"/>
      <c r="D883" s="2"/>
      <c r="E883" s="2"/>
      <c r="F883" s="2"/>
      <c r="G883" s="2"/>
      <c r="H883" s="2"/>
      <c r="I883" s="2"/>
      <c r="J883" s="2"/>
      <c r="L883" s="2"/>
    </row>
    <row r="884" ht="15.75" customHeight="1">
      <c r="A884" s="2"/>
      <c r="B884" s="2"/>
      <c r="C884" s="2"/>
      <c r="D884" s="2"/>
      <c r="E884" s="2"/>
      <c r="F884" s="2"/>
      <c r="G884" s="2"/>
      <c r="H884" s="2"/>
      <c r="I884" s="2"/>
      <c r="J884" s="2"/>
      <c r="L884" s="2"/>
    </row>
    <row r="885" ht="15.75" customHeight="1">
      <c r="A885" s="2"/>
      <c r="B885" s="2"/>
      <c r="C885" s="2"/>
      <c r="D885" s="2"/>
      <c r="E885" s="2"/>
      <c r="F885" s="2"/>
      <c r="G885" s="2"/>
      <c r="H885" s="2"/>
      <c r="I885" s="2"/>
      <c r="J885" s="2"/>
      <c r="L885" s="2"/>
    </row>
    <row r="886" ht="15.75" customHeight="1">
      <c r="A886" s="2"/>
      <c r="B886" s="2"/>
      <c r="C886" s="2"/>
      <c r="D886" s="2"/>
      <c r="E886" s="2"/>
      <c r="F886" s="2"/>
      <c r="G886" s="2"/>
      <c r="H886" s="2"/>
      <c r="I886" s="2"/>
      <c r="J886" s="2"/>
      <c r="L886" s="2"/>
    </row>
    <row r="887" ht="15.75" customHeight="1">
      <c r="A887" s="2"/>
      <c r="B887" s="2"/>
      <c r="C887" s="2"/>
      <c r="D887" s="2"/>
      <c r="E887" s="2"/>
      <c r="F887" s="2"/>
      <c r="G887" s="2"/>
      <c r="H887" s="2"/>
      <c r="I887" s="2"/>
      <c r="J887" s="2"/>
      <c r="L887" s="2"/>
    </row>
    <row r="888" ht="15.75" customHeight="1">
      <c r="A888" s="2"/>
      <c r="B888" s="2"/>
      <c r="C888" s="2"/>
      <c r="D888" s="2"/>
      <c r="E888" s="2"/>
      <c r="F888" s="2"/>
      <c r="G888" s="2"/>
      <c r="H888" s="2"/>
      <c r="I888" s="2"/>
      <c r="J888" s="2"/>
      <c r="L888" s="2"/>
    </row>
    <row r="889" ht="15.75" customHeight="1">
      <c r="A889" s="2"/>
      <c r="B889" s="2"/>
      <c r="C889" s="2"/>
      <c r="D889" s="2"/>
      <c r="E889" s="2"/>
      <c r="F889" s="2"/>
      <c r="G889" s="2"/>
      <c r="H889" s="2"/>
      <c r="I889" s="2"/>
      <c r="J889" s="2"/>
      <c r="L889" s="2"/>
    </row>
    <row r="890" ht="15.75" customHeight="1">
      <c r="A890" s="2"/>
      <c r="B890" s="2"/>
      <c r="C890" s="2"/>
      <c r="D890" s="2"/>
      <c r="E890" s="2"/>
      <c r="F890" s="2"/>
      <c r="G890" s="2"/>
      <c r="H890" s="2"/>
      <c r="I890" s="2"/>
      <c r="J890" s="2"/>
      <c r="L890" s="2"/>
    </row>
    <row r="891" ht="15.75" customHeight="1">
      <c r="A891" s="2"/>
      <c r="B891" s="2"/>
      <c r="C891" s="2"/>
      <c r="D891" s="2"/>
      <c r="E891" s="2"/>
      <c r="F891" s="2"/>
      <c r="G891" s="2"/>
      <c r="H891" s="2"/>
      <c r="I891" s="2"/>
      <c r="J891" s="2"/>
      <c r="L891" s="2"/>
    </row>
    <row r="892" ht="15.75" customHeight="1">
      <c r="A892" s="2"/>
      <c r="B892" s="2"/>
      <c r="C892" s="2"/>
      <c r="D892" s="2"/>
      <c r="E892" s="2"/>
      <c r="F892" s="2"/>
      <c r="G892" s="2"/>
      <c r="H892" s="2"/>
      <c r="I892" s="2"/>
      <c r="J892" s="2"/>
      <c r="L892" s="2"/>
    </row>
    <row r="893" ht="15.75" customHeight="1">
      <c r="A893" s="2"/>
      <c r="B893" s="2"/>
      <c r="C893" s="2"/>
      <c r="D893" s="2"/>
      <c r="E893" s="2"/>
      <c r="F893" s="2"/>
      <c r="G893" s="2"/>
      <c r="H893" s="2"/>
      <c r="I893" s="2"/>
      <c r="J893" s="2"/>
      <c r="L893" s="2"/>
    </row>
    <row r="894" ht="15.75" customHeight="1">
      <c r="A894" s="2"/>
      <c r="B894" s="2"/>
      <c r="C894" s="2"/>
      <c r="D894" s="2"/>
      <c r="E894" s="2"/>
      <c r="F894" s="2"/>
      <c r="G894" s="2"/>
      <c r="H894" s="2"/>
      <c r="I894" s="2"/>
      <c r="J894" s="2"/>
      <c r="L894" s="2"/>
    </row>
    <row r="895" ht="15.75" customHeight="1">
      <c r="A895" s="2"/>
      <c r="B895" s="2"/>
      <c r="C895" s="2"/>
      <c r="D895" s="2"/>
      <c r="E895" s="2"/>
      <c r="F895" s="2"/>
      <c r="G895" s="2"/>
      <c r="H895" s="2"/>
      <c r="I895" s="2"/>
      <c r="J895" s="2"/>
      <c r="L895" s="2"/>
    </row>
    <row r="896" ht="15.75" customHeight="1">
      <c r="A896" s="2"/>
      <c r="B896" s="2"/>
      <c r="C896" s="2"/>
      <c r="D896" s="2"/>
      <c r="E896" s="2"/>
      <c r="F896" s="2"/>
      <c r="G896" s="2"/>
      <c r="H896" s="2"/>
      <c r="I896" s="2"/>
      <c r="J896" s="2"/>
      <c r="L896" s="2"/>
    </row>
    <row r="897" ht="15.75" customHeight="1">
      <c r="A897" s="2"/>
      <c r="B897" s="2"/>
      <c r="C897" s="2"/>
      <c r="D897" s="2"/>
      <c r="E897" s="2"/>
      <c r="F897" s="2"/>
      <c r="G897" s="2"/>
      <c r="H897" s="2"/>
      <c r="I897" s="2"/>
      <c r="J897" s="2"/>
      <c r="L897" s="2"/>
    </row>
    <row r="898" ht="15.75" customHeight="1">
      <c r="A898" s="2"/>
      <c r="B898" s="2"/>
      <c r="C898" s="2"/>
      <c r="D898" s="2"/>
      <c r="E898" s="2"/>
      <c r="F898" s="2"/>
      <c r="G898" s="2"/>
      <c r="H898" s="2"/>
      <c r="I898" s="2"/>
      <c r="J898" s="2"/>
      <c r="L898" s="2"/>
    </row>
    <row r="899" ht="15.75" customHeight="1">
      <c r="A899" s="2"/>
      <c r="B899" s="2"/>
      <c r="C899" s="2"/>
      <c r="D899" s="2"/>
      <c r="E899" s="2"/>
      <c r="F899" s="2"/>
      <c r="G899" s="2"/>
      <c r="H899" s="2"/>
      <c r="I899" s="2"/>
      <c r="J899" s="2"/>
      <c r="L899" s="2"/>
    </row>
    <row r="900" ht="15.75" customHeight="1">
      <c r="A900" s="2"/>
      <c r="B900" s="2"/>
      <c r="C900" s="2"/>
      <c r="D900" s="2"/>
      <c r="E900" s="2"/>
      <c r="F900" s="2"/>
      <c r="G900" s="2"/>
      <c r="H900" s="2"/>
      <c r="I900" s="2"/>
      <c r="J900" s="2"/>
      <c r="L900" s="2"/>
    </row>
    <row r="901" ht="15.75" customHeight="1">
      <c r="A901" s="2"/>
      <c r="B901" s="2"/>
      <c r="C901" s="2"/>
      <c r="D901" s="2"/>
      <c r="E901" s="2"/>
      <c r="F901" s="2"/>
      <c r="G901" s="2"/>
      <c r="H901" s="2"/>
      <c r="I901" s="2"/>
      <c r="J901" s="2"/>
      <c r="L901" s="2"/>
    </row>
    <row r="902" ht="15.75" customHeight="1">
      <c r="A902" s="2"/>
      <c r="B902" s="2"/>
      <c r="C902" s="2"/>
      <c r="D902" s="2"/>
      <c r="E902" s="2"/>
      <c r="F902" s="2"/>
      <c r="G902" s="2"/>
      <c r="H902" s="2"/>
      <c r="I902" s="2"/>
      <c r="J902" s="2"/>
      <c r="L902" s="2"/>
    </row>
    <row r="903" ht="15.75" customHeight="1">
      <c r="A903" s="2"/>
      <c r="B903" s="2"/>
      <c r="C903" s="2"/>
      <c r="D903" s="2"/>
      <c r="E903" s="2"/>
      <c r="F903" s="2"/>
      <c r="G903" s="2"/>
      <c r="H903" s="2"/>
      <c r="I903" s="2"/>
      <c r="J903" s="2"/>
      <c r="L903" s="2"/>
    </row>
    <row r="904" ht="15.75" customHeight="1">
      <c r="A904" s="2"/>
      <c r="B904" s="2"/>
      <c r="C904" s="2"/>
      <c r="D904" s="2"/>
      <c r="E904" s="2"/>
      <c r="F904" s="2"/>
      <c r="G904" s="2"/>
      <c r="H904" s="2"/>
      <c r="I904" s="2"/>
      <c r="J904" s="2"/>
      <c r="L904" s="2"/>
    </row>
    <row r="905" ht="15.75" customHeight="1">
      <c r="A905" s="2"/>
      <c r="B905" s="2"/>
      <c r="C905" s="2"/>
      <c r="D905" s="2"/>
      <c r="E905" s="2"/>
      <c r="F905" s="2"/>
      <c r="G905" s="2"/>
      <c r="H905" s="2"/>
      <c r="I905" s="2"/>
      <c r="J905" s="2"/>
      <c r="L905" s="2"/>
    </row>
    <row r="906" ht="15.75" customHeight="1">
      <c r="A906" s="2"/>
      <c r="B906" s="2"/>
      <c r="C906" s="2"/>
      <c r="D906" s="2"/>
      <c r="E906" s="2"/>
      <c r="F906" s="2"/>
      <c r="G906" s="2"/>
      <c r="H906" s="2"/>
      <c r="I906" s="2"/>
      <c r="J906" s="2"/>
      <c r="L906" s="2"/>
    </row>
    <row r="907" ht="15.75" customHeight="1">
      <c r="A907" s="2"/>
      <c r="B907" s="2"/>
      <c r="C907" s="2"/>
      <c r="D907" s="2"/>
      <c r="E907" s="2"/>
      <c r="F907" s="2"/>
      <c r="G907" s="2"/>
      <c r="H907" s="2"/>
      <c r="I907" s="2"/>
      <c r="J907" s="2"/>
      <c r="L907" s="2"/>
    </row>
    <row r="908" ht="15.75" customHeight="1">
      <c r="A908" s="2"/>
      <c r="B908" s="2"/>
      <c r="C908" s="2"/>
      <c r="D908" s="2"/>
      <c r="E908" s="2"/>
      <c r="F908" s="2"/>
      <c r="G908" s="2"/>
      <c r="H908" s="2"/>
      <c r="I908" s="2"/>
      <c r="J908" s="2"/>
      <c r="L908" s="2"/>
    </row>
    <row r="909" ht="15.75" customHeight="1">
      <c r="A909" s="2"/>
      <c r="B909" s="2"/>
      <c r="C909" s="2"/>
      <c r="D909" s="2"/>
      <c r="E909" s="2"/>
      <c r="F909" s="2"/>
      <c r="G909" s="2"/>
      <c r="H909" s="2"/>
      <c r="I909" s="2"/>
      <c r="J909" s="2"/>
      <c r="L909" s="2"/>
    </row>
    <row r="910" ht="15.75" customHeight="1">
      <c r="A910" s="2"/>
      <c r="B910" s="2"/>
      <c r="C910" s="2"/>
      <c r="D910" s="2"/>
      <c r="E910" s="2"/>
      <c r="F910" s="2"/>
      <c r="G910" s="2"/>
      <c r="H910" s="2"/>
      <c r="I910" s="2"/>
      <c r="J910" s="2"/>
      <c r="L910" s="2"/>
    </row>
    <row r="911" ht="15.75" customHeight="1">
      <c r="A911" s="2"/>
      <c r="B911" s="2"/>
      <c r="C911" s="2"/>
      <c r="D911" s="2"/>
      <c r="E911" s="2"/>
      <c r="F911" s="2"/>
      <c r="G911" s="2"/>
      <c r="H911" s="2"/>
      <c r="I911" s="2"/>
      <c r="J911" s="2"/>
      <c r="L911" s="2"/>
    </row>
    <row r="912" ht="15.75" customHeight="1">
      <c r="A912" s="2"/>
      <c r="B912" s="2"/>
      <c r="C912" s="2"/>
      <c r="D912" s="2"/>
      <c r="E912" s="2"/>
      <c r="F912" s="2"/>
      <c r="G912" s="2"/>
      <c r="H912" s="2"/>
      <c r="I912" s="2"/>
      <c r="J912" s="2"/>
      <c r="L912" s="2"/>
    </row>
    <row r="913" ht="15.75" customHeight="1">
      <c r="A913" s="2"/>
      <c r="B913" s="2"/>
      <c r="C913" s="2"/>
      <c r="D913" s="2"/>
      <c r="E913" s="2"/>
      <c r="F913" s="2"/>
      <c r="G913" s="2"/>
      <c r="H913" s="2"/>
      <c r="I913" s="2"/>
      <c r="J913" s="2"/>
      <c r="L913" s="2"/>
    </row>
    <row r="914" ht="15.75" customHeight="1">
      <c r="A914" s="2"/>
      <c r="B914" s="2"/>
      <c r="C914" s="2"/>
      <c r="D914" s="2"/>
      <c r="E914" s="2"/>
      <c r="F914" s="2"/>
      <c r="G914" s="2"/>
      <c r="H914" s="2"/>
      <c r="I914" s="2"/>
      <c r="J914" s="2"/>
      <c r="L914" s="2"/>
    </row>
    <row r="915" ht="15.75" customHeight="1">
      <c r="A915" s="2"/>
      <c r="B915" s="2"/>
      <c r="C915" s="2"/>
      <c r="D915" s="2"/>
      <c r="E915" s="2"/>
      <c r="F915" s="2"/>
      <c r="G915" s="2"/>
      <c r="H915" s="2"/>
      <c r="I915" s="2"/>
      <c r="J915" s="2"/>
      <c r="L915" s="2"/>
    </row>
    <row r="916" ht="15.75" customHeight="1">
      <c r="A916" s="2"/>
      <c r="B916" s="2"/>
      <c r="C916" s="2"/>
      <c r="D916" s="2"/>
      <c r="E916" s="2"/>
      <c r="F916" s="2"/>
      <c r="G916" s="2"/>
      <c r="H916" s="2"/>
      <c r="I916" s="2"/>
      <c r="J916" s="2"/>
      <c r="L916" s="2"/>
    </row>
    <row r="917" ht="15.75" customHeight="1">
      <c r="A917" s="2"/>
      <c r="B917" s="2"/>
      <c r="C917" s="2"/>
      <c r="D917" s="2"/>
      <c r="E917" s="2"/>
      <c r="F917" s="2"/>
      <c r="G917" s="2"/>
      <c r="H917" s="2"/>
      <c r="I917" s="2"/>
      <c r="J917" s="2"/>
      <c r="L917" s="2"/>
    </row>
    <row r="918" ht="15.75" customHeight="1">
      <c r="A918" s="2"/>
      <c r="B918" s="2"/>
      <c r="C918" s="2"/>
      <c r="D918" s="2"/>
      <c r="E918" s="2"/>
      <c r="F918" s="2"/>
      <c r="G918" s="2"/>
      <c r="H918" s="2"/>
      <c r="I918" s="2"/>
      <c r="J918" s="2"/>
      <c r="L918" s="2"/>
    </row>
    <row r="919" ht="15.75" customHeight="1">
      <c r="A919" s="2"/>
      <c r="B919" s="2"/>
      <c r="C919" s="2"/>
      <c r="D919" s="2"/>
      <c r="E919" s="2"/>
      <c r="F919" s="2"/>
      <c r="G919" s="2"/>
      <c r="H919" s="2"/>
      <c r="I919" s="2"/>
      <c r="J919" s="2"/>
      <c r="L919" s="2"/>
    </row>
    <row r="920" ht="15.75" customHeight="1">
      <c r="A920" s="2"/>
      <c r="B920" s="2"/>
      <c r="C920" s="2"/>
      <c r="D920" s="2"/>
      <c r="E920" s="2"/>
      <c r="F920" s="2"/>
      <c r="G920" s="2"/>
      <c r="H920" s="2"/>
      <c r="I920" s="2"/>
      <c r="J920" s="2"/>
      <c r="L920" s="2"/>
    </row>
    <row r="921" ht="15.75" customHeight="1">
      <c r="A921" s="2"/>
      <c r="B921" s="2"/>
      <c r="C921" s="2"/>
      <c r="D921" s="2"/>
      <c r="E921" s="2"/>
      <c r="F921" s="2"/>
      <c r="G921" s="2"/>
      <c r="H921" s="2"/>
      <c r="I921" s="2"/>
      <c r="J921" s="2"/>
      <c r="L921" s="2"/>
    </row>
    <row r="922" ht="15.75" customHeight="1">
      <c r="A922" s="2"/>
      <c r="B922" s="2"/>
      <c r="C922" s="2"/>
      <c r="D922" s="2"/>
      <c r="E922" s="2"/>
      <c r="F922" s="2"/>
      <c r="G922" s="2"/>
      <c r="H922" s="2"/>
      <c r="I922" s="2"/>
      <c r="J922" s="2"/>
      <c r="L922" s="2"/>
    </row>
    <row r="923" ht="15.75" customHeight="1">
      <c r="A923" s="2"/>
      <c r="B923" s="2"/>
      <c r="C923" s="2"/>
      <c r="D923" s="2"/>
      <c r="E923" s="2"/>
      <c r="F923" s="2"/>
      <c r="G923" s="2"/>
      <c r="H923" s="2"/>
      <c r="I923" s="2"/>
      <c r="J923" s="2"/>
      <c r="L923" s="2"/>
    </row>
    <row r="924" ht="15.75" customHeight="1">
      <c r="A924" s="2"/>
      <c r="B924" s="2"/>
      <c r="C924" s="2"/>
      <c r="D924" s="2"/>
      <c r="E924" s="2"/>
      <c r="F924" s="2"/>
      <c r="G924" s="2"/>
      <c r="H924" s="2"/>
      <c r="I924" s="2"/>
      <c r="J924" s="2"/>
      <c r="L924" s="2"/>
    </row>
    <row r="925" ht="15.75" customHeight="1">
      <c r="A925" s="2"/>
      <c r="B925" s="2"/>
      <c r="C925" s="2"/>
      <c r="D925" s="2"/>
      <c r="E925" s="2"/>
      <c r="F925" s="2"/>
      <c r="G925" s="2"/>
      <c r="H925" s="2"/>
      <c r="I925" s="2"/>
      <c r="J925" s="2"/>
      <c r="L925" s="2"/>
    </row>
    <row r="926" ht="15.75" customHeight="1">
      <c r="A926" s="2"/>
      <c r="B926" s="2"/>
      <c r="C926" s="2"/>
      <c r="D926" s="2"/>
      <c r="E926" s="2"/>
      <c r="F926" s="2"/>
      <c r="G926" s="2"/>
      <c r="H926" s="2"/>
      <c r="I926" s="2"/>
      <c r="J926" s="2"/>
      <c r="L926" s="2"/>
    </row>
    <row r="927" ht="15.75" customHeight="1">
      <c r="A927" s="2"/>
      <c r="B927" s="2"/>
      <c r="C927" s="2"/>
      <c r="D927" s="2"/>
      <c r="E927" s="2"/>
      <c r="F927" s="2"/>
      <c r="G927" s="2"/>
      <c r="H927" s="2"/>
      <c r="I927" s="2"/>
      <c r="J927" s="2"/>
      <c r="L927" s="2"/>
    </row>
    <row r="928" ht="15.75" customHeight="1">
      <c r="A928" s="2"/>
      <c r="B928" s="2"/>
      <c r="C928" s="2"/>
      <c r="D928" s="2"/>
      <c r="E928" s="2"/>
      <c r="F928" s="2"/>
      <c r="G928" s="2"/>
      <c r="H928" s="2"/>
      <c r="I928" s="2"/>
      <c r="J928" s="2"/>
      <c r="L928" s="2"/>
    </row>
    <row r="929" ht="15.75" customHeight="1">
      <c r="A929" s="2"/>
      <c r="B929" s="2"/>
      <c r="C929" s="2"/>
      <c r="D929" s="2"/>
      <c r="E929" s="2"/>
      <c r="F929" s="2"/>
      <c r="G929" s="2"/>
      <c r="H929" s="2"/>
      <c r="I929" s="2"/>
      <c r="J929" s="2"/>
      <c r="L929" s="2"/>
    </row>
    <row r="930" ht="15.75" customHeight="1">
      <c r="A930" s="2"/>
      <c r="B930" s="2"/>
      <c r="C930" s="2"/>
      <c r="D930" s="2"/>
      <c r="E930" s="2"/>
      <c r="F930" s="2"/>
      <c r="G930" s="2"/>
      <c r="H930" s="2"/>
      <c r="I930" s="2"/>
      <c r="J930" s="2"/>
      <c r="L930" s="2"/>
    </row>
    <row r="931" ht="15.75" customHeight="1">
      <c r="A931" s="2"/>
      <c r="B931" s="2"/>
      <c r="C931" s="2"/>
      <c r="D931" s="2"/>
      <c r="E931" s="2"/>
      <c r="F931" s="2"/>
      <c r="G931" s="2"/>
      <c r="H931" s="2"/>
      <c r="I931" s="2"/>
      <c r="J931" s="2"/>
      <c r="L931" s="2"/>
    </row>
    <row r="932" ht="15.75" customHeight="1">
      <c r="A932" s="2"/>
      <c r="B932" s="2"/>
      <c r="C932" s="2"/>
      <c r="D932" s="2"/>
      <c r="E932" s="2"/>
      <c r="F932" s="2"/>
      <c r="G932" s="2"/>
      <c r="H932" s="2"/>
      <c r="I932" s="2"/>
      <c r="J932" s="2"/>
      <c r="L932" s="2"/>
    </row>
    <row r="933" ht="15.75" customHeight="1">
      <c r="A933" s="2"/>
      <c r="B933" s="2"/>
      <c r="C933" s="2"/>
      <c r="D933" s="2"/>
      <c r="E933" s="2"/>
      <c r="F933" s="2"/>
      <c r="G933" s="2"/>
      <c r="H933" s="2"/>
      <c r="I933" s="2"/>
      <c r="J933" s="2"/>
      <c r="L933" s="2"/>
    </row>
    <row r="934" ht="15.75" customHeight="1">
      <c r="A934" s="2"/>
      <c r="B934" s="2"/>
      <c r="C934" s="2"/>
      <c r="D934" s="2"/>
      <c r="E934" s="2"/>
      <c r="F934" s="2"/>
      <c r="G934" s="2"/>
      <c r="H934" s="2"/>
      <c r="I934" s="2"/>
      <c r="J934" s="2"/>
      <c r="L934" s="2"/>
    </row>
    <row r="935" ht="15.75" customHeight="1">
      <c r="A935" s="2"/>
      <c r="B935" s="2"/>
      <c r="C935" s="2"/>
      <c r="D935" s="2"/>
      <c r="E935" s="2"/>
      <c r="F935" s="2"/>
      <c r="G935" s="2"/>
      <c r="H935" s="2"/>
      <c r="I935" s="2"/>
      <c r="J935" s="2"/>
      <c r="L935" s="2"/>
    </row>
    <row r="936" ht="15.75" customHeight="1">
      <c r="A936" s="2"/>
      <c r="B936" s="2"/>
      <c r="C936" s="2"/>
      <c r="D936" s="2"/>
      <c r="E936" s="2"/>
      <c r="F936" s="2"/>
      <c r="G936" s="2"/>
      <c r="H936" s="2"/>
      <c r="I936" s="2"/>
      <c r="J936" s="2"/>
      <c r="L936" s="2"/>
    </row>
    <row r="937" ht="15.75" customHeight="1">
      <c r="A937" s="2"/>
      <c r="B937" s="2"/>
      <c r="C937" s="2"/>
      <c r="D937" s="2"/>
      <c r="E937" s="2"/>
      <c r="F937" s="2"/>
      <c r="G937" s="2"/>
      <c r="H937" s="2"/>
      <c r="I937" s="2"/>
      <c r="J937" s="2"/>
      <c r="L937" s="2"/>
    </row>
    <row r="938" ht="15.75" customHeight="1">
      <c r="A938" s="2"/>
      <c r="B938" s="2"/>
      <c r="C938" s="2"/>
      <c r="D938" s="2"/>
      <c r="E938" s="2"/>
      <c r="F938" s="2"/>
      <c r="G938" s="2"/>
      <c r="H938" s="2"/>
      <c r="I938" s="2"/>
      <c r="J938" s="2"/>
      <c r="L938" s="2"/>
    </row>
    <row r="939" ht="15.75" customHeight="1">
      <c r="A939" s="2"/>
      <c r="B939" s="2"/>
      <c r="C939" s="2"/>
      <c r="D939" s="2"/>
      <c r="E939" s="2"/>
      <c r="F939" s="2"/>
      <c r="G939" s="2"/>
      <c r="H939" s="2"/>
      <c r="I939" s="2"/>
      <c r="J939" s="2"/>
      <c r="L939" s="2"/>
    </row>
    <row r="940" ht="15.75" customHeight="1">
      <c r="A940" s="2"/>
      <c r="B940" s="2"/>
      <c r="C940" s="2"/>
      <c r="D940" s="2"/>
      <c r="E940" s="2"/>
      <c r="F940" s="2"/>
      <c r="G940" s="2"/>
      <c r="H940" s="2"/>
      <c r="I940" s="2"/>
      <c r="J940" s="2"/>
      <c r="L940" s="2"/>
    </row>
    <row r="941" ht="15.75" customHeight="1">
      <c r="A941" s="2"/>
      <c r="B941" s="2"/>
      <c r="C941" s="2"/>
      <c r="D941" s="2"/>
      <c r="E941" s="2"/>
      <c r="F941" s="2"/>
      <c r="G941" s="2"/>
      <c r="H941" s="2"/>
      <c r="I941" s="2"/>
      <c r="J941" s="2"/>
      <c r="L941" s="2"/>
    </row>
    <row r="942" ht="15.75" customHeight="1">
      <c r="A942" s="2"/>
      <c r="B942" s="2"/>
      <c r="C942" s="2"/>
      <c r="D942" s="2"/>
      <c r="E942" s="2"/>
      <c r="F942" s="2"/>
      <c r="G942" s="2"/>
      <c r="H942" s="2"/>
      <c r="I942" s="2"/>
      <c r="J942" s="2"/>
      <c r="L942" s="2"/>
    </row>
    <row r="943" ht="15.75" customHeight="1">
      <c r="A943" s="2"/>
      <c r="B943" s="2"/>
      <c r="C943" s="2"/>
      <c r="D943" s="2"/>
      <c r="E943" s="2"/>
      <c r="F943" s="2"/>
      <c r="G943" s="2"/>
      <c r="H943" s="2"/>
      <c r="I943" s="2"/>
      <c r="J943" s="2"/>
      <c r="L943" s="2"/>
    </row>
    <row r="944" ht="15.75" customHeight="1">
      <c r="A944" s="2"/>
      <c r="B944" s="2"/>
      <c r="C944" s="2"/>
      <c r="D944" s="2"/>
      <c r="E944" s="2"/>
      <c r="F944" s="2"/>
      <c r="G944" s="2"/>
      <c r="H944" s="2"/>
      <c r="I944" s="2"/>
      <c r="J944" s="2"/>
      <c r="L944" s="2"/>
    </row>
    <row r="945" ht="15.75" customHeight="1">
      <c r="A945" s="2"/>
      <c r="B945" s="2"/>
      <c r="C945" s="2"/>
      <c r="D945" s="2"/>
      <c r="E945" s="2"/>
      <c r="F945" s="2"/>
      <c r="G945" s="2"/>
      <c r="H945" s="2"/>
      <c r="I945" s="2"/>
      <c r="J945" s="2"/>
      <c r="L945" s="2"/>
    </row>
    <row r="946" ht="15.75" customHeight="1">
      <c r="A946" s="2"/>
      <c r="B946" s="2"/>
      <c r="C946" s="2"/>
      <c r="D946" s="2"/>
      <c r="E946" s="2"/>
      <c r="F946" s="2"/>
      <c r="G946" s="2"/>
      <c r="H946" s="2"/>
      <c r="I946" s="2"/>
      <c r="J946" s="2"/>
      <c r="L946" s="2"/>
    </row>
    <row r="947" ht="15.75" customHeight="1">
      <c r="A947" s="2"/>
      <c r="B947" s="2"/>
      <c r="C947" s="2"/>
      <c r="D947" s="2"/>
      <c r="E947" s="2"/>
      <c r="F947" s="2"/>
      <c r="G947" s="2"/>
      <c r="H947" s="2"/>
      <c r="I947" s="2"/>
      <c r="J947" s="2"/>
      <c r="L947" s="2"/>
    </row>
    <row r="948" ht="15.75" customHeight="1">
      <c r="A948" s="2"/>
      <c r="B948" s="2"/>
      <c r="C948" s="2"/>
      <c r="D948" s="2"/>
      <c r="E948" s="2"/>
      <c r="F948" s="2"/>
      <c r="G948" s="2"/>
      <c r="H948" s="2"/>
      <c r="I948" s="2"/>
      <c r="J948" s="2"/>
      <c r="L948" s="2"/>
    </row>
    <row r="949" ht="15.75" customHeight="1">
      <c r="A949" s="2"/>
      <c r="B949" s="2"/>
      <c r="C949" s="2"/>
      <c r="D949" s="2"/>
      <c r="E949" s="2"/>
      <c r="F949" s="2"/>
      <c r="G949" s="2"/>
      <c r="H949" s="2"/>
      <c r="I949" s="2"/>
      <c r="J949" s="2"/>
      <c r="L949" s="2"/>
    </row>
    <row r="950" ht="15.75" customHeight="1">
      <c r="A950" s="2"/>
      <c r="B950" s="2"/>
      <c r="C950" s="2"/>
      <c r="D950" s="2"/>
      <c r="E950" s="2"/>
      <c r="F950" s="2"/>
      <c r="G950" s="2"/>
      <c r="H950" s="2"/>
      <c r="I950" s="2"/>
      <c r="J950" s="2"/>
      <c r="L950" s="2"/>
    </row>
    <row r="951" ht="15.75" customHeight="1">
      <c r="A951" s="2"/>
      <c r="B951" s="2"/>
      <c r="C951" s="2"/>
      <c r="D951" s="2"/>
      <c r="E951" s="2"/>
      <c r="F951" s="2"/>
      <c r="G951" s="2"/>
      <c r="H951" s="2"/>
      <c r="I951" s="2"/>
      <c r="J951" s="2"/>
      <c r="L951" s="2"/>
    </row>
    <row r="952" ht="15.75" customHeight="1">
      <c r="A952" s="2"/>
      <c r="B952" s="2"/>
      <c r="C952" s="2"/>
      <c r="D952" s="2"/>
      <c r="E952" s="2"/>
      <c r="F952" s="2"/>
      <c r="G952" s="2"/>
      <c r="H952" s="2"/>
      <c r="I952" s="2"/>
      <c r="J952" s="2"/>
      <c r="L952" s="2"/>
    </row>
    <row r="953" ht="15.75" customHeight="1">
      <c r="A953" s="2"/>
      <c r="B953" s="2"/>
      <c r="C953" s="2"/>
      <c r="D953" s="2"/>
      <c r="E953" s="2"/>
      <c r="F953" s="2"/>
      <c r="G953" s="2"/>
      <c r="H953" s="2"/>
      <c r="I953" s="2"/>
      <c r="J953" s="2"/>
      <c r="L953" s="2"/>
    </row>
    <row r="954" ht="15.75" customHeight="1">
      <c r="A954" s="2"/>
      <c r="B954" s="2"/>
      <c r="C954" s="2"/>
      <c r="D954" s="2"/>
      <c r="E954" s="2"/>
      <c r="F954" s="2"/>
      <c r="G954" s="2"/>
      <c r="H954" s="2"/>
      <c r="I954" s="2"/>
      <c r="J954" s="2"/>
      <c r="L954" s="2"/>
    </row>
    <row r="955" ht="15.75" customHeight="1">
      <c r="A955" s="2"/>
      <c r="B955" s="2"/>
      <c r="C955" s="2"/>
      <c r="D955" s="2"/>
      <c r="E955" s="2"/>
      <c r="F955" s="2"/>
      <c r="G955" s="2"/>
      <c r="H955" s="2"/>
      <c r="I955" s="2"/>
      <c r="J955" s="2"/>
      <c r="L955" s="2"/>
    </row>
    <row r="956" ht="15.75" customHeight="1">
      <c r="A956" s="2"/>
      <c r="B956" s="2"/>
      <c r="C956" s="2"/>
      <c r="D956" s="2"/>
      <c r="E956" s="2"/>
      <c r="F956" s="2"/>
      <c r="G956" s="2"/>
      <c r="H956" s="2"/>
      <c r="I956" s="2"/>
      <c r="J956" s="2"/>
      <c r="L956" s="2"/>
    </row>
    <row r="957" ht="15.75" customHeight="1">
      <c r="A957" s="2"/>
      <c r="B957" s="2"/>
      <c r="C957" s="2"/>
      <c r="D957" s="2"/>
      <c r="E957" s="2"/>
      <c r="F957" s="2"/>
      <c r="G957" s="2"/>
      <c r="H957" s="2"/>
      <c r="I957" s="2"/>
      <c r="J957" s="2"/>
      <c r="L957" s="2"/>
    </row>
    <row r="958" ht="15.75" customHeight="1">
      <c r="A958" s="2"/>
      <c r="B958" s="2"/>
      <c r="C958" s="2"/>
      <c r="D958" s="2"/>
      <c r="E958" s="2"/>
      <c r="F958" s="2"/>
      <c r="G958" s="2"/>
      <c r="H958" s="2"/>
      <c r="I958" s="2"/>
      <c r="J958" s="2"/>
      <c r="L958" s="2"/>
    </row>
    <row r="959" ht="15.75" customHeight="1">
      <c r="A959" s="2"/>
      <c r="B959" s="2"/>
      <c r="C959" s="2"/>
      <c r="D959" s="2"/>
      <c r="E959" s="2"/>
      <c r="F959" s="2"/>
      <c r="G959" s="2"/>
      <c r="H959" s="2"/>
      <c r="I959" s="2"/>
      <c r="J959" s="2"/>
      <c r="L959" s="2"/>
    </row>
    <row r="960" ht="15.75" customHeight="1">
      <c r="A960" s="2"/>
      <c r="B960" s="2"/>
      <c r="C960" s="2"/>
      <c r="D960" s="2"/>
      <c r="E960" s="2"/>
      <c r="F960" s="2"/>
      <c r="G960" s="2"/>
      <c r="H960" s="2"/>
      <c r="I960" s="2"/>
      <c r="J960" s="2"/>
      <c r="L960" s="2"/>
    </row>
    <row r="961" ht="15.75" customHeight="1">
      <c r="A961" s="2"/>
      <c r="B961" s="2"/>
      <c r="C961" s="2"/>
      <c r="D961" s="2"/>
      <c r="E961" s="2"/>
      <c r="F961" s="2"/>
      <c r="G961" s="2"/>
      <c r="H961" s="2"/>
      <c r="I961" s="2"/>
      <c r="J961" s="2"/>
      <c r="L961" s="2"/>
    </row>
    <row r="962" ht="15.75" customHeight="1">
      <c r="A962" s="2"/>
      <c r="B962" s="2"/>
      <c r="C962" s="2"/>
      <c r="D962" s="2"/>
      <c r="E962" s="2"/>
      <c r="F962" s="2"/>
      <c r="G962" s="2"/>
      <c r="H962" s="2"/>
      <c r="I962" s="2"/>
      <c r="J962" s="2"/>
      <c r="L962" s="2"/>
    </row>
    <row r="963" ht="15.75" customHeight="1">
      <c r="A963" s="2"/>
      <c r="B963" s="2"/>
      <c r="C963" s="2"/>
      <c r="D963" s="2"/>
      <c r="E963" s="2"/>
      <c r="F963" s="2"/>
      <c r="G963" s="2"/>
      <c r="H963" s="2"/>
      <c r="I963" s="2"/>
      <c r="J963" s="2"/>
      <c r="L963" s="2"/>
    </row>
    <row r="964" ht="15.75" customHeight="1">
      <c r="A964" s="2"/>
      <c r="B964" s="2"/>
      <c r="C964" s="2"/>
      <c r="D964" s="2"/>
      <c r="E964" s="2"/>
      <c r="F964" s="2"/>
      <c r="G964" s="2"/>
      <c r="H964" s="2"/>
      <c r="I964" s="2"/>
      <c r="J964" s="2"/>
      <c r="L964" s="2"/>
    </row>
    <row r="965" ht="15.75" customHeight="1">
      <c r="A965" s="2"/>
      <c r="B965" s="2"/>
      <c r="C965" s="2"/>
      <c r="D965" s="2"/>
      <c r="E965" s="2"/>
      <c r="F965" s="2"/>
      <c r="G965" s="2"/>
      <c r="H965" s="2"/>
      <c r="I965" s="2"/>
      <c r="J965" s="2"/>
      <c r="L965" s="2"/>
    </row>
    <row r="966" ht="15.75" customHeight="1">
      <c r="A966" s="2"/>
      <c r="B966" s="2"/>
      <c r="C966" s="2"/>
      <c r="D966" s="2"/>
      <c r="E966" s="2"/>
      <c r="F966" s="2"/>
      <c r="G966" s="2"/>
      <c r="H966" s="2"/>
      <c r="I966" s="2"/>
      <c r="J966" s="2"/>
      <c r="L966" s="2"/>
    </row>
    <row r="967" ht="15.75" customHeight="1">
      <c r="A967" s="2"/>
      <c r="B967" s="2"/>
      <c r="C967" s="2"/>
      <c r="D967" s="2"/>
      <c r="E967" s="2"/>
      <c r="F967" s="2"/>
      <c r="G967" s="2"/>
      <c r="H967" s="2"/>
      <c r="I967" s="2"/>
      <c r="J967" s="2"/>
      <c r="L967" s="2"/>
    </row>
    <row r="968" ht="15.75" customHeight="1">
      <c r="A968" s="2"/>
      <c r="B968" s="2"/>
      <c r="C968" s="2"/>
      <c r="D968" s="2"/>
      <c r="E968" s="2"/>
      <c r="F968" s="2"/>
      <c r="G968" s="2"/>
      <c r="H968" s="2"/>
      <c r="I968" s="2"/>
      <c r="J968" s="2"/>
      <c r="L968" s="2"/>
    </row>
    <row r="969" ht="15.75" customHeight="1">
      <c r="A969" s="2"/>
      <c r="B969" s="2"/>
      <c r="C969" s="2"/>
      <c r="D969" s="2"/>
      <c r="E969" s="2"/>
      <c r="F969" s="2"/>
      <c r="G969" s="2"/>
      <c r="H969" s="2"/>
      <c r="I969" s="2"/>
      <c r="J969" s="2"/>
      <c r="L969" s="2"/>
    </row>
    <row r="970" ht="15.75" customHeight="1">
      <c r="A970" s="2"/>
      <c r="B970" s="2"/>
      <c r="C970" s="2"/>
      <c r="D970" s="2"/>
      <c r="E970" s="2"/>
      <c r="F970" s="2"/>
      <c r="G970" s="2"/>
      <c r="H970" s="2"/>
      <c r="I970" s="2"/>
      <c r="J970" s="2"/>
      <c r="L970" s="2"/>
    </row>
    <row r="971" ht="15.75" customHeight="1">
      <c r="A971" s="2"/>
      <c r="B971" s="2"/>
      <c r="C971" s="2"/>
      <c r="D971" s="2"/>
      <c r="E971" s="2"/>
      <c r="F971" s="2"/>
      <c r="G971" s="2"/>
      <c r="H971" s="2"/>
      <c r="I971" s="2"/>
      <c r="J971" s="2"/>
      <c r="L971" s="2"/>
    </row>
    <row r="972" ht="15.75" customHeight="1">
      <c r="A972" s="2"/>
      <c r="B972" s="2"/>
      <c r="C972" s="2"/>
      <c r="D972" s="2"/>
      <c r="E972" s="2"/>
      <c r="F972" s="2"/>
      <c r="G972" s="2"/>
      <c r="H972" s="2"/>
      <c r="I972" s="2"/>
      <c r="J972" s="2"/>
      <c r="L972" s="2"/>
    </row>
    <row r="973" ht="15.75" customHeight="1">
      <c r="A973" s="2"/>
      <c r="B973" s="2"/>
      <c r="C973" s="2"/>
      <c r="D973" s="2"/>
      <c r="E973" s="2"/>
      <c r="F973" s="2"/>
      <c r="G973" s="2"/>
      <c r="H973" s="2"/>
      <c r="I973" s="2"/>
      <c r="J973" s="2"/>
      <c r="L973" s="2"/>
    </row>
    <row r="974" ht="15.75" customHeight="1">
      <c r="A974" s="2"/>
      <c r="B974" s="2"/>
      <c r="C974" s="2"/>
      <c r="D974" s="2"/>
      <c r="E974" s="2"/>
      <c r="F974" s="2"/>
      <c r="G974" s="2"/>
      <c r="H974" s="2"/>
      <c r="I974" s="2"/>
      <c r="J974" s="2"/>
      <c r="L974" s="2"/>
    </row>
    <row r="975" ht="15.75" customHeight="1">
      <c r="A975" s="2"/>
      <c r="B975" s="2"/>
      <c r="C975" s="2"/>
      <c r="D975" s="2"/>
      <c r="E975" s="2"/>
      <c r="F975" s="2"/>
      <c r="G975" s="2"/>
      <c r="H975" s="2"/>
      <c r="I975" s="2"/>
      <c r="J975" s="2"/>
      <c r="L975" s="2"/>
    </row>
    <row r="976" ht="15.75" customHeight="1">
      <c r="A976" s="2"/>
      <c r="B976" s="2"/>
      <c r="C976" s="2"/>
      <c r="D976" s="2"/>
      <c r="E976" s="2"/>
      <c r="F976" s="2"/>
      <c r="G976" s="2"/>
      <c r="H976" s="2"/>
      <c r="I976" s="2"/>
      <c r="J976" s="2"/>
      <c r="L976" s="2"/>
    </row>
    <row r="977" ht="15.75" customHeight="1">
      <c r="A977" s="2"/>
      <c r="B977" s="2"/>
      <c r="C977" s="2"/>
      <c r="D977" s="2"/>
      <c r="E977" s="2"/>
      <c r="F977" s="2"/>
      <c r="G977" s="2"/>
      <c r="H977" s="2"/>
      <c r="I977" s="2"/>
      <c r="J977" s="2"/>
      <c r="L977" s="2"/>
    </row>
    <row r="978" ht="15.75" customHeight="1">
      <c r="A978" s="2"/>
      <c r="B978" s="2"/>
      <c r="C978" s="2"/>
      <c r="D978" s="2"/>
      <c r="E978" s="2"/>
      <c r="F978" s="2"/>
      <c r="G978" s="2"/>
      <c r="H978" s="2"/>
      <c r="I978" s="2"/>
      <c r="J978" s="2"/>
      <c r="L978" s="2"/>
    </row>
    <row r="979" ht="15.75" customHeight="1">
      <c r="A979" s="2"/>
      <c r="B979" s="2"/>
      <c r="C979" s="2"/>
      <c r="D979" s="2"/>
      <c r="E979" s="2"/>
      <c r="F979" s="2"/>
      <c r="G979" s="2"/>
      <c r="H979" s="2"/>
      <c r="I979" s="2"/>
      <c r="J979" s="2"/>
      <c r="L979" s="2"/>
    </row>
    <row r="980" ht="15.75" customHeight="1">
      <c r="A980" s="2"/>
      <c r="B980" s="2"/>
      <c r="C980" s="2"/>
      <c r="D980" s="2"/>
      <c r="E980" s="2"/>
      <c r="F980" s="2"/>
      <c r="G980" s="2"/>
      <c r="H980" s="2"/>
      <c r="I980" s="2"/>
      <c r="J980" s="2"/>
      <c r="L980" s="2"/>
    </row>
    <row r="981" ht="15.75" customHeight="1">
      <c r="A981" s="2"/>
      <c r="B981" s="2"/>
      <c r="C981" s="2"/>
      <c r="D981" s="2"/>
      <c r="E981" s="2"/>
      <c r="F981" s="2"/>
      <c r="G981" s="2"/>
      <c r="H981" s="2"/>
      <c r="I981" s="2"/>
      <c r="J981" s="2"/>
      <c r="L981" s="2"/>
    </row>
    <row r="982" ht="15.75" customHeight="1">
      <c r="A982" s="2"/>
      <c r="B982" s="2"/>
      <c r="C982" s="2"/>
      <c r="D982" s="2"/>
      <c r="E982" s="2"/>
      <c r="F982" s="2"/>
      <c r="G982" s="2"/>
      <c r="H982" s="2"/>
      <c r="I982" s="2"/>
      <c r="J982" s="2"/>
      <c r="L982" s="2"/>
    </row>
    <row r="983" ht="15.75" customHeight="1">
      <c r="A983" s="2"/>
      <c r="B983" s="2"/>
      <c r="C983" s="2"/>
      <c r="D983" s="2"/>
      <c r="E983" s="2"/>
      <c r="F983" s="2"/>
      <c r="G983" s="2"/>
      <c r="H983" s="2"/>
      <c r="I983" s="2"/>
      <c r="J983" s="2"/>
      <c r="L983" s="2"/>
    </row>
    <row r="984" ht="15.75" customHeight="1">
      <c r="A984" s="2"/>
      <c r="B984" s="2"/>
      <c r="C984" s="2"/>
      <c r="D984" s="2"/>
      <c r="E984" s="2"/>
      <c r="F984" s="2"/>
      <c r="G984" s="2"/>
      <c r="H984" s="2"/>
      <c r="I984" s="2"/>
      <c r="J984" s="2"/>
      <c r="L984" s="2"/>
    </row>
    <row r="985" ht="15.75" customHeight="1">
      <c r="A985" s="2"/>
      <c r="B985" s="2"/>
      <c r="C985" s="2"/>
      <c r="D985" s="2"/>
      <c r="E985" s="2"/>
      <c r="F985" s="2"/>
      <c r="G985" s="2"/>
      <c r="H985" s="2"/>
      <c r="I985" s="2"/>
      <c r="J985" s="2"/>
      <c r="L985" s="2"/>
    </row>
    <row r="986" ht="15.75" customHeight="1">
      <c r="A986" s="2"/>
      <c r="B986" s="2"/>
      <c r="C986" s="2"/>
      <c r="D986" s="2"/>
      <c r="E986" s="2"/>
      <c r="F986" s="2"/>
      <c r="G986" s="2"/>
      <c r="H986" s="2"/>
      <c r="I986" s="2"/>
      <c r="J986" s="2"/>
      <c r="L986" s="2"/>
    </row>
    <row r="987" ht="15.75" customHeight="1">
      <c r="A987" s="2"/>
      <c r="B987" s="2"/>
      <c r="C987" s="2"/>
      <c r="D987" s="2"/>
      <c r="E987" s="2"/>
      <c r="F987" s="2"/>
      <c r="G987" s="2"/>
      <c r="H987" s="2"/>
      <c r="I987" s="2"/>
      <c r="J987" s="2"/>
      <c r="L987" s="2"/>
    </row>
    <row r="988" ht="15.75" customHeight="1">
      <c r="A988" s="2"/>
      <c r="B988" s="2"/>
      <c r="C988" s="2"/>
      <c r="D988" s="2"/>
      <c r="E988" s="2"/>
      <c r="F988" s="2"/>
      <c r="G988" s="2"/>
      <c r="H988" s="2"/>
      <c r="I988" s="2"/>
      <c r="J988" s="2"/>
      <c r="L988" s="2"/>
    </row>
    <row r="989" ht="15.75" customHeight="1">
      <c r="A989" s="2"/>
      <c r="B989" s="2"/>
      <c r="C989" s="2"/>
      <c r="D989" s="2"/>
      <c r="E989" s="2"/>
      <c r="F989" s="2"/>
      <c r="G989" s="2"/>
      <c r="H989" s="2"/>
      <c r="I989" s="2"/>
      <c r="J989" s="2"/>
      <c r="L989" s="2"/>
    </row>
    <row r="990" ht="15.75" customHeight="1">
      <c r="A990" s="2"/>
      <c r="B990" s="2"/>
      <c r="C990" s="2"/>
      <c r="D990" s="2"/>
      <c r="E990" s="2"/>
      <c r="F990" s="2"/>
      <c r="G990" s="2"/>
      <c r="H990" s="2"/>
      <c r="I990" s="2"/>
      <c r="J990" s="2"/>
      <c r="L990" s="2"/>
    </row>
    <row r="991" ht="15.75" customHeight="1">
      <c r="A991" s="2"/>
      <c r="B991" s="2"/>
      <c r="C991" s="2"/>
      <c r="D991" s="2"/>
      <c r="E991" s="2"/>
      <c r="F991" s="2"/>
      <c r="G991" s="2"/>
      <c r="H991" s="2"/>
      <c r="I991" s="2"/>
      <c r="J991" s="2"/>
      <c r="L991" s="2"/>
    </row>
    <row r="992" ht="15.75" customHeight="1">
      <c r="A992" s="2"/>
      <c r="B992" s="2"/>
      <c r="C992" s="2"/>
      <c r="D992" s="2"/>
      <c r="E992" s="2"/>
      <c r="F992" s="2"/>
      <c r="G992" s="2"/>
      <c r="H992" s="2"/>
      <c r="I992" s="2"/>
      <c r="J992" s="2"/>
      <c r="L992" s="2"/>
    </row>
    <row r="993" ht="15.75" customHeight="1">
      <c r="A993" s="2"/>
      <c r="B993" s="2"/>
      <c r="C993" s="2"/>
      <c r="D993" s="2"/>
      <c r="E993" s="2"/>
      <c r="F993" s="2"/>
      <c r="G993" s="2"/>
      <c r="H993" s="2"/>
      <c r="I993" s="2"/>
      <c r="J993" s="2"/>
      <c r="L993" s="2"/>
    </row>
    <row r="994" ht="15.75" customHeight="1">
      <c r="A994" s="2"/>
      <c r="B994" s="2"/>
      <c r="C994" s="2"/>
      <c r="D994" s="2"/>
      <c r="E994" s="2"/>
      <c r="F994" s="2"/>
      <c r="G994" s="2"/>
      <c r="H994" s="2"/>
      <c r="I994" s="2"/>
      <c r="J994" s="2"/>
      <c r="L994" s="2"/>
    </row>
    <row r="995" ht="15.75" customHeight="1">
      <c r="A995" s="2"/>
      <c r="B995" s="2"/>
      <c r="C995" s="2"/>
      <c r="D995" s="2"/>
      <c r="E995" s="2"/>
      <c r="F995" s="2"/>
      <c r="G995" s="2"/>
      <c r="H995" s="2"/>
      <c r="I995" s="2"/>
      <c r="J995" s="2"/>
      <c r="L995" s="2"/>
    </row>
    <row r="996" ht="15.75" customHeight="1">
      <c r="A996" s="2"/>
      <c r="B996" s="2"/>
      <c r="C996" s="2"/>
      <c r="D996" s="2"/>
      <c r="E996" s="2"/>
      <c r="F996" s="2"/>
      <c r="G996" s="2"/>
      <c r="H996" s="2"/>
      <c r="I996" s="2"/>
      <c r="J996" s="2"/>
      <c r="L996" s="2"/>
    </row>
    <row r="997" ht="15.75" customHeight="1">
      <c r="A997" s="2"/>
      <c r="B997" s="2"/>
      <c r="C997" s="2"/>
      <c r="D997" s="2"/>
      <c r="E997" s="2"/>
      <c r="F997" s="2"/>
      <c r="G997" s="2"/>
      <c r="H997" s="2"/>
      <c r="I997" s="2"/>
      <c r="J997" s="2"/>
      <c r="L997" s="2"/>
    </row>
    <row r="998" ht="15.75" customHeight="1">
      <c r="A998" s="2"/>
      <c r="B998" s="2"/>
      <c r="C998" s="2"/>
      <c r="D998" s="2"/>
      <c r="E998" s="2"/>
      <c r="F998" s="2"/>
      <c r="G998" s="2"/>
      <c r="H998" s="2"/>
      <c r="I998" s="2"/>
      <c r="J998" s="2"/>
      <c r="L998" s="2"/>
    </row>
    <row r="999" ht="15.75" customHeight="1">
      <c r="A999" s="2"/>
      <c r="B999" s="2"/>
      <c r="C999" s="2"/>
      <c r="D999" s="2"/>
      <c r="E999" s="2"/>
      <c r="F999" s="2"/>
      <c r="G999" s="2"/>
      <c r="H999" s="2"/>
      <c r="I999" s="2"/>
      <c r="J999" s="2"/>
      <c r="L999" s="2"/>
    </row>
    <row r="1000" ht="15.75" customHeight="1">
      <c r="A1000" s="2"/>
      <c r="B1000" s="2"/>
      <c r="C1000" s="2"/>
      <c r="D1000" s="2"/>
      <c r="E1000" s="2"/>
      <c r="F1000" s="2"/>
      <c r="G1000" s="2"/>
      <c r="H1000" s="2"/>
      <c r="I1000" s="2"/>
      <c r="J1000" s="2"/>
      <c r="L1000" s="2"/>
    </row>
  </sheetData>
  <mergeCells count="1">
    <mergeCell ref="L2:L12"/>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A6A6"/>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30.0"/>
    <col customWidth="1" min="2" max="2" width="26.0"/>
    <col customWidth="1" min="3" max="3" width="40.0"/>
    <col customWidth="1" min="4" max="4" width="14.0"/>
    <col customWidth="1" min="5" max="5" width="9.0"/>
    <col customWidth="1" min="6" max="6" width="10.0"/>
    <col customWidth="1" min="7" max="7" width="36.0"/>
    <col customWidth="1" min="8" max="8" width="20.0"/>
    <col customWidth="1" min="9" max="9" width="24.0"/>
    <col customWidth="1" min="10" max="10" width="10.0"/>
    <col customWidth="1" min="11" max="11" width="7.0"/>
    <col customWidth="1" min="12" max="12" width="10.0"/>
    <col customWidth="1" min="13" max="13" width="16.0"/>
    <col customWidth="1" min="14" max="14" width="8.0"/>
    <col customWidth="1" min="15" max="15" width="20.0"/>
    <col customWidth="1" min="16" max="16" width="2.0"/>
    <col customWidth="1" min="17" max="17" width="16.0"/>
    <col customWidth="1" min="18" max="18" width="8.0"/>
  </cols>
  <sheetData>
    <row r="1">
      <c r="A1" s="15" t="s">
        <v>64</v>
      </c>
      <c r="B1" s="15" t="s">
        <v>732</v>
      </c>
      <c r="C1" s="15" t="s">
        <v>733</v>
      </c>
      <c r="D1" s="15" t="s">
        <v>734</v>
      </c>
      <c r="E1" s="15" t="s">
        <v>735</v>
      </c>
      <c r="F1" s="15" t="s">
        <v>736</v>
      </c>
      <c r="G1" s="15" t="s">
        <v>737</v>
      </c>
      <c r="H1" s="15" t="s">
        <v>738</v>
      </c>
      <c r="I1" s="15" t="s">
        <v>739</v>
      </c>
      <c r="J1" s="15" t="s">
        <v>740</v>
      </c>
      <c r="K1" s="15" t="s">
        <v>741</v>
      </c>
      <c r="L1" s="15" t="s">
        <v>65</v>
      </c>
      <c r="M1" s="15" t="s">
        <v>742</v>
      </c>
      <c r="N1" s="15" t="s">
        <v>743</v>
      </c>
      <c r="O1" s="15" t="s">
        <v>744</v>
      </c>
      <c r="P1" s="2"/>
      <c r="Q1" s="15" t="s">
        <v>68</v>
      </c>
      <c r="R1" s="15" t="s">
        <v>745</v>
      </c>
    </row>
    <row r="2">
      <c r="A2" s="80" t="str">
        <f t="array" ref="A2">IF(INDEX(Wishlist!$A:$Z,ROW()-0,'List Setup'!$D$2)="","",INDEX(Wishlist!$A:$Z,ROW()-0,'List Setup'!$D$2))</f>
        <v/>
      </c>
      <c r="B2" s="80" t="str">
        <f t="array" ref="B2">IF(A2="","",IFERROR(INDEX('Binder Setup'!$B$2:$B$401,MIN(IF(ISNUMBER(SEARCH(CHAR(10)&amp;'Binder Setup'!$B$2:$B$401&amp;CHAR(10),$H2)),'List Setup'!$Q$2:$Q$401,999),IF(ISNUMBER(SEARCH(CHAR(10)&amp;'Set Aliases'!$A$2:$A$501&amp;CHAR(10),$H2)),'Set Aliases'!$C$2:$C$501,999))),"(none)"))</f>
        <v/>
      </c>
      <c r="C2" s="80" t="str">
        <f t="shared" ref="C2:C1501" si="1">IF(A2="","",SUBSTITUTE(MID(H2,2,LEN(H2)-2),CHAR(10)," | "))</f>
        <v/>
      </c>
      <c r="D2" s="80" t="str">
        <f t="array" ref="D2">IF(A2="","",IF(ISLOGICAL(INDEX(Wishlist!$A:$Z,ROW()-0,'List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 s="80" t="str">
        <f t="shared" ref="E2:E1501" si="2">IF(A2="","",IF(AND(D2="Needed",R2=TRUE()),"Y","N"))</f>
        <v/>
      </c>
      <c r="F2" s="80" t="str">
        <f t="array" ref="F2">IF(A2="","",IF(ISNUMBER(J2),J2,IF(ISNUMBER(INDEX(Wishlist!$A:$Z,ROW()-0,'List Setup'!$F$2)),INDEX(Wishlist!$A:$Z,ROW()-0,'List Setup'!$F$2),0)))</f>
        <v/>
      </c>
      <c r="G2" s="80" t="str">
        <f t="array" ref="G2">IF(A2="","",A2&amp;IF(N(INDEX(Wishlist!$A:$Z,ROW()-0,'List Setup'!$C$2))&gt;1," (x"&amp;INDEX(Wishlist!$A:$Z,ROW()-0,'List Setup'!$C$2)&amp;")","")&amp;IF(COUNTIF(Binders!$J$6:$J$30,TRUE())&gt;1," ["&amp;Q2&amp;"]",""))</f>
        <v/>
      </c>
      <c r="H2" s="80" t="str">
        <f t="array" ref="H2">IF(A2="","",CHAR(10)&amp;INDEX(Wishlist!$A:$Z,ROW()-0,'List Setup'!$E$2)&amp;CHAR(10))</f>
        <v/>
      </c>
      <c r="I2" s="80" t="str">
        <f t="array" ref="I2">IF(OR(B2="",B2="(none)"),"",IF(ISNUMBER(SEARCH(CHAR(10)&amp;B2&amp;CHAR(10),H2)),B2,IFERROR(INDEX('Set Aliases'!$A$2:$A$501,MATCH(1,('Set Aliases'!$B$2:$B$501=B2)*ISNUMBER(SEARCH(CHAR(10)&amp;'Set Aliases'!$A$2:$A$501&amp;CHAR(10),H2)),0)),"")))</f>
        <v/>
      </c>
      <c r="J2" s="80" t="str">
        <f t="array" ref="J2">IF(I2="","",IFERROR(VALUE(TRIM(MID(SUBSTITUTE(INDEX(Wishlist!$A:$Z,ROW()-0,'List Setup'!$G$2),CHAR(10),REPT(" ",100)),((SEARCH(CHAR(10)&amp;I2&amp;CHAR(10),H2)-LEN(SUBSTITUTE(LEFT(H2,SEARCH(CHAR(10)&amp;I2&amp;CHAR(10),H2)),CHAR(10),"")))-1)*100+1,100))),""))</f>
        <v/>
      </c>
      <c r="K2" s="80" t="str">
        <f t="array" ref="K2">IF(A2="","",IF(ISNUMBER(SEARCH("Land",LEFT(IFERROR(INDEX(Wishlist!$A:$Z,ROW()-0,'List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 s="80" t="str">
        <f t="shared" ref="L2:L1501" si="3">IF(A2="","",CHOOSE(K2,"White","Blue","Black","Red","Green","Multicolor","Colorless","Land"))</f>
        <v/>
      </c>
      <c r="M2" s="80" t="str">
        <f>IF(A2="","",IF(AND(E2="Y",B2='Use at Shop'!$B$4),K2*10000000000+(MAX(0,MIN(26,CODE(MID(UPPER(A2)&amp;"    ",1,1))-64))*19683+MAX(0,MIN(26,CODE(MID(UPPER(A2)&amp;"    ",2,1))-64))*729+MAX(0,MIN(26,CODE(MID(UPPER(A2)&amp;"    ",3,1))-64))*27+MAX(0,MIN(26,CODE(MID(UPPER(A2)&amp;"    ",4,1))-64))*1)*10000+ROW(),""))</f>
        <v/>
      </c>
      <c r="N2" s="80" t="str">
        <f t="shared" ref="N2:N251" si="4">IF(A2="","",ROW()-0)</f>
        <v/>
      </c>
      <c r="O2" s="80" t="str">
        <f t="array" ref="O2">IF(A2="","",IFERROR(INDEX(Wishlist!$A:$Z,ROW()-0,'List Setup'!$J$2)&amp;"",""))</f>
        <v/>
      </c>
      <c r="P2" s="2"/>
      <c r="Q2" s="80" t="str">
        <f>IF(A2="","",'List Setup'!$A$2)</f>
        <v/>
      </c>
      <c r="R2" s="80" t="str">
        <f t="array" ref="R2">IF(A2="","",IFERROR(OR(INDEX(Binders!$J$6:$J$30,MATCH(Q2,Binders!$I$6:$I$30,0))=TRUE(),UPPER(INDEX(Binders!$J$6:$J$30,MATCH(Q2,Binders!$I$6:$I$30,0))&amp;"")="TRUE"),FALSE()))</f>
        <v/>
      </c>
    </row>
    <row r="3">
      <c r="A3" s="80" t="str">
        <f t="array" ref="A3">IF(INDEX(Wishlist!$A:$Z,ROW()-0,'List Setup'!$D$2)="","",INDEX(Wishlist!$A:$Z,ROW()-0,'List Setup'!$D$2))</f>
        <v/>
      </c>
      <c r="B3" s="80" t="str">
        <f t="array" ref="B3">IF(A3="","",IFERROR(INDEX('Binder Setup'!$B$2:$B$401,MIN(IF(ISNUMBER(SEARCH(CHAR(10)&amp;'Binder Setup'!$B$2:$B$401&amp;CHAR(10),$H3)),'List Setup'!$Q$2:$Q$401,999),IF(ISNUMBER(SEARCH(CHAR(10)&amp;'Set Aliases'!$A$2:$A$501&amp;CHAR(10),$H3)),'Set Aliases'!$C$2:$C$501,999))),"(none)"))</f>
        <v/>
      </c>
      <c r="C3" s="80" t="str">
        <f t="shared" si="1"/>
        <v/>
      </c>
      <c r="D3" s="80" t="str">
        <f t="array" ref="D3">IF(A3="","",IF(ISLOGICAL(INDEX(Wishlist!$A:$Z,ROW()-0,'List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3" s="80" t="str">
        <f t="shared" si="2"/>
        <v/>
      </c>
      <c r="F3" s="80" t="str">
        <f t="array" ref="F3">IF(A3="","",IF(ISNUMBER(J3),J3,IF(ISNUMBER(INDEX(Wishlist!$A:$Z,ROW()-0,'List Setup'!$F$2)),INDEX(Wishlist!$A:$Z,ROW()-0,'List Setup'!$F$2),0)))</f>
        <v/>
      </c>
      <c r="G3" s="80" t="str">
        <f t="array" ref="G3">IF(A3="","",A3&amp;IF(N(INDEX(Wishlist!$A:$Z,ROW()-0,'List Setup'!$C$2))&gt;1," (x"&amp;INDEX(Wishlist!$A:$Z,ROW()-0,'List Setup'!$C$2)&amp;")","")&amp;IF(COUNTIF(Binders!$J$6:$J$30,TRUE())&gt;1," ["&amp;Q3&amp;"]",""))</f>
        <v/>
      </c>
      <c r="H3" s="80" t="str">
        <f t="array" ref="H3">IF(A3="","",CHAR(10)&amp;INDEX(Wishlist!$A:$Z,ROW()-0,'List Setup'!$E$2)&amp;CHAR(10))</f>
        <v/>
      </c>
      <c r="I3" s="80" t="str">
        <f t="array" ref="I3">IF(OR(B3="",B3="(none)"),"",IF(ISNUMBER(SEARCH(CHAR(10)&amp;B3&amp;CHAR(10),H3)),B3,IFERROR(INDEX('Set Aliases'!$A$2:$A$501,MATCH(1,('Set Aliases'!$B$2:$B$501=B3)*ISNUMBER(SEARCH(CHAR(10)&amp;'Set Aliases'!$A$2:$A$501&amp;CHAR(10),H3)),0)),"")))</f>
        <v/>
      </c>
      <c r="J3" s="80" t="str">
        <f t="array" ref="J3">IF(I3="","",IFERROR(VALUE(TRIM(MID(SUBSTITUTE(INDEX(Wishlist!$A:$Z,ROW()-0,'List Setup'!$G$2),CHAR(10),REPT(" ",100)),((SEARCH(CHAR(10)&amp;I3&amp;CHAR(10),H3)-LEN(SUBSTITUTE(LEFT(H3,SEARCH(CHAR(10)&amp;I3&amp;CHAR(10),H3)),CHAR(10),"")))-1)*100+1,100))),""))</f>
        <v/>
      </c>
      <c r="K3" s="80" t="str">
        <f t="array" ref="K3">IF(A3="","",IF(ISNUMBER(SEARCH("Land",LEFT(IFERROR(INDEX(Wishlist!$A:$Z,ROW()-0,'List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3" s="80" t="str">
        <f t="shared" si="3"/>
        <v/>
      </c>
      <c r="M3" s="80" t="str">
        <f>IF(A3="","",IF(AND(E3="Y",B3='Use at Shop'!$B$4),K3*10000000000+(MAX(0,MIN(26,CODE(MID(UPPER(A3)&amp;"    ",1,1))-64))*19683+MAX(0,MIN(26,CODE(MID(UPPER(A3)&amp;"    ",2,1))-64))*729+MAX(0,MIN(26,CODE(MID(UPPER(A3)&amp;"    ",3,1))-64))*27+MAX(0,MIN(26,CODE(MID(UPPER(A3)&amp;"    ",4,1))-64))*1)*10000+ROW(),""))</f>
        <v/>
      </c>
      <c r="N3" s="80" t="str">
        <f t="shared" si="4"/>
        <v/>
      </c>
      <c r="O3" s="80" t="str">
        <f t="array" ref="O3">IF(A3="","",IFERROR(INDEX(Wishlist!$A:$Z,ROW()-0,'List Setup'!$J$2)&amp;"",""))</f>
        <v/>
      </c>
      <c r="P3" s="2"/>
      <c r="Q3" s="80" t="str">
        <f>IF(A3="","",'List Setup'!$A$2)</f>
        <v/>
      </c>
      <c r="R3" s="80" t="str">
        <f t="array" ref="R3">IF(A3="","",IFERROR(OR(INDEX(Binders!$J$6:$J$30,MATCH(Q3,Binders!$I$6:$I$30,0))=TRUE(),UPPER(INDEX(Binders!$J$6:$J$30,MATCH(Q3,Binders!$I$6:$I$30,0))&amp;"")="TRUE"),FALSE()))</f>
        <v/>
      </c>
    </row>
    <row r="4">
      <c r="A4" s="80" t="str">
        <f t="array" ref="A4">IF(INDEX(Wishlist!$A:$Z,ROW()-0,'List Setup'!$D$2)="","",INDEX(Wishlist!$A:$Z,ROW()-0,'List Setup'!$D$2))</f>
        <v/>
      </c>
      <c r="B4" s="80" t="str">
        <f t="array" ref="B4">IF(A4="","",IFERROR(INDEX('Binder Setup'!$B$2:$B$401,MIN(IF(ISNUMBER(SEARCH(CHAR(10)&amp;'Binder Setup'!$B$2:$B$401&amp;CHAR(10),$H4)),'List Setup'!$Q$2:$Q$401,999),IF(ISNUMBER(SEARCH(CHAR(10)&amp;'Set Aliases'!$A$2:$A$501&amp;CHAR(10),$H4)),'Set Aliases'!$C$2:$C$501,999))),"(none)"))</f>
        <v/>
      </c>
      <c r="C4" s="80" t="str">
        <f t="shared" si="1"/>
        <v/>
      </c>
      <c r="D4" s="80" t="str">
        <f t="array" ref="D4">IF(A4="","",IF(ISLOGICAL(INDEX(Wishlist!$A:$Z,ROW()-0,'List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4" s="80" t="str">
        <f t="shared" si="2"/>
        <v/>
      </c>
      <c r="F4" s="80" t="str">
        <f t="array" ref="F4">IF(A4="","",IF(ISNUMBER(J4),J4,IF(ISNUMBER(INDEX(Wishlist!$A:$Z,ROW()-0,'List Setup'!$F$2)),INDEX(Wishlist!$A:$Z,ROW()-0,'List Setup'!$F$2),0)))</f>
        <v/>
      </c>
      <c r="G4" s="80" t="str">
        <f t="array" ref="G4">IF(A4="","",A4&amp;IF(N(INDEX(Wishlist!$A:$Z,ROW()-0,'List Setup'!$C$2))&gt;1," (x"&amp;INDEX(Wishlist!$A:$Z,ROW()-0,'List Setup'!$C$2)&amp;")","")&amp;IF(COUNTIF(Binders!$J$6:$J$30,TRUE())&gt;1," ["&amp;Q4&amp;"]",""))</f>
        <v/>
      </c>
      <c r="H4" s="80" t="str">
        <f t="array" ref="H4">IF(A4="","",CHAR(10)&amp;INDEX(Wishlist!$A:$Z,ROW()-0,'List Setup'!$E$2)&amp;CHAR(10))</f>
        <v/>
      </c>
      <c r="I4" s="80" t="str">
        <f t="array" ref="I4">IF(OR(B4="",B4="(none)"),"",IF(ISNUMBER(SEARCH(CHAR(10)&amp;B4&amp;CHAR(10),H4)),B4,IFERROR(INDEX('Set Aliases'!$A$2:$A$501,MATCH(1,('Set Aliases'!$B$2:$B$501=B4)*ISNUMBER(SEARCH(CHAR(10)&amp;'Set Aliases'!$A$2:$A$501&amp;CHAR(10),H4)),0)),"")))</f>
        <v/>
      </c>
      <c r="J4" s="80" t="str">
        <f t="array" ref="J4">IF(I4="","",IFERROR(VALUE(TRIM(MID(SUBSTITUTE(INDEX(Wishlist!$A:$Z,ROW()-0,'List Setup'!$G$2),CHAR(10),REPT(" ",100)),((SEARCH(CHAR(10)&amp;I4&amp;CHAR(10),H4)-LEN(SUBSTITUTE(LEFT(H4,SEARCH(CHAR(10)&amp;I4&amp;CHAR(10),H4)),CHAR(10),"")))-1)*100+1,100))),""))</f>
        <v/>
      </c>
      <c r="K4" s="80" t="str">
        <f t="array" ref="K4">IF(A4="","",IF(ISNUMBER(SEARCH("Land",LEFT(IFERROR(INDEX(Wishlist!$A:$Z,ROW()-0,'List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4" s="80" t="str">
        <f t="shared" si="3"/>
        <v/>
      </c>
      <c r="M4" s="80" t="str">
        <f>IF(A4="","",IF(AND(E4="Y",B4='Use at Shop'!$B$4),K4*10000000000+(MAX(0,MIN(26,CODE(MID(UPPER(A4)&amp;"    ",1,1))-64))*19683+MAX(0,MIN(26,CODE(MID(UPPER(A4)&amp;"    ",2,1))-64))*729+MAX(0,MIN(26,CODE(MID(UPPER(A4)&amp;"    ",3,1))-64))*27+MAX(0,MIN(26,CODE(MID(UPPER(A4)&amp;"    ",4,1))-64))*1)*10000+ROW(),""))</f>
        <v/>
      </c>
      <c r="N4" s="80" t="str">
        <f t="shared" si="4"/>
        <v/>
      </c>
      <c r="O4" s="80" t="str">
        <f t="array" ref="O4">IF(A4="","",IFERROR(INDEX(Wishlist!$A:$Z,ROW()-0,'List Setup'!$J$2)&amp;"",""))</f>
        <v/>
      </c>
      <c r="P4" s="2"/>
      <c r="Q4" s="80" t="str">
        <f>IF(A4="","",'List Setup'!$A$2)</f>
        <v/>
      </c>
      <c r="R4" s="80" t="str">
        <f t="array" ref="R4">IF(A4="","",IFERROR(OR(INDEX(Binders!$J$6:$J$30,MATCH(Q4,Binders!$I$6:$I$30,0))=TRUE(),UPPER(INDEX(Binders!$J$6:$J$30,MATCH(Q4,Binders!$I$6:$I$30,0))&amp;"")="TRUE"),FALSE()))</f>
        <v/>
      </c>
    </row>
    <row r="5">
      <c r="A5" s="80" t="str">
        <f t="array" ref="A5">IF(INDEX(Wishlist!$A:$Z,ROW()-0,'List Setup'!$D$2)="","",INDEX(Wishlist!$A:$Z,ROW()-0,'List Setup'!$D$2))</f>
        <v/>
      </c>
      <c r="B5" s="80" t="str">
        <f t="array" ref="B5">IF(A5="","",IFERROR(INDEX('Binder Setup'!$B$2:$B$401,MIN(IF(ISNUMBER(SEARCH(CHAR(10)&amp;'Binder Setup'!$B$2:$B$401&amp;CHAR(10),$H5)),'List Setup'!$Q$2:$Q$401,999),IF(ISNUMBER(SEARCH(CHAR(10)&amp;'Set Aliases'!$A$2:$A$501&amp;CHAR(10),$H5)),'Set Aliases'!$C$2:$C$501,999))),"(none)"))</f>
        <v/>
      </c>
      <c r="C5" s="80" t="str">
        <f t="shared" si="1"/>
        <v/>
      </c>
      <c r="D5" s="80" t="str">
        <f t="array" ref="D5">IF(A5="","",IF(ISLOGICAL(INDEX(Wishlist!$A:$Z,ROW()-0,'List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5" s="80" t="str">
        <f t="shared" si="2"/>
        <v/>
      </c>
      <c r="F5" s="80" t="str">
        <f t="array" ref="F5">IF(A5="","",IF(ISNUMBER(J5),J5,IF(ISNUMBER(INDEX(Wishlist!$A:$Z,ROW()-0,'List Setup'!$F$2)),INDEX(Wishlist!$A:$Z,ROW()-0,'List Setup'!$F$2),0)))</f>
        <v/>
      </c>
      <c r="G5" s="80" t="str">
        <f t="array" ref="G5">IF(A5="","",A5&amp;IF(N(INDEX(Wishlist!$A:$Z,ROW()-0,'List Setup'!$C$2))&gt;1," (x"&amp;INDEX(Wishlist!$A:$Z,ROW()-0,'List Setup'!$C$2)&amp;")","")&amp;IF(COUNTIF(Binders!$J$6:$J$30,TRUE())&gt;1," ["&amp;Q5&amp;"]",""))</f>
        <v/>
      </c>
      <c r="H5" s="80" t="str">
        <f t="array" ref="H5">IF(A5="","",CHAR(10)&amp;INDEX(Wishlist!$A:$Z,ROW()-0,'List Setup'!$E$2)&amp;CHAR(10))</f>
        <v/>
      </c>
      <c r="I5" s="80" t="str">
        <f t="array" ref="I5">IF(OR(B5="",B5="(none)"),"",IF(ISNUMBER(SEARCH(CHAR(10)&amp;B5&amp;CHAR(10),H5)),B5,IFERROR(INDEX('Set Aliases'!$A$2:$A$501,MATCH(1,('Set Aliases'!$B$2:$B$501=B5)*ISNUMBER(SEARCH(CHAR(10)&amp;'Set Aliases'!$A$2:$A$501&amp;CHAR(10),H5)),0)),"")))</f>
        <v/>
      </c>
      <c r="J5" s="80" t="str">
        <f t="array" ref="J5">IF(I5="","",IFERROR(VALUE(TRIM(MID(SUBSTITUTE(INDEX(Wishlist!$A:$Z,ROW()-0,'List Setup'!$G$2),CHAR(10),REPT(" ",100)),((SEARCH(CHAR(10)&amp;I5&amp;CHAR(10),H5)-LEN(SUBSTITUTE(LEFT(H5,SEARCH(CHAR(10)&amp;I5&amp;CHAR(10),H5)),CHAR(10),"")))-1)*100+1,100))),""))</f>
        <v/>
      </c>
      <c r="K5" s="80" t="str">
        <f t="array" ref="K5">IF(A5="","",IF(ISNUMBER(SEARCH("Land",LEFT(IFERROR(INDEX(Wishlist!$A:$Z,ROW()-0,'List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5" s="80" t="str">
        <f t="shared" si="3"/>
        <v/>
      </c>
      <c r="M5" s="80" t="str">
        <f>IF(A5="","",IF(AND(E5="Y",B5='Use at Shop'!$B$4),K5*10000000000+(MAX(0,MIN(26,CODE(MID(UPPER(A5)&amp;"    ",1,1))-64))*19683+MAX(0,MIN(26,CODE(MID(UPPER(A5)&amp;"    ",2,1))-64))*729+MAX(0,MIN(26,CODE(MID(UPPER(A5)&amp;"    ",3,1))-64))*27+MAX(0,MIN(26,CODE(MID(UPPER(A5)&amp;"    ",4,1))-64))*1)*10000+ROW(),""))</f>
        <v/>
      </c>
      <c r="N5" s="80" t="str">
        <f t="shared" si="4"/>
        <v/>
      </c>
      <c r="O5" s="80" t="str">
        <f t="array" ref="O5">IF(A5="","",IFERROR(INDEX(Wishlist!$A:$Z,ROW()-0,'List Setup'!$J$2)&amp;"",""))</f>
        <v/>
      </c>
      <c r="P5" s="2"/>
      <c r="Q5" s="80" t="str">
        <f>IF(A5="","",'List Setup'!$A$2)</f>
        <v/>
      </c>
      <c r="R5" s="80" t="str">
        <f t="array" ref="R5">IF(A5="","",IFERROR(OR(INDEX(Binders!$J$6:$J$30,MATCH(Q5,Binders!$I$6:$I$30,0))=TRUE(),UPPER(INDEX(Binders!$J$6:$J$30,MATCH(Q5,Binders!$I$6:$I$30,0))&amp;"")="TRUE"),FALSE()))</f>
        <v/>
      </c>
    </row>
    <row r="6">
      <c r="A6" s="80" t="str">
        <f t="array" ref="A6">IF(INDEX(Wishlist!$A:$Z,ROW()-0,'List Setup'!$D$2)="","",INDEX(Wishlist!$A:$Z,ROW()-0,'List Setup'!$D$2))</f>
        <v/>
      </c>
      <c r="B6" s="80" t="str">
        <f t="array" ref="B6">IF(A6="","",IFERROR(INDEX('Binder Setup'!$B$2:$B$401,MIN(IF(ISNUMBER(SEARCH(CHAR(10)&amp;'Binder Setup'!$B$2:$B$401&amp;CHAR(10),$H6)),'List Setup'!$Q$2:$Q$401,999),IF(ISNUMBER(SEARCH(CHAR(10)&amp;'Set Aliases'!$A$2:$A$501&amp;CHAR(10),$H6)),'Set Aliases'!$C$2:$C$501,999))),"(none)"))</f>
        <v/>
      </c>
      <c r="C6" s="80" t="str">
        <f t="shared" si="1"/>
        <v/>
      </c>
      <c r="D6" s="80" t="str">
        <f t="array" ref="D6">IF(A6="","",IF(ISLOGICAL(INDEX(Wishlist!$A:$Z,ROW()-0,'List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6" s="80" t="str">
        <f t="shared" si="2"/>
        <v/>
      </c>
      <c r="F6" s="80" t="str">
        <f t="array" ref="F6">IF(A6="","",IF(ISNUMBER(J6),J6,IF(ISNUMBER(INDEX(Wishlist!$A:$Z,ROW()-0,'List Setup'!$F$2)),INDEX(Wishlist!$A:$Z,ROW()-0,'List Setup'!$F$2),0)))</f>
        <v/>
      </c>
      <c r="G6" s="80" t="str">
        <f t="array" ref="G6">IF(A6="","",A6&amp;IF(N(INDEX(Wishlist!$A:$Z,ROW()-0,'List Setup'!$C$2))&gt;1," (x"&amp;INDEX(Wishlist!$A:$Z,ROW()-0,'List Setup'!$C$2)&amp;")","")&amp;IF(COUNTIF(Binders!$J$6:$J$30,TRUE())&gt;1," ["&amp;Q6&amp;"]",""))</f>
        <v/>
      </c>
      <c r="H6" s="80" t="str">
        <f t="array" ref="H6">IF(A6="","",CHAR(10)&amp;INDEX(Wishlist!$A:$Z,ROW()-0,'List Setup'!$E$2)&amp;CHAR(10))</f>
        <v/>
      </c>
      <c r="I6" s="80" t="str">
        <f t="array" ref="I6">IF(OR(B6="",B6="(none)"),"",IF(ISNUMBER(SEARCH(CHAR(10)&amp;B6&amp;CHAR(10),H6)),B6,IFERROR(INDEX('Set Aliases'!$A$2:$A$501,MATCH(1,('Set Aliases'!$B$2:$B$501=B6)*ISNUMBER(SEARCH(CHAR(10)&amp;'Set Aliases'!$A$2:$A$501&amp;CHAR(10),H6)),0)),"")))</f>
        <v/>
      </c>
      <c r="J6" s="80" t="str">
        <f t="array" ref="J6">IF(I6="","",IFERROR(VALUE(TRIM(MID(SUBSTITUTE(INDEX(Wishlist!$A:$Z,ROW()-0,'List Setup'!$G$2),CHAR(10),REPT(" ",100)),((SEARCH(CHAR(10)&amp;I6&amp;CHAR(10),H6)-LEN(SUBSTITUTE(LEFT(H6,SEARCH(CHAR(10)&amp;I6&amp;CHAR(10),H6)),CHAR(10),"")))-1)*100+1,100))),""))</f>
        <v/>
      </c>
      <c r="K6" s="80" t="str">
        <f t="array" ref="K6">IF(A6="","",IF(ISNUMBER(SEARCH("Land",LEFT(IFERROR(INDEX(Wishlist!$A:$Z,ROW()-0,'List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6" s="80" t="str">
        <f t="shared" si="3"/>
        <v/>
      </c>
      <c r="M6" s="80" t="str">
        <f>IF(A6="","",IF(AND(E6="Y",B6='Use at Shop'!$B$4),K6*10000000000+(MAX(0,MIN(26,CODE(MID(UPPER(A6)&amp;"    ",1,1))-64))*19683+MAX(0,MIN(26,CODE(MID(UPPER(A6)&amp;"    ",2,1))-64))*729+MAX(0,MIN(26,CODE(MID(UPPER(A6)&amp;"    ",3,1))-64))*27+MAX(0,MIN(26,CODE(MID(UPPER(A6)&amp;"    ",4,1))-64))*1)*10000+ROW(),""))</f>
        <v/>
      </c>
      <c r="N6" s="80" t="str">
        <f t="shared" si="4"/>
        <v/>
      </c>
      <c r="O6" s="80" t="str">
        <f t="array" ref="O6">IF(A6="","",IFERROR(INDEX(Wishlist!$A:$Z,ROW()-0,'List Setup'!$J$2)&amp;"",""))</f>
        <v/>
      </c>
      <c r="P6" s="2"/>
      <c r="Q6" s="80" t="str">
        <f>IF(A6="","",'List Setup'!$A$2)</f>
        <v/>
      </c>
      <c r="R6" s="80" t="str">
        <f t="array" ref="R6">IF(A6="","",IFERROR(OR(INDEX(Binders!$J$6:$J$30,MATCH(Q6,Binders!$I$6:$I$30,0))=TRUE(),UPPER(INDEX(Binders!$J$6:$J$30,MATCH(Q6,Binders!$I$6:$I$30,0))&amp;"")="TRUE"),FALSE()))</f>
        <v/>
      </c>
    </row>
    <row r="7">
      <c r="A7" s="80" t="str">
        <f t="array" ref="A7">IF(INDEX(Wishlist!$A:$Z,ROW()-0,'List Setup'!$D$2)="","",INDEX(Wishlist!$A:$Z,ROW()-0,'List Setup'!$D$2))</f>
        <v/>
      </c>
      <c r="B7" s="80" t="str">
        <f t="array" ref="B7">IF(A7="","",IFERROR(INDEX('Binder Setup'!$B$2:$B$401,MIN(IF(ISNUMBER(SEARCH(CHAR(10)&amp;'Binder Setup'!$B$2:$B$401&amp;CHAR(10),$H7)),'List Setup'!$Q$2:$Q$401,999),IF(ISNUMBER(SEARCH(CHAR(10)&amp;'Set Aliases'!$A$2:$A$501&amp;CHAR(10),$H7)),'Set Aliases'!$C$2:$C$501,999))),"(none)"))</f>
        <v/>
      </c>
      <c r="C7" s="80" t="str">
        <f t="shared" si="1"/>
        <v/>
      </c>
      <c r="D7" s="80" t="str">
        <f t="array" ref="D7">IF(A7="","",IF(ISLOGICAL(INDEX(Wishlist!$A:$Z,ROW()-0,'List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7" s="80" t="str">
        <f t="shared" si="2"/>
        <v/>
      </c>
      <c r="F7" s="80" t="str">
        <f t="array" ref="F7">IF(A7="","",IF(ISNUMBER(J7),J7,IF(ISNUMBER(INDEX(Wishlist!$A:$Z,ROW()-0,'List Setup'!$F$2)),INDEX(Wishlist!$A:$Z,ROW()-0,'List Setup'!$F$2),0)))</f>
        <v/>
      </c>
      <c r="G7" s="80" t="str">
        <f t="array" ref="G7">IF(A7="","",A7&amp;IF(N(INDEX(Wishlist!$A:$Z,ROW()-0,'List Setup'!$C$2))&gt;1," (x"&amp;INDEX(Wishlist!$A:$Z,ROW()-0,'List Setup'!$C$2)&amp;")","")&amp;IF(COUNTIF(Binders!$J$6:$J$30,TRUE())&gt;1," ["&amp;Q7&amp;"]",""))</f>
        <v/>
      </c>
      <c r="H7" s="80" t="str">
        <f t="array" ref="H7">IF(A7="","",CHAR(10)&amp;INDEX(Wishlist!$A:$Z,ROW()-0,'List Setup'!$E$2)&amp;CHAR(10))</f>
        <v/>
      </c>
      <c r="I7" s="80" t="str">
        <f t="array" ref="I7">IF(OR(B7="",B7="(none)"),"",IF(ISNUMBER(SEARCH(CHAR(10)&amp;B7&amp;CHAR(10),H7)),B7,IFERROR(INDEX('Set Aliases'!$A$2:$A$501,MATCH(1,('Set Aliases'!$B$2:$B$501=B7)*ISNUMBER(SEARCH(CHAR(10)&amp;'Set Aliases'!$A$2:$A$501&amp;CHAR(10),H7)),0)),"")))</f>
        <v/>
      </c>
      <c r="J7" s="80" t="str">
        <f t="array" ref="J7">IF(I7="","",IFERROR(VALUE(TRIM(MID(SUBSTITUTE(INDEX(Wishlist!$A:$Z,ROW()-0,'List Setup'!$G$2),CHAR(10),REPT(" ",100)),((SEARCH(CHAR(10)&amp;I7&amp;CHAR(10),H7)-LEN(SUBSTITUTE(LEFT(H7,SEARCH(CHAR(10)&amp;I7&amp;CHAR(10),H7)),CHAR(10),"")))-1)*100+1,100))),""))</f>
        <v/>
      </c>
      <c r="K7" s="80" t="str">
        <f t="array" ref="K7">IF(A7="","",IF(ISNUMBER(SEARCH("Land",LEFT(IFERROR(INDEX(Wishlist!$A:$Z,ROW()-0,'List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7" s="80" t="str">
        <f t="shared" si="3"/>
        <v/>
      </c>
      <c r="M7" s="80" t="str">
        <f>IF(A7="","",IF(AND(E7="Y",B7='Use at Shop'!$B$4),K7*10000000000+(MAX(0,MIN(26,CODE(MID(UPPER(A7)&amp;"    ",1,1))-64))*19683+MAX(0,MIN(26,CODE(MID(UPPER(A7)&amp;"    ",2,1))-64))*729+MAX(0,MIN(26,CODE(MID(UPPER(A7)&amp;"    ",3,1))-64))*27+MAX(0,MIN(26,CODE(MID(UPPER(A7)&amp;"    ",4,1))-64))*1)*10000+ROW(),""))</f>
        <v/>
      </c>
      <c r="N7" s="80" t="str">
        <f t="shared" si="4"/>
        <v/>
      </c>
      <c r="O7" s="80" t="str">
        <f t="array" ref="O7">IF(A7="","",IFERROR(INDEX(Wishlist!$A:$Z,ROW()-0,'List Setup'!$J$2)&amp;"",""))</f>
        <v/>
      </c>
      <c r="P7" s="2"/>
      <c r="Q7" s="80" t="str">
        <f>IF(A7="","",'List Setup'!$A$2)</f>
        <v/>
      </c>
      <c r="R7" s="80" t="str">
        <f t="array" ref="R7">IF(A7="","",IFERROR(OR(INDEX(Binders!$J$6:$J$30,MATCH(Q7,Binders!$I$6:$I$30,0))=TRUE(),UPPER(INDEX(Binders!$J$6:$J$30,MATCH(Q7,Binders!$I$6:$I$30,0))&amp;"")="TRUE"),FALSE()))</f>
        <v/>
      </c>
    </row>
    <row r="8">
      <c r="A8" s="80" t="str">
        <f t="array" ref="A8">IF(INDEX(Wishlist!$A:$Z,ROW()-0,'List Setup'!$D$2)="","",INDEX(Wishlist!$A:$Z,ROW()-0,'List Setup'!$D$2))</f>
        <v/>
      </c>
      <c r="B8" s="80" t="str">
        <f t="array" ref="B8">IF(A8="","",IFERROR(INDEX('Binder Setup'!$B$2:$B$401,MIN(IF(ISNUMBER(SEARCH(CHAR(10)&amp;'Binder Setup'!$B$2:$B$401&amp;CHAR(10),$H8)),'List Setup'!$Q$2:$Q$401,999),IF(ISNUMBER(SEARCH(CHAR(10)&amp;'Set Aliases'!$A$2:$A$501&amp;CHAR(10),$H8)),'Set Aliases'!$C$2:$C$501,999))),"(none)"))</f>
        <v/>
      </c>
      <c r="C8" s="80" t="str">
        <f t="shared" si="1"/>
        <v/>
      </c>
      <c r="D8" s="80" t="str">
        <f t="array" ref="D8">IF(A8="","",IF(ISLOGICAL(INDEX(Wishlist!$A:$Z,ROW()-0,'List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8" s="80" t="str">
        <f t="shared" si="2"/>
        <v/>
      </c>
      <c r="F8" s="80" t="str">
        <f t="array" ref="F8">IF(A8="","",IF(ISNUMBER(J8),J8,IF(ISNUMBER(INDEX(Wishlist!$A:$Z,ROW()-0,'List Setup'!$F$2)),INDEX(Wishlist!$A:$Z,ROW()-0,'List Setup'!$F$2),0)))</f>
        <v/>
      </c>
      <c r="G8" s="80" t="str">
        <f t="array" ref="G8">IF(A8="","",A8&amp;IF(N(INDEX(Wishlist!$A:$Z,ROW()-0,'List Setup'!$C$2))&gt;1," (x"&amp;INDEX(Wishlist!$A:$Z,ROW()-0,'List Setup'!$C$2)&amp;")","")&amp;IF(COUNTIF(Binders!$J$6:$J$30,TRUE())&gt;1," ["&amp;Q8&amp;"]",""))</f>
        <v/>
      </c>
      <c r="H8" s="80" t="str">
        <f t="array" ref="H8">IF(A8="","",CHAR(10)&amp;INDEX(Wishlist!$A:$Z,ROW()-0,'List Setup'!$E$2)&amp;CHAR(10))</f>
        <v/>
      </c>
      <c r="I8" s="80" t="str">
        <f t="array" ref="I8">IF(OR(B8="",B8="(none)"),"",IF(ISNUMBER(SEARCH(CHAR(10)&amp;B8&amp;CHAR(10),H8)),B8,IFERROR(INDEX('Set Aliases'!$A$2:$A$501,MATCH(1,('Set Aliases'!$B$2:$B$501=B8)*ISNUMBER(SEARCH(CHAR(10)&amp;'Set Aliases'!$A$2:$A$501&amp;CHAR(10),H8)),0)),"")))</f>
        <v/>
      </c>
      <c r="J8" s="80" t="str">
        <f t="array" ref="J8">IF(I8="","",IFERROR(VALUE(TRIM(MID(SUBSTITUTE(INDEX(Wishlist!$A:$Z,ROW()-0,'List Setup'!$G$2),CHAR(10),REPT(" ",100)),((SEARCH(CHAR(10)&amp;I8&amp;CHAR(10),H8)-LEN(SUBSTITUTE(LEFT(H8,SEARCH(CHAR(10)&amp;I8&amp;CHAR(10),H8)),CHAR(10),"")))-1)*100+1,100))),""))</f>
        <v/>
      </c>
      <c r="K8" s="80" t="str">
        <f t="array" ref="K8">IF(A8="","",IF(ISNUMBER(SEARCH("Land",LEFT(IFERROR(INDEX(Wishlist!$A:$Z,ROW()-0,'List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8" s="80" t="str">
        <f t="shared" si="3"/>
        <v/>
      </c>
      <c r="M8" s="80" t="str">
        <f>IF(A8="","",IF(AND(E8="Y",B8='Use at Shop'!$B$4),K8*10000000000+(MAX(0,MIN(26,CODE(MID(UPPER(A8)&amp;"    ",1,1))-64))*19683+MAX(0,MIN(26,CODE(MID(UPPER(A8)&amp;"    ",2,1))-64))*729+MAX(0,MIN(26,CODE(MID(UPPER(A8)&amp;"    ",3,1))-64))*27+MAX(0,MIN(26,CODE(MID(UPPER(A8)&amp;"    ",4,1))-64))*1)*10000+ROW(),""))</f>
        <v/>
      </c>
      <c r="N8" s="80" t="str">
        <f t="shared" si="4"/>
        <v/>
      </c>
      <c r="O8" s="80" t="str">
        <f t="array" ref="O8">IF(A8="","",IFERROR(INDEX(Wishlist!$A:$Z,ROW()-0,'List Setup'!$J$2)&amp;"",""))</f>
        <v/>
      </c>
      <c r="P8" s="2"/>
      <c r="Q8" s="80" t="str">
        <f>IF(A8="","",'List Setup'!$A$2)</f>
        <v/>
      </c>
      <c r="R8" s="80" t="str">
        <f t="array" ref="R8">IF(A8="","",IFERROR(OR(INDEX(Binders!$J$6:$J$30,MATCH(Q8,Binders!$I$6:$I$30,0))=TRUE(),UPPER(INDEX(Binders!$J$6:$J$30,MATCH(Q8,Binders!$I$6:$I$30,0))&amp;"")="TRUE"),FALSE()))</f>
        <v/>
      </c>
    </row>
    <row r="9">
      <c r="A9" s="80" t="str">
        <f t="array" ref="A9">IF(INDEX(Wishlist!$A:$Z,ROW()-0,'List Setup'!$D$2)="","",INDEX(Wishlist!$A:$Z,ROW()-0,'List Setup'!$D$2))</f>
        <v/>
      </c>
      <c r="B9" s="80" t="str">
        <f t="array" ref="B9">IF(A9="","",IFERROR(INDEX('Binder Setup'!$B$2:$B$401,MIN(IF(ISNUMBER(SEARCH(CHAR(10)&amp;'Binder Setup'!$B$2:$B$401&amp;CHAR(10),$H9)),'List Setup'!$Q$2:$Q$401,999),IF(ISNUMBER(SEARCH(CHAR(10)&amp;'Set Aliases'!$A$2:$A$501&amp;CHAR(10),$H9)),'Set Aliases'!$C$2:$C$501,999))),"(none)"))</f>
        <v/>
      </c>
      <c r="C9" s="80" t="str">
        <f t="shared" si="1"/>
        <v/>
      </c>
      <c r="D9" s="80" t="str">
        <f t="array" ref="D9">IF(A9="","",IF(ISLOGICAL(INDEX(Wishlist!$A:$Z,ROW()-0,'List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9" s="80" t="str">
        <f t="shared" si="2"/>
        <v/>
      </c>
      <c r="F9" s="80" t="str">
        <f t="array" ref="F9">IF(A9="","",IF(ISNUMBER(J9),J9,IF(ISNUMBER(INDEX(Wishlist!$A:$Z,ROW()-0,'List Setup'!$F$2)),INDEX(Wishlist!$A:$Z,ROW()-0,'List Setup'!$F$2),0)))</f>
        <v/>
      </c>
      <c r="G9" s="80" t="str">
        <f t="array" ref="G9">IF(A9="","",A9&amp;IF(N(INDEX(Wishlist!$A:$Z,ROW()-0,'List Setup'!$C$2))&gt;1," (x"&amp;INDEX(Wishlist!$A:$Z,ROW()-0,'List Setup'!$C$2)&amp;")","")&amp;IF(COUNTIF(Binders!$J$6:$J$30,TRUE())&gt;1," ["&amp;Q9&amp;"]",""))</f>
        <v/>
      </c>
      <c r="H9" s="80" t="str">
        <f t="array" ref="H9">IF(A9="","",CHAR(10)&amp;INDEX(Wishlist!$A:$Z,ROW()-0,'List Setup'!$E$2)&amp;CHAR(10))</f>
        <v/>
      </c>
      <c r="I9" s="80" t="str">
        <f t="array" ref="I9">IF(OR(B9="",B9="(none)"),"",IF(ISNUMBER(SEARCH(CHAR(10)&amp;B9&amp;CHAR(10),H9)),B9,IFERROR(INDEX('Set Aliases'!$A$2:$A$501,MATCH(1,('Set Aliases'!$B$2:$B$501=B9)*ISNUMBER(SEARCH(CHAR(10)&amp;'Set Aliases'!$A$2:$A$501&amp;CHAR(10),H9)),0)),"")))</f>
        <v/>
      </c>
      <c r="J9" s="80" t="str">
        <f t="array" ref="J9">IF(I9="","",IFERROR(VALUE(TRIM(MID(SUBSTITUTE(INDEX(Wishlist!$A:$Z,ROW()-0,'List Setup'!$G$2),CHAR(10),REPT(" ",100)),((SEARCH(CHAR(10)&amp;I9&amp;CHAR(10),H9)-LEN(SUBSTITUTE(LEFT(H9,SEARCH(CHAR(10)&amp;I9&amp;CHAR(10),H9)),CHAR(10),"")))-1)*100+1,100))),""))</f>
        <v/>
      </c>
      <c r="K9" s="80" t="str">
        <f t="array" ref="K9">IF(A9="","",IF(ISNUMBER(SEARCH("Land",LEFT(IFERROR(INDEX(Wishlist!$A:$Z,ROW()-0,'List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9" s="80" t="str">
        <f t="shared" si="3"/>
        <v/>
      </c>
      <c r="M9" s="80" t="str">
        <f>IF(A9="","",IF(AND(E9="Y",B9='Use at Shop'!$B$4),K9*10000000000+(MAX(0,MIN(26,CODE(MID(UPPER(A9)&amp;"    ",1,1))-64))*19683+MAX(0,MIN(26,CODE(MID(UPPER(A9)&amp;"    ",2,1))-64))*729+MAX(0,MIN(26,CODE(MID(UPPER(A9)&amp;"    ",3,1))-64))*27+MAX(0,MIN(26,CODE(MID(UPPER(A9)&amp;"    ",4,1))-64))*1)*10000+ROW(),""))</f>
        <v/>
      </c>
      <c r="N9" s="80" t="str">
        <f t="shared" si="4"/>
        <v/>
      </c>
      <c r="O9" s="80" t="str">
        <f t="array" ref="O9">IF(A9="","",IFERROR(INDEX(Wishlist!$A:$Z,ROW()-0,'List Setup'!$J$2)&amp;"",""))</f>
        <v/>
      </c>
      <c r="P9" s="2"/>
      <c r="Q9" s="80" t="str">
        <f>IF(A9="","",'List Setup'!$A$2)</f>
        <v/>
      </c>
      <c r="R9" s="80" t="str">
        <f t="array" ref="R9">IF(A9="","",IFERROR(OR(INDEX(Binders!$J$6:$J$30,MATCH(Q9,Binders!$I$6:$I$30,0))=TRUE(),UPPER(INDEX(Binders!$J$6:$J$30,MATCH(Q9,Binders!$I$6:$I$30,0))&amp;"")="TRUE"),FALSE()))</f>
        <v/>
      </c>
    </row>
    <row r="10">
      <c r="A10" s="80" t="str">
        <f t="array" ref="A10">IF(INDEX(Wishlist!$A:$Z,ROW()-0,'List Setup'!$D$2)="","",INDEX(Wishlist!$A:$Z,ROW()-0,'List Setup'!$D$2))</f>
        <v/>
      </c>
      <c r="B10" s="80" t="str">
        <f t="array" ref="B10">IF(A10="","",IFERROR(INDEX('Binder Setup'!$B$2:$B$401,MIN(IF(ISNUMBER(SEARCH(CHAR(10)&amp;'Binder Setup'!$B$2:$B$401&amp;CHAR(10),$H10)),'List Setup'!$Q$2:$Q$401,999),IF(ISNUMBER(SEARCH(CHAR(10)&amp;'Set Aliases'!$A$2:$A$501&amp;CHAR(10),$H10)),'Set Aliases'!$C$2:$C$501,999))),"(none)"))</f>
        <v/>
      </c>
      <c r="C10" s="80" t="str">
        <f t="shared" si="1"/>
        <v/>
      </c>
      <c r="D10" s="80" t="str">
        <f t="array" ref="D10">IF(A10="","",IF(ISLOGICAL(INDEX(Wishlist!$A:$Z,ROW()-0,'List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0" s="80" t="str">
        <f t="shared" si="2"/>
        <v/>
      </c>
      <c r="F10" s="80" t="str">
        <f t="array" ref="F10">IF(A10="","",IF(ISNUMBER(J10),J10,IF(ISNUMBER(INDEX(Wishlist!$A:$Z,ROW()-0,'List Setup'!$F$2)),INDEX(Wishlist!$A:$Z,ROW()-0,'List Setup'!$F$2),0)))</f>
        <v/>
      </c>
      <c r="G10" s="80" t="str">
        <f t="array" ref="G10">IF(A10="","",A10&amp;IF(N(INDEX(Wishlist!$A:$Z,ROW()-0,'List Setup'!$C$2))&gt;1," (x"&amp;INDEX(Wishlist!$A:$Z,ROW()-0,'List Setup'!$C$2)&amp;")","")&amp;IF(COUNTIF(Binders!$J$6:$J$30,TRUE())&gt;1," ["&amp;Q10&amp;"]",""))</f>
        <v/>
      </c>
      <c r="H10" s="80" t="str">
        <f t="array" ref="H10">IF(A10="","",CHAR(10)&amp;INDEX(Wishlist!$A:$Z,ROW()-0,'List Setup'!$E$2)&amp;CHAR(10))</f>
        <v/>
      </c>
      <c r="I10" s="80" t="str">
        <f t="array" ref="I10">IF(OR(B10="",B10="(none)"),"",IF(ISNUMBER(SEARCH(CHAR(10)&amp;B10&amp;CHAR(10),H10)),B10,IFERROR(INDEX('Set Aliases'!$A$2:$A$501,MATCH(1,('Set Aliases'!$B$2:$B$501=B10)*ISNUMBER(SEARCH(CHAR(10)&amp;'Set Aliases'!$A$2:$A$501&amp;CHAR(10),H10)),0)),"")))</f>
        <v/>
      </c>
      <c r="J10" s="80" t="str">
        <f t="array" ref="J10">IF(I10="","",IFERROR(VALUE(TRIM(MID(SUBSTITUTE(INDEX(Wishlist!$A:$Z,ROW()-0,'List Setup'!$G$2),CHAR(10),REPT(" ",100)),((SEARCH(CHAR(10)&amp;I10&amp;CHAR(10),H10)-LEN(SUBSTITUTE(LEFT(H10,SEARCH(CHAR(10)&amp;I10&amp;CHAR(10),H10)),CHAR(10),"")))-1)*100+1,100))),""))</f>
        <v/>
      </c>
      <c r="K10" s="80" t="str">
        <f t="array" ref="K10">IF(A10="","",IF(ISNUMBER(SEARCH("Land",LEFT(IFERROR(INDEX(Wishlist!$A:$Z,ROW()-0,'List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0" s="80" t="str">
        <f t="shared" si="3"/>
        <v/>
      </c>
      <c r="M10" s="80" t="str">
        <f>IF(A10="","",IF(AND(E10="Y",B10='Use at Shop'!$B$4),K10*10000000000+(MAX(0,MIN(26,CODE(MID(UPPER(A10)&amp;"    ",1,1))-64))*19683+MAX(0,MIN(26,CODE(MID(UPPER(A10)&amp;"    ",2,1))-64))*729+MAX(0,MIN(26,CODE(MID(UPPER(A10)&amp;"    ",3,1))-64))*27+MAX(0,MIN(26,CODE(MID(UPPER(A10)&amp;"    ",4,1))-64))*1)*10000+ROW(),""))</f>
        <v/>
      </c>
      <c r="N10" s="80" t="str">
        <f t="shared" si="4"/>
        <v/>
      </c>
      <c r="O10" s="80" t="str">
        <f t="array" ref="O10">IF(A10="","",IFERROR(INDEX(Wishlist!$A:$Z,ROW()-0,'List Setup'!$J$2)&amp;"",""))</f>
        <v/>
      </c>
      <c r="P10" s="2"/>
      <c r="Q10" s="80" t="str">
        <f>IF(A10="","",'List Setup'!$A$2)</f>
        <v/>
      </c>
      <c r="R10" s="80" t="str">
        <f t="array" ref="R10">IF(A10="","",IFERROR(OR(INDEX(Binders!$J$6:$J$30,MATCH(Q10,Binders!$I$6:$I$30,0))=TRUE(),UPPER(INDEX(Binders!$J$6:$J$30,MATCH(Q10,Binders!$I$6:$I$30,0))&amp;"")="TRUE"),FALSE()))</f>
        <v/>
      </c>
    </row>
    <row r="11">
      <c r="A11" s="80" t="str">
        <f t="array" ref="A11">IF(INDEX(Wishlist!$A:$Z,ROW()-0,'List Setup'!$D$2)="","",INDEX(Wishlist!$A:$Z,ROW()-0,'List Setup'!$D$2))</f>
        <v/>
      </c>
      <c r="B11" s="80" t="str">
        <f t="array" ref="B11">IF(A11="","",IFERROR(INDEX('Binder Setup'!$B$2:$B$401,MIN(IF(ISNUMBER(SEARCH(CHAR(10)&amp;'Binder Setup'!$B$2:$B$401&amp;CHAR(10),$H11)),'List Setup'!$Q$2:$Q$401,999),IF(ISNUMBER(SEARCH(CHAR(10)&amp;'Set Aliases'!$A$2:$A$501&amp;CHAR(10),$H11)),'Set Aliases'!$C$2:$C$501,999))),"(none)"))</f>
        <v/>
      </c>
      <c r="C11" s="80" t="str">
        <f t="shared" si="1"/>
        <v/>
      </c>
      <c r="D11" s="80" t="str">
        <f t="array" ref="D11">IF(A11="","",IF(ISLOGICAL(INDEX(Wishlist!$A:$Z,ROW()-0,'List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1" s="80" t="str">
        <f t="shared" si="2"/>
        <v/>
      </c>
      <c r="F11" s="80" t="str">
        <f t="array" ref="F11">IF(A11="","",IF(ISNUMBER(J11),J11,IF(ISNUMBER(INDEX(Wishlist!$A:$Z,ROW()-0,'List Setup'!$F$2)),INDEX(Wishlist!$A:$Z,ROW()-0,'List Setup'!$F$2),0)))</f>
        <v/>
      </c>
      <c r="G11" s="80" t="str">
        <f t="array" ref="G11">IF(A11="","",A11&amp;IF(N(INDEX(Wishlist!$A:$Z,ROW()-0,'List Setup'!$C$2))&gt;1," (x"&amp;INDEX(Wishlist!$A:$Z,ROW()-0,'List Setup'!$C$2)&amp;")","")&amp;IF(COUNTIF(Binders!$J$6:$J$30,TRUE())&gt;1," ["&amp;Q11&amp;"]",""))</f>
        <v/>
      </c>
      <c r="H11" s="80" t="str">
        <f t="array" ref="H11">IF(A11="","",CHAR(10)&amp;INDEX(Wishlist!$A:$Z,ROW()-0,'List Setup'!$E$2)&amp;CHAR(10))</f>
        <v/>
      </c>
      <c r="I11" s="80" t="str">
        <f t="array" ref="I11">IF(OR(B11="",B11="(none)"),"",IF(ISNUMBER(SEARCH(CHAR(10)&amp;B11&amp;CHAR(10),H11)),B11,IFERROR(INDEX('Set Aliases'!$A$2:$A$501,MATCH(1,('Set Aliases'!$B$2:$B$501=B11)*ISNUMBER(SEARCH(CHAR(10)&amp;'Set Aliases'!$A$2:$A$501&amp;CHAR(10),H11)),0)),"")))</f>
        <v/>
      </c>
      <c r="J11" s="80" t="str">
        <f t="array" ref="J11">IF(I11="","",IFERROR(VALUE(TRIM(MID(SUBSTITUTE(INDEX(Wishlist!$A:$Z,ROW()-0,'List Setup'!$G$2),CHAR(10),REPT(" ",100)),((SEARCH(CHAR(10)&amp;I11&amp;CHAR(10),H11)-LEN(SUBSTITUTE(LEFT(H11,SEARCH(CHAR(10)&amp;I11&amp;CHAR(10),H11)),CHAR(10),"")))-1)*100+1,100))),""))</f>
        <v/>
      </c>
      <c r="K11" s="80" t="str">
        <f t="array" ref="K11">IF(A11="","",IF(ISNUMBER(SEARCH("Land",LEFT(IFERROR(INDEX(Wishlist!$A:$Z,ROW()-0,'List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1" s="80" t="str">
        <f t="shared" si="3"/>
        <v/>
      </c>
      <c r="M11" s="80" t="str">
        <f>IF(A11="","",IF(AND(E11="Y",B11='Use at Shop'!$B$4),K11*10000000000+(MAX(0,MIN(26,CODE(MID(UPPER(A11)&amp;"    ",1,1))-64))*19683+MAX(0,MIN(26,CODE(MID(UPPER(A11)&amp;"    ",2,1))-64))*729+MAX(0,MIN(26,CODE(MID(UPPER(A11)&amp;"    ",3,1))-64))*27+MAX(0,MIN(26,CODE(MID(UPPER(A11)&amp;"    ",4,1))-64))*1)*10000+ROW(),""))</f>
        <v/>
      </c>
      <c r="N11" s="80" t="str">
        <f t="shared" si="4"/>
        <v/>
      </c>
      <c r="O11" s="80" t="str">
        <f t="array" ref="O11">IF(A11="","",IFERROR(INDEX(Wishlist!$A:$Z,ROW()-0,'List Setup'!$J$2)&amp;"",""))</f>
        <v/>
      </c>
      <c r="P11" s="2"/>
      <c r="Q11" s="80" t="str">
        <f>IF(A11="","",'List Setup'!$A$2)</f>
        <v/>
      </c>
      <c r="R11" s="80" t="str">
        <f t="array" ref="R11">IF(A11="","",IFERROR(OR(INDEX(Binders!$J$6:$J$30,MATCH(Q11,Binders!$I$6:$I$30,0))=TRUE(),UPPER(INDEX(Binders!$J$6:$J$30,MATCH(Q11,Binders!$I$6:$I$30,0))&amp;"")="TRUE"),FALSE()))</f>
        <v/>
      </c>
    </row>
    <row r="12">
      <c r="A12" s="80" t="str">
        <f t="array" ref="A12">IF(INDEX(Wishlist!$A:$Z,ROW()-0,'List Setup'!$D$2)="","",INDEX(Wishlist!$A:$Z,ROW()-0,'List Setup'!$D$2))</f>
        <v/>
      </c>
      <c r="B12" s="80" t="str">
        <f t="array" ref="B12">IF(A12="","",IFERROR(INDEX('Binder Setup'!$B$2:$B$401,MIN(IF(ISNUMBER(SEARCH(CHAR(10)&amp;'Binder Setup'!$B$2:$B$401&amp;CHAR(10),$H12)),'List Setup'!$Q$2:$Q$401,999),IF(ISNUMBER(SEARCH(CHAR(10)&amp;'Set Aliases'!$A$2:$A$501&amp;CHAR(10),$H12)),'Set Aliases'!$C$2:$C$501,999))),"(none)"))</f>
        <v/>
      </c>
      <c r="C12" s="80" t="str">
        <f t="shared" si="1"/>
        <v/>
      </c>
      <c r="D12" s="80" t="str">
        <f t="array" ref="D12">IF(A12="","",IF(ISLOGICAL(INDEX(Wishlist!$A:$Z,ROW()-0,'List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2" s="80" t="str">
        <f t="shared" si="2"/>
        <v/>
      </c>
      <c r="F12" s="80" t="str">
        <f t="array" ref="F12">IF(A12="","",IF(ISNUMBER(J12),J12,IF(ISNUMBER(INDEX(Wishlist!$A:$Z,ROW()-0,'List Setup'!$F$2)),INDEX(Wishlist!$A:$Z,ROW()-0,'List Setup'!$F$2),0)))</f>
        <v/>
      </c>
      <c r="G12" s="80" t="str">
        <f t="array" ref="G12">IF(A12="","",A12&amp;IF(N(INDEX(Wishlist!$A:$Z,ROW()-0,'List Setup'!$C$2))&gt;1," (x"&amp;INDEX(Wishlist!$A:$Z,ROW()-0,'List Setup'!$C$2)&amp;")","")&amp;IF(COUNTIF(Binders!$J$6:$J$30,TRUE())&gt;1," ["&amp;Q12&amp;"]",""))</f>
        <v/>
      </c>
      <c r="H12" s="80" t="str">
        <f t="array" ref="H12">IF(A12="","",CHAR(10)&amp;INDEX(Wishlist!$A:$Z,ROW()-0,'List Setup'!$E$2)&amp;CHAR(10))</f>
        <v/>
      </c>
      <c r="I12" s="80" t="str">
        <f t="array" ref="I12">IF(OR(B12="",B12="(none)"),"",IF(ISNUMBER(SEARCH(CHAR(10)&amp;B12&amp;CHAR(10),H12)),B12,IFERROR(INDEX('Set Aliases'!$A$2:$A$501,MATCH(1,('Set Aliases'!$B$2:$B$501=B12)*ISNUMBER(SEARCH(CHAR(10)&amp;'Set Aliases'!$A$2:$A$501&amp;CHAR(10),H12)),0)),"")))</f>
        <v/>
      </c>
      <c r="J12" s="80" t="str">
        <f t="array" ref="J12">IF(I12="","",IFERROR(VALUE(TRIM(MID(SUBSTITUTE(INDEX(Wishlist!$A:$Z,ROW()-0,'List Setup'!$G$2),CHAR(10),REPT(" ",100)),((SEARCH(CHAR(10)&amp;I12&amp;CHAR(10),H12)-LEN(SUBSTITUTE(LEFT(H12,SEARCH(CHAR(10)&amp;I12&amp;CHAR(10),H12)),CHAR(10),"")))-1)*100+1,100))),""))</f>
        <v/>
      </c>
      <c r="K12" s="80" t="str">
        <f t="array" ref="K12">IF(A12="","",IF(ISNUMBER(SEARCH("Land",LEFT(IFERROR(INDEX(Wishlist!$A:$Z,ROW()-0,'List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2" s="80" t="str">
        <f t="shared" si="3"/>
        <v/>
      </c>
      <c r="M12" s="80" t="str">
        <f>IF(A12="","",IF(AND(E12="Y",B12='Use at Shop'!$B$4),K12*10000000000+(MAX(0,MIN(26,CODE(MID(UPPER(A12)&amp;"    ",1,1))-64))*19683+MAX(0,MIN(26,CODE(MID(UPPER(A12)&amp;"    ",2,1))-64))*729+MAX(0,MIN(26,CODE(MID(UPPER(A12)&amp;"    ",3,1))-64))*27+MAX(0,MIN(26,CODE(MID(UPPER(A12)&amp;"    ",4,1))-64))*1)*10000+ROW(),""))</f>
        <v/>
      </c>
      <c r="N12" s="80" t="str">
        <f t="shared" si="4"/>
        <v/>
      </c>
      <c r="O12" s="80" t="str">
        <f t="array" ref="O12">IF(A12="","",IFERROR(INDEX(Wishlist!$A:$Z,ROW()-0,'List Setup'!$J$2)&amp;"",""))</f>
        <v/>
      </c>
      <c r="P12" s="2"/>
      <c r="Q12" s="80" t="str">
        <f>IF(A12="","",'List Setup'!$A$2)</f>
        <v/>
      </c>
      <c r="R12" s="80" t="str">
        <f t="array" ref="R12">IF(A12="","",IFERROR(OR(INDEX(Binders!$J$6:$J$30,MATCH(Q12,Binders!$I$6:$I$30,0))=TRUE(),UPPER(INDEX(Binders!$J$6:$J$30,MATCH(Q12,Binders!$I$6:$I$30,0))&amp;"")="TRUE"),FALSE()))</f>
        <v/>
      </c>
    </row>
    <row r="13">
      <c r="A13" s="80" t="str">
        <f t="array" ref="A13">IF(INDEX(Wishlist!$A:$Z,ROW()-0,'List Setup'!$D$2)="","",INDEX(Wishlist!$A:$Z,ROW()-0,'List Setup'!$D$2))</f>
        <v/>
      </c>
      <c r="B13" s="80" t="str">
        <f t="array" ref="B13">IF(A13="","",IFERROR(INDEX('Binder Setup'!$B$2:$B$401,MIN(IF(ISNUMBER(SEARCH(CHAR(10)&amp;'Binder Setup'!$B$2:$B$401&amp;CHAR(10),$H13)),'List Setup'!$Q$2:$Q$401,999),IF(ISNUMBER(SEARCH(CHAR(10)&amp;'Set Aliases'!$A$2:$A$501&amp;CHAR(10),$H13)),'Set Aliases'!$C$2:$C$501,999))),"(none)"))</f>
        <v/>
      </c>
      <c r="C13" s="80" t="str">
        <f t="shared" si="1"/>
        <v/>
      </c>
      <c r="D13" s="80" t="str">
        <f t="array" ref="D13">IF(A13="","",IF(ISLOGICAL(INDEX(Wishlist!$A:$Z,ROW()-0,'List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3" s="80" t="str">
        <f t="shared" si="2"/>
        <v/>
      </c>
      <c r="F13" s="80" t="str">
        <f t="array" ref="F13">IF(A13="","",IF(ISNUMBER(J13),J13,IF(ISNUMBER(INDEX(Wishlist!$A:$Z,ROW()-0,'List Setup'!$F$2)),INDEX(Wishlist!$A:$Z,ROW()-0,'List Setup'!$F$2),0)))</f>
        <v/>
      </c>
      <c r="G13" s="80" t="str">
        <f t="array" ref="G13">IF(A13="","",A13&amp;IF(N(INDEX(Wishlist!$A:$Z,ROW()-0,'List Setup'!$C$2))&gt;1," (x"&amp;INDEX(Wishlist!$A:$Z,ROW()-0,'List Setup'!$C$2)&amp;")","")&amp;IF(COUNTIF(Binders!$J$6:$J$30,TRUE())&gt;1," ["&amp;Q13&amp;"]",""))</f>
        <v/>
      </c>
      <c r="H13" s="80" t="str">
        <f t="array" ref="H13">IF(A13="","",CHAR(10)&amp;INDEX(Wishlist!$A:$Z,ROW()-0,'List Setup'!$E$2)&amp;CHAR(10))</f>
        <v/>
      </c>
      <c r="I13" s="80" t="str">
        <f t="array" ref="I13">IF(OR(B13="",B13="(none)"),"",IF(ISNUMBER(SEARCH(CHAR(10)&amp;B13&amp;CHAR(10),H13)),B13,IFERROR(INDEX('Set Aliases'!$A$2:$A$501,MATCH(1,('Set Aliases'!$B$2:$B$501=B13)*ISNUMBER(SEARCH(CHAR(10)&amp;'Set Aliases'!$A$2:$A$501&amp;CHAR(10),H13)),0)),"")))</f>
        <v/>
      </c>
      <c r="J13" s="80" t="str">
        <f t="array" ref="J13">IF(I13="","",IFERROR(VALUE(TRIM(MID(SUBSTITUTE(INDEX(Wishlist!$A:$Z,ROW()-0,'List Setup'!$G$2),CHAR(10),REPT(" ",100)),((SEARCH(CHAR(10)&amp;I13&amp;CHAR(10),H13)-LEN(SUBSTITUTE(LEFT(H13,SEARCH(CHAR(10)&amp;I13&amp;CHAR(10),H13)),CHAR(10),"")))-1)*100+1,100))),""))</f>
        <v/>
      </c>
      <c r="K13" s="80" t="str">
        <f t="array" ref="K13">IF(A13="","",IF(ISNUMBER(SEARCH("Land",LEFT(IFERROR(INDEX(Wishlist!$A:$Z,ROW()-0,'List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3" s="80" t="str">
        <f t="shared" si="3"/>
        <v/>
      </c>
      <c r="M13" s="80" t="str">
        <f>IF(A13="","",IF(AND(E13="Y",B13='Use at Shop'!$B$4),K13*10000000000+(MAX(0,MIN(26,CODE(MID(UPPER(A13)&amp;"    ",1,1))-64))*19683+MAX(0,MIN(26,CODE(MID(UPPER(A13)&amp;"    ",2,1))-64))*729+MAX(0,MIN(26,CODE(MID(UPPER(A13)&amp;"    ",3,1))-64))*27+MAX(0,MIN(26,CODE(MID(UPPER(A13)&amp;"    ",4,1))-64))*1)*10000+ROW(),""))</f>
        <v/>
      </c>
      <c r="N13" s="80" t="str">
        <f t="shared" si="4"/>
        <v/>
      </c>
      <c r="O13" s="80" t="str">
        <f t="array" ref="O13">IF(A13="","",IFERROR(INDEX(Wishlist!$A:$Z,ROW()-0,'List Setup'!$J$2)&amp;"",""))</f>
        <v/>
      </c>
      <c r="P13" s="2"/>
      <c r="Q13" s="80" t="str">
        <f>IF(A13="","",'List Setup'!$A$2)</f>
        <v/>
      </c>
      <c r="R13" s="80" t="str">
        <f t="array" ref="R13">IF(A13="","",IFERROR(OR(INDEX(Binders!$J$6:$J$30,MATCH(Q13,Binders!$I$6:$I$30,0))=TRUE(),UPPER(INDEX(Binders!$J$6:$J$30,MATCH(Q13,Binders!$I$6:$I$30,0))&amp;"")="TRUE"),FALSE()))</f>
        <v/>
      </c>
    </row>
    <row r="14">
      <c r="A14" s="80" t="str">
        <f t="array" ref="A14">IF(INDEX(Wishlist!$A:$Z,ROW()-0,'List Setup'!$D$2)="","",INDEX(Wishlist!$A:$Z,ROW()-0,'List Setup'!$D$2))</f>
        <v/>
      </c>
      <c r="B14" s="80" t="str">
        <f t="array" ref="B14">IF(A14="","",IFERROR(INDEX('Binder Setup'!$B$2:$B$401,MIN(IF(ISNUMBER(SEARCH(CHAR(10)&amp;'Binder Setup'!$B$2:$B$401&amp;CHAR(10),$H14)),'List Setup'!$Q$2:$Q$401,999),IF(ISNUMBER(SEARCH(CHAR(10)&amp;'Set Aliases'!$A$2:$A$501&amp;CHAR(10),$H14)),'Set Aliases'!$C$2:$C$501,999))),"(none)"))</f>
        <v/>
      </c>
      <c r="C14" s="80" t="str">
        <f t="shared" si="1"/>
        <v/>
      </c>
      <c r="D14" s="80" t="str">
        <f t="array" ref="D14">IF(A14="","",IF(ISLOGICAL(INDEX(Wishlist!$A:$Z,ROW()-0,'List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4" s="80" t="str">
        <f t="shared" si="2"/>
        <v/>
      </c>
      <c r="F14" s="80" t="str">
        <f t="array" ref="F14">IF(A14="","",IF(ISNUMBER(J14),J14,IF(ISNUMBER(INDEX(Wishlist!$A:$Z,ROW()-0,'List Setup'!$F$2)),INDEX(Wishlist!$A:$Z,ROW()-0,'List Setup'!$F$2),0)))</f>
        <v/>
      </c>
      <c r="G14" s="80" t="str">
        <f t="array" ref="G14">IF(A14="","",A14&amp;IF(N(INDEX(Wishlist!$A:$Z,ROW()-0,'List Setup'!$C$2))&gt;1," (x"&amp;INDEX(Wishlist!$A:$Z,ROW()-0,'List Setup'!$C$2)&amp;")","")&amp;IF(COUNTIF(Binders!$J$6:$J$30,TRUE())&gt;1," ["&amp;Q14&amp;"]",""))</f>
        <v/>
      </c>
      <c r="H14" s="80" t="str">
        <f t="array" ref="H14">IF(A14="","",CHAR(10)&amp;INDEX(Wishlist!$A:$Z,ROW()-0,'List Setup'!$E$2)&amp;CHAR(10))</f>
        <v/>
      </c>
      <c r="I14" s="80" t="str">
        <f t="array" ref="I14">IF(OR(B14="",B14="(none)"),"",IF(ISNUMBER(SEARCH(CHAR(10)&amp;B14&amp;CHAR(10),H14)),B14,IFERROR(INDEX('Set Aliases'!$A$2:$A$501,MATCH(1,('Set Aliases'!$B$2:$B$501=B14)*ISNUMBER(SEARCH(CHAR(10)&amp;'Set Aliases'!$A$2:$A$501&amp;CHAR(10),H14)),0)),"")))</f>
        <v/>
      </c>
      <c r="J14" s="80" t="str">
        <f t="array" ref="J14">IF(I14="","",IFERROR(VALUE(TRIM(MID(SUBSTITUTE(INDEX(Wishlist!$A:$Z,ROW()-0,'List Setup'!$G$2),CHAR(10),REPT(" ",100)),((SEARCH(CHAR(10)&amp;I14&amp;CHAR(10),H14)-LEN(SUBSTITUTE(LEFT(H14,SEARCH(CHAR(10)&amp;I14&amp;CHAR(10),H14)),CHAR(10),"")))-1)*100+1,100))),""))</f>
        <v/>
      </c>
      <c r="K14" s="80" t="str">
        <f t="array" ref="K14">IF(A14="","",IF(ISNUMBER(SEARCH("Land",LEFT(IFERROR(INDEX(Wishlist!$A:$Z,ROW()-0,'List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4" s="80" t="str">
        <f t="shared" si="3"/>
        <v/>
      </c>
      <c r="M14" s="80" t="str">
        <f>IF(A14="","",IF(AND(E14="Y",B14='Use at Shop'!$B$4),K14*10000000000+(MAX(0,MIN(26,CODE(MID(UPPER(A14)&amp;"    ",1,1))-64))*19683+MAX(0,MIN(26,CODE(MID(UPPER(A14)&amp;"    ",2,1))-64))*729+MAX(0,MIN(26,CODE(MID(UPPER(A14)&amp;"    ",3,1))-64))*27+MAX(0,MIN(26,CODE(MID(UPPER(A14)&amp;"    ",4,1))-64))*1)*10000+ROW(),""))</f>
        <v/>
      </c>
      <c r="N14" s="80" t="str">
        <f t="shared" si="4"/>
        <v/>
      </c>
      <c r="O14" s="80" t="str">
        <f t="array" ref="O14">IF(A14="","",IFERROR(INDEX(Wishlist!$A:$Z,ROW()-0,'List Setup'!$J$2)&amp;"",""))</f>
        <v/>
      </c>
      <c r="P14" s="2"/>
      <c r="Q14" s="80" t="str">
        <f>IF(A14="","",'List Setup'!$A$2)</f>
        <v/>
      </c>
      <c r="R14" s="80" t="str">
        <f t="array" ref="R14">IF(A14="","",IFERROR(OR(INDEX(Binders!$J$6:$J$30,MATCH(Q14,Binders!$I$6:$I$30,0))=TRUE(),UPPER(INDEX(Binders!$J$6:$J$30,MATCH(Q14,Binders!$I$6:$I$30,0))&amp;"")="TRUE"),FALSE()))</f>
        <v/>
      </c>
    </row>
    <row r="15">
      <c r="A15" s="80" t="str">
        <f t="array" ref="A15">IF(INDEX(Wishlist!$A:$Z,ROW()-0,'List Setup'!$D$2)="","",INDEX(Wishlist!$A:$Z,ROW()-0,'List Setup'!$D$2))</f>
        <v/>
      </c>
      <c r="B15" s="80" t="str">
        <f t="array" ref="B15">IF(A15="","",IFERROR(INDEX('Binder Setup'!$B$2:$B$401,MIN(IF(ISNUMBER(SEARCH(CHAR(10)&amp;'Binder Setup'!$B$2:$B$401&amp;CHAR(10),$H15)),'List Setup'!$Q$2:$Q$401,999),IF(ISNUMBER(SEARCH(CHAR(10)&amp;'Set Aliases'!$A$2:$A$501&amp;CHAR(10),$H15)),'Set Aliases'!$C$2:$C$501,999))),"(none)"))</f>
        <v/>
      </c>
      <c r="C15" s="80" t="str">
        <f t="shared" si="1"/>
        <v/>
      </c>
      <c r="D15" s="80" t="str">
        <f t="array" ref="D15">IF(A15="","",IF(ISLOGICAL(INDEX(Wishlist!$A:$Z,ROW()-0,'List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5" s="80" t="str">
        <f t="shared" si="2"/>
        <v/>
      </c>
      <c r="F15" s="80" t="str">
        <f t="array" ref="F15">IF(A15="","",IF(ISNUMBER(J15),J15,IF(ISNUMBER(INDEX(Wishlist!$A:$Z,ROW()-0,'List Setup'!$F$2)),INDEX(Wishlist!$A:$Z,ROW()-0,'List Setup'!$F$2),0)))</f>
        <v/>
      </c>
      <c r="G15" s="80" t="str">
        <f t="array" ref="G15">IF(A15="","",A15&amp;IF(N(INDEX(Wishlist!$A:$Z,ROW()-0,'List Setup'!$C$2))&gt;1," (x"&amp;INDEX(Wishlist!$A:$Z,ROW()-0,'List Setup'!$C$2)&amp;")","")&amp;IF(COUNTIF(Binders!$J$6:$J$30,TRUE())&gt;1," ["&amp;Q15&amp;"]",""))</f>
        <v/>
      </c>
      <c r="H15" s="80" t="str">
        <f t="array" ref="H15">IF(A15="","",CHAR(10)&amp;INDEX(Wishlist!$A:$Z,ROW()-0,'List Setup'!$E$2)&amp;CHAR(10))</f>
        <v/>
      </c>
      <c r="I15" s="80" t="str">
        <f t="array" ref="I15">IF(OR(B15="",B15="(none)"),"",IF(ISNUMBER(SEARCH(CHAR(10)&amp;B15&amp;CHAR(10),H15)),B15,IFERROR(INDEX('Set Aliases'!$A$2:$A$501,MATCH(1,('Set Aliases'!$B$2:$B$501=B15)*ISNUMBER(SEARCH(CHAR(10)&amp;'Set Aliases'!$A$2:$A$501&amp;CHAR(10),H15)),0)),"")))</f>
        <v/>
      </c>
      <c r="J15" s="80" t="str">
        <f t="array" ref="J15">IF(I15="","",IFERROR(VALUE(TRIM(MID(SUBSTITUTE(INDEX(Wishlist!$A:$Z,ROW()-0,'List Setup'!$G$2),CHAR(10),REPT(" ",100)),((SEARCH(CHAR(10)&amp;I15&amp;CHAR(10),H15)-LEN(SUBSTITUTE(LEFT(H15,SEARCH(CHAR(10)&amp;I15&amp;CHAR(10),H15)),CHAR(10),"")))-1)*100+1,100))),""))</f>
        <v/>
      </c>
      <c r="K15" s="80" t="str">
        <f t="array" ref="K15">IF(A15="","",IF(ISNUMBER(SEARCH("Land",LEFT(IFERROR(INDEX(Wishlist!$A:$Z,ROW()-0,'List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5" s="80" t="str">
        <f t="shared" si="3"/>
        <v/>
      </c>
      <c r="M15" s="80" t="str">
        <f>IF(A15="","",IF(AND(E15="Y",B15='Use at Shop'!$B$4),K15*10000000000+(MAX(0,MIN(26,CODE(MID(UPPER(A15)&amp;"    ",1,1))-64))*19683+MAX(0,MIN(26,CODE(MID(UPPER(A15)&amp;"    ",2,1))-64))*729+MAX(0,MIN(26,CODE(MID(UPPER(A15)&amp;"    ",3,1))-64))*27+MAX(0,MIN(26,CODE(MID(UPPER(A15)&amp;"    ",4,1))-64))*1)*10000+ROW(),""))</f>
        <v/>
      </c>
      <c r="N15" s="80" t="str">
        <f t="shared" si="4"/>
        <v/>
      </c>
      <c r="O15" s="80" t="str">
        <f t="array" ref="O15">IF(A15="","",IFERROR(INDEX(Wishlist!$A:$Z,ROW()-0,'List Setup'!$J$2)&amp;"",""))</f>
        <v/>
      </c>
      <c r="P15" s="2"/>
      <c r="Q15" s="80" t="str">
        <f>IF(A15="","",'List Setup'!$A$2)</f>
        <v/>
      </c>
      <c r="R15" s="80" t="str">
        <f t="array" ref="R15">IF(A15="","",IFERROR(OR(INDEX(Binders!$J$6:$J$30,MATCH(Q15,Binders!$I$6:$I$30,0))=TRUE(),UPPER(INDEX(Binders!$J$6:$J$30,MATCH(Q15,Binders!$I$6:$I$30,0))&amp;"")="TRUE"),FALSE()))</f>
        <v/>
      </c>
    </row>
    <row r="16">
      <c r="A16" s="80" t="str">
        <f t="array" ref="A16">IF(INDEX(Wishlist!$A:$Z,ROW()-0,'List Setup'!$D$2)="","",INDEX(Wishlist!$A:$Z,ROW()-0,'List Setup'!$D$2))</f>
        <v/>
      </c>
      <c r="B16" s="80" t="str">
        <f t="array" ref="B16">IF(A16="","",IFERROR(INDEX('Binder Setup'!$B$2:$B$401,MIN(IF(ISNUMBER(SEARCH(CHAR(10)&amp;'Binder Setup'!$B$2:$B$401&amp;CHAR(10),$H16)),'List Setup'!$Q$2:$Q$401,999),IF(ISNUMBER(SEARCH(CHAR(10)&amp;'Set Aliases'!$A$2:$A$501&amp;CHAR(10),$H16)),'Set Aliases'!$C$2:$C$501,999))),"(none)"))</f>
        <v/>
      </c>
      <c r="C16" s="80" t="str">
        <f t="shared" si="1"/>
        <v/>
      </c>
      <c r="D16" s="80" t="str">
        <f t="array" ref="D16">IF(A16="","",IF(ISLOGICAL(INDEX(Wishlist!$A:$Z,ROW()-0,'List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6" s="80" t="str">
        <f t="shared" si="2"/>
        <v/>
      </c>
      <c r="F16" s="80" t="str">
        <f t="array" ref="F16">IF(A16="","",IF(ISNUMBER(J16),J16,IF(ISNUMBER(INDEX(Wishlist!$A:$Z,ROW()-0,'List Setup'!$F$2)),INDEX(Wishlist!$A:$Z,ROW()-0,'List Setup'!$F$2),0)))</f>
        <v/>
      </c>
      <c r="G16" s="80" t="str">
        <f t="array" ref="G16">IF(A16="","",A16&amp;IF(N(INDEX(Wishlist!$A:$Z,ROW()-0,'List Setup'!$C$2))&gt;1," (x"&amp;INDEX(Wishlist!$A:$Z,ROW()-0,'List Setup'!$C$2)&amp;")","")&amp;IF(COUNTIF(Binders!$J$6:$J$30,TRUE())&gt;1," ["&amp;Q16&amp;"]",""))</f>
        <v/>
      </c>
      <c r="H16" s="80" t="str">
        <f t="array" ref="H16">IF(A16="","",CHAR(10)&amp;INDEX(Wishlist!$A:$Z,ROW()-0,'List Setup'!$E$2)&amp;CHAR(10))</f>
        <v/>
      </c>
      <c r="I16" s="80" t="str">
        <f t="array" ref="I16">IF(OR(B16="",B16="(none)"),"",IF(ISNUMBER(SEARCH(CHAR(10)&amp;B16&amp;CHAR(10),H16)),B16,IFERROR(INDEX('Set Aliases'!$A$2:$A$501,MATCH(1,('Set Aliases'!$B$2:$B$501=B16)*ISNUMBER(SEARCH(CHAR(10)&amp;'Set Aliases'!$A$2:$A$501&amp;CHAR(10),H16)),0)),"")))</f>
        <v/>
      </c>
      <c r="J16" s="80" t="str">
        <f t="array" ref="J16">IF(I16="","",IFERROR(VALUE(TRIM(MID(SUBSTITUTE(INDEX(Wishlist!$A:$Z,ROW()-0,'List Setup'!$G$2),CHAR(10),REPT(" ",100)),((SEARCH(CHAR(10)&amp;I16&amp;CHAR(10),H16)-LEN(SUBSTITUTE(LEFT(H16,SEARCH(CHAR(10)&amp;I16&amp;CHAR(10),H16)),CHAR(10),"")))-1)*100+1,100))),""))</f>
        <v/>
      </c>
      <c r="K16" s="80" t="str">
        <f t="array" ref="K16">IF(A16="","",IF(ISNUMBER(SEARCH("Land",LEFT(IFERROR(INDEX(Wishlist!$A:$Z,ROW()-0,'List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6" s="80" t="str">
        <f t="shared" si="3"/>
        <v/>
      </c>
      <c r="M16" s="80" t="str">
        <f>IF(A16="","",IF(AND(E16="Y",B16='Use at Shop'!$B$4),K16*10000000000+(MAX(0,MIN(26,CODE(MID(UPPER(A16)&amp;"    ",1,1))-64))*19683+MAX(0,MIN(26,CODE(MID(UPPER(A16)&amp;"    ",2,1))-64))*729+MAX(0,MIN(26,CODE(MID(UPPER(A16)&amp;"    ",3,1))-64))*27+MAX(0,MIN(26,CODE(MID(UPPER(A16)&amp;"    ",4,1))-64))*1)*10000+ROW(),""))</f>
        <v/>
      </c>
      <c r="N16" s="80" t="str">
        <f t="shared" si="4"/>
        <v/>
      </c>
      <c r="O16" s="80" t="str">
        <f t="array" ref="O16">IF(A16="","",IFERROR(INDEX(Wishlist!$A:$Z,ROW()-0,'List Setup'!$J$2)&amp;"",""))</f>
        <v/>
      </c>
      <c r="P16" s="2"/>
      <c r="Q16" s="80" t="str">
        <f>IF(A16="","",'List Setup'!$A$2)</f>
        <v/>
      </c>
      <c r="R16" s="80" t="str">
        <f t="array" ref="R16">IF(A16="","",IFERROR(OR(INDEX(Binders!$J$6:$J$30,MATCH(Q16,Binders!$I$6:$I$30,0))=TRUE(),UPPER(INDEX(Binders!$J$6:$J$30,MATCH(Q16,Binders!$I$6:$I$30,0))&amp;"")="TRUE"),FALSE()))</f>
        <v/>
      </c>
    </row>
    <row r="17">
      <c r="A17" s="80" t="str">
        <f t="array" ref="A17">IF(INDEX(Wishlist!$A:$Z,ROW()-0,'List Setup'!$D$2)="","",INDEX(Wishlist!$A:$Z,ROW()-0,'List Setup'!$D$2))</f>
        <v/>
      </c>
      <c r="B17" s="80" t="str">
        <f t="array" ref="B17">IF(A17="","",IFERROR(INDEX('Binder Setup'!$B$2:$B$401,MIN(IF(ISNUMBER(SEARCH(CHAR(10)&amp;'Binder Setup'!$B$2:$B$401&amp;CHAR(10),$H17)),'List Setup'!$Q$2:$Q$401,999),IF(ISNUMBER(SEARCH(CHAR(10)&amp;'Set Aliases'!$A$2:$A$501&amp;CHAR(10),$H17)),'Set Aliases'!$C$2:$C$501,999))),"(none)"))</f>
        <v/>
      </c>
      <c r="C17" s="80" t="str">
        <f t="shared" si="1"/>
        <v/>
      </c>
      <c r="D17" s="80" t="str">
        <f t="array" ref="D17">IF(A17="","",IF(ISLOGICAL(INDEX(Wishlist!$A:$Z,ROW()-0,'List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7" s="80" t="str">
        <f t="shared" si="2"/>
        <v/>
      </c>
      <c r="F17" s="80" t="str">
        <f t="array" ref="F17">IF(A17="","",IF(ISNUMBER(J17),J17,IF(ISNUMBER(INDEX(Wishlist!$A:$Z,ROW()-0,'List Setup'!$F$2)),INDEX(Wishlist!$A:$Z,ROW()-0,'List Setup'!$F$2),0)))</f>
        <v/>
      </c>
      <c r="G17" s="80" t="str">
        <f t="array" ref="G17">IF(A17="","",A17&amp;IF(N(INDEX(Wishlist!$A:$Z,ROW()-0,'List Setup'!$C$2))&gt;1," (x"&amp;INDEX(Wishlist!$A:$Z,ROW()-0,'List Setup'!$C$2)&amp;")","")&amp;IF(COUNTIF(Binders!$J$6:$J$30,TRUE())&gt;1," ["&amp;Q17&amp;"]",""))</f>
        <v/>
      </c>
      <c r="H17" s="80" t="str">
        <f t="array" ref="H17">IF(A17="","",CHAR(10)&amp;INDEX(Wishlist!$A:$Z,ROW()-0,'List Setup'!$E$2)&amp;CHAR(10))</f>
        <v/>
      </c>
      <c r="I17" s="80" t="str">
        <f t="array" ref="I17">IF(OR(B17="",B17="(none)"),"",IF(ISNUMBER(SEARCH(CHAR(10)&amp;B17&amp;CHAR(10),H17)),B17,IFERROR(INDEX('Set Aliases'!$A$2:$A$501,MATCH(1,('Set Aliases'!$B$2:$B$501=B17)*ISNUMBER(SEARCH(CHAR(10)&amp;'Set Aliases'!$A$2:$A$501&amp;CHAR(10),H17)),0)),"")))</f>
        <v/>
      </c>
      <c r="J17" s="80" t="str">
        <f t="array" ref="J17">IF(I17="","",IFERROR(VALUE(TRIM(MID(SUBSTITUTE(INDEX(Wishlist!$A:$Z,ROW()-0,'List Setup'!$G$2),CHAR(10),REPT(" ",100)),((SEARCH(CHAR(10)&amp;I17&amp;CHAR(10),H17)-LEN(SUBSTITUTE(LEFT(H17,SEARCH(CHAR(10)&amp;I17&amp;CHAR(10),H17)),CHAR(10),"")))-1)*100+1,100))),""))</f>
        <v/>
      </c>
      <c r="K17" s="80" t="str">
        <f t="array" ref="K17">IF(A17="","",IF(ISNUMBER(SEARCH("Land",LEFT(IFERROR(INDEX(Wishlist!$A:$Z,ROW()-0,'List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7" s="80" t="str">
        <f t="shared" si="3"/>
        <v/>
      </c>
      <c r="M17" s="80" t="str">
        <f>IF(A17="","",IF(AND(E17="Y",B17='Use at Shop'!$B$4),K17*10000000000+(MAX(0,MIN(26,CODE(MID(UPPER(A17)&amp;"    ",1,1))-64))*19683+MAX(0,MIN(26,CODE(MID(UPPER(A17)&amp;"    ",2,1))-64))*729+MAX(0,MIN(26,CODE(MID(UPPER(A17)&amp;"    ",3,1))-64))*27+MAX(0,MIN(26,CODE(MID(UPPER(A17)&amp;"    ",4,1))-64))*1)*10000+ROW(),""))</f>
        <v/>
      </c>
      <c r="N17" s="80" t="str">
        <f t="shared" si="4"/>
        <v/>
      </c>
      <c r="O17" s="80" t="str">
        <f t="array" ref="O17">IF(A17="","",IFERROR(INDEX(Wishlist!$A:$Z,ROW()-0,'List Setup'!$J$2)&amp;"",""))</f>
        <v/>
      </c>
      <c r="P17" s="2"/>
      <c r="Q17" s="80" t="str">
        <f>IF(A17="","",'List Setup'!$A$2)</f>
        <v/>
      </c>
      <c r="R17" s="80" t="str">
        <f t="array" ref="R17">IF(A17="","",IFERROR(OR(INDEX(Binders!$J$6:$J$30,MATCH(Q17,Binders!$I$6:$I$30,0))=TRUE(),UPPER(INDEX(Binders!$J$6:$J$30,MATCH(Q17,Binders!$I$6:$I$30,0))&amp;"")="TRUE"),FALSE()))</f>
        <v/>
      </c>
    </row>
    <row r="18">
      <c r="A18" s="80" t="str">
        <f t="array" ref="A18">IF(INDEX(Wishlist!$A:$Z,ROW()-0,'List Setup'!$D$2)="","",INDEX(Wishlist!$A:$Z,ROW()-0,'List Setup'!$D$2))</f>
        <v/>
      </c>
      <c r="B18" s="80" t="str">
        <f t="array" ref="B18">IF(A18="","",IFERROR(INDEX('Binder Setup'!$B$2:$B$401,MIN(IF(ISNUMBER(SEARCH(CHAR(10)&amp;'Binder Setup'!$B$2:$B$401&amp;CHAR(10),$H18)),'List Setup'!$Q$2:$Q$401,999),IF(ISNUMBER(SEARCH(CHAR(10)&amp;'Set Aliases'!$A$2:$A$501&amp;CHAR(10),$H18)),'Set Aliases'!$C$2:$C$501,999))),"(none)"))</f>
        <v/>
      </c>
      <c r="C18" s="80" t="str">
        <f t="shared" si="1"/>
        <v/>
      </c>
      <c r="D18" s="80" t="str">
        <f t="array" ref="D18">IF(A18="","",IF(ISLOGICAL(INDEX(Wishlist!$A:$Z,ROW()-0,'List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8" s="80" t="str">
        <f t="shared" si="2"/>
        <v/>
      </c>
      <c r="F18" s="80" t="str">
        <f t="array" ref="F18">IF(A18="","",IF(ISNUMBER(J18),J18,IF(ISNUMBER(INDEX(Wishlist!$A:$Z,ROW()-0,'List Setup'!$F$2)),INDEX(Wishlist!$A:$Z,ROW()-0,'List Setup'!$F$2),0)))</f>
        <v/>
      </c>
      <c r="G18" s="80" t="str">
        <f t="array" ref="G18">IF(A18="","",A18&amp;IF(N(INDEX(Wishlist!$A:$Z,ROW()-0,'List Setup'!$C$2))&gt;1," (x"&amp;INDEX(Wishlist!$A:$Z,ROW()-0,'List Setup'!$C$2)&amp;")","")&amp;IF(COUNTIF(Binders!$J$6:$J$30,TRUE())&gt;1," ["&amp;Q18&amp;"]",""))</f>
        <v/>
      </c>
      <c r="H18" s="80" t="str">
        <f t="array" ref="H18">IF(A18="","",CHAR(10)&amp;INDEX(Wishlist!$A:$Z,ROW()-0,'List Setup'!$E$2)&amp;CHAR(10))</f>
        <v/>
      </c>
      <c r="I18" s="80" t="str">
        <f t="array" ref="I18">IF(OR(B18="",B18="(none)"),"",IF(ISNUMBER(SEARCH(CHAR(10)&amp;B18&amp;CHAR(10),H18)),B18,IFERROR(INDEX('Set Aliases'!$A$2:$A$501,MATCH(1,('Set Aliases'!$B$2:$B$501=B18)*ISNUMBER(SEARCH(CHAR(10)&amp;'Set Aliases'!$A$2:$A$501&amp;CHAR(10),H18)),0)),"")))</f>
        <v/>
      </c>
      <c r="J18" s="80" t="str">
        <f t="array" ref="J18">IF(I18="","",IFERROR(VALUE(TRIM(MID(SUBSTITUTE(INDEX(Wishlist!$A:$Z,ROW()-0,'List Setup'!$G$2),CHAR(10),REPT(" ",100)),((SEARCH(CHAR(10)&amp;I18&amp;CHAR(10),H18)-LEN(SUBSTITUTE(LEFT(H18,SEARCH(CHAR(10)&amp;I18&amp;CHAR(10),H18)),CHAR(10),"")))-1)*100+1,100))),""))</f>
        <v/>
      </c>
      <c r="K18" s="80" t="str">
        <f t="array" ref="K18">IF(A18="","",IF(ISNUMBER(SEARCH("Land",LEFT(IFERROR(INDEX(Wishlist!$A:$Z,ROW()-0,'List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8" s="80" t="str">
        <f t="shared" si="3"/>
        <v/>
      </c>
      <c r="M18" s="80" t="str">
        <f>IF(A18="","",IF(AND(E18="Y",B18='Use at Shop'!$B$4),K18*10000000000+(MAX(0,MIN(26,CODE(MID(UPPER(A18)&amp;"    ",1,1))-64))*19683+MAX(0,MIN(26,CODE(MID(UPPER(A18)&amp;"    ",2,1))-64))*729+MAX(0,MIN(26,CODE(MID(UPPER(A18)&amp;"    ",3,1))-64))*27+MAX(0,MIN(26,CODE(MID(UPPER(A18)&amp;"    ",4,1))-64))*1)*10000+ROW(),""))</f>
        <v/>
      </c>
      <c r="N18" s="80" t="str">
        <f t="shared" si="4"/>
        <v/>
      </c>
      <c r="O18" s="80" t="str">
        <f t="array" ref="O18">IF(A18="","",IFERROR(INDEX(Wishlist!$A:$Z,ROW()-0,'List Setup'!$J$2)&amp;"",""))</f>
        <v/>
      </c>
      <c r="P18" s="2"/>
      <c r="Q18" s="80" t="str">
        <f>IF(A18="","",'List Setup'!$A$2)</f>
        <v/>
      </c>
      <c r="R18" s="80" t="str">
        <f t="array" ref="R18">IF(A18="","",IFERROR(OR(INDEX(Binders!$J$6:$J$30,MATCH(Q18,Binders!$I$6:$I$30,0))=TRUE(),UPPER(INDEX(Binders!$J$6:$J$30,MATCH(Q18,Binders!$I$6:$I$30,0))&amp;"")="TRUE"),FALSE()))</f>
        <v/>
      </c>
    </row>
    <row r="19">
      <c r="A19" s="80" t="str">
        <f t="array" ref="A19">IF(INDEX(Wishlist!$A:$Z,ROW()-0,'List Setup'!$D$2)="","",INDEX(Wishlist!$A:$Z,ROW()-0,'List Setup'!$D$2))</f>
        <v/>
      </c>
      <c r="B19" s="80" t="str">
        <f t="array" ref="B19">IF(A19="","",IFERROR(INDEX('Binder Setup'!$B$2:$B$401,MIN(IF(ISNUMBER(SEARCH(CHAR(10)&amp;'Binder Setup'!$B$2:$B$401&amp;CHAR(10),$H19)),'List Setup'!$Q$2:$Q$401,999),IF(ISNUMBER(SEARCH(CHAR(10)&amp;'Set Aliases'!$A$2:$A$501&amp;CHAR(10),$H19)),'Set Aliases'!$C$2:$C$501,999))),"(none)"))</f>
        <v/>
      </c>
      <c r="C19" s="80" t="str">
        <f t="shared" si="1"/>
        <v/>
      </c>
      <c r="D19" s="80" t="str">
        <f t="array" ref="D19">IF(A19="","",IF(ISLOGICAL(INDEX(Wishlist!$A:$Z,ROW()-0,'List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9" s="80" t="str">
        <f t="shared" si="2"/>
        <v/>
      </c>
      <c r="F19" s="80" t="str">
        <f t="array" ref="F19">IF(A19="","",IF(ISNUMBER(J19),J19,IF(ISNUMBER(INDEX(Wishlist!$A:$Z,ROW()-0,'List Setup'!$F$2)),INDEX(Wishlist!$A:$Z,ROW()-0,'List Setup'!$F$2),0)))</f>
        <v/>
      </c>
      <c r="G19" s="80" t="str">
        <f t="array" ref="G19">IF(A19="","",A19&amp;IF(N(INDEX(Wishlist!$A:$Z,ROW()-0,'List Setup'!$C$2))&gt;1," (x"&amp;INDEX(Wishlist!$A:$Z,ROW()-0,'List Setup'!$C$2)&amp;")","")&amp;IF(COUNTIF(Binders!$J$6:$J$30,TRUE())&gt;1," ["&amp;Q19&amp;"]",""))</f>
        <v/>
      </c>
      <c r="H19" s="80" t="str">
        <f t="array" ref="H19">IF(A19="","",CHAR(10)&amp;INDEX(Wishlist!$A:$Z,ROW()-0,'List Setup'!$E$2)&amp;CHAR(10))</f>
        <v/>
      </c>
      <c r="I19" s="80" t="str">
        <f t="array" ref="I19">IF(OR(B19="",B19="(none)"),"",IF(ISNUMBER(SEARCH(CHAR(10)&amp;B19&amp;CHAR(10),H19)),B19,IFERROR(INDEX('Set Aliases'!$A$2:$A$501,MATCH(1,('Set Aliases'!$B$2:$B$501=B19)*ISNUMBER(SEARCH(CHAR(10)&amp;'Set Aliases'!$A$2:$A$501&amp;CHAR(10),H19)),0)),"")))</f>
        <v/>
      </c>
      <c r="J19" s="80" t="str">
        <f t="array" ref="J19">IF(I19="","",IFERROR(VALUE(TRIM(MID(SUBSTITUTE(INDEX(Wishlist!$A:$Z,ROW()-0,'List Setup'!$G$2),CHAR(10),REPT(" ",100)),((SEARCH(CHAR(10)&amp;I19&amp;CHAR(10),H19)-LEN(SUBSTITUTE(LEFT(H19,SEARCH(CHAR(10)&amp;I19&amp;CHAR(10),H19)),CHAR(10),"")))-1)*100+1,100))),""))</f>
        <v/>
      </c>
      <c r="K19" s="80" t="str">
        <f t="array" ref="K19">IF(A19="","",IF(ISNUMBER(SEARCH("Land",LEFT(IFERROR(INDEX(Wishlist!$A:$Z,ROW()-0,'List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9" s="80" t="str">
        <f t="shared" si="3"/>
        <v/>
      </c>
      <c r="M19" s="80" t="str">
        <f>IF(A19="","",IF(AND(E19="Y",B19='Use at Shop'!$B$4),K19*10000000000+(MAX(0,MIN(26,CODE(MID(UPPER(A19)&amp;"    ",1,1))-64))*19683+MAX(0,MIN(26,CODE(MID(UPPER(A19)&amp;"    ",2,1))-64))*729+MAX(0,MIN(26,CODE(MID(UPPER(A19)&amp;"    ",3,1))-64))*27+MAX(0,MIN(26,CODE(MID(UPPER(A19)&amp;"    ",4,1))-64))*1)*10000+ROW(),""))</f>
        <v/>
      </c>
      <c r="N19" s="80" t="str">
        <f t="shared" si="4"/>
        <v/>
      </c>
      <c r="O19" s="80" t="str">
        <f t="array" ref="O19">IF(A19="","",IFERROR(INDEX(Wishlist!$A:$Z,ROW()-0,'List Setup'!$J$2)&amp;"",""))</f>
        <v/>
      </c>
      <c r="P19" s="2"/>
      <c r="Q19" s="80" t="str">
        <f>IF(A19="","",'List Setup'!$A$2)</f>
        <v/>
      </c>
      <c r="R19" s="80" t="str">
        <f t="array" ref="R19">IF(A19="","",IFERROR(OR(INDEX(Binders!$J$6:$J$30,MATCH(Q19,Binders!$I$6:$I$30,0))=TRUE(),UPPER(INDEX(Binders!$J$6:$J$30,MATCH(Q19,Binders!$I$6:$I$30,0))&amp;"")="TRUE"),FALSE()))</f>
        <v/>
      </c>
    </row>
    <row r="20">
      <c r="A20" s="80" t="str">
        <f t="array" ref="A20">IF(INDEX(Wishlist!$A:$Z,ROW()-0,'List Setup'!$D$2)="","",INDEX(Wishlist!$A:$Z,ROW()-0,'List Setup'!$D$2))</f>
        <v/>
      </c>
      <c r="B20" s="80" t="str">
        <f t="array" ref="B20">IF(A20="","",IFERROR(INDEX('Binder Setup'!$B$2:$B$401,MIN(IF(ISNUMBER(SEARCH(CHAR(10)&amp;'Binder Setup'!$B$2:$B$401&amp;CHAR(10),$H20)),'List Setup'!$Q$2:$Q$401,999),IF(ISNUMBER(SEARCH(CHAR(10)&amp;'Set Aliases'!$A$2:$A$501&amp;CHAR(10),$H20)),'Set Aliases'!$C$2:$C$501,999))),"(none)"))</f>
        <v/>
      </c>
      <c r="C20" s="80" t="str">
        <f t="shared" si="1"/>
        <v/>
      </c>
      <c r="D20" s="80" t="str">
        <f t="array" ref="D20">IF(A20="","",IF(ISLOGICAL(INDEX(Wishlist!$A:$Z,ROW()-0,'List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0" s="80" t="str">
        <f t="shared" si="2"/>
        <v/>
      </c>
      <c r="F20" s="80" t="str">
        <f t="array" ref="F20">IF(A20="","",IF(ISNUMBER(J20),J20,IF(ISNUMBER(INDEX(Wishlist!$A:$Z,ROW()-0,'List Setup'!$F$2)),INDEX(Wishlist!$A:$Z,ROW()-0,'List Setup'!$F$2),0)))</f>
        <v/>
      </c>
      <c r="G20" s="80" t="str">
        <f t="array" ref="G20">IF(A20="","",A20&amp;IF(N(INDEX(Wishlist!$A:$Z,ROW()-0,'List Setup'!$C$2))&gt;1," (x"&amp;INDEX(Wishlist!$A:$Z,ROW()-0,'List Setup'!$C$2)&amp;")","")&amp;IF(COUNTIF(Binders!$J$6:$J$30,TRUE())&gt;1," ["&amp;Q20&amp;"]",""))</f>
        <v/>
      </c>
      <c r="H20" s="80" t="str">
        <f t="array" ref="H20">IF(A20="","",CHAR(10)&amp;INDEX(Wishlist!$A:$Z,ROW()-0,'List Setup'!$E$2)&amp;CHAR(10))</f>
        <v/>
      </c>
      <c r="I20" s="80" t="str">
        <f t="array" ref="I20">IF(OR(B20="",B20="(none)"),"",IF(ISNUMBER(SEARCH(CHAR(10)&amp;B20&amp;CHAR(10),H20)),B20,IFERROR(INDEX('Set Aliases'!$A$2:$A$501,MATCH(1,('Set Aliases'!$B$2:$B$501=B20)*ISNUMBER(SEARCH(CHAR(10)&amp;'Set Aliases'!$A$2:$A$501&amp;CHAR(10),H20)),0)),"")))</f>
        <v/>
      </c>
      <c r="J20" s="80" t="str">
        <f t="array" ref="J20">IF(I20="","",IFERROR(VALUE(TRIM(MID(SUBSTITUTE(INDEX(Wishlist!$A:$Z,ROW()-0,'List Setup'!$G$2),CHAR(10),REPT(" ",100)),((SEARCH(CHAR(10)&amp;I20&amp;CHAR(10),H20)-LEN(SUBSTITUTE(LEFT(H20,SEARCH(CHAR(10)&amp;I20&amp;CHAR(10),H20)),CHAR(10),"")))-1)*100+1,100))),""))</f>
        <v/>
      </c>
      <c r="K20" s="80" t="str">
        <f t="array" ref="K20">IF(A20="","",IF(ISNUMBER(SEARCH("Land",LEFT(IFERROR(INDEX(Wishlist!$A:$Z,ROW()-0,'List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0" s="80" t="str">
        <f t="shared" si="3"/>
        <v/>
      </c>
      <c r="M20" s="80" t="str">
        <f>IF(A20="","",IF(AND(E20="Y",B20='Use at Shop'!$B$4),K20*10000000000+(MAX(0,MIN(26,CODE(MID(UPPER(A20)&amp;"    ",1,1))-64))*19683+MAX(0,MIN(26,CODE(MID(UPPER(A20)&amp;"    ",2,1))-64))*729+MAX(0,MIN(26,CODE(MID(UPPER(A20)&amp;"    ",3,1))-64))*27+MAX(0,MIN(26,CODE(MID(UPPER(A20)&amp;"    ",4,1))-64))*1)*10000+ROW(),""))</f>
        <v/>
      </c>
      <c r="N20" s="80" t="str">
        <f t="shared" si="4"/>
        <v/>
      </c>
      <c r="O20" s="80" t="str">
        <f t="array" ref="O20">IF(A20="","",IFERROR(INDEX(Wishlist!$A:$Z,ROW()-0,'List Setup'!$J$2)&amp;"",""))</f>
        <v/>
      </c>
      <c r="P20" s="2"/>
      <c r="Q20" s="80" t="str">
        <f>IF(A20="","",'List Setup'!$A$2)</f>
        <v/>
      </c>
      <c r="R20" s="80" t="str">
        <f t="array" ref="R20">IF(A20="","",IFERROR(OR(INDEX(Binders!$J$6:$J$30,MATCH(Q20,Binders!$I$6:$I$30,0))=TRUE(),UPPER(INDEX(Binders!$J$6:$J$30,MATCH(Q20,Binders!$I$6:$I$30,0))&amp;"")="TRUE"),FALSE()))</f>
        <v/>
      </c>
    </row>
    <row r="21" ht="15.75" customHeight="1">
      <c r="A21" s="80" t="str">
        <f t="array" ref="A21">IF(INDEX(Wishlist!$A:$Z,ROW()-0,'List Setup'!$D$2)="","",INDEX(Wishlist!$A:$Z,ROW()-0,'List Setup'!$D$2))</f>
        <v/>
      </c>
      <c r="B21" s="80" t="str">
        <f t="array" ref="B21">IF(A21="","",IFERROR(INDEX('Binder Setup'!$B$2:$B$401,MIN(IF(ISNUMBER(SEARCH(CHAR(10)&amp;'Binder Setup'!$B$2:$B$401&amp;CHAR(10),$H21)),'List Setup'!$Q$2:$Q$401,999),IF(ISNUMBER(SEARCH(CHAR(10)&amp;'Set Aliases'!$A$2:$A$501&amp;CHAR(10),$H21)),'Set Aliases'!$C$2:$C$501,999))),"(none)"))</f>
        <v/>
      </c>
      <c r="C21" s="80" t="str">
        <f t="shared" si="1"/>
        <v/>
      </c>
      <c r="D21" s="80" t="str">
        <f t="array" ref="D21">IF(A21="","",IF(ISLOGICAL(INDEX(Wishlist!$A:$Z,ROW()-0,'List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1" s="80" t="str">
        <f t="shared" si="2"/>
        <v/>
      </c>
      <c r="F21" s="80" t="str">
        <f t="array" ref="F21">IF(A21="","",IF(ISNUMBER(J21),J21,IF(ISNUMBER(INDEX(Wishlist!$A:$Z,ROW()-0,'List Setup'!$F$2)),INDEX(Wishlist!$A:$Z,ROW()-0,'List Setup'!$F$2),0)))</f>
        <v/>
      </c>
      <c r="G21" s="80" t="str">
        <f t="array" ref="G21">IF(A21="","",A21&amp;IF(N(INDEX(Wishlist!$A:$Z,ROW()-0,'List Setup'!$C$2))&gt;1," (x"&amp;INDEX(Wishlist!$A:$Z,ROW()-0,'List Setup'!$C$2)&amp;")","")&amp;IF(COUNTIF(Binders!$J$6:$J$30,TRUE())&gt;1," ["&amp;Q21&amp;"]",""))</f>
        <v/>
      </c>
      <c r="H21" s="80" t="str">
        <f t="array" ref="H21">IF(A21="","",CHAR(10)&amp;INDEX(Wishlist!$A:$Z,ROW()-0,'List Setup'!$E$2)&amp;CHAR(10))</f>
        <v/>
      </c>
      <c r="I21" s="80" t="str">
        <f t="array" ref="I21">IF(OR(B21="",B21="(none)"),"",IF(ISNUMBER(SEARCH(CHAR(10)&amp;B21&amp;CHAR(10),H21)),B21,IFERROR(INDEX('Set Aliases'!$A$2:$A$501,MATCH(1,('Set Aliases'!$B$2:$B$501=B21)*ISNUMBER(SEARCH(CHAR(10)&amp;'Set Aliases'!$A$2:$A$501&amp;CHAR(10),H21)),0)),"")))</f>
        <v/>
      </c>
      <c r="J21" s="80" t="str">
        <f t="array" ref="J21">IF(I21="","",IFERROR(VALUE(TRIM(MID(SUBSTITUTE(INDEX(Wishlist!$A:$Z,ROW()-0,'List Setup'!$G$2),CHAR(10),REPT(" ",100)),((SEARCH(CHAR(10)&amp;I21&amp;CHAR(10),H21)-LEN(SUBSTITUTE(LEFT(H21,SEARCH(CHAR(10)&amp;I21&amp;CHAR(10),H21)),CHAR(10),"")))-1)*100+1,100))),""))</f>
        <v/>
      </c>
      <c r="K21" s="80" t="str">
        <f t="array" ref="K21">IF(A21="","",IF(ISNUMBER(SEARCH("Land",LEFT(IFERROR(INDEX(Wishlist!$A:$Z,ROW()-0,'List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1" s="80" t="str">
        <f t="shared" si="3"/>
        <v/>
      </c>
      <c r="M21" s="80" t="str">
        <f>IF(A21="","",IF(AND(E21="Y",B21='Use at Shop'!$B$4),K21*10000000000+(MAX(0,MIN(26,CODE(MID(UPPER(A21)&amp;"    ",1,1))-64))*19683+MAX(0,MIN(26,CODE(MID(UPPER(A21)&amp;"    ",2,1))-64))*729+MAX(0,MIN(26,CODE(MID(UPPER(A21)&amp;"    ",3,1))-64))*27+MAX(0,MIN(26,CODE(MID(UPPER(A21)&amp;"    ",4,1))-64))*1)*10000+ROW(),""))</f>
        <v/>
      </c>
      <c r="N21" s="80" t="str">
        <f t="shared" si="4"/>
        <v/>
      </c>
      <c r="O21" s="80" t="str">
        <f t="array" ref="O21">IF(A21="","",IFERROR(INDEX(Wishlist!$A:$Z,ROW()-0,'List Setup'!$J$2)&amp;"",""))</f>
        <v/>
      </c>
      <c r="P21" s="2"/>
      <c r="Q21" s="80" t="str">
        <f>IF(A21="","",'List Setup'!$A$2)</f>
        <v/>
      </c>
      <c r="R21" s="80" t="str">
        <f t="array" ref="R21">IF(A21="","",IFERROR(OR(INDEX(Binders!$J$6:$J$30,MATCH(Q21,Binders!$I$6:$I$30,0))=TRUE(),UPPER(INDEX(Binders!$J$6:$J$30,MATCH(Q21,Binders!$I$6:$I$30,0))&amp;"")="TRUE"),FALSE()))</f>
        <v/>
      </c>
    </row>
    <row r="22" ht="15.75" customHeight="1">
      <c r="A22" s="80" t="str">
        <f t="array" ref="A22">IF(INDEX(Wishlist!$A:$Z,ROW()-0,'List Setup'!$D$2)="","",INDEX(Wishlist!$A:$Z,ROW()-0,'List Setup'!$D$2))</f>
        <v/>
      </c>
      <c r="B22" s="80" t="str">
        <f t="array" ref="B22">IF(A22="","",IFERROR(INDEX('Binder Setup'!$B$2:$B$401,MIN(IF(ISNUMBER(SEARCH(CHAR(10)&amp;'Binder Setup'!$B$2:$B$401&amp;CHAR(10),$H22)),'List Setup'!$Q$2:$Q$401,999),IF(ISNUMBER(SEARCH(CHAR(10)&amp;'Set Aliases'!$A$2:$A$501&amp;CHAR(10),$H22)),'Set Aliases'!$C$2:$C$501,999))),"(none)"))</f>
        <v/>
      </c>
      <c r="C22" s="80" t="str">
        <f t="shared" si="1"/>
        <v/>
      </c>
      <c r="D22" s="80" t="str">
        <f t="array" ref="D22">IF(A22="","",IF(ISLOGICAL(INDEX(Wishlist!$A:$Z,ROW()-0,'List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2" s="80" t="str">
        <f t="shared" si="2"/>
        <v/>
      </c>
      <c r="F22" s="80" t="str">
        <f t="array" ref="F22">IF(A22="","",IF(ISNUMBER(J22),J22,IF(ISNUMBER(INDEX(Wishlist!$A:$Z,ROW()-0,'List Setup'!$F$2)),INDEX(Wishlist!$A:$Z,ROW()-0,'List Setup'!$F$2),0)))</f>
        <v/>
      </c>
      <c r="G22" s="80" t="str">
        <f t="array" ref="G22">IF(A22="","",A22&amp;IF(N(INDEX(Wishlist!$A:$Z,ROW()-0,'List Setup'!$C$2))&gt;1," (x"&amp;INDEX(Wishlist!$A:$Z,ROW()-0,'List Setup'!$C$2)&amp;")","")&amp;IF(COUNTIF(Binders!$J$6:$J$30,TRUE())&gt;1," ["&amp;Q22&amp;"]",""))</f>
        <v/>
      </c>
      <c r="H22" s="80" t="str">
        <f t="array" ref="H22">IF(A22="","",CHAR(10)&amp;INDEX(Wishlist!$A:$Z,ROW()-0,'List Setup'!$E$2)&amp;CHAR(10))</f>
        <v/>
      </c>
      <c r="I22" s="80" t="str">
        <f t="array" ref="I22">IF(OR(B22="",B22="(none)"),"",IF(ISNUMBER(SEARCH(CHAR(10)&amp;B22&amp;CHAR(10),H22)),B22,IFERROR(INDEX('Set Aliases'!$A$2:$A$501,MATCH(1,('Set Aliases'!$B$2:$B$501=B22)*ISNUMBER(SEARCH(CHAR(10)&amp;'Set Aliases'!$A$2:$A$501&amp;CHAR(10),H22)),0)),"")))</f>
        <v/>
      </c>
      <c r="J22" s="80" t="str">
        <f t="array" ref="J22">IF(I22="","",IFERROR(VALUE(TRIM(MID(SUBSTITUTE(INDEX(Wishlist!$A:$Z,ROW()-0,'List Setup'!$G$2),CHAR(10),REPT(" ",100)),((SEARCH(CHAR(10)&amp;I22&amp;CHAR(10),H22)-LEN(SUBSTITUTE(LEFT(H22,SEARCH(CHAR(10)&amp;I22&amp;CHAR(10),H22)),CHAR(10),"")))-1)*100+1,100))),""))</f>
        <v/>
      </c>
      <c r="K22" s="80" t="str">
        <f t="array" ref="K22">IF(A22="","",IF(ISNUMBER(SEARCH("Land",LEFT(IFERROR(INDEX(Wishlist!$A:$Z,ROW()-0,'List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2" s="80" t="str">
        <f t="shared" si="3"/>
        <v/>
      </c>
      <c r="M22" s="80" t="str">
        <f>IF(A22="","",IF(AND(E22="Y",B22='Use at Shop'!$B$4),K22*10000000000+(MAX(0,MIN(26,CODE(MID(UPPER(A22)&amp;"    ",1,1))-64))*19683+MAX(0,MIN(26,CODE(MID(UPPER(A22)&amp;"    ",2,1))-64))*729+MAX(0,MIN(26,CODE(MID(UPPER(A22)&amp;"    ",3,1))-64))*27+MAX(0,MIN(26,CODE(MID(UPPER(A22)&amp;"    ",4,1))-64))*1)*10000+ROW(),""))</f>
        <v/>
      </c>
      <c r="N22" s="80" t="str">
        <f t="shared" si="4"/>
        <v/>
      </c>
      <c r="O22" s="80" t="str">
        <f t="array" ref="O22">IF(A22="","",IFERROR(INDEX(Wishlist!$A:$Z,ROW()-0,'List Setup'!$J$2)&amp;"",""))</f>
        <v/>
      </c>
      <c r="P22" s="2"/>
      <c r="Q22" s="80" t="str">
        <f>IF(A22="","",'List Setup'!$A$2)</f>
        <v/>
      </c>
      <c r="R22" s="80" t="str">
        <f t="array" ref="R22">IF(A22="","",IFERROR(OR(INDEX(Binders!$J$6:$J$30,MATCH(Q22,Binders!$I$6:$I$30,0))=TRUE(),UPPER(INDEX(Binders!$J$6:$J$30,MATCH(Q22,Binders!$I$6:$I$30,0))&amp;"")="TRUE"),FALSE()))</f>
        <v/>
      </c>
    </row>
    <row r="23" ht="15.75" customHeight="1">
      <c r="A23" s="80" t="str">
        <f t="array" ref="A23">IF(INDEX(Wishlist!$A:$Z,ROW()-0,'List Setup'!$D$2)="","",INDEX(Wishlist!$A:$Z,ROW()-0,'List Setup'!$D$2))</f>
        <v/>
      </c>
      <c r="B23" s="80" t="str">
        <f t="array" ref="B23">IF(A23="","",IFERROR(INDEX('Binder Setup'!$B$2:$B$401,MIN(IF(ISNUMBER(SEARCH(CHAR(10)&amp;'Binder Setup'!$B$2:$B$401&amp;CHAR(10),$H23)),'List Setup'!$Q$2:$Q$401,999),IF(ISNUMBER(SEARCH(CHAR(10)&amp;'Set Aliases'!$A$2:$A$501&amp;CHAR(10),$H23)),'Set Aliases'!$C$2:$C$501,999))),"(none)"))</f>
        <v/>
      </c>
      <c r="C23" s="80" t="str">
        <f t="shared" si="1"/>
        <v/>
      </c>
      <c r="D23" s="80" t="str">
        <f t="array" ref="D23">IF(A23="","",IF(ISLOGICAL(INDEX(Wishlist!$A:$Z,ROW()-0,'List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3" s="80" t="str">
        <f t="shared" si="2"/>
        <v/>
      </c>
      <c r="F23" s="80" t="str">
        <f t="array" ref="F23">IF(A23="","",IF(ISNUMBER(J23),J23,IF(ISNUMBER(INDEX(Wishlist!$A:$Z,ROW()-0,'List Setup'!$F$2)),INDEX(Wishlist!$A:$Z,ROW()-0,'List Setup'!$F$2),0)))</f>
        <v/>
      </c>
      <c r="G23" s="80" t="str">
        <f t="array" ref="G23">IF(A23="","",A23&amp;IF(N(INDEX(Wishlist!$A:$Z,ROW()-0,'List Setup'!$C$2))&gt;1," (x"&amp;INDEX(Wishlist!$A:$Z,ROW()-0,'List Setup'!$C$2)&amp;")","")&amp;IF(COUNTIF(Binders!$J$6:$J$30,TRUE())&gt;1," ["&amp;Q23&amp;"]",""))</f>
        <v/>
      </c>
      <c r="H23" s="80" t="str">
        <f t="array" ref="H23">IF(A23="","",CHAR(10)&amp;INDEX(Wishlist!$A:$Z,ROW()-0,'List Setup'!$E$2)&amp;CHAR(10))</f>
        <v/>
      </c>
      <c r="I23" s="80" t="str">
        <f t="array" ref="I23">IF(OR(B23="",B23="(none)"),"",IF(ISNUMBER(SEARCH(CHAR(10)&amp;B23&amp;CHAR(10),H23)),B23,IFERROR(INDEX('Set Aliases'!$A$2:$A$501,MATCH(1,('Set Aliases'!$B$2:$B$501=B23)*ISNUMBER(SEARCH(CHAR(10)&amp;'Set Aliases'!$A$2:$A$501&amp;CHAR(10),H23)),0)),"")))</f>
        <v/>
      </c>
      <c r="J23" s="80" t="str">
        <f t="array" ref="J23">IF(I23="","",IFERROR(VALUE(TRIM(MID(SUBSTITUTE(INDEX(Wishlist!$A:$Z,ROW()-0,'List Setup'!$G$2),CHAR(10),REPT(" ",100)),((SEARCH(CHAR(10)&amp;I23&amp;CHAR(10),H23)-LEN(SUBSTITUTE(LEFT(H23,SEARCH(CHAR(10)&amp;I23&amp;CHAR(10),H23)),CHAR(10),"")))-1)*100+1,100))),""))</f>
        <v/>
      </c>
      <c r="K23" s="80" t="str">
        <f t="array" ref="K23">IF(A23="","",IF(ISNUMBER(SEARCH("Land",LEFT(IFERROR(INDEX(Wishlist!$A:$Z,ROW()-0,'List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3" s="80" t="str">
        <f t="shared" si="3"/>
        <v/>
      </c>
      <c r="M23" s="80" t="str">
        <f>IF(A23="","",IF(AND(E23="Y",B23='Use at Shop'!$B$4),K23*10000000000+(MAX(0,MIN(26,CODE(MID(UPPER(A23)&amp;"    ",1,1))-64))*19683+MAX(0,MIN(26,CODE(MID(UPPER(A23)&amp;"    ",2,1))-64))*729+MAX(0,MIN(26,CODE(MID(UPPER(A23)&amp;"    ",3,1))-64))*27+MAX(0,MIN(26,CODE(MID(UPPER(A23)&amp;"    ",4,1))-64))*1)*10000+ROW(),""))</f>
        <v/>
      </c>
      <c r="N23" s="80" t="str">
        <f t="shared" si="4"/>
        <v/>
      </c>
      <c r="O23" s="80" t="str">
        <f t="array" ref="O23">IF(A23="","",IFERROR(INDEX(Wishlist!$A:$Z,ROW()-0,'List Setup'!$J$2)&amp;"",""))</f>
        <v/>
      </c>
      <c r="P23" s="2"/>
      <c r="Q23" s="80" t="str">
        <f>IF(A23="","",'List Setup'!$A$2)</f>
        <v/>
      </c>
      <c r="R23" s="80" t="str">
        <f t="array" ref="R23">IF(A23="","",IFERROR(OR(INDEX(Binders!$J$6:$J$30,MATCH(Q23,Binders!$I$6:$I$30,0))=TRUE(),UPPER(INDEX(Binders!$J$6:$J$30,MATCH(Q23,Binders!$I$6:$I$30,0))&amp;"")="TRUE"),FALSE()))</f>
        <v/>
      </c>
    </row>
    <row r="24" ht="15.75" customHeight="1">
      <c r="A24" s="80" t="str">
        <f t="array" ref="A24">IF(INDEX(Wishlist!$A:$Z,ROW()-0,'List Setup'!$D$2)="","",INDEX(Wishlist!$A:$Z,ROW()-0,'List Setup'!$D$2))</f>
        <v/>
      </c>
      <c r="B24" s="80" t="str">
        <f t="array" ref="B24">IF(A24="","",IFERROR(INDEX('Binder Setup'!$B$2:$B$401,MIN(IF(ISNUMBER(SEARCH(CHAR(10)&amp;'Binder Setup'!$B$2:$B$401&amp;CHAR(10),$H24)),'List Setup'!$Q$2:$Q$401,999),IF(ISNUMBER(SEARCH(CHAR(10)&amp;'Set Aliases'!$A$2:$A$501&amp;CHAR(10),$H24)),'Set Aliases'!$C$2:$C$501,999))),"(none)"))</f>
        <v/>
      </c>
      <c r="C24" s="80" t="str">
        <f t="shared" si="1"/>
        <v/>
      </c>
      <c r="D24" s="80" t="str">
        <f t="array" ref="D24">IF(A24="","",IF(ISLOGICAL(INDEX(Wishlist!$A:$Z,ROW()-0,'List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4" s="80" t="str">
        <f t="shared" si="2"/>
        <v/>
      </c>
      <c r="F24" s="80" t="str">
        <f t="array" ref="F24">IF(A24="","",IF(ISNUMBER(J24),J24,IF(ISNUMBER(INDEX(Wishlist!$A:$Z,ROW()-0,'List Setup'!$F$2)),INDEX(Wishlist!$A:$Z,ROW()-0,'List Setup'!$F$2),0)))</f>
        <v/>
      </c>
      <c r="G24" s="80" t="str">
        <f t="array" ref="G24">IF(A24="","",A24&amp;IF(N(INDEX(Wishlist!$A:$Z,ROW()-0,'List Setup'!$C$2))&gt;1," (x"&amp;INDEX(Wishlist!$A:$Z,ROW()-0,'List Setup'!$C$2)&amp;")","")&amp;IF(COUNTIF(Binders!$J$6:$J$30,TRUE())&gt;1," ["&amp;Q24&amp;"]",""))</f>
        <v/>
      </c>
      <c r="H24" s="80" t="str">
        <f t="array" ref="H24">IF(A24="","",CHAR(10)&amp;INDEX(Wishlist!$A:$Z,ROW()-0,'List Setup'!$E$2)&amp;CHAR(10))</f>
        <v/>
      </c>
      <c r="I24" s="80" t="str">
        <f t="array" ref="I24">IF(OR(B24="",B24="(none)"),"",IF(ISNUMBER(SEARCH(CHAR(10)&amp;B24&amp;CHAR(10),H24)),B24,IFERROR(INDEX('Set Aliases'!$A$2:$A$501,MATCH(1,('Set Aliases'!$B$2:$B$501=B24)*ISNUMBER(SEARCH(CHAR(10)&amp;'Set Aliases'!$A$2:$A$501&amp;CHAR(10),H24)),0)),"")))</f>
        <v/>
      </c>
      <c r="J24" s="80" t="str">
        <f t="array" ref="J24">IF(I24="","",IFERROR(VALUE(TRIM(MID(SUBSTITUTE(INDEX(Wishlist!$A:$Z,ROW()-0,'List Setup'!$G$2),CHAR(10),REPT(" ",100)),((SEARCH(CHAR(10)&amp;I24&amp;CHAR(10),H24)-LEN(SUBSTITUTE(LEFT(H24,SEARCH(CHAR(10)&amp;I24&amp;CHAR(10),H24)),CHAR(10),"")))-1)*100+1,100))),""))</f>
        <v/>
      </c>
      <c r="K24" s="80" t="str">
        <f t="array" ref="K24">IF(A24="","",IF(ISNUMBER(SEARCH("Land",LEFT(IFERROR(INDEX(Wishlist!$A:$Z,ROW()-0,'List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4" s="80" t="str">
        <f t="shared" si="3"/>
        <v/>
      </c>
      <c r="M24" s="80" t="str">
        <f>IF(A24="","",IF(AND(E24="Y",B24='Use at Shop'!$B$4),K24*10000000000+(MAX(0,MIN(26,CODE(MID(UPPER(A24)&amp;"    ",1,1))-64))*19683+MAX(0,MIN(26,CODE(MID(UPPER(A24)&amp;"    ",2,1))-64))*729+MAX(0,MIN(26,CODE(MID(UPPER(A24)&amp;"    ",3,1))-64))*27+MAX(0,MIN(26,CODE(MID(UPPER(A24)&amp;"    ",4,1))-64))*1)*10000+ROW(),""))</f>
        <v/>
      </c>
      <c r="N24" s="80" t="str">
        <f t="shared" si="4"/>
        <v/>
      </c>
      <c r="O24" s="80" t="str">
        <f t="array" ref="O24">IF(A24="","",IFERROR(INDEX(Wishlist!$A:$Z,ROW()-0,'List Setup'!$J$2)&amp;"",""))</f>
        <v/>
      </c>
      <c r="P24" s="2"/>
      <c r="Q24" s="80" t="str">
        <f>IF(A24="","",'List Setup'!$A$2)</f>
        <v/>
      </c>
      <c r="R24" s="80" t="str">
        <f t="array" ref="R24">IF(A24="","",IFERROR(OR(INDEX(Binders!$J$6:$J$30,MATCH(Q24,Binders!$I$6:$I$30,0))=TRUE(),UPPER(INDEX(Binders!$J$6:$J$30,MATCH(Q24,Binders!$I$6:$I$30,0))&amp;"")="TRUE"),FALSE()))</f>
        <v/>
      </c>
    </row>
    <row r="25" ht="15.75" customHeight="1">
      <c r="A25" s="80" t="str">
        <f t="array" ref="A25">IF(INDEX(Wishlist!$A:$Z,ROW()-0,'List Setup'!$D$2)="","",INDEX(Wishlist!$A:$Z,ROW()-0,'List Setup'!$D$2))</f>
        <v/>
      </c>
      <c r="B25" s="80" t="str">
        <f t="array" ref="B25">IF(A25="","",IFERROR(INDEX('Binder Setup'!$B$2:$B$401,MIN(IF(ISNUMBER(SEARCH(CHAR(10)&amp;'Binder Setup'!$B$2:$B$401&amp;CHAR(10),$H25)),'List Setup'!$Q$2:$Q$401,999),IF(ISNUMBER(SEARCH(CHAR(10)&amp;'Set Aliases'!$A$2:$A$501&amp;CHAR(10),$H25)),'Set Aliases'!$C$2:$C$501,999))),"(none)"))</f>
        <v/>
      </c>
      <c r="C25" s="80" t="str">
        <f t="shared" si="1"/>
        <v/>
      </c>
      <c r="D25" s="80" t="str">
        <f t="array" ref="D25">IF(A25="","",IF(ISLOGICAL(INDEX(Wishlist!$A:$Z,ROW()-0,'List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5" s="80" t="str">
        <f t="shared" si="2"/>
        <v/>
      </c>
      <c r="F25" s="80" t="str">
        <f t="array" ref="F25">IF(A25="","",IF(ISNUMBER(J25),J25,IF(ISNUMBER(INDEX(Wishlist!$A:$Z,ROW()-0,'List Setup'!$F$2)),INDEX(Wishlist!$A:$Z,ROW()-0,'List Setup'!$F$2),0)))</f>
        <v/>
      </c>
      <c r="G25" s="80" t="str">
        <f t="array" ref="G25">IF(A25="","",A25&amp;IF(N(INDEX(Wishlist!$A:$Z,ROW()-0,'List Setup'!$C$2))&gt;1," (x"&amp;INDEX(Wishlist!$A:$Z,ROW()-0,'List Setup'!$C$2)&amp;")","")&amp;IF(COUNTIF(Binders!$J$6:$J$30,TRUE())&gt;1," ["&amp;Q25&amp;"]",""))</f>
        <v/>
      </c>
      <c r="H25" s="80" t="str">
        <f t="array" ref="H25">IF(A25="","",CHAR(10)&amp;INDEX(Wishlist!$A:$Z,ROW()-0,'List Setup'!$E$2)&amp;CHAR(10))</f>
        <v/>
      </c>
      <c r="I25" s="80" t="str">
        <f t="array" ref="I25">IF(OR(B25="",B25="(none)"),"",IF(ISNUMBER(SEARCH(CHAR(10)&amp;B25&amp;CHAR(10),H25)),B25,IFERROR(INDEX('Set Aliases'!$A$2:$A$501,MATCH(1,('Set Aliases'!$B$2:$B$501=B25)*ISNUMBER(SEARCH(CHAR(10)&amp;'Set Aliases'!$A$2:$A$501&amp;CHAR(10),H25)),0)),"")))</f>
        <v/>
      </c>
      <c r="J25" s="80" t="str">
        <f t="array" ref="J25">IF(I25="","",IFERROR(VALUE(TRIM(MID(SUBSTITUTE(INDEX(Wishlist!$A:$Z,ROW()-0,'List Setup'!$G$2),CHAR(10),REPT(" ",100)),((SEARCH(CHAR(10)&amp;I25&amp;CHAR(10),H25)-LEN(SUBSTITUTE(LEFT(H25,SEARCH(CHAR(10)&amp;I25&amp;CHAR(10),H25)),CHAR(10),"")))-1)*100+1,100))),""))</f>
        <v/>
      </c>
      <c r="K25" s="80" t="str">
        <f t="array" ref="K25">IF(A25="","",IF(ISNUMBER(SEARCH("Land",LEFT(IFERROR(INDEX(Wishlist!$A:$Z,ROW()-0,'List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5" s="80" t="str">
        <f t="shared" si="3"/>
        <v/>
      </c>
      <c r="M25" s="80" t="str">
        <f>IF(A25="","",IF(AND(E25="Y",B25='Use at Shop'!$B$4),K25*10000000000+(MAX(0,MIN(26,CODE(MID(UPPER(A25)&amp;"    ",1,1))-64))*19683+MAX(0,MIN(26,CODE(MID(UPPER(A25)&amp;"    ",2,1))-64))*729+MAX(0,MIN(26,CODE(MID(UPPER(A25)&amp;"    ",3,1))-64))*27+MAX(0,MIN(26,CODE(MID(UPPER(A25)&amp;"    ",4,1))-64))*1)*10000+ROW(),""))</f>
        <v/>
      </c>
      <c r="N25" s="80" t="str">
        <f t="shared" si="4"/>
        <v/>
      </c>
      <c r="O25" s="80" t="str">
        <f t="array" ref="O25">IF(A25="","",IFERROR(INDEX(Wishlist!$A:$Z,ROW()-0,'List Setup'!$J$2)&amp;"",""))</f>
        <v/>
      </c>
      <c r="P25" s="2"/>
      <c r="Q25" s="80" t="str">
        <f>IF(A25="","",'List Setup'!$A$2)</f>
        <v/>
      </c>
      <c r="R25" s="80" t="str">
        <f t="array" ref="R25">IF(A25="","",IFERROR(OR(INDEX(Binders!$J$6:$J$30,MATCH(Q25,Binders!$I$6:$I$30,0))=TRUE(),UPPER(INDEX(Binders!$J$6:$J$30,MATCH(Q25,Binders!$I$6:$I$30,0))&amp;"")="TRUE"),FALSE()))</f>
        <v/>
      </c>
    </row>
    <row r="26" ht="15.75" customHeight="1">
      <c r="A26" s="80" t="str">
        <f t="array" ref="A26">IF(INDEX(Wishlist!$A:$Z,ROW()-0,'List Setup'!$D$2)="","",INDEX(Wishlist!$A:$Z,ROW()-0,'List Setup'!$D$2))</f>
        <v/>
      </c>
      <c r="B26" s="80" t="str">
        <f t="array" ref="B26">IF(A26="","",IFERROR(INDEX('Binder Setup'!$B$2:$B$401,MIN(IF(ISNUMBER(SEARCH(CHAR(10)&amp;'Binder Setup'!$B$2:$B$401&amp;CHAR(10),$H26)),'List Setup'!$Q$2:$Q$401,999),IF(ISNUMBER(SEARCH(CHAR(10)&amp;'Set Aliases'!$A$2:$A$501&amp;CHAR(10),$H26)),'Set Aliases'!$C$2:$C$501,999))),"(none)"))</f>
        <v/>
      </c>
      <c r="C26" s="80" t="str">
        <f t="shared" si="1"/>
        <v/>
      </c>
      <c r="D26" s="80" t="str">
        <f t="array" ref="D26">IF(A26="","",IF(ISLOGICAL(INDEX(Wishlist!$A:$Z,ROW()-0,'List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6" s="80" t="str">
        <f t="shared" si="2"/>
        <v/>
      </c>
      <c r="F26" s="80" t="str">
        <f t="array" ref="F26">IF(A26="","",IF(ISNUMBER(J26),J26,IF(ISNUMBER(INDEX(Wishlist!$A:$Z,ROW()-0,'List Setup'!$F$2)),INDEX(Wishlist!$A:$Z,ROW()-0,'List Setup'!$F$2),0)))</f>
        <v/>
      </c>
      <c r="G26" s="80" t="str">
        <f t="array" ref="G26">IF(A26="","",A26&amp;IF(N(INDEX(Wishlist!$A:$Z,ROW()-0,'List Setup'!$C$2))&gt;1," (x"&amp;INDEX(Wishlist!$A:$Z,ROW()-0,'List Setup'!$C$2)&amp;")","")&amp;IF(COUNTIF(Binders!$J$6:$J$30,TRUE())&gt;1," ["&amp;Q26&amp;"]",""))</f>
        <v/>
      </c>
      <c r="H26" s="80" t="str">
        <f t="array" ref="H26">IF(A26="","",CHAR(10)&amp;INDEX(Wishlist!$A:$Z,ROW()-0,'List Setup'!$E$2)&amp;CHAR(10))</f>
        <v/>
      </c>
      <c r="I26" s="80" t="str">
        <f t="array" ref="I26">IF(OR(B26="",B26="(none)"),"",IF(ISNUMBER(SEARCH(CHAR(10)&amp;B26&amp;CHAR(10),H26)),B26,IFERROR(INDEX('Set Aliases'!$A$2:$A$501,MATCH(1,('Set Aliases'!$B$2:$B$501=B26)*ISNUMBER(SEARCH(CHAR(10)&amp;'Set Aliases'!$A$2:$A$501&amp;CHAR(10),H26)),0)),"")))</f>
        <v/>
      </c>
      <c r="J26" s="80" t="str">
        <f t="array" ref="J26">IF(I26="","",IFERROR(VALUE(TRIM(MID(SUBSTITUTE(INDEX(Wishlist!$A:$Z,ROW()-0,'List Setup'!$G$2),CHAR(10),REPT(" ",100)),((SEARCH(CHAR(10)&amp;I26&amp;CHAR(10),H26)-LEN(SUBSTITUTE(LEFT(H26,SEARCH(CHAR(10)&amp;I26&amp;CHAR(10),H26)),CHAR(10),"")))-1)*100+1,100))),""))</f>
        <v/>
      </c>
      <c r="K26" s="80" t="str">
        <f t="array" ref="K26">IF(A26="","",IF(ISNUMBER(SEARCH("Land",LEFT(IFERROR(INDEX(Wishlist!$A:$Z,ROW()-0,'List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6" s="80" t="str">
        <f t="shared" si="3"/>
        <v/>
      </c>
      <c r="M26" s="80" t="str">
        <f>IF(A26="","",IF(AND(E26="Y",B26='Use at Shop'!$B$4),K26*10000000000+(MAX(0,MIN(26,CODE(MID(UPPER(A26)&amp;"    ",1,1))-64))*19683+MAX(0,MIN(26,CODE(MID(UPPER(A26)&amp;"    ",2,1))-64))*729+MAX(0,MIN(26,CODE(MID(UPPER(A26)&amp;"    ",3,1))-64))*27+MAX(0,MIN(26,CODE(MID(UPPER(A26)&amp;"    ",4,1))-64))*1)*10000+ROW(),""))</f>
        <v/>
      </c>
      <c r="N26" s="80" t="str">
        <f t="shared" si="4"/>
        <v/>
      </c>
      <c r="O26" s="80" t="str">
        <f t="array" ref="O26">IF(A26="","",IFERROR(INDEX(Wishlist!$A:$Z,ROW()-0,'List Setup'!$J$2)&amp;"",""))</f>
        <v/>
      </c>
      <c r="P26" s="2"/>
      <c r="Q26" s="80" t="str">
        <f>IF(A26="","",'List Setup'!$A$2)</f>
        <v/>
      </c>
      <c r="R26" s="80" t="str">
        <f t="array" ref="R26">IF(A26="","",IFERROR(OR(INDEX(Binders!$J$6:$J$30,MATCH(Q26,Binders!$I$6:$I$30,0))=TRUE(),UPPER(INDEX(Binders!$J$6:$J$30,MATCH(Q26,Binders!$I$6:$I$30,0))&amp;"")="TRUE"),FALSE()))</f>
        <v/>
      </c>
    </row>
    <row r="27" ht="15.75" customHeight="1">
      <c r="A27" s="80" t="str">
        <f t="array" ref="A27">IF(INDEX(Wishlist!$A:$Z,ROW()-0,'List Setup'!$D$2)="","",INDEX(Wishlist!$A:$Z,ROW()-0,'List Setup'!$D$2))</f>
        <v/>
      </c>
      <c r="B27" s="80" t="str">
        <f t="array" ref="B27">IF(A27="","",IFERROR(INDEX('Binder Setup'!$B$2:$B$401,MIN(IF(ISNUMBER(SEARCH(CHAR(10)&amp;'Binder Setup'!$B$2:$B$401&amp;CHAR(10),$H27)),'List Setup'!$Q$2:$Q$401,999),IF(ISNUMBER(SEARCH(CHAR(10)&amp;'Set Aliases'!$A$2:$A$501&amp;CHAR(10),$H27)),'Set Aliases'!$C$2:$C$501,999))),"(none)"))</f>
        <v/>
      </c>
      <c r="C27" s="80" t="str">
        <f t="shared" si="1"/>
        <v/>
      </c>
      <c r="D27" s="80" t="str">
        <f t="array" ref="D27">IF(A27="","",IF(ISLOGICAL(INDEX(Wishlist!$A:$Z,ROW()-0,'List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7" s="80" t="str">
        <f t="shared" si="2"/>
        <v/>
      </c>
      <c r="F27" s="80" t="str">
        <f t="array" ref="F27">IF(A27="","",IF(ISNUMBER(J27),J27,IF(ISNUMBER(INDEX(Wishlist!$A:$Z,ROW()-0,'List Setup'!$F$2)),INDEX(Wishlist!$A:$Z,ROW()-0,'List Setup'!$F$2),0)))</f>
        <v/>
      </c>
      <c r="G27" s="80" t="str">
        <f t="array" ref="G27">IF(A27="","",A27&amp;IF(N(INDEX(Wishlist!$A:$Z,ROW()-0,'List Setup'!$C$2))&gt;1," (x"&amp;INDEX(Wishlist!$A:$Z,ROW()-0,'List Setup'!$C$2)&amp;")","")&amp;IF(COUNTIF(Binders!$J$6:$J$30,TRUE())&gt;1," ["&amp;Q27&amp;"]",""))</f>
        <v/>
      </c>
      <c r="H27" s="80" t="str">
        <f t="array" ref="H27">IF(A27="","",CHAR(10)&amp;INDEX(Wishlist!$A:$Z,ROW()-0,'List Setup'!$E$2)&amp;CHAR(10))</f>
        <v/>
      </c>
      <c r="I27" s="80" t="str">
        <f t="array" ref="I27">IF(OR(B27="",B27="(none)"),"",IF(ISNUMBER(SEARCH(CHAR(10)&amp;B27&amp;CHAR(10),H27)),B27,IFERROR(INDEX('Set Aliases'!$A$2:$A$501,MATCH(1,('Set Aliases'!$B$2:$B$501=B27)*ISNUMBER(SEARCH(CHAR(10)&amp;'Set Aliases'!$A$2:$A$501&amp;CHAR(10),H27)),0)),"")))</f>
        <v/>
      </c>
      <c r="J27" s="80" t="str">
        <f t="array" ref="J27">IF(I27="","",IFERROR(VALUE(TRIM(MID(SUBSTITUTE(INDEX(Wishlist!$A:$Z,ROW()-0,'List Setup'!$G$2),CHAR(10),REPT(" ",100)),((SEARCH(CHAR(10)&amp;I27&amp;CHAR(10),H27)-LEN(SUBSTITUTE(LEFT(H27,SEARCH(CHAR(10)&amp;I27&amp;CHAR(10),H27)),CHAR(10),"")))-1)*100+1,100))),""))</f>
        <v/>
      </c>
      <c r="K27" s="80" t="str">
        <f t="array" ref="K27">IF(A27="","",IF(ISNUMBER(SEARCH("Land",LEFT(IFERROR(INDEX(Wishlist!$A:$Z,ROW()-0,'List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7" s="80" t="str">
        <f t="shared" si="3"/>
        <v/>
      </c>
      <c r="M27" s="80" t="str">
        <f>IF(A27="","",IF(AND(E27="Y",B27='Use at Shop'!$B$4),K27*10000000000+(MAX(0,MIN(26,CODE(MID(UPPER(A27)&amp;"    ",1,1))-64))*19683+MAX(0,MIN(26,CODE(MID(UPPER(A27)&amp;"    ",2,1))-64))*729+MAX(0,MIN(26,CODE(MID(UPPER(A27)&amp;"    ",3,1))-64))*27+MAX(0,MIN(26,CODE(MID(UPPER(A27)&amp;"    ",4,1))-64))*1)*10000+ROW(),""))</f>
        <v/>
      </c>
      <c r="N27" s="80" t="str">
        <f t="shared" si="4"/>
        <v/>
      </c>
      <c r="O27" s="80" t="str">
        <f t="array" ref="O27">IF(A27="","",IFERROR(INDEX(Wishlist!$A:$Z,ROW()-0,'List Setup'!$J$2)&amp;"",""))</f>
        <v/>
      </c>
      <c r="P27" s="2"/>
      <c r="Q27" s="80" t="str">
        <f>IF(A27="","",'List Setup'!$A$2)</f>
        <v/>
      </c>
      <c r="R27" s="80" t="str">
        <f t="array" ref="R27">IF(A27="","",IFERROR(OR(INDEX(Binders!$J$6:$J$30,MATCH(Q27,Binders!$I$6:$I$30,0))=TRUE(),UPPER(INDEX(Binders!$J$6:$J$30,MATCH(Q27,Binders!$I$6:$I$30,0))&amp;"")="TRUE"),FALSE()))</f>
        <v/>
      </c>
    </row>
    <row r="28" ht="15.75" customHeight="1">
      <c r="A28" s="80" t="str">
        <f t="array" ref="A28">IF(INDEX(Wishlist!$A:$Z,ROW()-0,'List Setup'!$D$2)="","",INDEX(Wishlist!$A:$Z,ROW()-0,'List Setup'!$D$2))</f>
        <v/>
      </c>
      <c r="B28" s="80" t="str">
        <f t="array" ref="B28">IF(A28="","",IFERROR(INDEX('Binder Setup'!$B$2:$B$401,MIN(IF(ISNUMBER(SEARCH(CHAR(10)&amp;'Binder Setup'!$B$2:$B$401&amp;CHAR(10),$H28)),'List Setup'!$Q$2:$Q$401,999),IF(ISNUMBER(SEARCH(CHAR(10)&amp;'Set Aliases'!$A$2:$A$501&amp;CHAR(10),$H28)),'Set Aliases'!$C$2:$C$501,999))),"(none)"))</f>
        <v/>
      </c>
      <c r="C28" s="80" t="str">
        <f t="shared" si="1"/>
        <v/>
      </c>
      <c r="D28" s="80" t="str">
        <f t="array" ref="D28">IF(A28="","",IF(ISLOGICAL(INDEX(Wishlist!$A:$Z,ROW()-0,'List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8" s="80" t="str">
        <f t="shared" si="2"/>
        <v/>
      </c>
      <c r="F28" s="80" t="str">
        <f t="array" ref="F28">IF(A28="","",IF(ISNUMBER(J28),J28,IF(ISNUMBER(INDEX(Wishlist!$A:$Z,ROW()-0,'List Setup'!$F$2)),INDEX(Wishlist!$A:$Z,ROW()-0,'List Setup'!$F$2),0)))</f>
        <v/>
      </c>
      <c r="G28" s="80" t="str">
        <f t="array" ref="G28">IF(A28="","",A28&amp;IF(N(INDEX(Wishlist!$A:$Z,ROW()-0,'List Setup'!$C$2))&gt;1," (x"&amp;INDEX(Wishlist!$A:$Z,ROW()-0,'List Setup'!$C$2)&amp;")","")&amp;IF(COUNTIF(Binders!$J$6:$J$30,TRUE())&gt;1," ["&amp;Q28&amp;"]",""))</f>
        <v/>
      </c>
      <c r="H28" s="80" t="str">
        <f t="array" ref="H28">IF(A28="","",CHAR(10)&amp;INDEX(Wishlist!$A:$Z,ROW()-0,'List Setup'!$E$2)&amp;CHAR(10))</f>
        <v/>
      </c>
      <c r="I28" s="80" t="str">
        <f t="array" ref="I28">IF(OR(B28="",B28="(none)"),"",IF(ISNUMBER(SEARCH(CHAR(10)&amp;B28&amp;CHAR(10),H28)),B28,IFERROR(INDEX('Set Aliases'!$A$2:$A$501,MATCH(1,('Set Aliases'!$B$2:$B$501=B28)*ISNUMBER(SEARCH(CHAR(10)&amp;'Set Aliases'!$A$2:$A$501&amp;CHAR(10),H28)),0)),"")))</f>
        <v/>
      </c>
      <c r="J28" s="80" t="str">
        <f t="array" ref="J28">IF(I28="","",IFERROR(VALUE(TRIM(MID(SUBSTITUTE(INDEX(Wishlist!$A:$Z,ROW()-0,'List Setup'!$G$2),CHAR(10),REPT(" ",100)),((SEARCH(CHAR(10)&amp;I28&amp;CHAR(10),H28)-LEN(SUBSTITUTE(LEFT(H28,SEARCH(CHAR(10)&amp;I28&amp;CHAR(10),H28)),CHAR(10),"")))-1)*100+1,100))),""))</f>
        <v/>
      </c>
      <c r="K28" s="80" t="str">
        <f t="array" ref="K28">IF(A28="","",IF(ISNUMBER(SEARCH("Land",LEFT(IFERROR(INDEX(Wishlist!$A:$Z,ROW()-0,'List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8" s="80" t="str">
        <f t="shared" si="3"/>
        <v/>
      </c>
      <c r="M28" s="80" t="str">
        <f>IF(A28="","",IF(AND(E28="Y",B28='Use at Shop'!$B$4),K28*10000000000+(MAX(0,MIN(26,CODE(MID(UPPER(A28)&amp;"    ",1,1))-64))*19683+MAX(0,MIN(26,CODE(MID(UPPER(A28)&amp;"    ",2,1))-64))*729+MAX(0,MIN(26,CODE(MID(UPPER(A28)&amp;"    ",3,1))-64))*27+MAX(0,MIN(26,CODE(MID(UPPER(A28)&amp;"    ",4,1))-64))*1)*10000+ROW(),""))</f>
        <v/>
      </c>
      <c r="N28" s="80" t="str">
        <f t="shared" si="4"/>
        <v/>
      </c>
      <c r="O28" s="80" t="str">
        <f t="array" ref="O28">IF(A28="","",IFERROR(INDEX(Wishlist!$A:$Z,ROW()-0,'List Setup'!$J$2)&amp;"",""))</f>
        <v/>
      </c>
      <c r="P28" s="2"/>
      <c r="Q28" s="80" t="str">
        <f>IF(A28="","",'List Setup'!$A$2)</f>
        <v/>
      </c>
      <c r="R28" s="80" t="str">
        <f t="array" ref="R28">IF(A28="","",IFERROR(OR(INDEX(Binders!$J$6:$J$30,MATCH(Q28,Binders!$I$6:$I$30,0))=TRUE(),UPPER(INDEX(Binders!$J$6:$J$30,MATCH(Q28,Binders!$I$6:$I$30,0))&amp;"")="TRUE"),FALSE()))</f>
        <v/>
      </c>
    </row>
    <row r="29" ht="15.75" customHeight="1">
      <c r="A29" s="80" t="str">
        <f t="array" ref="A29">IF(INDEX(Wishlist!$A:$Z,ROW()-0,'List Setup'!$D$2)="","",INDEX(Wishlist!$A:$Z,ROW()-0,'List Setup'!$D$2))</f>
        <v/>
      </c>
      <c r="B29" s="80" t="str">
        <f t="array" ref="B29">IF(A29="","",IFERROR(INDEX('Binder Setup'!$B$2:$B$401,MIN(IF(ISNUMBER(SEARCH(CHAR(10)&amp;'Binder Setup'!$B$2:$B$401&amp;CHAR(10),$H29)),'List Setup'!$Q$2:$Q$401,999),IF(ISNUMBER(SEARCH(CHAR(10)&amp;'Set Aliases'!$A$2:$A$501&amp;CHAR(10),$H29)),'Set Aliases'!$C$2:$C$501,999))),"(none)"))</f>
        <v/>
      </c>
      <c r="C29" s="80" t="str">
        <f t="shared" si="1"/>
        <v/>
      </c>
      <c r="D29" s="80" t="str">
        <f t="array" ref="D29">IF(A29="","",IF(ISLOGICAL(INDEX(Wishlist!$A:$Z,ROW()-0,'List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9" s="80" t="str">
        <f t="shared" si="2"/>
        <v/>
      </c>
      <c r="F29" s="80" t="str">
        <f t="array" ref="F29">IF(A29="","",IF(ISNUMBER(J29),J29,IF(ISNUMBER(INDEX(Wishlist!$A:$Z,ROW()-0,'List Setup'!$F$2)),INDEX(Wishlist!$A:$Z,ROW()-0,'List Setup'!$F$2),0)))</f>
        <v/>
      </c>
      <c r="G29" s="80" t="str">
        <f t="array" ref="G29">IF(A29="","",A29&amp;IF(N(INDEX(Wishlist!$A:$Z,ROW()-0,'List Setup'!$C$2))&gt;1," (x"&amp;INDEX(Wishlist!$A:$Z,ROW()-0,'List Setup'!$C$2)&amp;")","")&amp;IF(COUNTIF(Binders!$J$6:$J$30,TRUE())&gt;1," ["&amp;Q29&amp;"]",""))</f>
        <v/>
      </c>
      <c r="H29" s="80" t="str">
        <f t="array" ref="H29">IF(A29="","",CHAR(10)&amp;INDEX(Wishlist!$A:$Z,ROW()-0,'List Setup'!$E$2)&amp;CHAR(10))</f>
        <v/>
      </c>
      <c r="I29" s="80" t="str">
        <f t="array" ref="I29">IF(OR(B29="",B29="(none)"),"",IF(ISNUMBER(SEARCH(CHAR(10)&amp;B29&amp;CHAR(10),H29)),B29,IFERROR(INDEX('Set Aliases'!$A$2:$A$501,MATCH(1,('Set Aliases'!$B$2:$B$501=B29)*ISNUMBER(SEARCH(CHAR(10)&amp;'Set Aliases'!$A$2:$A$501&amp;CHAR(10),H29)),0)),"")))</f>
        <v/>
      </c>
      <c r="J29" s="80" t="str">
        <f t="array" ref="J29">IF(I29="","",IFERROR(VALUE(TRIM(MID(SUBSTITUTE(INDEX(Wishlist!$A:$Z,ROW()-0,'List Setup'!$G$2),CHAR(10),REPT(" ",100)),((SEARCH(CHAR(10)&amp;I29&amp;CHAR(10),H29)-LEN(SUBSTITUTE(LEFT(H29,SEARCH(CHAR(10)&amp;I29&amp;CHAR(10),H29)),CHAR(10),"")))-1)*100+1,100))),""))</f>
        <v/>
      </c>
      <c r="K29" s="80" t="str">
        <f t="array" ref="K29">IF(A29="","",IF(ISNUMBER(SEARCH("Land",LEFT(IFERROR(INDEX(Wishlist!$A:$Z,ROW()-0,'List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9" s="80" t="str">
        <f t="shared" si="3"/>
        <v/>
      </c>
      <c r="M29" s="80" t="str">
        <f>IF(A29="","",IF(AND(E29="Y",B29='Use at Shop'!$B$4),K29*10000000000+(MAX(0,MIN(26,CODE(MID(UPPER(A29)&amp;"    ",1,1))-64))*19683+MAX(0,MIN(26,CODE(MID(UPPER(A29)&amp;"    ",2,1))-64))*729+MAX(0,MIN(26,CODE(MID(UPPER(A29)&amp;"    ",3,1))-64))*27+MAX(0,MIN(26,CODE(MID(UPPER(A29)&amp;"    ",4,1))-64))*1)*10000+ROW(),""))</f>
        <v/>
      </c>
      <c r="N29" s="80" t="str">
        <f t="shared" si="4"/>
        <v/>
      </c>
      <c r="O29" s="80" t="str">
        <f t="array" ref="O29">IF(A29="","",IFERROR(INDEX(Wishlist!$A:$Z,ROW()-0,'List Setup'!$J$2)&amp;"",""))</f>
        <v/>
      </c>
      <c r="P29" s="2"/>
      <c r="Q29" s="80" t="str">
        <f>IF(A29="","",'List Setup'!$A$2)</f>
        <v/>
      </c>
      <c r="R29" s="80" t="str">
        <f t="array" ref="R29">IF(A29="","",IFERROR(OR(INDEX(Binders!$J$6:$J$30,MATCH(Q29,Binders!$I$6:$I$30,0))=TRUE(),UPPER(INDEX(Binders!$J$6:$J$30,MATCH(Q29,Binders!$I$6:$I$30,0))&amp;"")="TRUE"),FALSE()))</f>
        <v/>
      </c>
    </row>
    <row r="30" ht="15.75" customHeight="1">
      <c r="A30" s="80" t="str">
        <f t="array" ref="A30">IF(INDEX(Wishlist!$A:$Z,ROW()-0,'List Setup'!$D$2)="","",INDEX(Wishlist!$A:$Z,ROW()-0,'List Setup'!$D$2))</f>
        <v/>
      </c>
      <c r="B30" s="80" t="str">
        <f t="array" ref="B30">IF(A30="","",IFERROR(INDEX('Binder Setup'!$B$2:$B$401,MIN(IF(ISNUMBER(SEARCH(CHAR(10)&amp;'Binder Setup'!$B$2:$B$401&amp;CHAR(10),$H30)),'List Setup'!$Q$2:$Q$401,999),IF(ISNUMBER(SEARCH(CHAR(10)&amp;'Set Aliases'!$A$2:$A$501&amp;CHAR(10),$H30)),'Set Aliases'!$C$2:$C$501,999))),"(none)"))</f>
        <v/>
      </c>
      <c r="C30" s="80" t="str">
        <f t="shared" si="1"/>
        <v/>
      </c>
      <c r="D30" s="80" t="str">
        <f t="array" ref="D30">IF(A30="","",IF(ISLOGICAL(INDEX(Wishlist!$A:$Z,ROW()-0,'List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30" s="80" t="str">
        <f t="shared" si="2"/>
        <v/>
      </c>
      <c r="F30" s="80" t="str">
        <f t="array" ref="F30">IF(A30="","",IF(ISNUMBER(J30),J30,IF(ISNUMBER(INDEX(Wishlist!$A:$Z,ROW()-0,'List Setup'!$F$2)),INDEX(Wishlist!$A:$Z,ROW()-0,'List Setup'!$F$2),0)))</f>
        <v/>
      </c>
      <c r="G30" s="80" t="str">
        <f t="array" ref="G30">IF(A30="","",A30&amp;IF(N(INDEX(Wishlist!$A:$Z,ROW()-0,'List Setup'!$C$2))&gt;1," (x"&amp;INDEX(Wishlist!$A:$Z,ROW()-0,'List Setup'!$C$2)&amp;")","")&amp;IF(COUNTIF(Binders!$J$6:$J$30,TRUE())&gt;1," ["&amp;Q30&amp;"]",""))</f>
        <v/>
      </c>
      <c r="H30" s="80" t="str">
        <f t="array" ref="H30">IF(A30="","",CHAR(10)&amp;INDEX(Wishlist!$A:$Z,ROW()-0,'List Setup'!$E$2)&amp;CHAR(10))</f>
        <v/>
      </c>
      <c r="I30" s="80" t="str">
        <f t="array" ref="I30">IF(OR(B30="",B30="(none)"),"",IF(ISNUMBER(SEARCH(CHAR(10)&amp;B30&amp;CHAR(10),H30)),B30,IFERROR(INDEX('Set Aliases'!$A$2:$A$501,MATCH(1,('Set Aliases'!$B$2:$B$501=B30)*ISNUMBER(SEARCH(CHAR(10)&amp;'Set Aliases'!$A$2:$A$501&amp;CHAR(10),H30)),0)),"")))</f>
        <v/>
      </c>
      <c r="J30" s="80" t="str">
        <f t="array" ref="J30">IF(I30="","",IFERROR(VALUE(TRIM(MID(SUBSTITUTE(INDEX(Wishlist!$A:$Z,ROW()-0,'List Setup'!$G$2),CHAR(10),REPT(" ",100)),((SEARCH(CHAR(10)&amp;I30&amp;CHAR(10),H30)-LEN(SUBSTITUTE(LEFT(H30,SEARCH(CHAR(10)&amp;I30&amp;CHAR(10),H30)),CHAR(10),"")))-1)*100+1,100))),""))</f>
        <v/>
      </c>
      <c r="K30" s="80" t="str">
        <f t="array" ref="K30">IF(A30="","",IF(ISNUMBER(SEARCH("Land",LEFT(IFERROR(INDEX(Wishlist!$A:$Z,ROW()-0,'List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30" s="80" t="str">
        <f t="shared" si="3"/>
        <v/>
      </c>
      <c r="M30" s="80" t="str">
        <f>IF(A30="","",IF(AND(E30="Y",B30='Use at Shop'!$B$4),K30*10000000000+(MAX(0,MIN(26,CODE(MID(UPPER(A30)&amp;"    ",1,1))-64))*19683+MAX(0,MIN(26,CODE(MID(UPPER(A30)&amp;"    ",2,1))-64))*729+MAX(0,MIN(26,CODE(MID(UPPER(A30)&amp;"    ",3,1))-64))*27+MAX(0,MIN(26,CODE(MID(UPPER(A30)&amp;"    ",4,1))-64))*1)*10000+ROW(),""))</f>
        <v/>
      </c>
      <c r="N30" s="80" t="str">
        <f t="shared" si="4"/>
        <v/>
      </c>
      <c r="O30" s="80" t="str">
        <f t="array" ref="O30">IF(A30="","",IFERROR(INDEX(Wishlist!$A:$Z,ROW()-0,'List Setup'!$J$2)&amp;"",""))</f>
        <v/>
      </c>
      <c r="P30" s="2"/>
      <c r="Q30" s="80" t="str">
        <f>IF(A30="","",'List Setup'!$A$2)</f>
        <v/>
      </c>
      <c r="R30" s="80" t="str">
        <f t="array" ref="R30">IF(A30="","",IFERROR(OR(INDEX(Binders!$J$6:$J$30,MATCH(Q30,Binders!$I$6:$I$30,0))=TRUE(),UPPER(INDEX(Binders!$J$6:$J$30,MATCH(Q30,Binders!$I$6:$I$30,0))&amp;"")="TRUE"),FALSE()))</f>
        <v/>
      </c>
    </row>
    <row r="31" ht="15.75" customHeight="1">
      <c r="A31" s="80" t="str">
        <f t="array" ref="A31">IF(INDEX(Wishlist!$A:$Z,ROW()-0,'List Setup'!$D$2)="","",INDEX(Wishlist!$A:$Z,ROW()-0,'List Setup'!$D$2))</f>
        <v/>
      </c>
      <c r="B31" s="80" t="str">
        <f t="array" ref="B31">IF(A31="","",IFERROR(INDEX('Binder Setup'!$B$2:$B$401,MIN(IF(ISNUMBER(SEARCH(CHAR(10)&amp;'Binder Setup'!$B$2:$B$401&amp;CHAR(10),$H31)),'List Setup'!$Q$2:$Q$401,999),IF(ISNUMBER(SEARCH(CHAR(10)&amp;'Set Aliases'!$A$2:$A$501&amp;CHAR(10),$H31)),'Set Aliases'!$C$2:$C$501,999))),"(none)"))</f>
        <v/>
      </c>
      <c r="C31" s="80" t="str">
        <f t="shared" si="1"/>
        <v/>
      </c>
      <c r="D31" s="80" t="str">
        <f t="array" ref="D31">IF(A31="","",IF(ISLOGICAL(INDEX(Wishlist!$A:$Z,ROW()-0,'List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31" s="80" t="str">
        <f t="shared" si="2"/>
        <v/>
      </c>
      <c r="F31" s="80" t="str">
        <f t="array" ref="F31">IF(A31="","",IF(ISNUMBER(J31),J31,IF(ISNUMBER(INDEX(Wishlist!$A:$Z,ROW()-0,'List Setup'!$F$2)),INDEX(Wishlist!$A:$Z,ROW()-0,'List Setup'!$F$2),0)))</f>
        <v/>
      </c>
      <c r="G31" s="80" t="str">
        <f t="array" ref="G31">IF(A31="","",A31&amp;IF(N(INDEX(Wishlist!$A:$Z,ROW()-0,'List Setup'!$C$2))&gt;1," (x"&amp;INDEX(Wishlist!$A:$Z,ROW()-0,'List Setup'!$C$2)&amp;")","")&amp;IF(COUNTIF(Binders!$J$6:$J$30,TRUE())&gt;1," ["&amp;Q31&amp;"]",""))</f>
        <v/>
      </c>
      <c r="H31" s="80" t="str">
        <f t="array" ref="H31">IF(A31="","",CHAR(10)&amp;INDEX(Wishlist!$A:$Z,ROW()-0,'List Setup'!$E$2)&amp;CHAR(10))</f>
        <v/>
      </c>
      <c r="I31" s="80" t="str">
        <f t="array" ref="I31">IF(OR(B31="",B31="(none)"),"",IF(ISNUMBER(SEARCH(CHAR(10)&amp;B31&amp;CHAR(10),H31)),B31,IFERROR(INDEX('Set Aliases'!$A$2:$A$501,MATCH(1,('Set Aliases'!$B$2:$B$501=B31)*ISNUMBER(SEARCH(CHAR(10)&amp;'Set Aliases'!$A$2:$A$501&amp;CHAR(10),H31)),0)),"")))</f>
        <v/>
      </c>
      <c r="J31" s="80" t="str">
        <f t="array" ref="J31">IF(I31="","",IFERROR(VALUE(TRIM(MID(SUBSTITUTE(INDEX(Wishlist!$A:$Z,ROW()-0,'List Setup'!$G$2),CHAR(10),REPT(" ",100)),((SEARCH(CHAR(10)&amp;I31&amp;CHAR(10),H31)-LEN(SUBSTITUTE(LEFT(H31,SEARCH(CHAR(10)&amp;I31&amp;CHAR(10),H31)),CHAR(10),"")))-1)*100+1,100))),""))</f>
        <v/>
      </c>
      <c r="K31" s="80" t="str">
        <f t="array" ref="K31">IF(A31="","",IF(ISNUMBER(SEARCH("Land",LEFT(IFERROR(INDEX(Wishlist!$A:$Z,ROW()-0,'List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31" s="80" t="str">
        <f t="shared" si="3"/>
        <v/>
      </c>
      <c r="M31" s="80" t="str">
        <f>IF(A31="","",IF(AND(E31="Y",B31='Use at Shop'!$B$4),K31*10000000000+(MAX(0,MIN(26,CODE(MID(UPPER(A31)&amp;"    ",1,1))-64))*19683+MAX(0,MIN(26,CODE(MID(UPPER(A31)&amp;"    ",2,1))-64))*729+MAX(0,MIN(26,CODE(MID(UPPER(A31)&amp;"    ",3,1))-64))*27+MAX(0,MIN(26,CODE(MID(UPPER(A31)&amp;"    ",4,1))-64))*1)*10000+ROW(),""))</f>
        <v/>
      </c>
      <c r="N31" s="80" t="str">
        <f t="shared" si="4"/>
        <v/>
      </c>
      <c r="O31" s="80" t="str">
        <f t="array" ref="O31">IF(A31="","",IFERROR(INDEX(Wishlist!$A:$Z,ROW()-0,'List Setup'!$J$2)&amp;"",""))</f>
        <v/>
      </c>
      <c r="P31" s="2"/>
      <c r="Q31" s="80" t="str">
        <f>IF(A31="","",'List Setup'!$A$2)</f>
        <v/>
      </c>
      <c r="R31" s="80" t="str">
        <f t="array" ref="R31">IF(A31="","",IFERROR(OR(INDEX(Binders!$J$6:$J$30,MATCH(Q31,Binders!$I$6:$I$30,0))=TRUE(),UPPER(INDEX(Binders!$J$6:$J$30,MATCH(Q31,Binders!$I$6:$I$30,0))&amp;"")="TRUE"),FALSE()))</f>
        <v/>
      </c>
    </row>
    <row r="32" ht="15.75" customHeight="1">
      <c r="A32" s="80" t="str">
        <f t="array" ref="A32">IF(INDEX(Wishlist!$A:$Z,ROW()-0,'List Setup'!$D$2)="","",INDEX(Wishlist!$A:$Z,ROW()-0,'List Setup'!$D$2))</f>
        <v/>
      </c>
      <c r="B32" s="80" t="str">
        <f t="array" ref="B32">IF(A32="","",IFERROR(INDEX('Binder Setup'!$B$2:$B$401,MIN(IF(ISNUMBER(SEARCH(CHAR(10)&amp;'Binder Setup'!$B$2:$B$401&amp;CHAR(10),$H32)),'List Setup'!$Q$2:$Q$401,999),IF(ISNUMBER(SEARCH(CHAR(10)&amp;'Set Aliases'!$A$2:$A$501&amp;CHAR(10),$H32)),'Set Aliases'!$C$2:$C$501,999))),"(none)"))</f>
        <v/>
      </c>
      <c r="C32" s="80" t="str">
        <f t="shared" si="1"/>
        <v/>
      </c>
      <c r="D32" s="80" t="str">
        <f t="array" ref="D32">IF(A32="","",IF(ISLOGICAL(INDEX(Wishlist!$A:$Z,ROW()-0,'List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32" s="80" t="str">
        <f t="shared" si="2"/>
        <v/>
      </c>
      <c r="F32" s="80" t="str">
        <f t="array" ref="F32">IF(A32="","",IF(ISNUMBER(J32),J32,IF(ISNUMBER(INDEX(Wishlist!$A:$Z,ROW()-0,'List Setup'!$F$2)),INDEX(Wishlist!$A:$Z,ROW()-0,'List Setup'!$F$2),0)))</f>
        <v/>
      </c>
      <c r="G32" s="80" t="str">
        <f t="array" ref="G32">IF(A32="","",A32&amp;IF(N(INDEX(Wishlist!$A:$Z,ROW()-0,'List Setup'!$C$2))&gt;1," (x"&amp;INDEX(Wishlist!$A:$Z,ROW()-0,'List Setup'!$C$2)&amp;")","")&amp;IF(COUNTIF(Binders!$J$6:$J$30,TRUE())&gt;1," ["&amp;Q32&amp;"]",""))</f>
        <v/>
      </c>
      <c r="H32" s="80" t="str">
        <f t="array" ref="H32">IF(A32="","",CHAR(10)&amp;INDEX(Wishlist!$A:$Z,ROW()-0,'List Setup'!$E$2)&amp;CHAR(10))</f>
        <v/>
      </c>
      <c r="I32" s="80" t="str">
        <f t="array" ref="I32">IF(OR(B32="",B32="(none)"),"",IF(ISNUMBER(SEARCH(CHAR(10)&amp;B32&amp;CHAR(10),H32)),B32,IFERROR(INDEX('Set Aliases'!$A$2:$A$501,MATCH(1,('Set Aliases'!$B$2:$B$501=B32)*ISNUMBER(SEARCH(CHAR(10)&amp;'Set Aliases'!$A$2:$A$501&amp;CHAR(10),H32)),0)),"")))</f>
        <v/>
      </c>
      <c r="J32" s="80" t="str">
        <f t="array" ref="J32">IF(I32="","",IFERROR(VALUE(TRIM(MID(SUBSTITUTE(INDEX(Wishlist!$A:$Z,ROW()-0,'List Setup'!$G$2),CHAR(10),REPT(" ",100)),((SEARCH(CHAR(10)&amp;I32&amp;CHAR(10),H32)-LEN(SUBSTITUTE(LEFT(H32,SEARCH(CHAR(10)&amp;I32&amp;CHAR(10),H32)),CHAR(10),"")))-1)*100+1,100))),""))</f>
        <v/>
      </c>
      <c r="K32" s="80" t="str">
        <f t="array" ref="K32">IF(A32="","",IF(ISNUMBER(SEARCH("Land",LEFT(IFERROR(INDEX(Wishlist!$A:$Z,ROW()-0,'List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32" s="80" t="str">
        <f t="shared" si="3"/>
        <v/>
      </c>
      <c r="M32" s="80" t="str">
        <f>IF(A32="","",IF(AND(E32="Y",B32='Use at Shop'!$B$4),K32*10000000000+(MAX(0,MIN(26,CODE(MID(UPPER(A32)&amp;"    ",1,1))-64))*19683+MAX(0,MIN(26,CODE(MID(UPPER(A32)&amp;"    ",2,1))-64))*729+MAX(0,MIN(26,CODE(MID(UPPER(A32)&amp;"    ",3,1))-64))*27+MAX(0,MIN(26,CODE(MID(UPPER(A32)&amp;"    ",4,1))-64))*1)*10000+ROW(),""))</f>
        <v/>
      </c>
      <c r="N32" s="80" t="str">
        <f t="shared" si="4"/>
        <v/>
      </c>
      <c r="O32" s="80" t="str">
        <f t="array" ref="O32">IF(A32="","",IFERROR(INDEX(Wishlist!$A:$Z,ROW()-0,'List Setup'!$J$2)&amp;"",""))</f>
        <v/>
      </c>
      <c r="P32" s="2"/>
      <c r="Q32" s="80" t="str">
        <f>IF(A32="","",'List Setup'!$A$2)</f>
        <v/>
      </c>
      <c r="R32" s="80" t="str">
        <f t="array" ref="R32">IF(A32="","",IFERROR(OR(INDEX(Binders!$J$6:$J$30,MATCH(Q32,Binders!$I$6:$I$30,0))=TRUE(),UPPER(INDEX(Binders!$J$6:$J$30,MATCH(Q32,Binders!$I$6:$I$30,0))&amp;"")="TRUE"),FALSE()))</f>
        <v/>
      </c>
    </row>
    <row r="33" ht="15.75" customHeight="1">
      <c r="A33" s="80" t="str">
        <f t="array" ref="A33">IF(INDEX(Wishlist!$A:$Z,ROW()-0,'List Setup'!$D$2)="","",INDEX(Wishlist!$A:$Z,ROW()-0,'List Setup'!$D$2))</f>
        <v/>
      </c>
      <c r="B33" s="80" t="str">
        <f t="array" ref="B33">IF(A33="","",IFERROR(INDEX('Binder Setup'!$B$2:$B$401,MIN(IF(ISNUMBER(SEARCH(CHAR(10)&amp;'Binder Setup'!$B$2:$B$401&amp;CHAR(10),$H33)),'List Setup'!$Q$2:$Q$401,999),IF(ISNUMBER(SEARCH(CHAR(10)&amp;'Set Aliases'!$A$2:$A$501&amp;CHAR(10),$H33)),'Set Aliases'!$C$2:$C$501,999))),"(none)"))</f>
        <v/>
      </c>
      <c r="C33" s="80" t="str">
        <f t="shared" si="1"/>
        <v/>
      </c>
      <c r="D33" s="80" t="str">
        <f t="array" ref="D33">IF(A33="","",IF(ISLOGICAL(INDEX(Wishlist!$A:$Z,ROW()-0,'List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33" s="80" t="str">
        <f t="shared" si="2"/>
        <v/>
      </c>
      <c r="F33" s="80" t="str">
        <f t="array" ref="F33">IF(A33="","",IF(ISNUMBER(J33),J33,IF(ISNUMBER(INDEX(Wishlist!$A:$Z,ROW()-0,'List Setup'!$F$2)),INDEX(Wishlist!$A:$Z,ROW()-0,'List Setup'!$F$2),0)))</f>
        <v/>
      </c>
      <c r="G33" s="80" t="str">
        <f t="array" ref="G33">IF(A33="","",A33&amp;IF(N(INDEX(Wishlist!$A:$Z,ROW()-0,'List Setup'!$C$2))&gt;1," (x"&amp;INDEX(Wishlist!$A:$Z,ROW()-0,'List Setup'!$C$2)&amp;")","")&amp;IF(COUNTIF(Binders!$J$6:$J$30,TRUE())&gt;1," ["&amp;Q33&amp;"]",""))</f>
        <v/>
      </c>
      <c r="H33" s="80" t="str">
        <f t="array" ref="H33">IF(A33="","",CHAR(10)&amp;INDEX(Wishlist!$A:$Z,ROW()-0,'List Setup'!$E$2)&amp;CHAR(10))</f>
        <v/>
      </c>
      <c r="I33" s="80" t="str">
        <f t="array" ref="I33">IF(OR(B33="",B33="(none)"),"",IF(ISNUMBER(SEARCH(CHAR(10)&amp;B33&amp;CHAR(10),H33)),B33,IFERROR(INDEX('Set Aliases'!$A$2:$A$501,MATCH(1,('Set Aliases'!$B$2:$B$501=B33)*ISNUMBER(SEARCH(CHAR(10)&amp;'Set Aliases'!$A$2:$A$501&amp;CHAR(10),H33)),0)),"")))</f>
        <v/>
      </c>
      <c r="J33" s="80" t="str">
        <f t="array" ref="J33">IF(I33="","",IFERROR(VALUE(TRIM(MID(SUBSTITUTE(INDEX(Wishlist!$A:$Z,ROW()-0,'List Setup'!$G$2),CHAR(10),REPT(" ",100)),((SEARCH(CHAR(10)&amp;I33&amp;CHAR(10),H33)-LEN(SUBSTITUTE(LEFT(H33,SEARCH(CHAR(10)&amp;I33&amp;CHAR(10),H33)),CHAR(10),"")))-1)*100+1,100))),""))</f>
        <v/>
      </c>
      <c r="K33" s="80" t="str">
        <f t="array" ref="K33">IF(A33="","",IF(ISNUMBER(SEARCH("Land",LEFT(IFERROR(INDEX(Wishlist!$A:$Z,ROW()-0,'List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33" s="80" t="str">
        <f t="shared" si="3"/>
        <v/>
      </c>
      <c r="M33" s="80" t="str">
        <f>IF(A33="","",IF(AND(E33="Y",B33='Use at Shop'!$B$4),K33*10000000000+(MAX(0,MIN(26,CODE(MID(UPPER(A33)&amp;"    ",1,1))-64))*19683+MAX(0,MIN(26,CODE(MID(UPPER(A33)&amp;"    ",2,1))-64))*729+MAX(0,MIN(26,CODE(MID(UPPER(A33)&amp;"    ",3,1))-64))*27+MAX(0,MIN(26,CODE(MID(UPPER(A33)&amp;"    ",4,1))-64))*1)*10000+ROW(),""))</f>
        <v/>
      </c>
      <c r="N33" s="80" t="str">
        <f t="shared" si="4"/>
        <v/>
      </c>
      <c r="O33" s="80" t="str">
        <f t="array" ref="O33">IF(A33="","",IFERROR(INDEX(Wishlist!$A:$Z,ROW()-0,'List Setup'!$J$2)&amp;"",""))</f>
        <v/>
      </c>
      <c r="P33" s="2"/>
      <c r="Q33" s="80" t="str">
        <f>IF(A33="","",'List Setup'!$A$2)</f>
        <v/>
      </c>
      <c r="R33" s="80" t="str">
        <f t="array" ref="R33">IF(A33="","",IFERROR(OR(INDEX(Binders!$J$6:$J$30,MATCH(Q33,Binders!$I$6:$I$30,0))=TRUE(),UPPER(INDEX(Binders!$J$6:$J$30,MATCH(Q33,Binders!$I$6:$I$30,0))&amp;"")="TRUE"),FALSE()))</f>
        <v/>
      </c>
    </row>
    <row r="34" ht="15.75" customHeight="1">
      <c r="A34" s="80" t="str">
        <f t="array" ref="A34">IF(INDEX(Wishlist!$A:$Z,ROW()-0,'List Setup'!$D$2)="","",INDEX(Wishlist!$A:$Z,ROW()-0,'List Setup'!$D$2))</f>
        <v/>
      </c>
      <c r="B34" s="80" t="str">
        <f t="array" ref="B34">IF(A34="","",IFERROR(INDEX('Binder Setup'!$B$2:$B$401,MIN(IF(ISNUMBER(SEARCH(CHAR(10)&amp;'Binder Setup'!$B$2:$B$401&amp;CHAR(10),$H34)),'List Setup'!$Q$2:$Q$401,999),IF(ISNUMBER(SEARCH(CHAR(10)&amp;'Set Aliases'!$A$2:$A$501&amp;CHAR(10),$H34)),'Set Aliases'!$C$2:$C$501,999))),"(none)"))</f>
        <v/>
      </c>
      <c r="C34" s="80" t="str">
        <f t="shared" si="1"/>
        <v/>
      </c>
      <c r="D34" s="80" t="str">
        <f t="array" ref="D34">IF(A34="","",IF(ISLOGICAL(INDEX(Wishlist!$A:$Z,ROW()-0,'List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34" s="80" t="str">
        <f t="shared" si="2"/>
        <v/>
      </c>
      <c r="F34" s="80" t="str">
        <f t="array" ref="F34">IF(A34="","",IF(ISNUMBER(J34),J34,IF(ISNUMBER(INDEX(Wishlist!$A:$Z,ROW()-0,'List Setup'!$F$2)),INDEX(Wishlist!$A:$Z,ROW()-0,'List Setup'!$F$2),0)))</f>
        <v/>
      </c>
      <c r="G34" s="80" t="str">
        <f t="array" ref="G34">IF(A34="","",A34&amp;IF(N(INDEX(Wishlist!$A:$Z,ROW()-0,'List Setup'!$C$2))&gt;1," (x"&amp;INDEX(Wishlist!$A:$Z,ROW()-0,'List Setup'!$C$2)&amp;")","")&amp;IF(COUNTIF(Binders!$J$6:$J$30,TRUE())&gt;1," ["&amp;Q34&amp;"]",""))</f>
        <v/>
      </c>
      <c r="H34" s="80" t="str">
        <f t="array" ref="H34">IF(A34="","",CHAR(10)&amp;INDEX(Wishlist!$A:$Z,ROW()-0,'List Setup'!$E$2)&amp;CHAR(10))</f>
        <v/>
      </c>
      <c r="I34" s="80" t="str">
        <f t="array" ref="I34">IF(OR(B34="",B34="(none)"),"",IF(ISNUMBER(SEARCH(CHAR(10)&amp;B34&amp;CHAR(10),H34)),B34,IFERROR(INDEX('Set Aliases'!$A$2:$A$501,MATCH(1,('Set Aliases'!$B$2:$B$501=B34)*ISNUMBER(SEARCH(CHAR(10)&amp;'Set Aliases'!$A$2:$A$501&amp;CHAR(10),H34)),0)),"")))</f>
        <v/>
      </c>
      <c r="J34" s="80" t="str">
        <f t="array" ref="J34">IF(I34="","",IFERROR(VALUE(TRIM(MID(SUBSTITUTE(INDEX(Wishlist!$A:$Z,ROW()-0,'List Setup'!$G$2),CHAR(10),REPT(" ",100)),((SEARCH(CHAR(10)&amp;I34&amp;CHAR(10),H34)-LEN(SUBSTITUTE(LEFT(H34,SEARCH(CHAR(10)&amp;I34&amp;CHAR(10),H34)),CHAR(10),"")))-1)*100+1,100))),""))</f>
        <v/>
      </c>
      <c r="K34" s="80" t="str">
        <f t="array" ref="K34">IF(A34="","",IF(ISNUMBER(SEARCH("Land",LEFT(IFERROR(INDEX(Wishlist!$A:$Z,ROW()-0,'List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34" s="80" t="str">
        <f t="shared" si="3"/>
        <v/>
      </c>
      <c r="M34" s="80" t="str">
        <f>IF(A34="","",IF(AND(E34="Y",B34='Use at Shop'!$B$4),K34*10000000000+(MAX(0,MIN(26,CODE(MID(UPPER(A34)&amp;"    ",1,1))-64))*19683+MAX(0,MIN(26,CODE(MID(UPPER(A34)&amp;"    ",2,1))-64))*729+MAX(0,MIN(26,CODE(MID(UPPER(A34)&amp;"    ",3,1))-64))*27+MAX(0,MIN(26,CODE(MID(UPPER(A34)&amp;"    ",4,1))-64))*1)*10000+ROW(),""))</f>
        <v/>
      </c>
      <c r="N34" s="80" t="str">
        <f t="shared" si="4"/>
        <v/>
      </c>
      <c r="O34" s="80" t="str">
        <f t="array" ref="O34">IF(A34="","",IFERROR(INDEX(Wishlist!$A:$Z,ROW()-0,'List Setup'!$J$2)&amp;"",""))</f>
        <v/>
      </c>
      <c r="P34" s="2"/>
      <c r="Q34" s="80" t="str">
        <f>IF(A34="","",'List Setup'!$A$2)</f>
        <v/>
      </c>
      <c r="R34" s="80" t="str">
        <f t="array" ref="R34">IF(A34="","",IFERROR(OR(INDEX(Binders!$J$6:$J$30,MATCH(Q34,Binders!$I$6:$I$30,0))=TRUE(),UPPER(INDEX(Binders!$J$6:$J$30,MATCH(Q34,Binders!$I$6:$I$30,0))&amp;"")="TRUE"),FALSE()))</f>
        <v/>
      </c>
    </row>
    <row r="35" ht="15.75" customHeight="1">
      <c r="A35" s="80" t="str">
        <f t="array" ref="A35">IF(INDEX(Wishlist!$A:$Z,ROW()-0,'List Setup'!$D$2)="","",INDEX(Wishlist!$A:$Z,ROW()-0,'List Setup'!$D$2))</f>
        <v/>
      </c>
      <c r="B35" s="80" t="str">
        <f t="array" ref="B35">IF(A35="","",IFERROR(INDEX('Binder Setup'!$B$2:$B$401,MIN(IF(ISNUMBER(SEARCH(CHAR(10)&amp;'Binder Setup'!$B$2:$B$401&amp;CHAR(10),$H35)),'List Setup'!$Q$2:$Q$401,999),IF(ISNUMBER(SEARCH(CHAR(10)&amp;'Set Aliases'!$A$2:$A$501&amp;CHAR(10),$H35)),'Set Aliases'!$C$2:$C$501,999))),"(none)"))</f>
        <v/>
      </c>
      <c r="C35" s="80" t="str">
        <f t="shared" si="1"/>
        <v/>
      </c>
      <c r="D35" s="80" t="str">
        <f t="array" ref="D35">IF(A35="","",IF(ISLOGICAL(INDEX(Wishlist!$A:$Z,ROW()-0,'List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35" s="80" t="str">
        <f t="shared" si="2"/>
        <v/>
      </c>
      <c r="F35" s="80" t="str">
        <f t="array" ref="F35">IF(A35="","",IF(ISNUMBER(J35),J35,IF(ISNUMBER(INDEX(Wishlist!$A:$Z,ROW()-0,'List Setup'!$F$2)),INDEX(Wishlist!$A:$Z,ROW()-0,'List Setup'!$F$2),0)))</f>
        <v/>
      </c>
      <c r="G35" s="80" t="str">
        <f t="array" ref="G35">IF(A35="","",A35&amp;IF(N(INDEX(Wishlist!$A:$Z,ROW()-0,'List Setup'!$C$2))&gt;1," (x"&amp;INDEX(Wishlist!$A:$Z,ROW()-0,'List Setup'!$C$2)&amp;")","")&amp;IF(COUNTIF(Binders!$J$6:$J$30,TRUE())&gt;1," ["&amp;Q35&amp;"]",""))</f>
        <v/>
      </c>
      <c r="H35" s="80" t="str">
        <f t="array" ref="H35">IF(A35="","",CHAR(10)&amp;INDEX(Wishlist!$A:$Z,ROW()-0,'List Setup'!$E$2)&amp;CHAR(10))</f>
        <v/>
      </c>
      <c r="I35" s="80" t="str">
        <f t="array" ref="I35">IF(OR(B35="",B35="(none)"),"",IF(ISNUMBER(SEARCH(CHAR(10)&amp;B35&amp;CHAR(10),H35)),B35,IFERROR(INDEX('Set Aliases'!$A$2:$A$501,MATCH(1,('Set Aliases'!$B$2:$B$501=B35)*ISNUMBER(SEARCH(CHAR(10)&amp;'Set Aliases'!$A$2:$A$501&amp;CHAR(10),H35)),0)),"")))</f>
        <v/>
      </c>
      <c r="J35" s="80" t="str">
        <f t="array" ref="J35">IF(I35="","",IFERROR(VALUE(TRIM(MID(SUBSTITUTE(INDEX(Wishlist!$A:$Z,ROW()-0,'List Setup'!$G$2),CHAR(10),REPT(" ",100)),((SEARCH(CHAR(10)&amp;I35&amp;CHAR(10),H35)-LEN(SUBSTITUTE(LEFT(H35,SEARCH(CHAR(10)&amp;I35&amp;CHAR(10),H35)),CHAR(10),"")))-1)*100+1,100))),""))</f>
        <v/>
      </c>
      <c r="K35" s="80" t="str">
        <f t="array" ref="K35">IF(A35="","",IF(ISNUMBER(SEARCH("Land",LEFT(IFERROR(INDEX(Wishlist!$A:$Z,ROW()-0,'List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35" s="80" t="str">
        <f t="shared" si="3"/>
        <v/>
      </c>
      <c r="M35" s="80" t="str">
        <f>IF(A35="","",IF(AND(E35="Y",B35='Use at Shop'!$B$4),K35*10000000000+(MAX(0,MIN(26,CODE(MID(UPPER(A35)&amp;"    ",1,1))-64))*19683+MAX(0,MIN(26,CODE(MID(UPPER(A35)&amp;"    ",2,1))-64))*729+MAX(0,MIN(26,CODE(MID(UPPER(A35)&amp;"    ",3,1))-64))*27+MAX(0,MIN(26,CODE(MID(UPPER(A35)&amp;"    ",4,1))-64))*1)*10000+ROW(),""))</f>
        <v/>
      </c>
      <c r="N35" s="80" t="str">
        <f t="shared" si="4"/>
        <v/>
      </c>
      <c r="O35" s="80" t="str">
        <f t="array" ref="O35">IF(A35="","",IFERROR(INDEX(Wishlist!$A:$Z,ROW()-0,'List Setup'!$J$2)&amp;"",""))</f>
        <v/>
      </c>
      <c r="P35" s="2"/>
      <c r="Q35" s="80" t="str">
        <f>IF(A35="","",'List Setup'!$A$2)</f>
        <v/>
      </c>
      <c r="R35" s="80" t="str">
        <f t="array" ref="R35">IF(A35="","",IFERROR(OR(INDEX(Binders!$J$6:$J$30,MATCH(Q35,Binders!$I$6:$I$30,0))=TRUE(),UPPER(INDEX(Binders!$J$6:$J$30,MATCH(Q35,Binders!$I$6:$I$30,0))&amp;"")="TRUE"),FALSE()))</f>
        <v/>
      </c>
    </row>
    <row r="36" ht="15.75" customHeight="1">
      <c r="A36" s="80" t="str">
        <f t="array" ref="A36">IF(INDEX(Wishlist!$A:$Z,ROW()-0,'List Setup'!$D$2)="","",INDEX(Wishlist!$A:$Z,ROW()-0,'List Setup'!$D$2))</f>
        <v/>
      </c>
      <c r="B36" s="80" t="str">
        <f t="array" ref="B36">IF(A36="","",IFERROR(INDEX('Binder Setup'!$B$2:$B$401,MIN(IF(ISNUMBER(SEARCH(CHAR(10)&amp;'Binder Setup'!$B$2:$B$401&amp;CHAR(10),$H36)),'List Setup'!$Q$2:$Q$401,999),IF(ISNUMBER(SEARCH(CHAR(10)&amp;'Set Aliases'!$A$2:$A$501&amp;CHAR(10),$H36)),'Set Aliases'!$C$2:$C$501,999))),"(none)"))</f>
        <v/>
      </c>
      <c r="C36" s="80" t="str">
        <f t="shared" si="1"/>
        <v/>
      </c>
      <c r="D36" s="80" t="str">
        <f t="array" ref="D36">IF(A36="","",IF(ISLOGICAL(INDEX(Wishlist!$A:$Z,ROW()-0,'List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36" s="80" t="str">
        <f t="shared" si="2"/>
        <v/>
      </c>
      <c r="F36" s="80" t="str">
        <f t="array" ref="F36">IF(A36="","",IF(ISNUMBER(J36),J36,IF(ISNUMBER(INDEX(Wishlist!$A:$Z,ROW()-0,'List Setup'!$F$2)),INDEX(Wishlist!$A:$Z,ROW()-0,'List Setup'!$F$2),0)))</f>
        <v/>
      </c>
      <c r="G36" s="80" t="str">
        <f t="array" ref="G36">IF(A36="","",A36&amp;IF(N(INDEX(Wishlist!$A:$Z,ROW()-0,'List Setup'!$C$2))&gt;1," (x"&amp;INDEX(Wishlist!$A:$Z,ROW()-0,'List Setup'!$C$2)&amp;")","")&amp;IF(COUNTIF(Binders!$J$6:$J$30,TRUE())&gt;1," ["&amp;Q36&amp;"]",""))</f>
        <v/>
      </c>
      <c r="H36" s="80" t="str">
        <f t="array" ref="H36">IF(A36="","",CHAR(10)&amp;INDEX(Wishlist!$A:$Z,ROW()-0,'List Setup'!$E$2)&amp;CHAR(10))</f>
        <v/>
      </c>
      <c r="I36" s="80" t="str">
        <f t="array" ref="I36">IF(OR(B36="",B36="(none)"),"",IF(ISNUMBER(SEARCH(CHAR(10)&amp;B36&amp;CHAR(10),H36)),B36,IFERROR(INDEX('Set Aliases'!$A$2:$A$501,MATCH(1,('Set Aliases'!$B$2:$B$501=B36)*ISNUMBER(SEARCH(CHAR(10)&amp;'Set Aliases'!$A$2:$A$501&amp;CHAR(10),H36)),0)),"")))</f>
        <v/>
      </c>
      <c r="J36" s="80" t="str">
        <f t="array" ref="J36">IF(I36="","",IFERROR(VALUE(TRIM(MID(SUBSTITUTE(INDEX(Wishlist!$A:$Z,ROW()-0,'List Setup'!$G$2),CHAR(10),REPT(" ",100)),((SEARCH(CHAR(10)&amp;I36&amp;CHAR(10),H36)-LEN(SUBSTITUTE(LEFT(H36,SEARCH(CHAR(10)&amp;I36&amp;CHAR(10),H36)),CHAR(10),"")))-1)*100+1,100))),""))</f>
        <v/>
      </c>
      <c r="K36" s="80" t="str">
        <f t="array" ref="K36">IF(A36="","",IF(ISNUMBER(SEARCH("Land",LEFT(IFERROR(INDEX(Wishlist!$A:$Z,ROW()-0,'List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36" s="80" t="str">
        <f t="shared" si="3"/>
        <v/>
      </c>
      <c r="M36" s="80" t="str">
        <f>IF(A36="","",IF(AND(E36="Y",B36='Use at Shop'!$B$4),K36*10000000000+(MAX(0,MIN(26,CODE(MID(UPPER(A36)&amp;"    ",1,1))-64))*19683+MAX(0,MIN(26,CODE(MID(UPPER(A36)&amp;"    ",2,1))-64))*729+MAX(0,MIN(26,CODE(MID(UPPER(A36)&amp;"    ",3,1))-64))*27+MAX(0,MIN(26,CODE(MID(UPPER(A36)&amp;"    ",4,1))-64))*1)*10000+ROW(),""))</f>
        <v/>
      </c>
      <c r="N36" s="80" t="str">
        <f t="shared" si="4"/>
        <v/>
      </c>
      <c r="O36" s="80" t="str">
        <f t="array" ref="O36">IF(A36="","",IFERROR(INDEX(Wishlist!$A:$Z,ROW()-0,'List Setup'!$J$2)&amp;"",""))</f>
        <v/>
      </c>
      <c r="P36" s="2"/>
      <c r="Q36" s="80" t="str">
        <f>IF(A36="","",'List Setup'!$A$2)</f>
        <v/>
      </c>
      <c r="R36" s="80" t="str">
        <f t="array" ref="R36">IF(A36="","",IFERROR(OR(INDEX(Binders!$J$6:$J$30,MATCH(Q36,Binders!$I$6:$I$30,0))=TRUE(),UPPER(INDEX(Binders!$J$6:$J$30,MATCH(Q36,Binders!$I$6:$I$30,0))&amp;"")="TRUE"),FALSE()))</f>
        <v/>
      </c>
    </row>
    <row r="37" ht="15.75" customHeight="1">
      <c r="A37" s="80" t="str">
        <f t="array" ref="A37">IF(INDEX(Wishlist!$A:$Z,ROW()-0,'List Setup'!$D$2)="","",INDEX(Wishlist!$A:$Z,ROW()-0,'List Setup'!$D$2))</f>
        <v/>
      </c>
      <c r="B37" s="80" t="str">
        <f t="array" ref="B37">IF(A37="","",IFERROR(INDEX('Binder Setup'!$B$2:$B$401,MIN(IF(ISNUMBER(SEARCH(CHAR(10)&amp;'Binder Setup'!$B$2:$B$401&amp;CHAR(10),$H37)),'List Setup'!$Q$2:$Q$401,999),IF(ISNUMBER(SEARCH(CHAR(10)&amp;'Set Aliases'!$A$2:$A$501&amp;CHAR(10),$H37)),'Set Aliases'!$C$2:$C$501,999))),"(none)"))</f>
        <v/>
      </c>
      <c r="C37" s="80" t="str">
        <f t="shared" si="1"/>
        <v/>
      </c>
      <c r="D37" s="80" t="str">
        <f t="array" ref="D37">IF(A37="","",IF(ISLOGICAL(INDEX(Wishlist!$A:$Z,ROW()-0,'List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37" s="80" t="str">
        <f t="shared" si="2"/>
        <v/>
      </c>
      <c r="F37" s="80" t="str">
        <f t="array" ref="F37">IF(A37="","",IF(ISNUMBER(J37),J37,IF(ISNUMBER(INDEX(Wishlist!$A:$Z,ROW()-0,'List Setup'!$F$2)),INDEX(Wishlist!$A:$Z,ROW()-0,'List Setup'!$F$2),0)))</f>
        <v/>
      </c>
      <c r="G37" s="80" t="str">
        <f t="array" ref="G37">IF(A37="","",A37&amp;IF(N(INDEX(Wishlist!$A:$Z,ROW()-0,'List Setup'!$C$2))&gt;1," (x"&amp;INDEX(Wishlist!$A:$Z,ROW()-0,'List Setup'!$C$2)&amp;")","")&amp;IF(COUNTIF(Binders!$J$6:$J$30,TRUE())&gt;1," ["&amp;Q37&amp;"]",""))</f>
        <v/>
      </c>
      <c r="H37" s="80" t="str">
        <f t="array" ref="H37">IF(A37="","",CHAR(10)&amp;INDEX(Wishlist!$A:$Z,ROW()-0,'List Setup'!$E$2)&amp;CHAR(10))</f>
        <v/>
      </c>
      <c r="I37" s="80" t="str">
        <f t="array" ref="I37">IF(OR(B37="",B37="(none)"),"",IF(ISNUMBER(SEARCH(CHAR(10)&amp;B37&amp;CHAR(10),H37)),B37,IFERROR(INDEX('Set Aliases'!$A$2:$A$501,MATCH(1,('Set Aliases'!$B$2:$B$501=B37)*ISNUMBER(SEARCH(CHAR(10)&amp;'Set Aliases'!$A$2:$A$501&amp;CHAR(10),H37)),0)),"")))</f>
        <v/>
      </c>
      <c r="J37" s="80" t="str">
        <f t="array" ref="J37">IF(I37="","",IFERROR(VALUE(TRIM(MID(SUBSTITUTE(INDEX(Wishlist!$A:$Z,ROW()-0,'List Setup'!$G$2),CHAR(10),REPT(" ",100)),((SEARCH(CHAR(10)&amp;I37&amp;CHAR(10),H37)-LEN(SUBSTITUTE(LEFT(H37,SEARCH(CHAR(10)&amp;I37&amp;CHAR(10),H37)),CHAR(10),"")))-1)*100+1,100))),""))</f>
        <v/>
      </c>
      <c r="K37" s="80" t="str">
        <f t="array" ref="K37">IF(A37="","",IF(ISNUMBER(SEARCH("Land",LEFT(IFERROR(INDEX(Wishlist!$A:$Z,ROW()-0,'List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37" s="80" t="str">
        <f t="shared" si="3"/>
        <v/>
      </c>
      <c r="M37" s="80" t="str">
        <f>IF(A37="","",IF(AND(E37="Y",B37='Use at Shop'!$B$4),K37*10000000000+(MAX(0,MIN(26,CODE(MID(UPPER(A37)&amp;"    ",1,1))-64))*19683+MAX(0,MIN(26,CODE(MID(UPPER(A37)&amp;"    ",2,1))-64))*729+MAX(0,MIN(26,CODE(MID(UPPER(A37)&amp;"    ",3,1))-64))*27+MAX(0,MIN(26,CODE(MID(UPPER(A37)&amp;"    ",4,1))-64))*1)*10000+ROW(),""))</f>
        <v/>
      </c>
      <c r="N37" s="80" t="str">
        <f t="shared" si="4"/>
        <v/>
      </c>
      <c r="O37" s="80" t="str">
        <f t="array" ref="O37">IF(A37="","",IFERROR(INDEX(Wishlist!$A:$Z,ROW()-0,'List Setup'!$J$2)&amp;"",""))</f>
        <v/>
      </c>
      <c r="P37" s="2"/>
      <c r="Q37" s="80" t="str">
        <f>IF(A37="","",'List Setup'!$A$2)</f>
        <v/>
      </c>
      <c r="R37" s="80" t="str">
        <f t="array" ref="R37">IF(A37="","",IFERROR(OR(INDEX(Binders!$J$6:$J$30,MATCH(Q37,Binders!$I$6:$I$30,0))=TRUE(),UPPER(INDEX(Binders!$J$6:$J$30,MATCH(Q37,Binders!$I$6:$I$30,0))&amp;"")="TRUE"),FALSE()))</f>
        <v/>
      </c>
    </row>
    <row r="38" ht="15.75" customHeight="1">
      <c r="A38" s="80" t="str">
        <f t="array" ref="A38">IF(INDEX(Wishlist!$A:$Z,ROW()-0,'List Setup'!$D$2)="","",INDEX(Wishlist!$A:$Z,ROW()-0,'List Setup'!$D$2))</f>
        <v/>
      </c>
      <c r="B38" s="80" t="str">
        <f t="array" ref="B38">IF(A38="","",IFERROR(INDEX('Binder Setup'!$B$2:$B$401,MIN(IF(ISNUMBER(SEARCH(CHAR(10)&amp;'Binder Setup'!$B$2:$B$401&amp;CHAR(10),$H38)),'List Setup'!$Q$2:$Q$401,999),IF(ISNUMBER(SEARCH(CHAR(10)&amp;'Set Aliases'!$A$2:$A$501&amp;CHAR(10),$H38)),'Set Aliases'!$C$2:$C$501,999))),"(none)"))</f>
        <v/>
      </c>
      <c r="C38" s="80" t="str">
        <f t="shared" si="1"/>
        <v/>
      </c>
      <c r="D38" s="80" t="str">
        <f t="array" ref="D38">IF(A38="","",IF(ISLOGICAL(INDEX(Wishlist!$A:$Z,ROW()-0,'List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38" s="80" t="str">
        <f t="shared" si="2"/>
        <v/>
      </c>
      <c r="F38" s="80" t="str">
        <f t="array" ref="F38">IF(A38="","",IF(ISNUMBER(J38),J38,IF(ISNUMBER(INDEX(Wishlist!$A:$Z,ROW()-0,'List Setup'!$F$2)),INDEX(Wishlist!$A:$Z,ROW()-0,'List Setup'!$F$2),0)))</f>
        <v/>
      </c>
      <c r="G38" s="80" t="str">
        <f t="array" ref="G38">IF(A38="","",A38&amp;IF(N(INDEX(Wishlist!$A:$Z,ROW()-0,'List Setup'!$C$2))&gt;1," (x"&amp;INDEX(Wishlist!$A:$Z,ROW()-0,'List Setup'!$C$2)&amp;")","")&amp;IF(COUNTIF(Binders!$J$6:$J$30,TRUE())&gt;1," ["&amp;Q38&amp;"]",""))</f>
        <v/>
      </c>
      <c r="H38" s="80" t="str">
        <f t="array" ref="H38">IF(A38="","",CHAR(10)&amp;INDEX(Wishlist!$A:$Z,ROW()-0,'List Setup'!$E$2)&amp;CHAR(10))</f>
        <v/>
      </c>
      <c r="I38" s="80" t="str">
        <f t="array" ref="I38">IF(OR(B38="",B38="(none)"),"",IF(ISNUMBER(SEARCH(CHAR(10)&amp;B38&amp;CHAR(10),H38)),B38,IFERROR(INDEX('Set Aliases'!$A$2:$A$501,MATCH(1,('Set Aliases'!$B$2:$B$501=B38)*ISNUMBER(SEARCH(CHAR(10)&amp;'Set Aliases'!$A$2:$A$501&amp;CHAR(10),H38)),0)),"")))</f>
        <v/>
      </c>
      <c r="J38" s="80" t="str">
        <f t="array" ref="J38">IF(I38="","",IFERROR(VALUE(TRIM(MID(SUBSTITUTE(INDEX(Wishlist!$A:$Z,ROW()-0,'List Setup'!$G$2),CHAR(10),REPT(" ",100)),((SEARCH(CHAR(10)&amp;I38&amp;CHAR(10),H38)-LEN(SUBSTITUTE(LEFT(H38,SEARCH(CHAR(10)&amp;I38&amp;CHAR(10),H38)),CHAR(10),"")))-1)*100+1,100))),""))</f>
        <v/>
      </c>
      <c r="K38" s="80" t="str">
        <f t="array" ref="K38">IF(A38="","",IF(ISNUMBER(SEARCH("Land",LEFT(IFERROR(INDEX(Wishlist!$A:$Z,ROW()-0,'List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38" s="80" t="str">
        <f t="shared" si="3"/>
        <v/>
      </c>
      <c r="M38" s="80" t="str">
        <f>IF(A38="","",IF(AND(E38="Y",B38='Use at Shop'!$B$4),K38*10000000000+(MAX(0,MIN(26,CODE(MID(UPPER(A38)&amp;"    ",1,1))-64))*19683+MAX(0,MIN(26,CODE(MID(UPPER(A38)&amp;"    ",2,1))-64))*729+MAX(0,MIN(26,CODE(MID(UPPER(A38)&amp;"    ",3,1))-64))*27+MAX(0,MIN(26,CODE(MID(UPPER(A38)&amp;"    ",4,1))-64))*1)*10000+ROW(),""))</f>
        <v/>
      </c>
      <c r="N38" s="80" t="str">
        <f t="shared" si="4"/>
        <v/>
      </c>
      <c r="O38" s="80" t="str">
        <f t="array" ref="O38">IF(A38="","",IFERROR(INDEX(Wishlist!$A:$Z,ROW()-0,'List Setup'!$J$2)&amp;"",""))</f>
        <v/>
      </c>
      <c r="P38" s="2"/>
      <c r="Q38" s="80" t="str">
        <f>IF(A38="","",'List Setup'!$A$2)</f>
        <v/>
      </c>
      <c r="R38" s="80" t="str">
        <f t="array" ref="R38">IF(A38="","",IFERROR(OR(INDEX(Binders!$J$6:$J$30,MATCH(Q38,Binders!$I$6:$I$30,0))=TRUE(),UPPER(INDEX(Binders!$J$6:$J$30,MATCH(Q38,Binders!$I$6:$I$30,0))&amp;"")="TRUE"),FALSE()))</f>
        <v/>
      </c>
    </row>
    <row r="39" ht="15.75" customHeight="1">
      <c r="A39" s="80" t="str">
        <f t="array" ref="A39">IF(INDEX(Wishlist!$A:$Z,ROW()-0,'List Setup'!$D$2)="","",INDEX(Wishlist!$A:$Z,ROW()-0,'List Setup'!$D$2))</f>
        <v/>
      </c>
      <c r="B39" s="80" t="str">
        <f t="array" ref="B39">IF(A39="","",IFERROR(INDEX('Binder Setup'!$B$2:$B$401,MIN(IF(ISNUMBER(SEARCH(CHAR(10)&amp;'Binder Setup'!$B$2:$B$401&amp;CHAR(10),$H39)),'List Setup'!$Q$2:$Q$401,999),IF(ISNUMBER(SEARCH(CHAR(10)&amp;'Set Aliases'!$A$2:$A$501&amp;CHAR(10),$H39)),'Set Aliases'!$C$2:$C$501,999))),"(none)"))</f>
        <v/>
      </c>
      <c r="C39" s="80" t="str">
        <f t="shared" si="1"/>
        <v/>
      </c>
      <c r="D39" s="80" t="str">
        <f t="array" ref="D39">IF(A39="","",IF(ISLOGICAL(INDEX(Wishlist!$A:$Z,ROW()-0,'List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39" s="80" t="str">
        <f t="shared" si="2"/>
        <v/>
      </c>
      <c r="F39" s="80" t="str">
        <f t="array" ref="F39">IF(A39="","",IF(ISNUMBER(J39),J39,IF(ISNUMBER(INDEX(Wishlist!$A:$Z,ROW()-0,'List Setup'!$F$2)),INDEX(Wishlist!$A:$Z,ROW()-0,'List Setup'!$F$2),0)))</f>
        <v/>
      </c>
      <c r="G39" s="80" t="str">
        <f t="array" ref="G39">IF(A39="","",A39&amp;IF(N(INDEX(Wishlist!$A:$Z,ROW()-0,'List Setup'!$C$2))&gt;1," (x"&amp;INDEX(Wishlist!$A:$Z,ROW()-0,'List Setup'!$C$2)&amp;")","")&amp;IF(COUNTIF(Binders!$J$6:$J$30,TRUE())&gt;1," ["&amp;Q39&amp;"]",""))</f>
        <v/>
      </c>
      <c r="H39" s="80" t="str">
        <f t="array" ref="H39">IF(A39="","",CHAR(10)&amp;INDEX(Wishlist!$A:$Z,ROW()-0,'List Setup'!$E$2)&amp;CHAR(10))</f>
        <v/>
      </c>
      <c r="I39" s="80" t="str">
        <f t="array" ref="I39">IF(OR(B39="",B39="(none)"),"",IF(ISNUMBER(SEARCH(CHAR(10)&amp;B39&amp;CHAR(10),H39)),B39,IFERROR(INDEX('Set Aliases'!$A$2:$A$501,MATCH(1,('Set Aliases'!$B$2:$B$501=B39)*ISNUMBER(SEARCH(CHAR(10)&amp;'Set Aliases'!$A$2:$A$501&amp;CHAR(10),H39)),0)),"")))</f>
        <v/>
      </c>
      <c r="J39" s="80" t="str">
        <f t="array" ref="J39">IF(I39="","",IFERROR(VALUE(TRIM(MID(SUBSTITUTE(INDEX(Wishlist!$A:$Z,ROW()-0,'List Setup'!$G$2),CHAR(10),REPT(" ",100)),((SEARCH(CHAR(10)&amp;I39&amp;CHAR(10),H39)-LEN(SUBSTITUTE(LEFT(H39,SEARCH(CHAR(10)&amp;I39&amp;CHAR(10),H39)),CHAR(10),"")))-1)*100+1,100))),""))</f>
        <v/>
      </c>
      <c r="K39" s="80" t="str">
        <f t="array" ref="K39">IF(A39="","",IF(ISNUMBER(SEARCH("Land",LEFT(IFERROR(INDEX(Wishlist!$A:$Z,ROW()-0,'List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39" s="80" t="str">
        <f t="shared" si="3"/>
        <v/>
      </c>
      <c r="M39" s="80" t="str">
        <f>IF(A39="","",IF(AND(E39="Y",B39='Use at Shop'!$B$4),K39*10000000000+(MAX(0,MIN(26,CODE(MID(UPPER(A39)&amp;"    ",1,1))-64))*19683+MAX(0,MIN(26,CODE(MID(UPPER(A39)&amp;"    ",2,1))-64))*729+MAX(0,MIN(26,CODE(MID(UPPER(A39)&amp;"    ",3,1))-64))*27+MAX(0,MIN(26,CODE(MID(UPPER(A39)&amp;"    ",4,1))-64))*1)*10000+ROW(),""))</f>
        <v/>
      </c>
      <c r="N39" s="80" t="str">
        <f t="shared" si="4"/>
        <v/>
      </c>
      <c r="O39" s="80" t="str">
        <f t="array" ref="O39">IF(A39="","",IFERROR(INDEX(Wishlist!$A:$Z,ROW()-0,'List Setup'!$J$2)&amp;"",""))</f>
        <v/>
      </c>
      <c r="P39" s="2"/>
      <c r="Q39" s="80" t="str">
        <f>IF(A39="","",'List Setup'!$A$2)</f>
        <v/>
      </c>
      <c r="R39" s="80" t="str">
        <f t="array" ref="R39">IF(A39="","",IFERROR(OR(INDEX(Binders!$J$6:$J$30,MATCH(Q39,Binders!$I$6:$I$30,0))=TRUE(),UPPER(INDEX(Binders!$J$6:$J$30,MATCH(Q39,Binders!$I$6:$I$30,0))&amp;"")="TRUE"),FALSE()))</f>
        <v/>
      </c>
    </row>
    <row r="40" ht="15.75" customHeight="1">
      <c r="A40" s="80" t="str">
        <f t="array" ref="A40">IF(INDEX(Wishlist!$A:$Z,ROW()-0,'List Setup'!$D$2)="","",INDEX(Wishlist!$A:$Z,ROW()-0,'List Setup'!$D$2))</f>
        <v/>
      </c>
      <c r="B40" s="80" t="str">
        <f t="array" ref="B40">IF(A40="","",IFERROR(INDEX('Binder Setup'!$B$2:$B$401,MIN(IF(ISNUMBER(SEARCH(CHAR(10)&amp;'Binder Setup'!$B$2:$B$401&amp;CHAR(10),$H40)),'List Setup'!$Q$2:$Q$401,999),IF(ISNUMBER(SEARCH(CHAR(10)&amp;'Set Aliases'!$A$2:$A$501&amp;CHAR(10),$H40)),'Set Aliases'!$C$2:$C$501,999))),"(none)"))</f>
        <v/>
      </c>
      <c r="C40" s="80" t="str">
        <f t="shared" si="1"/>
        <v/>
      </c>
      <c r="D40" s="80" t="str">
        <f t="array" ref="D40">IF(A40="","",IF(ISLOGICAL(INDEX(Wishlist!$A:$Z,ROW()-0,'List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40" s="80" t="str">
        <f t="shared" si="2"/>
        <v/>
      </c>
      <c r="F40" s="80" t="str">
        <f t="array" ref="F40">IF(A40="","",IF(ISNUMBER(J40),J40,IF(ISNUMBER(INDEX(Wishlist!$A:$Z,ROW()-0,'List Setup'!$F$2)),INDEX(Wishlist!$A:$Z,ROW()-0,'List Setup'!$F$2),0)))</f>
        <v/>
      </c>
      <c r="G40" s="80" t="str">
        <f t="array" ref="G40">IF(A40="","",A40&amp;IF(N(INDEX(Wishlist!$A:$Z,ROW()-0,'List Setup'!$C$2))&gt;1," (x"&amp;INDEX(Wishlist!$A:$Z,ROW()-0,'List Setup'!$C$2)&amp;")","")&amp;IF(COUNTIF(Binders!$J$6:$J$30,TRUE())&gt;1," ["&amp;Q40&amp;"]",""))</f>
        <v/>
      </c>
      <c r="H40" s="80" t="str">
        <f t="array" ref="H40">IF(A40="","",CHAR(10)&amp;INDEX(Wishlist!$A:$Z,ROW()-0,'List Setup'!$E$2)&amp;CHAR(10))</f>
        <v/>
      </c>
      <c r="I40" s="80" t="str">
        <f t="array" ref="I40">IF(OR(B40="",B40="(none)"),"",IF(ISNUMBER(SEARCH(CHAR(10)&amp;B40&amp;CHAR(10),H40)),B40,IFERROR(INDEX('Set Aliases'!$A$2:$A$501,MATCH(1,('Set Aliases'!$B$2:$B$501=B40)*ISNUMBER(SEARCH(CHAR(10)&amp;'Set Aliases'!$A$2:$A$501&amp;CHAR(10),H40)),0)),"")))</f>
        <v/>
      </c>
      <c r="J40" s="80" t="str">
        <f t="array" ref="J40">IF(I40="","",IFERROR(VALUE(TRIM(MID(SUBSTITUTE(INDEX(Wishlist!$A:$Z,ROW()-0,'List Setup'!$G$2),CHAR(10),REPT(" ",100)),((SEARCH(CHAR(10)&amp;I40&amp;CHAR(10),H40)-LEN(SUBSTITUTE(LEFT(H40,SEARCH(CHAR(10)&amp;I40&amp;CHAR(10),H40)),CHAR(10),"")))-1)*100+1,100))),""))</f>
        <v/>
      </c>
      <c r="K40" s="80" t="str">
        <f t="array" ref="K40">IF(A40="","",IF(ISNUMBER(SEARCH("Land",LEFT(IFERROR(INDEX(Wishlist!$A:$Z,ROW()-0,'List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40" s="80" t="str">
        <f t="shared" si="3"/>
        <v/>
      </c>
      <c r="M40" s="80" t="str">
        <f>IF(A40="","",IF(AND(E40="Y",B40='Use at Shop'!$B$4),K40*10000000000+(MAX(0,MIN(26,CODE(MID(UPPER(A40)&amp;"    ",1,1))-64))*19683+MAX(0,MIN(26,CODE(MID(UPPER(A40)&amp;"    ",2,1))-64))*729+MAX(0,MIN(26,CODE(MID(UPPER(A40)&amp;"    ",3,1))-64))*27+MAX(0,MIN(26,CODE(MID(UPPER(A40)&amp;"    ",4,1))-64))*1)*10000+ROW(),""))</f>
        <v/>
      </c>
      <c r="N40" s="80" t="str">
        <f t="shared" si="4"/>
        <v/>
      </c>
      <c r="O40" s="80" t="str">
        <f t="array" ref="O40">IF(A40="","",IFERROR(INDEX(Wishlist!$A:$Z,ROW()-0,'List Setup'!$J$2)&amp;"",""))</f>
        <v/>
      </c>
      <c r="P40" s="2"/>
      <c r="Q40" s="80" t="str">
        <f>IF(A40="","",'List Setup'!$A$2)</f>
        <v/>
      </c>
      <c r="R40" s="80" t="str">
        <f t="array" ref="R40">IF(A40="","",IFERROR(OR(INDEX(Binders!$J$6:$J$30,MATCH(Q40,Binders!$I$6:$I$30,0))=TRUE(),UPPER(INDEX(Binders!$J$6:$J$30,MATCH(Q40,Binders!$I$6:$I$30,0))&amp;"")="TRUE"),FALSE()))</f>
        <v/>
      </c>
    </row>
    <row r="41" ht="15.75" customHeight="1">
      <c r="A41" s="80" t="str">
        <f t="array" ref="A41">IF(INDEX(Wishlist!$A:$Z,ROW()-0,'List Setup'!$D$2)="","",INDEX(Wishlist!$A:$Z,ROW()-0,'List Setup'!$D$2))</f>
        <v/>
      </c>
      <c r="B41" s="80" t="str">
        <f t="array" ref="B41">IF(A41="","",IFERROR(INDEX('Binder Setup'!$B$2:$B$401,MIN(IF(ISNUMBER(SEARCH(CHAR(10)&amp;'Binder Setup'!$B$2:$B$401&amp;CHAR(10),$H41)),'List Setup'!$Q$2:$Q$401,999),IF(ISNUMBER(SEARCH(CHAR(10)&amp;'Set Aliases'!$A$2:$A$501&amp;CHAR(10),$H41)),'Set Aliases'!$C$2:$C$501,999))),"(none)"))</f>
        <v/>
      </c>
      <c r="C41" s="80" t="str">
        <f t="shared" si="1"/>
        <v/>
      </c>
      <c r="D41" s="80" t="str">
        <f t="array" ref="D41">IF(A41="","",IF(ISLOGICAL(INDEX(Wishlist!$A:$Z,ROW()-0,'List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41" s="80" t="str">
        <f t="shared" si="2"/>
        <v/>
      </c>
      <c r="F41" s="80" t="str">
        <f t="array" ref="F41">IF(A41="","",IF(ISNUMBER(J41),J41,IF(ISNUMBER(INDEX(Wishlist!$A:$Z,ROW()-0,'List Setup'!$F$2)),INDEX(Wishlist!$A:$Z,ROW()-0,'List Setup'!$F$2),0)))</f>
        <v/>
      </c>
      <c r="G41" s="80" t="str">
        <f t="array" ref="G41">IF(A41="","",A41&amp;IF(N(INDEX(Wishlist!$A:$Z,ROW()-0,'List Setup'!$C$2))&gt;1," (x"&amp;INDEX(Wishlist!$A:$Z,ROW()-0,'List Setup'!$C$2)&amp;")","")&amp;IF(COUNTIF(Binders!$J$6:$J$30,TRUE())&gt;1," ["&amp;Q41&amp;"]",""))</f>
        <v/>
      </c>
      <c r="H41" s="80" t="str">
        <f t="array" ref="H41">IF(A41="","",CHAR(10)&amp;INDEX(Wishlist!$A:$Z,ROW()-0,'List Setup'!$E$2)&amp;CHAR(10))</f>
        <v/>
      </c>
      <c r="I41" s="80" t="str">
        <f t="array" ref="I41">IF(OR(B41="",B41="(none)"),"",IF(ISNUMBER(SEARCH(CHAR(10)&amp;B41&amp;CHAR(10),H41)),B41,IFERROR(INDEX('Set Aliases'!$A$2:$A$501,MATCH(1,('Set Aliases'!$B$2:$B$501=B41)*ISNUMBER(SEARCH(CHAR(10)&amp;'Set Aliases'!$A$2:$A$501&amp;CHAR(10),H41)),0)),"")))</f>
        <v/>
      </c>
      <c r="J41" s="80" t="str">
        <f t="array" ref="J41">IF(I41="","",IFERROR(VALUE(TRIM(MID(SUBSTITUTE(INDEX(Wishlist!$A:$Z,ROW()-0,'List Setup'!$G$2),CHAR(10),REPT(" ",100)),((SEARCH(CHAR(10)&amp;I41&amp;CHAR(10),H41)-LEN(SUBSTITUTE(LEFT(H41,SEARCH(CHAR(10)&amp;I41&amp;CHAR(10),H41)),CHAR(10),"")))-1)*100+1,100))),""))</f>
        <v/>
      </c>
      <c r="K41" s="80" t="str">
        <f t="array" ref="K41">IF(A41="","",IF(ISNUMBER(SEARCH("Land",LEFT(IFERROR(INDEX(Wishlist!$A:$Z,ROW()-0,'List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41" s="80" t="str">
        <f t="shared" si="3"/>
        <v/>
      </c>
      <c r="M41" s="80" t="str">
        <f>IF(A41="","",IF(AND(E41="Y",B41='Use at Shop'!$B$4),K41*10000000000+(MAX(0,MIN(26,CODE(MID(UPPER(A41)&amp;"    ",1,1))-64))*19683+MAX(0,MIN(26,CODE(MID(UPPER(A41)&amp;"    ",2,1))-64))*729+MAX(0,MIN(26,CODE(MID(UPPER(A41)&amp;"    ",3,1))-64))*27+MAX(0,MIN(26,CODE(MID(UPPER(A41)&amp;"    ",4,1))-64))*1)*10000+ROW(),""))</f>
        <v/>
      </c>
      <c r="N41" s="80" t="str">
        <f t="shared" si="4"/>
        <v/>
      </c>
      <c r="O41" s="80" t="str">
        <f t="array" ref="O41">IF(A41="","",IFERROR(INDEX(Wishlist!$A:$Z,ROW()-0,'List Setup'!$J$2)&amp;"",""))</f>
        <v/>
      </c>
      <c r="P41" s="2"/>
      <c r="Q41" s="80" t="str">
        <f>IF(A41="","",'List Setup'!$A$2)</f>
        <v/>
      </c>
      <c r="R41" s="80" t="str">
        <f t="array" ref="R41">IF(A41="","",IFERROR(OR(INDEX(Binders!$J$6:$J$30,MATCH(Q41,Binders!$I$6:$I$30,0))=TRUE(),UPPER(INDEX(Binders!$J$6:$J$30,MATCH(Q41,Binders!$I$6:$I$30,0))&amp;"")="TRUE"),FALSE()))</f>
        <v/>
      </c>
    </row>
    <row r="42" ht="15.75" customHeight="1">
      <c r="A42" s="80" t="str">
        <f t="array" ref="A42">IF(INDEX(Wishlist!$A:$Z,ROW()-0,'List Setup'!$D$2)="","",INDEX(Wishlist!$A:$Z,ROW()-0,'List Setup'!$D$2))</f>
        <v/>
      </c>
      <c r="B42" s="80" t="str">
        <f t="array" ref="B42">IF(A42="","",IFERROR(INDEX('Binder Setup'!$B$2:$B$401,MIN(IF(ISNUMBER(SEARCH(CHAR(10)&amp;'Binder Setup'!$B$2:$B$401&amp;CHAR(10),$H42)),'List Setup'!$Q$2:$Q$401,999),IF(ISNUMBER(SEARCH(CHAR(10)&amp;'Set Aliases'!$A$2:$A$501&amp;CHAR(10),$H42)),'Set Aliases'!$C$2:$C$501,999))),"(none)"))</f>
        <v/>
      </c>
      <c r="C42" s="80" t="str">
        <f t="shared" si="1"/>
        <v/>
      </c>
      <c r="D42" s="80" t="str">
        <f t="array" ref="D42">IF(A42="","",IF(ISLOGICAL(INDEX(Wishlist!$A:$Z,ROW()-0,'List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42" s="80" t="str">
        <f t="shared" si="2"/>
        <v/>
      </c>
      <c r="F42" s="80" t="str">
        <f t="array" ref="F42">IF(A42="","",IF(ISNUMBER(J42),J42,IF(ISNUMBER(INDEX(Wishlist!$A:$Z,ROW()-0,'List Setup'!$F$2)),INDEX(Wishlist!$A:$Z,ROW()-0,'List Setup'!$F$2),0)))</f>
        <v/>
      </c>
      <c r="G42" s="80" t="str">
        <f t="array" ref="G42">IF(A42="","",A42&amp;IF(N(INDEX(Wishlist!$A:$Z,ROW()-0,'List Setup'!$C$2))&gt;1," (x"&amp;INDEX(Wishlist!$A:$Z,ROW()-0,'List Setup'!$C$2)&amp;")","")&amp;IF(COUNTIF(Binders!$J$6:$J$30,TRUE())&gt;1," ["&amp;Q42&amp;"]",""))</f>
        <v/>
      </c>
      <c r="H42" s="80" t="str">
        <f t="array" ref="H42">IF(A42="","",CHAR(10)&amp;INDEX(Wishlist!$A:$Z,ROW()-0,'List Setup'!$E$2)&amp;CHAR(10))</f>
        <v/>
      </c>
      <c r="I42" s="80" t="str">
        <f t="array" ref="I42">IF(OR(B42="",B42="(none)"),"",IF(ISNUMBER(SEARCH(CHAR(10)&amp;B42&amp;CHAR(10),H42)),B42,IFERROR(INDEX('Set Aliases'!$A$2:$A$501,MATCH(1,('Set Aliases'!$B$2:$B$501=B42)*ISNUMBER(SEARCH(CHAR(10)&amp;'Set Aliases'!$A$2:$A$501&amp;CHAR(10),H42)),0)),"")))</f>
        <v/>
      </c>
      <c r="J42" s="80" t="str">
        <f t="array" ref="J42">IF(I42="","",IFERROR(VALUE(TRIM(MID(SUBSTITUTE(INDEX(Wishlist!$A:$Z,ROW()-0,'List Setup'!$G$2),CHAR(10),REPT(" ",100)),((SEARCH(CHAR(10)&amp;I42&amp;CHAR(10),H42)-LEN(SUBSTITUTE(LEFT(H42,SEARCH(CHAR(10)&amp;I42&amp;CHAR(10),H42)),CHAR(10),"")))-1)*100+1,100))),""))</f>
        <v/>
      </c>
      <c r="K42" s="80" t="str">
        <f t="array" ref="K42">IF(A42="","",IF(ISNUMBER(SEARCH("Land",LEFT(IFERROR(INDEX(Wishlist!$A:$Z,ROW()-0,'List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42" s="80" t="str">
        <f t="shared" si="3"/>
        <v/>
      </c>
      <c r="M42" s="80" t="str">
        <f>IF(A42="","",IF(AND(E42="Y",B42='Use at Shop'!$B$4),K42*10000000000+(MAX(0,MIN(26,CODE(MID(UPPER(A42)&amp;"    ",1,1))-64))*19683+MAX(0,MIN(26,CODE(MID(UPPER(A42)&amp;"    ",2,1))-64))*729+MAX(0,MIN(26,CODE(MID(UPPER(A42)&amp;"    ",3,1))-64))*27+MAX(0,MIN(26,CODE(MID(UPPER(A42)&amp;"    ",4,1))-64))*1)*10000+ROW(),""))</f>
        <v/>
      </c>
      <c r="N42" s="80" t="str">
        <f t="shared" si="4"/>
        <v/>
      </c>
      <c r="O42" s="80" t="str">
        <f t="array" ref="O42">IF(A42="","",IFERROR(INDEX(Wishlist!$A:$Z,ROW()-0,'List Setup'!$J$2)&amp;"",""))</f>
        <v/>
      </c>
      <c r="P42" s="2"/>
      <c r="Q42" s="80" t="str">
        <f>IF(A42="","",'List Setup'!$A$2)</f>
        <v/>
      </c>
      <c r="R42" s="80" t="str">
        <f t="array" ref="R42">IF(A42="","",IFERROR(OR(INDEX(Binders!$J$6:$J$30,MATCH(Q42,Binders!$I$6:$I$30,0))=TRUE(),UPPER(INDEX(Binders!$J$6:$J$30,MATCH(Q42,Binders!$I$6:$I$30,0))&amp;"")="TRUE"),FALSE()))</f>
        <v/>
      </c>
    </row>
    <row r="43" ht="15.75" customHeight="1">
      <c r="A43" s="80" t="str">
        <f t="array" ref="A43">IF(INDEX(Wishlist!$A:$Z,ROW()-0,'List Setup'!$D$2)="","",INDEX(Wishlist!$A:$Z,ROW()-0,'List Setup'!$D$2))</f>
        <v/>
      </c>
      <c r="B43" s="80" t="str">
        <f t="array" ref="B43">IF(A43="","",IFERROR(INDEX('Binder Setup'!$B$2:$B$401,MIN(IF(ISNUMBER(SEARCH(CHAR(10)&amp;'Binder Setup'!$B$2:$B$401&amp;CHAR(10),$H43)),'List Setup'!$Q$2:$Q$401,999),IF(ISNUMBER(SEARCH(CHAR(10)&amp;'Set Aliases'!$A$2:$A$501&amp;CHAR(10),$H43)),'Set Aliases'!$C$2:$C$501,999))),"(none)"))</f>
        <v/>
      </c>
      <c r="C43" s="80" t="str">
        <f t="shared" si="1"/>
        <v/>
      </c>
      <c r="D43" s="80" t="str">
        <f t="array" ref="D43">IF(A43="","",IF(ISLOGICAL(INDEX(Wishlist!$A:$Z,ROW()-0,'List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43" s="80" t="str">
        <f t="shared" si="2"/>
        <v/>
      </c>
      <c r="F43" s="80" t="str">
        <f t="array" ref="F43">IF(A43="","",IF(ISNUMBER(J43),J43,IF(ISNUMBER(INDEX(Wishlist!$A:$Z,ROW()-0,'List Setup'!$F$2)),INDEX(Wishlist!$A:$Z,ROW()-0,'List Setup'!$F$2),0)))</f>
        <v/>
      </c>
      <c r="G43" s="80" t="str">
        <f t="array" ref="G43">IF(A43="","",A43&amp;IF(N(INDEX(Wishlist!$A:$Z,ROW()-0,'List Setup'!$C$2))&gt;1," (x"&amp;INDEX(Wishlist!$A:$Z,ROW()-0,'List Setup'!$C$2)&amp;")","")&amp;IF(COUNTIF(Binders!$J$6:$J$30,TRUE())&gt;1," ["&amp;Q43&amp;"]",""))</f>
        <v/>
      </c>
      <c r="H43" s="80" t="str">
        <f t="array" ref="H43">IF(A43="","",CHAR(10)&amp;INDEX(Wishlist!$A:$Z,ROW()-0,'List Setup'!$E$2)&amp;CHAR(10))</f>
        <v/>
      </c>
      <c r="I43" s="80" t="str">
        <f t="array" ref="I43">IF(OR(B43="",B43="(none)"),"",IF(ISNUMBER(SEARCH(CHAR(10)&amp;B43&amp;CHAR(10),H43)),B43,IFERROR(INDEX('Set Aliases'!$A$2:$A$501,MATCH(1,('Set Aliases'!$B$2:$B$501=B43)*ISNUMBER(SEARCH(CHAR(10)&amp;'Set Aliases'!$A$2:$A$501&amp;CHAR(10),H43)),0)),"")))</f>
        <v/>
      </c>
      <c r="J43" s="80" t="str">
        <f t="array" ref="J43">IF(I43="","",IFERROR(VALUE(TRIM(MID(SUBSTITUTE(INDEX(Wishlist!$A:$Z,ROW()-0,'List Setup'!$G$2),CHAR(10),REPT(" ",100)),((SEARCH(CHAR(10)&amp;I43&amp;CHAR(10),H43)-LEN(SUBSTITUTE(LEFT(H43,SEARCH(CHAR(10)&amp;I43&amp;CHAR(10),H43)),CHAR(10),"")))-1)*100+1,100))),""))</f>
        <v/>
      </c>
      <c r="K43" s="80" t="str">
        <f t="array" ref="K43">IF(A43="","",IF(ISNUMBER(SEARCH("Land",LEFT(IFERROR(INDEX(Wishlist!$A:$Z,ROW()-0,'List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43" s="80" t="str">
        <f t="shared" si="3"/>
        <v/>
      </c>
      <c r="M43" s="80" t="str">
        <f>IF(A43="","",IF(AND(E43="Y",B43='Use at Shop'!$B$4),K43*10000000000+(MAX(0,MIN(26,CODE(MID(UPPER(A43)&amp;"    ",1,1))-64))*19683+MAX(0,MIN(26,CODE(MID(UPPER(A43)&amp;"    ",2,1))-64))*729+MAX(0,MIN(26,CODE(MID(UPPER(A43)&amp;"    ",3,1))-64))*27+MAX(0,MIN(26,CODE(MID(UPPER(A43)&amp;"    ",4,1))-64))*1)*10000+ROW(),""))</f>
        <v/>
      </c>
      <c r="N43" s="80" t="str">
        <f t="shared" si="4"/>
        <v/>
      </c>
      <c r="O43" s="80" t="str">
        <f t="array" ref="O43">IF(A43="","",IFERROR(INDEX(Wishlist!$A:$Z,ROW()-0,'List Setup'!$J$2)&amp;"",""))</f>
        <v/>
      </c>
      <c r="P43" s="2"/>
      <c r="Q43" s="80" t="str">
        <f>IF(A43="","",'List Setup'!$A$2)</f>
        <v/>
      </c>
      <c r="R43" s="80" t="str">
        <f t="array" ref="R43">IF(A43="","",IFERROR(OR(INDEX(Binders!$J$6:$J$30,MATCH(Q43,Binders!$I$6:$I$30,0))=TRUE(),UPPER(INDEX(Binders!$J$6:$J$30,MATCH(Q43,Binders!$I$6:$I$30,0))&amp;"")="TRUE"),FALSE()))</f>
        <v/>
      </c>
    </row>
    <row r="44" ht="15.75" customHeight="1">
      <c r="A44" s="80" t="str">
        <f t="array" ref="A44">IF(INDEX(Wishlist!$A:$Z,ROW()-0,'List Setup'!$D$2)="","",INDEX(Wishlist!$A:$Z,ROW()-0,'List Setup'!$D$2))</f>
        <v/>
      </c>
      <c r="B44" s="80" t="str">
        <f t="array" ref="B44">IF(A44="","",IFERROR(INDEX('Binder Setup'!$B$2:$B$401,MIN(IF(ISNUMBER(SEARCH(CHAR(10)&amp;'Binder Setup'!$B$2:$B$401&amp;CHAR(10),$H44)),'List Setup'!$Q$2:$Q$401,999),IF(ISNUMBER(SEARCH(CHAR(10)&amp;'Set Aliases'!$A$2:$A$501&amp;CHAR(10),$H44)),'Set Aliases'!$C$2:$C$501,999))),"(none)"))</f>
        <v/>
      </c>
      <c r="C44" s="80" t="str">
        <f t="shared" si="1"/>
        <v/>
      </c>
      <c r="D44" s="80" t="str">
        <f t="array" ref="D44">IF(A44="","",IF(ISLOGICAL(INDEX(Wishlist!$A:$Z,ROW()-0,'List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44" s="80" t="str">
        <f t="shared" si="2"/>
        <v/>
      </c>
      <c r="F44" s="80" t="str">
        <f t="array" ref="F44">IF(A44="","",IF(ISNUMBER(J44),J44,IF(ISNUMBER(INDEX(Wishlist!$A:$Z,ROW()-0,'List Setup'!$F$2)),INDEX(Wishlist!$A:$Z,ROW()-0,'List Setup'!$F$2),0)))</f>
        <v/>
      </c>
      <c r="G44" s="80" t="str">
        <f t="array" ref="G44">IF(A44="","",A44&amp;IF(N(INDEX(Wishlist!$A:$Z,ROW()-0,'List Setup'!$C$2))&gt;1," (x"&amp;INDEX(Wishlist!$A:$Z,ROW()-0,'List Setup'!$C$2)&amp;")","")&amp;IF(COUNTIF(Binders!$J$6:$J$30,TRUE())&gt;1," ["&amp;Q44&amp;"]",""))</f>
        <v/>
      </c>
      <c r="H44" s="80" t="str">
        <f t="array" ref="H44">IF(A44="","",CHAR(10)&amp;INDEX(Wishlist!$A:$Z,ROW()-0,'List Setup'!$E$2)&amp;CHAR(10))</f>
        <v/>
      </c>
      <c r="I44" s="80" t="str">
        <f t="array" ref="I44">IF(OR(B44="",B44="(none)"),"",IF(ISNUMBER(SEARCH(CHAR(10)&amp;B44&amp;CHAR(10),H44)),B44,IFERROR(INDEX('Set Aliases'!$A$2:$A$501,MATCH(1,('Set Aliases'!$B$2:$B$501=B44)*ISNUMBER(SEARCH(CHAR(10)&amp;'Set Aliases'!$A$2:$A$501&amp;CHAR(10),H44)),0)),"")))</f>
        <v/>
      </c>
      <c r="J44" s="80" t="str">
        <f t="array" ref="J44">IF(I44="","",IFERROR(VALUE(TRIM(MID(SUBSTITUTE(INDEX(Wishlist!$A:$Z,ROW()-0,'List Setup'!$G$2),CHAR(10),REPT(" ",100)),((SEARCH(CHAR(10)&amp;I44&amp;CHAR(10),H44)-LEN(SUBSTITUTE(LEFT(H44,SEARCH(CHAR(10)&amp;I44&amp;CHAR(10),H44)),CHAR(10),"")))-1)*100+1,100))),""))</f>
        <v/>
      </c>
      <c r="K44" s="80" t="str">
        <f t="array" ref="K44">IF(A44="","",IF(ISNUMBER(SEARCH("Land",LEFT(IFERROR(INDEX(Wishlist!$A:$Z,ROW()-0,'List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44" s="80" t="str">
        <f t="shared" si="3"/>
        <v/>
      </c>
      <c r="M44" s="80" t="str">
        <f>IF(A44="","",IF(AND(E44="Y",B44='Use at Shop'!$B$4),K44*10000000000+(MAX(0,MIN(26,CODE(MID(UPPER(A44)&amp;"    ",1,1))-64))*19683+MAX(0,MIN(26,CODE(MID(UPPER(A44)&amp;"    ",2,1))-64))*729+MAX(0,MIN(26,CODE(MID(UPPER(A44)&amp;"    ",3,1))-64))*27+MAX(0,MIN(26,CODE(MID(UPPER(A44)&amp;"    ",4,1))-64))*1)*10000+ROW(),""))</f>
        <v/>
      </c>
      <c r="N44" s="80" t="str">
        <f t="shared" si="4"/>
        <v/>
      </c>
      <c r="O44" s="80" t="str">
        <f t="array" ref="O44">IF(A44="","",IFERROR(INDEX(Wishlist!$A:$Z,ROW()-0,'List Setup'!$J$2)&amp;"",""))</f>
        <v/>
      </c>
      <c r="P44" s="2"/>
      <c r="Q44" s="80" t="str">
        <f>IF(A44="","",'List Setup'!$A$2)</f>
        <v/>
      </c>
      <c r="R44" s="80" t="str">
        <f t="array" ref="R44">IF(A44="","",IFERROR(OR(INDEX(Binders!$J$6:$J$30,MATCH(Q44,Binders!$I$6:$I$30,0))=TRUE(),UPPER(INDEX(Binders!$J$6:$J$30,MATCH(Q44,Binders!$I$6:$I$30,0))&amp;"")="TRUE"),FALSE()))</f>
        <v/>
      </c>
    </row>
    <row r="45" ht="15.75" customHeight="1">
      <c r="A45" s="80" t="str">
        <f t="array" ref="A45">IF(INDEX(Wishlist!$A:$Z,ROW()-0,'List Setup'!$D$2)="","",INDEX(Wishlist!$A:$Z,ROW()-0,'List Setup'!$D$2))</f>
        <v/>
      </c>
      <c r="B45" s="80" t="str">
        <f t="array" ref="B45">IF(A45="","",IFERROR(INDEX('Binder Setup'!$B$2:$B$401,MIN(IF(ISNUMBER(SEARCH(CHAR(10)&amp;'Binder Setup'!$B$2:$B$401&amp;CHAR(10),$H45)),'List Setup'!$Q$2:$Q$401,999),IF(ISNUMBER(SEARCH(CHAR(10)&amp;'Set Aliases'!$A$2:$A$501&amp;CHAR(10),$H45)),'Set Aliases'!$C$2:$C$501,999))),"(none)"))</f>
        <v/>
      </c>
      <c r="C45" s="80" t="str">
        <f t="shared" si="1"/>
        <v/>
      </c>
      <c r="D45" s="80" t="str">
        <f t="array" ref="D45">IF(A45="","",IF(ISLOGICAL(INDEX(Wishlist!$A:$Z,ROW()-0,'List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45" s="80" t="str">
        <f t="shared" si="2"/>
        <v/>
      </c>
      <c r="F45" s="80" t="str">
        <f t="array" ref="F45">IF(A45="","",IF(ISNUMBER(J45),J45,IF(ISNUMBER(INDEX(Wishlist!$A:$Z,ROW()-0,'List Setup'!$F$2)),INDEX(Wishlist!$A:$Z,ROW()-0,'List Setup'!$F$2),0)))</f>
        <v/>
      </c>
      <c r="G45" s="80" t="str">
        <f t="array" ref="G45">IF(A45="","",A45&amp;IF(N(INDEX(Wishlist!$A:$Z,ROW()-0,'List Setup'!$C$2))&gt;1," (x"&amp;INDEX(Wishlist!$A:$Z,ROW()-0,'List Setup'!$C$2)&amp;")","")&amp;IF(COUNTIF(Binders!$J$6:$J$30,TRUE())&gt;1," ["&amp;Q45&amp;"]",""))</f>
        <v/>
      </c>
      <c r="H45" s="80" t="str">
        <f t="array" ref="H45">IF(A45="","",CHAR(10)&amp;INDEX(Wishlist!$A:$Z,ROW()-0,'List Setup'!$E$2)&amp;CHAR(10))</f>
        <v/>
      </c>
      <c r="I45" s="80" t="str">
        <f t="array" ref="I45">IF(OR(B45="",B45="(none)"),"",IF(ISNUMBER(SEARCH(CHAR(10)&amp;B45&amp;CHAR(10),H45)),B45,IFERROR(INDEX('Set Aliases'!$A$2:$A$501,MATCH(1,('Set Aliases'!$B$2:$B$501=B45)*ISNUMBER(SEARCH(CHAR(10)&amp;'Set Aliases'!$A$2:$A$501&amp;CHAR(10),H45)),0)),"")))</f>
        <v/>
      </c>
      <c r="J45" s="80" t="str">
        <f t="array" ref="J45">IF(I45="","",IFERROR(VALUE(TRIM(MID(SUBSTITUTE(INDEX(Wishlist!$A:$Z,ROW()-0,'List Setup'!$G$2),CHAR(10),REPT(" ",100)),((SEARCH(CHAR(10)&amp;I45&amp;CHAR(10),H45)-LEN(SUBSTITUTE(LEFT(H45,SEARCH(CHAR(10)&amp;I45&amp;CHAR(10),H45)),CHAR(10),"")))-1)*100+1,100))),""))</f>
        <v/>
      </c>
      <c r="K45" s="80" t="str">
        <f t="array" ref="K45">IF(A45="","",IF(ISNUMBER(SEARCH("Land",LEFT(IFERROR(INDEX(Wishlist!$A:$Z,ROW()-0,'List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45" s="80" t="str">
        <f t="shared" si="3"/>
        <v/>
      </c>
      <c r="M45" s="80" t="str">
        <f>IF(A45="","",IF(AND(E45="Y",B45='Use at Shop'!$B$4),K45*10000000000+(MAX(0,MIN(26,CODE(MID(UPPER(A45)&amp;"    ",1,1))-64))*19683+MAX(0,MIN(26,CODE(MID(UPPER(A45)&amp;"    ",2,1))-64))*729+MAX(0,MIN(26,CODE(MID(UPPER(A45)&amp;"    ",3,1))-64))*27+MAX(0,MIN(26,CODE(MID(UPPER(A45)&amp;"    ",4,1))-64))*1)*10000+ROW(),""))</f>
        <v/>
      </c>
      <c r="N45" s="80" t="str">
        <f t="shared" si="4"/>
        <v/>
      </c>
      <c r="O45" s="80" t="str">
        <f t="array" ref="O45">IF(A45="","",IFERROR(INDEX(Wishlist!$A:$Z,ROW()-0,'List Setup'!$J$2)&amp;"",""))</f>
        <v/>
      </c>
      <c r="P45" s="2"/>
      <c r="Q45" s="80" t="str">
        <f>IF(A45="","",'List Setup'!$A$2)</f>
        <v/>
      </c>
      <c r="R45" s="80" t="str">
        <f t="array" ref="R45">IF(A45="","",IFERROR(OR(INDEX(Binders!$J$6:$J$30,MATCH(Q45,Binders!$I$6:$I$30,0))=TRUE(),UPPER(INDEX(Binders!$J$6:$J$30,MATCH(Q45,Binders!$I$6:$I$30,0))&amp;"")="TRUE"),FALSE()))</f>
        <v/>
      </c>
    </row>
    <row r="46" ht="15.75" customHeight="1">
      <c r="A46" s="80" t="str">
        <f t="array" ref="A46">IF(INDEX(Wishlist!$A:$Z,ROW()-0,'List Setup'!$D$2)="","",INDEX(Wishlist!$A:$Z,ROW()-0,'List Setup'!$D$2))</f>
        <v/>
      </c>
      <c r="B46" s="80" t="str">
        <f t="array" ref="B46">IF(A46="","",IFERROR(INDEX('Binder Setup'!$B$2:$B$401,MIN(IF(ISNUMBER(SEARCH(CHAR(10)&amp;'Binder Setup'!$B$2:$B$401&amp;CHAR(10),$H46)),'List Setup'!$Q$2:$Q$401,999),IF(ISNUMBER(SEARCH(CHAR(10)&amp;'Set Aliases'!$A$2:$A$501&amp;CHAR(10),$H46)),'Set Aliases'!$C$2:$C$501,999))),"(none)"))</f>
        <v/>
      </c>
      <c r="C46" s="80" t="str">
        <f t="shared" si="1"/>
        <v/>
      </c>
      <c r="D46" s="80" t="str">
        <f t="array" ref="D46">IF(A46="","",IF(ISLOGICAL(INDEX(Wishlist!$A:$Z,ROW()-0,'List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46" s="80" t="str">
        <f t="shared" si="2"/>
        <v/>
      </c>
      <c r="F46" s="80" t="str">
        <f t="array" ref="F46">IF(A46="","",IF(ISNUMBER(J46),J46,IF(ISNUMBER(INDEX(Wishlist!$A:$Z,ROW()-0,'List Setup'!$F$2)),INDEX(Wishlist!$A:$Z,ROW()-0,'List Setup'!$F$2),0)))</f>
        <v/>
      </c>
      <c r="G46" s="80" t="str">
        <f t="array" ref="G46">IF(A46="","",A46&amp;IF(N(INDEX(Wishlist!$A:$Z,ROW()-0,'List Setup'!$C$2))&gt;1," (x"&amp;INDEX(Wishlist!$A:$Z,ROW()-0,'List Setup'!$C$2)&amp;")","")&amp;IF(COUNTIF(Binders!$J$6:$J$30,TRUE())&gt;1," ["&amp;Q46&amp;"]",""))</f>
        <v/>
      </c>
      <c r="H46" s="80" t="str">
        <f t="array" ref="H46">IF(A46="","",CHAR(10)&amp;INDEX(Wishlist!$A:$Z,ROW()-0,'List Setup'!$E$2)&amp;CHAR(10))</f>
        <v/>
      </c>
      <c r="I46" s="80" t="str">
        <f t="array" ref="I46">IF(OR(B46="",B46="(none)"),"",IF(ISNUMBER(SEARCH(CHAR(10)&amp;B46&amp;CHAR(10),H46)),B46,IFERROR(INDEX('Set Aliases'!$A$2:$A$501,MATCH(1,('Set Aliases'!$B$2:$B$501=B46)*ISNUMBER(SEARCH(CHAR(10)&amp;'Set Aliases'!$A$2:$A$501&amp;CHAR(10),H46)),0)),"")))</f>
        <v/>
      </c>
      <c r="J46" s="80" t="str">
        <f t="array" ref="J46">IF(I46="","",IFERROR(VALUE(TRIM(MID(SUBSTITUTE(INDEX(Wishlist!$A:$Z,ROW()-0,'List Setup'!$G$2),CHAR(10),REPT(" ",100)),((SEARCH(CHAR(10)&amp;I46&amp;CHAR(10),H46)-LEN(SUBSTITUTE(LEFT(H46,SEARCH(CHAR(10)&amp;I46&amp;CHAR(10),H46)),CHAR(10),"")))-1)*100+1,100))),""))</f>
        <v/>
      </c>
      <c r="K46" s="80" t="str">
        <f t="array" ref="K46">IF(A46="","",IF(ISNUMBER(SEARCH("Land",LEFT(IFERROR(INDEX(Wishlist!$A:$Z,ROW()-0,'List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46" s="80" t="str">
        <f t="shared" si="3"/>
        <v/>
      </c>
      <c r="M46" s="80" t="str">
        <f>IF(A46="","",IF(AND(E46="Y",B46='Use at Shop'!$B$4),K46*10000000000+(MAX(0,MIN(26,CODE(MID(UPPER(A46)&amp;"    ",1,1))-64))*19683+MAX(0,MIN(26,CODE(MID(UPPER(A46)&amp;"    ",2,1))-64))*729+MAX(0,MIN(26,CODE(MID(UPPER(A46)&amp;"    ",3,1))-64))*27+MAX(0,MIN(26,CODE(MID(UPPER(A46)&amp;"    ",4,1))-64))*1)*10000+ROW(),""))</f>
        <v/>
      </c>
      <c r="N46" s="80" t="str">
        <f t="shared" si="4"/>
        <v/>
      </c>
      <c r="O46" s="80" t="str">
        <f t="array" ref="O46">IF(A46="","",IFERROR(INDEX(Wishlist!$A:$Z,ROW()-0,'List Setup'!$J$2)&amp;"",""))</f>
        <v/>
      </c>
      <c r="P46" s="2"/>
      <c r="Q46" s="80" t="str">
        <f>IF(A46="","",'List Setup'!$A$2)</f>
        <v/>
      </c>
      <c r="R46" s="80" t="str">
        <f t="array" ref="R46">IF(A46="","",IFERROR(OR(INDEX(Binders!$J$6:$J$30,MATCH(Q46,Binders!$I$6:$I$30,0))=TRUE(),UPPER(INDEX(Binders!$J$6:$J$30,MATCH(Q46,Binders!$I$6:$I$30,0))&amp;"")="TRUE"),FALSE()))</f>
        <v/>
      </c>
    </row>
    <row r="47" ht="15.75" customHeight="1">
      <c r="A47" s="80" t="str">
        <f t="array" ref="A47">IF(INDEX(Wishlist!$A:$Z,ROW()-0,'List Setup'!$D$2)="","",INDEX(Wishlist!$A:$Z,ROW()-0,'List Setup'!$D$2))</f>
        <v/>
      </c>
      <c r="B47" s="80" t="str">
        <f t="array" ref="B47">IF(A47="","",IFERROR(INDEX('Binder Setup'!$B$2:$B$401,MIN(IF(ISNUMBER(SEARCH(CHAR(10)&amp;'Binder Setup'!$B$2:$B$401&amp;CHAR(10),$H47)),'List Setup'!$Q$2:$Q$401,999),IF(ISNUMBER(SEARCH(CHAR(10)&amp;'Set Aliases'!$A$2:$A$501&amp;CHAR(10),$H47)),'Set Aliases'!$C$2:$C$501,999))),"(none)"))</f>
        <v/>
      </c>
      <c r="C47" s="80" t="str">
        <f t="shared" si="1"/>
        <v/>
      </c>
      <c r="D47" s="80" t="str">
        <f t="array" ref="D47">IF(A47="","",IF(ISLOGICAL(INDEX(Wishlist!$A:$Z,ROW()-0,'List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47" s="80" t="str">
        <f t="shared" si="2"/>
        <v/>
      </c>
      <c r="F47" s="80" t="str">
        <f t="array" ref="F47">IF(A47="","",IF(ISNUMBER(J47),J47,IF(ISNUMBER(INDEX(Wishlist!$A:$Z,ROW()-0,'List Setup'!$F$2)),INDEX(Wishlist!$A:$Z,ROW()-0,'List Setup'!$F$2),0)))</f>
        <v/>
      </c>
      <c r="G47" s="80" t="str">
        <f t="array" ref="G47">IF(A47="","",A47&amp;IF(N(INDEX(Wishlist!$A:$Z,ROW()-0,'List Setup'!$C$2))&gt;1," (x"&amp;INDEX(Wishlist!$A:$Z,ROW()-0,'List Setup'!$C$2)&amp;")","")&amp;IF(COUNTIF(Binders!$J$6:$J$30,TRUE())&gt;1," ["&amp;Q47&amp;"]",""))</f>
        <v/>
      </c>
      <c r="H47" s="80" t="str">
        <f t="array" ref="H47">IF(A47="","",CHAR(10)&amp;INDEX(Wishlist!$A:$Z,ROW()-0,'List Setup'!$E$2)&amp;CHAR(10))</f>
        <v/>
      </c>
      <c r="I47" s="80" t="str">
        <f t="array" ref="I47">IF(OR(B47="",B47="(none)"),"",IF(ISNUMBER(SEARCH(CHAR(10)&amp;B47&amp;CHAR(10),H47)),B47,IFERROR(INDEX('Set Aliases'!$A$2:$A$501,MATCH(1,('Set Aliases'!$B$2:$B$501=B47)*ISNUMBER(SEARCH(CHAR(10)&amp;'Set Aliases'!$A$2:$A$501&amp;CHAR(10),H47)),0)),"")))</f>
        <v/>
      </c>
      <c r="J47" s="80" t="str">
        <f t="array" ref="J47">IF(I47="","",IFERROR(VALUE(TRIM(MID(SUBSTITUTE(INDEX(Wishlist!$A:$Z,ROW()-0,'List Setup'!$G$2),CHAR(10),REPT(" ",100)),((SEARCH(CHAR(10)&amp;I47&amp;CHAR(10),H47)-LEN(SUBSTITUTE(LEFT(H47,SEARCH(CHAR(10)&amp;I47&amp;CHAR(10),H47)),CHAR(10),"")))-1)*100+1,100))),""))</f>
        <v/>
      </c>
      <c r="K47" s="80" t="str">
        <f t="array" ref="K47">IF(A47="","",IF(ISNUMBER(SEARCH("Land",LEFT(IFERROR(INDEX(Wishlist!$A:$Z,ROW()-0,'List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47" s="80" t="str">
        <f t="shared" si="3"/>
        <v/>
      </c>
      <c r="M47" s="80" t="str">
        <f>IF(A47="","",IF(AND(E47="Y",B47='Use at Shop'!$B$4),K47*10000000000+(MAX(0,MIN(26,CODE(MID(UPPER(A47)&amp;"    ",1,1))-64))*19683+MAX(0,MIN(26,CODE(MID(UPPER(A47)&amp;"    ",2,1))-64))*729+MAX(0,MIN(26,CODE(MID(UPPER(A47)&amp;"    ",3,1))-64))*27+MAX(0,MIN(26,CODE(MID(UPPER(A47)&amp;"    ",4,1))-64))*1)*10000+ROW(),""))</f>
        <v/>
      </c>
      <c r="N47" s="80" t="str">
        <f t="shared" si="4"/>
        <v/>
      </c>
      <c r="O47" s="80" t="str">
        <f t="array" ref="O47">IF(A47="","",IFERROR(INDEX(Wishlist!$A:$Z,ROW()-0,'List Setup'!$J$2)&amp;"",""))</f>
        <v/>
      </c>
      <c r="P47" s="2"/>
      <c r="Q47" s="80" t="str">
        <f>IF(A47="","",'List Setup'!$A$2)</f>
        <v/>
      </c>
      <c r="R47" s="80" t="str">
        <f t="array" ref="R47">IF(A47="","",IFERROR(OR(INDEX(Binders!$J$6:$J$30,MATCH(Q47,Binders!$I$6:$I$30,0))=TRUE(),UPPER(INDEX(Binders!$J$6:$J$30,MATCH(Q47,Binders!$I$6:$I$30,0))&amp;"")="TRUE"),FALSE()))</f>
        <v/>
      </c>
    </row>
    <row r="48" ht="15.75" customHeight="1">
      <c r="A48" s="80" t="str">
        <f t="array" ref="A48">IF(INDEX(Wishlist!$A:$Z,ROW()-0,'List Setup'!$D$2)="","",INDEX(Wishlist!$A:$Z,ROW()-0,'List Setup'!$D$2))</f>
        <v/>
      </c>
      <c r="B48" s="80" t="str">
        <f t="array" ref="B48">IF(A48="","",IFERROR(INDEX('Binder Setup'!$B$2:$B$401,MIN(IF(ISNUMBER(SEARCH(CHAR(10)&amp;'Binder Setup'!$B$2:$B$401&amp;CHAR(10),$H48)),'List Setup'!$Q$2:$Q$401,999),IF(ISNUMBER(SEARCH(CHAR(10)&amp;'Set Aliases'!$A$2:$A$501&amp;CHAR(10),$H48)),'Set Aliases'!$C$2:$C$501,999))),"(none)"))</f>
        <v/>
      </c>
      <c r="C48" s="80" t="str">
        <f t="shared" si="1"/>
        <v/>
      </c>
      <c r="D48" s="80" t="str">
        <f t="array" ref="D48">IF(A48="","",IF(ISLOGICAL(INDEX(Wishlist!$A:$Z,ROW()-0,'List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48" s="80" t="str">
        <f t="shared" si="2"/>
        <v/>
      </c>
      <c r="F48" s="80" t="str">
        <f t="array" ref="F48">IF(A48="","",IF(ISNUMBER(J48),J48,IF(ISNUMBER(INDEX(Wishlist!$A:$Z,ROW()-0,'List Setup'!$F$2)),INDEX(Wishlist!$A:$Z,ROW()-0,'List Setup'!$F$2),0)))</f>
        <v/>
      </c>
      <c r="G48" s="80" t="str">
        <f t="array" ref="G48">IF(A48="","",A48&amp;IF(N(INDEX(Wishlist!$A:$Z,ROW()-0,'List Setup'!$C$2))&gt;1," (x"&amp;INDEX(Wishlist!$A:$Z,ROW()-0,'List Setup'!$C$2)&amp;")","")&amp;IF(COUNTIF(Binders!$J$6:$J$30,TRUE())&gt;1," ["&amp;Q48&amp;"]",""))</f>
        <v/>
      </c>
      <c r="H48" s="80" t="str">
        <f t="array" ref="H48">IF(A48="","",CHAR(10)&amp;INDEX(Wishlist!$A:$Z,ROW()-0,'List Setup'!$E$2)&amp;CHAR(10))</f>
        <v/>
      </c>
      <c r="I48" s="80" t="str">
        <f t="array" ref="I48">IF(OR(B48="",B48="(none)"),"",IF(ISNUMBER(SEARCH(CHAR(10)&amp;B48&amp;CHAR(10),H48)),B48,IFERROR(INDEX('Set Aliases'!$A$2:$A$501,MATCH(1,('Set Aliases'!$B$2:$B$501=B48)*ISNUMBER(SEARCH(CHAR(10)&amp;'Set Aliases'!$A$2:$A$501&amp;CHAR(10),H48)),0)),"")))</f>
        <v/>
      </c>
      <c r="J48" s="80" t="str">
        <f t="array" ref="J48">IF(I48="","",IFERROR(VALUE(TRIM(MID(SUBSTITUTE(INDEX(Wishlist!$A:$Z,ROW()-0,'List Setup'!$G$2),CHAR(10),REPT(" ",100)),((SEARCH(CHAR(10)&amp;I48&amp;CHAR(10),H48)-LEN(SUBSTITUTE(LEFT(H48,SEARCH(CHAR(10)&amp;I48&amp;CHAR(10),H48)),CHAR(10),"")))-1)*100+1,100))),""))</f>
        <v/>
      </c>
      <c r="K48" s="80" t="str">
        <f t="array" ref="K48">IF(A48="","",IF(ISNUMBER(SEARCH("Land",LEFT(IFERROR(INDEX(Wishlist!$A:$Z,ROW()-0,'List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48" s="80" t="str">
        <f t="shared" si="3"/>
        <v/>
      </c>
      <c r="M48" s="80" t="str">
        <f>IF(A48="","",IF(AND(E48="Y",B48='Use at Shop'!$B$4),K48*10000000000+(MAX(0,MIN(26,CODE(MID(UPPER(A48)&amp;"    ",1,1))-64))*19683+MAX(0,MIN(26,CODE(MID(UPPER(A48)&amp;"    ",2,1))-64))*729+MAX(0,MIN(26,CODE(MID(UPPER(A48)&amp;"    ",3,1))-64))*27+MAX(0,MIN(26,CODE(MID(UPPER(A48)&amp;"    ",4,1))-64))*1)*10000+ROW(),""))</f>
        <v/>
      </c>
      <c r="N48" s="80" t="str">
        <f t="shared" si="4"/>
        <v/>
      </c>
      <c r="O48" s="80" t="str">
        <f t="array" ref="O48">IF(A48="","",IFERROR(INDEX(Wishlist!$A:$Z,ROW()-0,'List Setup'!$J$2)&amp;"",""))</f>
        <v/>
      </c>
      <c r="P48" s="2"/>
      <c r="Q48" s="80" t="str">
        <f>IF(A48="","",'List Setup'!$A$2)</f>
        <v/>
      </c>
      <c r="R48" s="80" t="str">
        <f t="array" ref="R48">IF(A48="","",IFERROR(OR(INDEX(Binders!$J$6:$J$30,MATCH(Q48,Binders!$I$6:$I$30,0))=TRUE(),UPPER(INDEX(Binders!$J$6:$J$30,MATCH(Q48,Binders!$I$6:$I$30,0))&amp;"")="TRUE"),FALSE()))</f>
        <v/>
      </c>
    </row>
    <row r="49" ht="15.75" customHeight="1">
      <c r="A49" s="80" t="str">
        <f t="array" ref="A49">IF(INDEX(Wishlist!$A:$Z,ROW()-0,'List Setup'!$D$2)="","",INDEX(Wishlist!$A:$Z,ROW()-0,'List Setup'!$D$2))</f>
        <v/>
      </c>
      <c r="B49" s="80" t="str">
        <f t="array" ref="B49">IF(A49="","",IFERROR(INDEX('Binder Setup'!$B$2:$B$401,MIN(IF(ISNUMBER(SEARCH(CHAR(10)&amp;'Binder Setup'!$B$2:$B$401&amp;CHAR(10),$H49)),'List Setup'!$Q$2:$Q$401,999),IF(ISNUMBER(SEARCH(CHAR(10)&amp;'Set Aliases'!$A$2:$A$501&amp;CHAR(10),$H49)),'Set Aliases'!$C$2:$C$501,999))),"(none)"))</f>
        <v/>
      </c>
      <c r="C49" s="80" t="str">
        <f t="shared" si="1"/>
        <v/>
      </c>
      <c r="D49" s="80" t="str">
        <f t="array" ref="D49">IF(A49="","",IF(ISLOGICAL(INDEX(Wishlist!$A:$Z,ROW()-0,'List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49" s="80" t="str">
        <f t="shared" si="2"/>
        <v/>
      </c>
      <c r="F49" s="80" t="str">
        <f t="array" ref="F49">IF(A49="","",IF(ISNUMBER(J49),J49,IF(ISNUMBER(INDEX(Wishlist!$A:$Z,ROW()-0,'List Setup'!$F$2)),INDEX(Wishlist!$A:$Z,ROW()-0,'List Setup'!$F$2),0)))</f>
        <v/>
      </c>
      <c r="G49" s="80" t="str">
        <f t="array" ref="G49">IF(A49="","",A49&amp;IF(N(INDEX(Wishlist!$A:$Z,ROW()-0,'List Setup'!$C$2))&gt;1," (x"&amp;INDEX(Wishlist!$A:$Z,ROW()-0,'List Setup'!$C$2)&amp;")","")&amp;IF(COUNTIF(Binders!$J$6:$J$30,TRUE())&gt;1," ["&amp;Q49&amp;"]",""))</f>
        <v/>
      </c>
      <c r="H49" s="80" t="str">
        <f t="array" ref="H49">IF(A49="","",CHAR(10)&amp;INDEX(Wishlist!$A:$Z,ROW()-0,'List Setup'!$E$2)&amp;CHAR(10))</f>
        <v/>
      </c>
      <c r="I49" s="80" t="str">
        <f t="array" ref="I49">IF(OR(B49="",B49="(none)"),"",IF(ISNUMBER(SEARCH(CHAR(10)&amp;B49&amp;CHAR(10),H49)),B49,IFERROR(INDEX('Set Aliases'!$A$2:$A$501,MATCH(1,('Set Aliases'!$B$2:$B$501=B49)*ISNUMBER(SEARCH(CHAR(10)&amp;'Set Aliases'!$A$2:$A$501&amp;CHAR(10),H49)),0)),"")))</f>
        <v/>
      </c>
      <c r="J49" s="80" t="str">
        <f t="array" ref="J49">IF(I49="","",IFERROR(VALUE(TRIM(MID(SUBSTITUTE(INDEX(Wishlist!$A:$Z,ROW()-0,'List Setup'!$G$2),CHAR(10),REPT(" ",100)),((SEARCH(CHAR(10)&amp;I49&amp;CHAR(10),H49)-LEN(SUBSTITUTE(LEFT(H49,SEARCH(CHAR(10)&amp;I49&amp;CHAR(10),H49)),CHAR(10),"")))-1)*100+1,100))),""))</f>
        <v/>
      </c>
      <c r="K49" s="80" t="str">
        <f t="array" ref="K49">IF(A49="","",IF(ISNUMBER(SEARCH("Land",LEFT(IFERROR(INDEX(Wishlist!$A:$Z,ROW()-0,'List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49" s="80" t="str">
        <f t="shared" si="3"/>
        <v/>
      </c>
      <c r="M49" s="80" t="str">
        <f>IF(A49="","",IF(AND(E49="Y",B49='Use at Shop'!$B$4),K49*10000000000+(MAX(0,MIN(26,CODE(MID(UPPER(A49)&amp;"    ",1,1))-64))*19683+MAX(0,MIN(26,CODE(MID(UPPER(A49)&amp;"    ",2,1))-64))*729+MAX(0,MIN(26,CODE(MID(UPPER(A49)&amp;"    ",3,1))-64))*27+MAX(0,MIN(26,CODE(MID(UPPER(A49)&amp;"    ",4,1))-64))*1)*10000+ROW(),""))</f>
        <v/>
      </c>
      <c r="N49" s="80" t="str">
        <f t="shared" si="4"/>
        <v/>
      </c>
      <c r="O49" s="80" t="str">
        <f t="array" ref="O49">IF(A49="","",IFERROR(INDEX(Wishlist!$A:$Z,ROW()-0,'List Setup'!$J$2)&amp;"",""))</f>
        <v/>
      </c>
      <c r="P49" s="2"/>
      <c r="Q49" s="80" t="str">
        <f>IF(A49="","",'List Setup'!$A$2)</f>
        <v/>
      </c>
      <c r="R49" s="80" t="str">
        <f t="array" ref="R49">IF(A49="","",IFERROR(OR(INDEX(Binders!$J$6:$J$30,MATCH(Q49,Binders!$I$6:$I$30,0))=TRUE(),UPPER(INDEX(Binders!$J$6:$J$30,MATCH(Q49,Binders!$I$6:$I$30,0))&amp;"")="TRUE"),FALSE()))</f>
        <v/>
      </c>
    </row>
    <row r="50" ht="15.75" customHeight="1">
      <c r="A50" s="80" t="str">
        <f t="array" ref="A50">IF(INDEX(Wishlist!$A:$Z,ROW()-0,'List Setup'!$D$2)="","",INDEX(Wishlist!$A:$Z,ROW()-0,'List Setup'!$D$2))</f>
        <v/>
      </c>
      <c r="B50" s="80" t="str">
        <f t="array" ref="B50">IF(A50="","",IFERROR(INDEX('Binder Setup'!$B$2:$B$401,MIN(IF(ISNUMBER(SEARCH(CHAR(10)&amp;'Binder Setup'!$B$2:$B$401&amp;CHAR(10),$H50)),'List Setup'!$Q$2:$Q$401,999),IF(ISNUMBER(SEARCH(CHAR(10)&amp;'Set Aliases'!$A$2:$A$501&amp;CHAR(10),$H50)),'Set Aliases'!$C$2:$C$501,999))),"(none)"))</f>
        <v/>
      </c>
      <c r="C50" s="80" t="str">
        <f t="shared" si="1"/>
        <v/>
      </c>
      <c r="D50" s="80" t="str">
        <f t="array" ref="D50">IF(A50="","",IF(ISLOGICAL(INDEX(Wishlist!$A:$Z,ROW()-0,'List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50" s="80" t="str">
        <f t="shared" si="2"/>
        <v/>
      </c>
      <c r="F50" s="80" t="str">
        <f t="array" ref="F50">IF(A50="","",IF(ISNUMBER(J50),J50,IF(ISNUMBER(INDEX(Wishlist!$A:$Z,ROW()-0,'List Setup'!$F$2)),INDEX(Wishlist!$A:$Z,ROW()-0,'List Setup'!$F$2),0)))</f>
        <v/>
      </c>
      <c r="G50" s="80" t="str">
        <f t="array" ref="G50">IF(A50="","",A50&amp;IF(N(INDEX(Wishlist!$A:$Z,ROW()-0,'List Setup'!$C$2))&gt;1," (x"&amp;INDEX(Wishlist!$A:$Z,ROW()-0,'List Setup'!$C$2)&amp;")","")&amp;IF(COUNTIF(Binders!$J$6:$J$30,TRUE())&gt;1," ["&amp;Q50&amp;"]",""))</f>
        <v/>
      </c>
      <c r="H50" s="80" t="str">
        <f t="array" ref="H50">IF(A50="","",CHAR(10)&amp;INDEX(Wishlist!$A:$Z,ROW()-0,'List Setup'!$E$2)&amp;CHAR(10))</f>
        <v/>
      </c>
      <c r="I50" s="80" t="str">
        <f t="array" ref="I50">IF(OR(B50="",B50="(none)"),"",IF(ISNUMBER(SEARCH(CHAR(10)&amp;B50&amp;CHAR(10),H50)),B50,IFERROR(INDEX('Set Aliases'!$A$2:$A$501,MATCH(1,('Set Aliases'!$B$2:$B$501=B50)*ISNUMBER(SEARCH(CHAR(10)&amp;'Set Aliases'!$A$2:$A$501&amp;CHAR(10),H50)),0)),"")))</f>
        <v/>
      </c>
      <c r="J50" s="80" t="str">
        <f t="array" ref="J50">IF(I50="","",IFERROR(VALUE(TRIM(MID(SUBSTITUTE(INDEX(Wishlist!$A:$Z,ROW()-0,'List Setup'!$G$2),CHAR(10),REPT(" ",100)),((SEARCH(CHAR(10)&amp;I50&amp;CHAR(10),H50)-LEN(SUBSTITUTE(LEFT(H50,SEARCH(CHAR(10)&amp;I50&amp;CHAR(10),H50)),CHAR(10),"")))-1)*100+1,100))),""))</f>
        <v/>
      </c>
      <c r="K50" s="80" t="str">
        <f t="array" ref="K50">IF(A50="","",IF(ISNUMBER(SEARCH("Land",LEFT(IFERROR(INDEX(Wishlist!$A:$Z,ROW()-0,'List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50" s="80" t="str">
        <f t="shared" si="3"/>
        <v/>
      </c>
      <c r="M50" s="80" t="str">
        <f>IF(A50="","",IF(AND(E50="Y",B50='Use at Shop'!$B$4),K50*10000000000+(MAX(0,MIN(26,CODE(MID(UPPER(A50)&amp;"    ",1,1))-64))*19683+MAX(0,MIN(26,CODE(MID(UPPER(A50)&amp;"    ",2,1))-64))*729+MAX(0,MIN(26,CODE(MID(UPPER(A50)&amp;"    ",3,1))-64))*27+MAX(0,MIN(26,CODE(MID(UPPER(A50)&amp;"    ",4,1))-64))*1)*10000+ROW(),""))</f>
        <v/>
      </c>
      <c r="N50" s="80" t="str">
        <f t="shared" si="4"/>
        <v/>
      </c>
      <c r="O50" s="80" t="str">
        <f t="array" ref="O50">IF(A50="","",IFERROR(INDEX(Wishlist!$A:$Z,ROW()-0,'List Setup'!$J$2)&amp;"",""))</f>
        <v/>
      </c>
      <c r="P50" s="2"/>
      <c r="Q50" s="80" t="str">
        <f>IF(A50="","",'List Setup'!$A$2)</f>
        <v/>
      </c>
      <c r="R50" s="80" t="str">
        <f t="array" ref="R50">IF(A50="","",IFERROR(OR(INDEX(Binders!$J$6:$J$30,MATCH(Q50,Binders!$I$6:$I$30,0))=TRUE(),UPPER(INDEX(Binders!$J$6:$J$30,MATCH(Q50,Binders!$I$6:$I$30,0))&amp;"")="TRUE"),FALSE()))</f>
        <v/>
      </c>
    </row>
    <row r="51" ht="15.75" customHeight="1">
      <c r="A51" s="80" t="str">
        <f t="array" ref="A51">IF(INDEX(Wishlist!$A:$Z,ROW()-0,'List Setup'!$D$2)="","",INDEX(Wishlist!$A:$Z,ROW()-0,'List Setup'!$D$2))</f>
        <v/>
      </c>
      <c r="B51" s="80" t="str">
        <f t="array" ref="B51">IF(A51="","",IFERROR(INDEX('Binder Setup'!$B$2:$B$401,MIN(IF(ISNUMBER(SEARCH(CHAR(10)&amp;'Binder Setup'!$B$2:$B$401&amp;CHAR(10),$H51)),'List Setup'!$Q$2:$Q$401,999),IF(ISNUMBER(SEARCH(CHAR(10)&amp;'Set Aliases'!$A$2:$A$501&amp;CHAR(10),$H51)),'Set Aliases'!$C$2:$C$501,999))),"(none)"))</f>
        <v/>
      </c>
      <c r="C51" s="80" t="str">
        <f t="shared" si="1"/>
        <v/>
      </c>
      <c r="D51" s="80" t="str">
        <f t="array" ref="D51">IF(A51="","",IF(ISLOGICAL(INDEX(Wishlist!$A:$Z,ROW()-0,'List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51" s="80" t="str">
        <f t="shared" si="2"/>
        <v/>
      </c>
      <c r="F51" s="80" t="str">
        <f t="array" ref="F51">IF(A51="","",IF(ISNUMBER(J51),J51,IF(ISNUMBER(INDEX(Wishlist!$A:$Z,ROW()-0,'List Setup'!$F$2)),INDEX(Wishlist!$A:$Z,ROW()-0,'List Setup'!$F$2),0)))</f>
        <v/>
      </c>
      <c r="G51" s="80" t="str">
        <f t="array" ref="G51">IF(A51="","",A51&amp;IF(N(INDEX(Wishlist!$A:$Z,ROW()-0,'List Setup'!$C$2))&gt;1," (x"&amp;INDEX(Wishlist!$A:$Z,ROW()-0,'List Setup'!$C$2)&amp;")","")&amp;IF(COUNTIF(Binders!$J$6:$J$30,TRUE())&gt;1," ["&amp;Q51&amp;"]",""))</f>
        <v/>
      </c>
      <c r="H51" s="80" t="str">
        <f t="array" ref="H51">IF(A51="","",CHAR(10)&amp;INDEX(Wishlist!$A:$Z,ROW()-0,'List Setup'!$E$2)&amp;CHAR(10))</f>
        <v/>
      </c>
      <c r="I51" s="80" t="str">
        <f t="array" ref="I51">IF(OR(B51="",B51="(none)"),"",IF(ISNUMBER(SEARCH(CHAR(10)&amp;B51&amp;CHAR(10),H51)),B51,IFERROR(INDEX('Set Aliases'!$A$2:$A$501,MATCH(1,('Set Aliases'!$B$2:$B$501=B51)*ISNUMBER(SEARCH(CHAR(10)&amp;'Set Aliases'!$A$2:$A$501&amp;CHAR(10),H51)),0)),"")))</f>
        <v/>
      </c>
      <c r="J51" s="80" t="str">
        <f t="array" ref="J51">IF(I51="","",IFERROR(VALUE(TRIM(MID(SUBSTITUTE(INDEX(Wishlist!$A:$Z,ROW()-0,'List Setup'!$G$2),CHAR(10),REPT(" ",100)),((SEARCH(CHAR(10)&amp;I51&amp;CHAR(10),H51)-LEN(SUBSTITUTE(LEFT(H51,SEARCH(CHAR(10)&amp;I51&amp;CHAR(10),H51)),CHAR(10),"")))-1)*100+1,100))),""))</f>
        <v/>
      </c>
      <c r="K51" s="80" t="str">
        <f t="array" ref="K51">IF(A51="","",IF(ISNUMBER(SEARCH("Land",LEFT(IFERROR(INDEX(Wishlist!$A:$Z,ROW()-0,'List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51" s="80" t="str">
        <f t="shared" si="3"/>
        <v/>
      </c>
      <c r="M51" s="80" t="str">
        <f>IF(A51="","",IF(AND(E51="Y",B51='Use at Shop'!$B$4),K51*10000000000+(MAX(0,MIN(26,CODE(MID(UPPER(A51)&amp;"    ",1,1))-64))*19683+MAX(0,MIN(26,CODE(MID(UPPER(A51)&amp;"    ",2,1))-64))*729+MAX(0,MIN(26,CODE(MID(UPPER(A51)&amp;"    ",3,1))-64))*27+MAX(0,MIN(26,CODE(MID(UPPER(A51)&amp;"    ",4,1))-64))*1)*10000+ROW(),""))</f>
        <v/>
      </c>
      <c r="N51" s="80" t="str">
        <f t="shared" si="4"/>
        <v/>
      </c>
      <c r="O51" s="80" t="str">
        <f t="array" ref="O51">IF(A51="","",IFERROR(INDEX(Wishlist!$A:$Z,ROW()-0,'List Setup'!$J$2)&amp;"",""))</f>
        <v/>
      </c>
      <c r="P51" s="2"/>
      <c r="Q51" s="80" t="str">
        <f>IF(A51="","",'List Setup'!$A$2)</f>
        <v/>
      </c>
      <c r="R51" s="80" t="str">
        <f t="array" ref="R51">IF(A51="","",IFERROR(OR(INDEX(Binders!$J$6:$J$30,MATCH(Q51,Binders!$I$6:$I$30,0))=TRUE(),UPPER(INDEX(Binders!$J$6:$J$30,MATCH(Q51,Binders!$I$6:$I$30,0))&amp;"")="TRUE"),FALSE()))</f>
        <v/>
      </c>
    </row>
    <row r="52" ht="15.75" customHeight="1">
      <c r="A52" s="80" t="str">
        <f t="array" ref="A52">IF(INDEX(Wishlist!$A:$Z,ROW()-0,'List Setup'!$D$2)="","",INDEX(Wishlist!$A:$Z,ROW()-0,'List Setup'!$D$2))</f>
        <v/>
      </c>
      <c r="B52" s="80" t="str">
        <f t="array" ref="B52">IF(A52="","",IFERROR(INDEX('Binder Setup'!$B$2:$B$401,MIN(IF(ISNUMBER(SEARCH(CHAR(10)&amp;'Binder Setup'!$B$2:$B$401&amp;CHAR(10),$H52)),'List Setup'!$Q$2:$Q$401,999),IF(ISNUMBER(SEARCH(CHAR(10)&amp;'Set Aliases'!$A$2:$A$501&amp;CHAR(10),$H52)),'Set Aliases'!$C$2:$C$501,999))),"(none)"))</f>
        <v/>
      </c>
      <c r="C52" s="80" t="str">
        <f t="shared" si="1"/>
        <v/>
      </c>
      <c r="D52" s="80" t="str">
        <f t="array" ref="D52">IF(A52="","",IF(ISLOGICAL(INDEX(Wishlist!$A:$Z,ROW()-0,'List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52" s="80" t="str">
        <f t="shared" si="2"/>
        <v/>
      </c>
      <c r="F52" s="80" t="str">
        <f t="array" ref="F52">IF(A52="","",IF(ISNUMBER(J52),J52,IF(ISNUMBER(INDEX(Wishlist!$A:$Z,ROW()-0,'List Setup'!$F$2)),INDEX(Wishlist!$A:$Z,ROW()-0,'List Setup'!$F$2),0)))</f>
        <v/>
      </c>
      <c r="G52" s="80" t="str">
        <f t="array" ref="G52">IF(A52="","",A52&amp;IF(N(INDEX(Wishlist!$A:$Z,ROW()-0,'List Setup'!$C$2))&gt;1," (x"&amp;INDEX(Wishlist!$A:$Z,ROW()-0,'List Setup'!$C$2)&amp;")","")&amp;IF(COUNTIF(Binders!$J$6:$J$30,TRUE())&gt;1," ["&amp;Q52&amp;"]",""))</f>
        <v/>
      </c>
      <c r="H52" s="80" t="str">
        <f t="array" ref="H52">IF(A52="","",CHAR(10)&amp;INDEX(Wishlist!$A:$Z,ROW()-0,'List Setup'!$E$2)&amp;CHAR(10))</f>
        <v/>
      </c>
      <c r="I52" s="80" t="str">
        <f t="array" ref="I52">IF(OR(B52="",B52="(none)"),"",IF(ISNUMBER(SEARCH(CHAR(10)&amp;B52&amp;CHAR(10),H52)),B52,IFERROR(INDEX('Set Aliases'!$A$2:$A$501,MATCH(1,('Set Aliases'!$B$2:$B$501=B52)*ISNUMBER(SEARCH(CHAR(10)&amp;'Set Aliases'!$A$2:$A$501&amp;CHAR(10),H52)),0)),"")))</f>
        <v/>
      </c>
      <c r="J52" s="80" t="str">
        <f t="array" ref="J52">IF(I52="","",IFERROR(VALUE(TRIM(MID(SUBSTITUTE(INDEX(Wishlist!$A:$Z,ROW()-0,'List Setup'!$G$2),CHAR(10),REPT(" ",100)),((SEARCH(CHAR(10)&amp;I52&amp;CHAR(10),H52)-LEN(SUBSTITUTE(LEFT(H52,SEARCH(CHAR(10)&amp;I52&amp;CHAR(10),H52)),CHAR(10),"")))-1)*100+1,100))),""))</f>
        <v/>
      </c>
      <c r="K52" s="80" t="str">
        <f t="array" ref="K52">IF(A52="","",IF(ISNUMBER(SEARCH("Land",LEFT(IFERROR(INDEX(Wishlist!$A:$Z,ROW()-0,'List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52" s="80" t="str">
        <f t="shared" si="3"/>
        <v/>
      </c>
      <c r="M52" s="80" t="str">
        <f>IF(A52="","",IF(AND(E52="Y",B52='Use at Shop'!$B$4),K52*10000000000+(MAX(0,MIN(26,CODE(MID(UPPER(A52)&amp;"    ",1,1))-64))*19683+MAX(0,MIN(26,CODE(MID(UPPER(A52)&amp;"    ",2,1))-64))*729+MAX(0,MIN(26,CODE(MID(UPPER(A52)&amp;"    ",3,1))-64))*27+MAX(0,MIN(26,CODE(MID(UPPER(A52)&amp;"    ",4,1))-64))*1)*10000+ROW(),""))</f>
        <v/>
      </c>
      <c r="N52" s="80" t="str">
        <f t="shared" si="4"/>
        <v/>
      </c>
      <c r="O52" s="80" t="str">
        <f t="array" ref="O52">IF(A52="","",IFERROR(INDEX(Wishlist!$A:$Z,ROW()-0,'List Setup'!$J$2)&amp;"",""))</f>
        <v/>
      </c>
      <c r="P52" s="2"/>
      <c r="Q52" s="80" t="str">
        <f>IF(A52="","",'List Setup'!$A$2)</f>
        <v/>
      </c>
      <c r="R52" s="80" t="str">
        <f t="array" ref="R52">IF(A52="","",IFERROR(OR(INDEX(Binders!$J$6:$J$30,MATCH(Q52,Binders!$I$6:$I$30,0))=TRUE(),UPPER(INDEX(Binders!$J$6:$J$30,MATCH(Q52,Binders!$I$6:$I$30,0))&amp;"")="TRUE"),FALSE()))</f>
        <v/>
      </c>
    </row>
    <row r="53" ht="15.75" customHeight="1">
      <c r="A53" s="80" t="str">
        <f t="array" ref="A53">IF(INDEX(Wishlist!$A:$Z,ROW()-0,'List Setup'!$D$2)="","",INDEX(Wishlist!$A:$Z,ROW()-0,'List Setup'!$D$2))</f>
        <v/>
      </c>
      <c r="B53" s="80" t="str">
        <f t="array" ref="B53">IF(A53="","",IFERROR(INDEX('Binder Setup'!$B$2:$B$401,MIN(IF(ISNUMBER(SEARCH(CHAR(10)&amp;'Binder Setup'!$B$2:$B$401&amp;CHAR(10),$H53)),'List Setup'!$Q$2:$Q$401,999),IF(ISNUMBER(SEARCH(CHAR(10)&amp;'Set Aliases'!$A$2:$A$501&amp;CHAR(10),$H53)),'Set Aliases'!$C$2:$C$501,999))),"(none)"))</f>
        <v/>
      </c>
      <c r="C53" s="80" t="str">
        <f t="shared" si="1"/>
        <v/>
      </c>
      <c r="D53" s="80" t="str">
        <f t="array" ref="D53">IF(A53="","",IF(ISLOGICAL(INDEX(Wishlist!$A:$Z,ROW()-0,'List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53" s="80" t="str">
        <f t="shared" si="2"/>
        <v/>
      </c>
      <c r="F53" s="80" t="str">
        <f t="array" ref="F53">IF(A53="","",IF(ISNUMBER(J53),J53,IF(ISNUMBER(INDEX(Wishlist!$A:$Z,ROW()-0,'List Setup'!$F$2)),INDEX(Wishlist!$A:$Z,ROW()-0,'List Setup'!$F$2),0)))</f>
        <v/>
      </c>
      <c r="G53" s="80" t="str">
        <f t="array" ref="G53">IF(A53="","",A53&amp;IF(N(INDEX(Wishlist!$A:$Z,ROW()-0,'List Setup'!$C$2))&gt;1," (x"&amp;INDEX(Wishlist!$A:$Z,ROW()-0,'List Setup'!$C$2)&amp;")","")&amp;IF(COUNTIF(Binders!$J$6:$J$30,TRUE())&gt;1," ["&amp;Q53&amp;"]",""))</f>
        <v/>
      </c>
      <c r="H53" s="80" t="str">
        <f t="array" ref="H53">IF(A53="","",CHAR(10)&amp;INDEX(Wishlist!$A:$Z,ROW()-0,'List Setup'!$E$2)&amp;CHAR(10))</f>
        <v/>
      </c>
      <c r="I53" s="80" t="str">
        <f t="array" ref="I53">IF(OR(B53="",B53="(none)"),"",IF(ISNUMBER(SEARCH(CHAR(10)&amp;B53&amp;CHAR(10),H53)),B53,IFERROR(INDEX('Set Aliases'!$A$2:$A$501,MATCH(1,('Set Aliases'!$B$2:$B$501=B53)*ISNUMBER(SEARCH(CHAR(10)&amp;'Set Aliases'!$A$2:$A$501&amp;CHAR(10),H53)),0)),"")))</f>
        <v/>
      </c>
      <c r="J53" s="80" t="str">
        <f t="array" ref="J53">IF(I53="","",IFERROR(VALUE(TRIM(MID(SUBSTITUTE(INDEX(Wishlist!$A:$Z,ROW()-0,'List Setup'!$G$2),CHAR(10),REPT(" ",100)),((SEARCH(CHAR(10)&amp;I53&amp;CHAR(10),H53)-LEN(SUBSTITUTE(LEFT(H53,SEARCH(CHAR(10)&amp;I53&amp;CHAR(10),H53)),CHAR(10),"")))-1)*100+1,100))),""))</f>
        <v/>
      </c>
      <c r="K53" s="80" t="str">
        <f t="array" ref="K53">IF(A53="","",IF(ISNUMBER(SEARCH("Land",LEFT(IFERROR(INDEX(Wishlist!$A:$Z,ROW()-0,'List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53" s="80" t="str">
        <f t="shared" si="3"/>
        <v/>
      </c>
      <c r="M53" s="80" t="str">
        <f>IF(A53="","",IF(AND(E53="Y",B53='Use at Shop'!$B$4),K53*10000000000+(MAX(0,MIN(26,CODE(MID(UPPER(A53)&amp;"    ",1,1))-64))*19683+MAX(0,MIN(26,CODE(MID(UPPER(A53)&amp;"    ",2,1))-64))*729+MAX(0,MIN(26,CODE(MID(UPPER(A53)&amp;"    ",3,1))-64))*27+MAX(0,MIN(26,CODE(MID(UPPER(A53)&amp;"    ",4,1))-64))*1)*10000+ROW(),""))</f>
        <v/>
      </c>
      <c r="N53" s="80" t="str">
        <f t="shared" si="4"/>
        <v/>
      </c>
      <c r="O53" s="80" t="str">
        <f t="array" ref="O53">IF(A53="","",IFERROR(INDEX(Wishlist!$A:$Z,ROW()-0,'List Setup'!$J$2)&amp;"",""))</f>
        <v/>
      </c>
      <c r="P53" s="2"/>
      <c r="Q53" s="80" t="str">
        <f>IF(A53="","",'List Setup'!$A$2)</f>
        <v/>
      </c>
      <c r="R53" s="80" t="str">
        <f t="array" ref="R53">IF(A53="","",IFERROR(OR(INDEX(Binders!$J$6:$J$30,MATCH(Q53,Binders!$I$6:$I$30,0))=TRUE(),UPPER(INDEX(Binders!$J$6:$J$30,MATCH(Q53,Binders!$I$6:$I$30,0))&amp;"")="TRUE"),FALSE()))</f>
        <v/>
      </c>
    </row>
    <row r="54" ht="15.75" customHeight="1">
      <c r="A54" s="80" t="str">
        <f t="array" ref="A54">IF(INDEX(Wishlist!$A:$Z,ROW()-0,'List Setup'!$D$2)="","",INDEX(Wishlist!$A:$Z,ROW()-0,'List Setup'!$D$2))</f>
        <v/>
      </c>
      <c r="B54" s="80" t="str">
        <f t="array" ref="B54">IF(A54="","",IFERROR(INDEX('Binder Setup'!$B$2:$B$401,MIN(IF(ISNUMBER(SEARCH(CHAR(10)&amp;'Binder Setup'!$B$2:$B$401&amp;CHAR(10),$H54)),'List Setup'!$Q$2:$Q$401,999),IF(ISNUMBER(SEARCH(CHAR(10)&amp;'Set Aliases'!$A$2:$A$501&amp;CHAR(10),$H54)),'Set Aliases'!$C$2:$C$501,999))),"(none)"))</f>
        <v/>
      </c>
      <c r="C54" s="80" t="str">
        <f t="shared" si="1"/>
        <v/>
      </c>
      <c r="D54" s="80" t="str">
        <f t="array" ref="D54">IF(A54="","",IF(ISLOGICAL(INDEX(Wishlist!$A:$Z,ROW()-0,'List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54" s="80" t="str">
        <f t="shared" si="2"/>
        <v/>
      </c>
      <c r="F54" s="80" t="str">
        <f t="array" ref="F54">IF(A54="","",IF(ISNUMBER(J54),J54,IF(ISNUMBER(INDEX(Wishlist!$A:$Z,ROW()-0,'List Setup'!$F$2)),INDEX(Wishlist!$A:$Z,ROW()-0,'List Setup'!$F$2),0)))</f>
        <v/>
      </c>
      <c r="G54" s="80" t="str">
        <f t="array" ref="G54">IF(A54="","",A54&amp;IF(N(INDEX(Wishlist!$A:$Z,ROW()-0,'List Setup'!$C$2))&gt;1," (x"&amp;INDEX(Wishlist!$A:$Z,ROW()-0,'List Setup'!$C$2)&amp;")","")&amp;IF(COUNTIF(Binders!$J$6:$J$30,TRUE())&gt;1," ["&amp;Q54&amp;"]",""))</f>
        <v/>
      </c>
      <c r="H54" s="80" t="str">
        <f t="array" ref="H54">IF(A54="","",CHAR(10)&amp;INDEX(Wishlist!$A:$Z,ROW()-0,'List Setup'!$E$2)&amp;CHAR(10))</f>
        <v/>
      </c>
      <c r="I54" s="80" t="str">
        <f t="array" ref="I54">IF(OR(B54="",B54="(none)"),"",IF(ISNUMBER(SEARCH(CHAR(10)&amp;B54&amp;CHAR(10),H54)),B54,IFERROR(INDEX('Set Aliases'!$A$2:$A$501,MATCH(1,('Set Aliases'!$B$2:$B$501=B54)*ISNUMBER(SEARCH(CHAR(10)&amp;'Set Aliases'!$A$2:$A$501&amp;CHAR(10),H54)),0)),"")))</f>
        <v/>
      </c>
      <c r="J54" s="80" t="str">
        <f t="array" ref="J54">IF(I54="","",IFERROR(VALUE(TRIM(MID(SUBSTITUTE(INDEX(Wishlist!$A:$Z,ROW()-0,'List Setup'!$G$2),CHAR(10),REPT(" ",100)),((SEARCH(CHAR(10)&amp;I54&amp;CHAR(10),H54)-LEN(SUBSTITUTE(LEFT(H54,SEARCH(CHAR(10)&amp;I54&amp;CHAR(10),H54)),CHAR(10),"")))-1)*100+1,100))),""))</f>
        <v/>
      </c>
      <c r="K54" s="80" t="str">
        <f t="array" ref="K54">IF(A54="","",IF(ISNUMBER(SEARCH("Land",LEFT(IFERROR(INDEX(Wishlist!$A:$Z,ROW()-0,'List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54" s="80" t="str">
        <f t="shared" si="3"/>
        <v/>
      </c>
      <c r="M54" s="80" t="str">
        <f>IF(A54="","",IF(AND(E54="Y",B54='Use at Shop'!$B$4),K54*10000000000+(MAX(0,MIN(26,CODE(MID(UPPER(A54)&amp;"    ",1,1))-64))*19683+MAX(0,MIN(26,CODE(MID(UPPER(A54)&amp;"    ",2,1))-64))*729+MAX(0,MIN(26,CODE(MID(UPPER(A54)&amp;"    ",3,1))-64))*27+MAX(0,MIN(26,CODE(MID(UPPER(A54)&amp;"    ",4,1))-64))*1)*10000+ROW(),""))</f>
        <v/>
      </c>
      <c r="N54" s="80" t="str">
        <f t="shared" si="4"/>
        <v/>
      </c>
      <c r="O54" s="80" t="str">
        <f t="array" ref="O54">IF(A54="","",IFERROR(INDEX(Wishlist!$A:$Z,ROW()-0,'List Setup'!$J$2)&amp;"",""))</f>
        <v/>
      </c>
      <c r="P54" s="2"/>
      <c r="Q54" s="80" t="str">
        <f>IF(A54="","",'List Setup'!$A$2)</f>
        <v/>
      </c>
      <c r="R54" s="80" t="str">
        <f t="array" ref="R54">IF(A54="","",IFERROR(OR(INDEX(Binders!$J$6:$J$30,MATCH(Q54,Binders!$I$6:$I$30,0))=TRUE(),UPPER(INDEX(Binders!$J$6:$J$30,MATCH(Q54,Binders!$I$6:$I$30,0))&amp;"")="TRUE"),FALSE()))</f>
        <v/>
      </c>
    </row>
    <row r="55" ht="15.75" customHeight="1">
      <c r="A55" s="80" t="str">
        <f t="array" ref="A55">IF(INDEX(Wishlist!$A:$Z,ROW()-0,'List Setup'!$D$2)="","",INDEX(Wishlist!$A:$Z,ROW()-0,'List Setup'!$D$2))</f>
        <v/>
      </c>
      <c r="B55" s="80" t="str">
        <f t="array" ref="B55">IF(A55="","",IFERROR(INDEX('Binder Setup'!$B$2:$B$401,MIN(IF(ISNUMBER(SEARCH(CHAR(10)&amp;'Binder Setup'!$B$2:$B$401&amp;CHAR(10),$H55)),'List Setup'!$Q$2:$Q$401,999),IF(ISNUMBER(SEARCH(CHAR(10)&amp;'Set Aliases'!$A$2:$A$501&amp;CHAR(10),$H55)),'Set Aliases'!$C$2:$C$501,999))),"(none)"))</f>
        <v/>
      </c>
      <c r="C55" s="80" t="str">
        <f t="shared" si="1"/>
        <v/>
      </c>
      <c r="D55" s="80" t="str">
        <f t="array" ref="D55">IF(A55="","",IF(ISLOGICAL(INDEX(Wishlist!$A:$Z,ROW()-0,'List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55" s="80" t="str">
        <f t="shared" si="2"/>
        <v/>
      </c>
      <c r="F55" s="80" t="str">
        <f t="array" ref="F55">IF(A55="","",IF(ISNUMBER(J55),J55,IF(ISNUMBER(INDEX(Wishlist!$A:$Z,ROW()-0,'List Setup'!$F$2)),INDEX(Wishlist!$A:$Z,ROW()-0,'List Setup'!$F$2),0)))</f>
        <v/>
      </c>
      <c r="G55" s="80" t="str">
        <f t="array" ref="G55">IF(A55="","",A55&amp;IF(N(INDEX(Wishlist!$A:$Z,ROW()-0,'List Setup'!$C$2))&gt;1," (x"&amp;INDEX(Wishlist!$A:$Z,ROW()-0,'List Setup'!$C$2)&amp;")","")&amp;IF(COUNTIF(Binders!$J$6:$J$30,TRUE())&gt;1," ["&amp;Q55&amp;"]",""))</f>
        <v/>
      </c>
      <c r="H55" s="80" t="str">
        <f t="array" ref="H55">IF(A55="","",CHAR(10)&amp;INDEX(Wishlist!$A:$Z,ROW()-0,'List Setup'!$E$2)&amp;CHAR(10))</f>
        <v/>
      </c>
      <c r="I55" s="80" t="str">
        <f t="array" ref="I55">IF(OR(B55="",B55="(none)"),"",IF(ISNUMBER(SEARCH(CHAR(10)&amp;B55&amp;CHAR(10),H55)),B55,IFERROR(INDEX('Set Aliases'!$A$2:$A$501,MATCH(1,('Set Aliases'!$B$2:$B$501=B55)*ISNUMBER(SEARCH(CHAR(10)&amp;'Set Aliases'!$A$2:$A$501&amp;CHAR(10),H55)),0)),"")))</f>
        <v/>
      </c>
      <c r="J55" s="80" t="str">
        <f t="array" ref="J55">IF(I55="","",IFERROR(VALUE(TRIM(MID(SUBSTITUTE(INDEX(Wishlist!$A:$Z,ROW()-0,'List Setup'!$G$2),CHAR(10),REPT(" ",100)),((SEARCH(CHAR(10)&amp;I55&amp;CHAR(10),H55)-LEN(SUBSTITUTE(LEFT(H55,SEARCH(CHAR(10)&amp;I55&amp;CHAR(10),H55)),CHAR(10),"")))-1)*100+1,100))),""))</f>
        <v/>
      </c>
      <c r="K55" s="80" t="str">
        <f t="array" ref="K55">IF(A55="","",IF(ISNUMBER(SEARCH("Land",LEFT(IFERROR(INDEX(Wishlist!$A:$Z,ROW()-0,'List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55" s="80" t="str">
        <f t="shared" si="3"/>
        <v/>
      </c>
      <c r="M55" s="80" t="str">
        <f>IF(A55="","",IF(AND(E55="Y",B55='Use at Shop'!$B$4),K55*10000000000+(MAX(0,MIN(26,CODE(MID(UPPER(A55)&amp;"    ",1,1))-64))*19683+MAX(0,MIN(26,CODE(MID(UPPER(A55)&amp;"    ",2,1))-64))*729+MAX(0,MIN(26,CODE(MID(UPPER(A55)&amp;"    ",3,1))-64))*27+MAX(0,MIN(26,CODE(MID(UPPER(A55)&amp;"    ",4,1))-64))*1)*10000+ROW(),""))</f>
        <v/>
      </c>
      <c r="N55" s="80" t="str">
        <f t="shared" si="4"/>
        <v/>
      </c>
      <c r="O55" s="80" t="str">
        <f t="array" ref="O55">IF(A55="","",IFERROR(INDEX(Wishlist!$A:$Z,ROW()-0,'List Setup'!$J$2)&amp;"",""))</f>
        <v/>
      </c>
      <c r="P55" s="2"/>
      <c r="Q55" s="80" t="str">
        <f>IF(A55="","",'List Setup'!$A$2)</f>
        <v/>
      </c>
      <c r="R55" s="80" t="str">
        <f t="array" ref="R55">IF(A55="","",IFERROR(OR(INDEX(Binders!$J$6:$J$30,MATCH(Q55,Binders!$I$6:$I$30,0))=TRUE(),UPPER(INDEX(Binders!$J$6:$J$30,MATCH(Q55,Binders!$I$6:$I$30,0))&amp;"")="TRUE"),FALSE()))</f>
        <v/>
      </c>
    </row>
    <row r="56" ht="15.75" customHeight="1">
      <c r="A56" s="80" t="str">
        <f t="array" ref="A56">IF(INDEX(Wishlist!$A:$Z,ROW()-0,'List Setup'!$D$2)="","",INDEX(Wishlist!$A:$Z,ROW()-0,'List Setup'!$D$2))</f>
        <v/>
      </c>
      <c r="B56" s="80" t="str">
        <f t="array" ref="B56">IF(A56="","",IFERROR(INDEX('Binder Setup'!$B$2:$B$401,MIN(IF(ISNUMBER(SEARCH(CHAR(10)&amp;'Binder Setup'!$B$2:$B$401&amp;CHAR(10),$H56)),'List Setup'!$Q$2:$Q$401,999),IF(ISNUMBER(SEARCH(CHAR(10)&amp;'Set Aliases'!$A$2:$A$501&amp;CHAR(10),$H56)),'Set Aliases'!$C$2:$C$501,999))),"(none)"))</f>
        <v/>
      </c>
      <c r="C56" s="80" t="str">
        <f t="shared" si="1"/>
        <v/>
      </c>
      <c r="D56" s="80" t="str">
        <f t="array" ref="D56">IF(A56="","",IF(ISLOGICAL(INDEX(Wishlist!$A:$Z,ROW()-0,'List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56" s="80" t="str">
        <f t="shared" si="2"/>
        <v/>
      </c>
      <c r="F56" s="80" t="str">
        <f t="array" ref="F56">IF(A56="","",IF(ISNUMBER(J56),J56,IF(ISNUMBER(INDEX(Wishlist!$A:$Z,ROW()-0,'List Setup'!$F$2)),INDEX(Wishlist!$A:$Z,ROW()-0,'List Setup'!$F$2),0)))</f>
        <v/>
      </c>
      <c r="G56" s="80" t="str">
        <f t="array" ref="G56">IF(A56="","",A56&amp;IF(N(INDEX(Wishlist!$A:$Z,ROW()-0,'List Setup'!$C$2))&gt;1," (x"&amp;INDEX(Wishlist!$A:$Z,ROW()-0,'List Setup'!$C$2)&amp;")","")&amp;IF(COUNTIF(Binders!$J$6:$J$30,TRUE())&gt;1," ["&amp;Q56&amp;"]",""))</f>
        <v/>
      </c>
      <c r="H56" s="80" t="str">
        <f t="array" ref="H56">IF(A56="","",CHAR(10)&amp;INDEX(Wishlist!$A:$Z,ROW()-0,'List Setup'!$E$2)&amp;CHAR(10))</f>
        <v/>
      </c>
      <c r="I56" s="80" t="str">
        <f t="array" ref="I56">IF(OR(B56="",B56="(none)"),"",IF(ISNUMBER(SEARCH(CHAR(10)&amp;B56&amp;CHAR(10),H56)),B56,IFERROR(INDEX('Set Aliases'!$A$2:$A$501,MATCH(1,('Set Aliases'!$B$2:$B$501=B56)*ISNUMBER(SEARCH(CHAR(10)&amp;'Set Aliases'!$A$2:$A$501&amp;CHAR(10),H56)),0)),"")))</f>
        <v/>
      </c>
      <c r="J56" s="80" t="str">
        <f t="array" ref="J56">IF(I56="","",IFERROR(VALUE(TRIM(MID(SUBSTITUTE(INDEX(Wishlist!$A:$Z,ROW()-0,'List Setup'!$G$2),CHAR(10),REPT(" ",100)),((SEARCH(CHAR(10)&amp;I56&amp;CHAR(10),H56)-LEN(SUBSTITUTE(LEFT(H56,SEARCH(CHAR(10)&amp;I56&amp;CHAR(10),H56)),CHAR(10),"")))-1)*100+1,100))),""))</f>
        <v/>
      </c>
      <c r="K56" s="80" t="str">
        <f t="array" ref="K56">IF(A56="","",IF(ISNUMBER(SEARCH("Land",LEFT(IFERROR(INDEX(Wishlist!$A:$Z,ROW()-0,'List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56" s="80" t="str">
        <f t="shared" si="3"/>
        <v/>
      </c>
      <c r="M56" s="80" t="str">
        <f>IF(A56="","",IF(AND(E56="Y",B56='Use at Shop'!$B$4),K56*10000000000+(MAX(0,MIN(26,CODE(MID(UPPER(A56)&amp;"    ",1,1))-64))*19683+MAX(0,MIN(26,CODE(MID(UPPER(A56)&amp;"    ",2,1))-64))*729+MAX(0,MIN(26,CODE(MID(UPPER(A56)&amp;"    ",3,1))-64))*27+MAX(0,MIN(26,CODE(MID(UPPER(A56)&amp;"    ",4,1))-64))*1)*10000+ROW(),""))</f>
        <v/>
      </c>
      <c r="N56" s="80" t="str">
        <f t="shared" si="4"/>
        <v/>
      </c>
      <c r="O56" s="80" t="str">
        <f t="array" ref="O56">IF(A56="","",IFERROR(INDEX(Wishlist!$A:$Z,ROW()-0,'List Setup'!$J$2)&amp;"",""))</f>
        <v/>
      </c>
      <c r="P56" s="2"/>
      <c r="Q56" s="80" t="str">
        <f>IF(A56="","",'List Setup'!$A$2)</f>
        <v/>
      </c>
      <c r="R56" s="80" t="str">
        <f t="array" ref="R56">IF(A56="","",IFERROR(OR(INDEX(Binders!$J$6:$J$30,MATCH(Q56,Binders!$I$6:$I$30,0))=TRUE(),UPPER(INDEX(Binders!$J$6:$J$30,MATCH(Q56,Binders!$I$6:$I$30,0))&amp;"")="TRUE"),FALSE()))</f>
        <v/>
      </c>
    </row>
    <row r="57" ht="15.75" customHeight="1">
      <c r="A57" s="80" t="str">
        <f t="array" ref="A57">IF(INDEX(Wishlist!$A:$Z,ROW()-0,'List Setup'!$D$2)="","",INDEX(Wishlist!$A:$Z,ROW()-0,'List Setup'!$D$2))</f>
        <v/>
      </c>
      <c r="B57" s="80" t="str">
        <f t="array" ref="B57">IF(A57="","",IFERROR(INDEX('Binder Setup'!$B$2:$B$401,MIN(IF(ISNUMBER(SEARCH(CHAR(10)&amp;'Binder Setup'!$B$2:$B$401&amp;CHAR(10),$H57)),'List Setup'!$Q$2:$Q$401,999),IF(ISNUMBER(SEARCH(CHAR(10)&amp;'Set Aliases'!$A$2:$A$501&amp;CHAR(10),$H57)),'Set Aliases'!$C$2:$C$501,999))),"(none)"))</f>
        <v/>
      </c>
      <c r="C57" s="80" t="str">
        <f t="shared" si="1"/>
        <v/>
      </c>
      <c r="D57" s="80" t="str">
        <f t="array" ref="D57">IF(A57="","",IF(ISLOGICAL(INDEX(Wishlist!$A:$Z,ROW()-0,'List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57" s="80" t="str">
        <f t="shared" si="2"/>
        <v/>
      </c>
      <c r="F57" s="80" t="str">
        <f t="array" ref="F57">IF(A57="","",IF(ISNUMBER(J57),J57,IF(ISNUMBER(INDEX(Wishlist!$A:$Z,ROW()-0,'List Setup'!$F$2)),INDEX(Wishlist!$A:$Z,ROW()-0,'List Setup'!$F$2),0)))</f>
        <v/>
      </c>
      <c r="G57" s="80" t="str">
        <f t="array" ref="G57">IF(A57="","",A57&amp;IF(N(INDEX(Wishlist!$A:$Z,ROW()-0,'List Setup'!$C$2))&gt;1," (x"&amp;INDEX(Wishlist!$A:$Z,ROW()-0,'List Setup'!$C$2)&amp;")","")&amp;IF(COUNTIF(Binders!$J$6:$J$30,TRUE())&gt;1," ["&amp;Q57&amp;"]",""))</f>
        <v/>
      </c>
      <c r="H57" s="80" t="str">
        <f t="array" ref="H57">IF(A57="","",CHAR(10)&amp;INDEX(Wishlist!$A:$Z,ROW()-0,'List Setup'!$E$2)&amp;CHAR(10))</f>
        <v/>
      </c>
      <c r="I57" s="80" t="str">
        <f t="array" ref="I57">IF(OR(B57="",B57="(none)"),"",IF(ISNUMBER(SEARCH(CHAR(10)&amp;B57&amp;CHAR(10),H57)),B57,IFERROR(INDEX('Set Aliases'!$A$2:$A$501,MATCH(1,('Set Aliases'!$B$2:$B$501=B57)*ISNUMBER(SEARCH(CHAR(10)&amp;'Set Aliases'!$A$2:$A$501&amp;CHAR(10),H57)),0)),"")))</f>
        <v/>
      </c>
      <c r="J57" s="80" t="str">
        <f t="array" ref="J57">IF(I57="","",IFERROR(VALUE(TRIM(MID(SUBSTITUTE(INDEX(Wishlist!$A:$Z,ROW()-0,'List Setup'!$G$2),CHAR(10),REPT(" ",100)),((SEARCH(CHAR(10)&amp;I57&amp;CHAR(10),H57)-LEN(SUBSTITUTE(LEFT(H57,SEARCH(CHAR(10)&amp;I57&amp;CHAR(10),H57)),CHAR(10),"")))-1)*100+1,100))),""))</f>
        <v/>
      </c>
      <c r="K57" s="80" t="str">
        <f t="array" ref="K57">IF(A57="","",IF(ISNUMBER(SEARCH("Land",LEFT(IFERROR(INDEX(Wishlist!$A:$Z,ROW()-0,'List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57" s="80" t="str">
        <f t="shared" si="3"/>
        <v/>
      </c>
      <c r="M57" s="80" t="str">
        <f>IF(A57="","",IF(AND(E57="Y",B57='Use at Shop'!$B$4),K57*10000000000+(MAX(0,MIN(26,CODE(MID(UPPER(A57)&amp;"    ",1,1))-64))*19683+MAX(0,MIN(26,CODE(MID(UPPER(A57)&amp;"    ",2,1))-64))*729+MAX(0,MIN(26,CODE(MID(UPPER(A57)&amp;"    ",3,1))-64))*27+MAX(0,MIN(26,CODE(MID(UPPER(A57)&amp;"    ",4,1))-64))*1)*10000+ROW(),""))</f>
        <v/>
      </c>
      <c r="N57" s="80" t="str">
        <f t="shared" si="4"/>
        <v/>
      </c>
      <c r="O57" s="80" t="str">
        <f t="array" ref="O57">IF(A57="","",IFERROR(INDEX(Wishlist!$A:$Z,ROW()-0,'List Setup'!$J$2)&amp;"",""))</f>
        <v/>
      </c>
      <c r="P57" s="2"/>
      <c r="Q57" s="80" t="str">
        <f>IF(A57="","",'List Setup'!$A$2)</f>
        <v/>
      </c>
      <c r="R57" s="80" t="str">
        <f t="array" ref="R57">IF(A57="","",IFERROR(OR(INDEX(Binders!$J$6:$J$30,MATCH(Q57,Binders!$I$6:$I$30,0))=TRUE(),UPPER(INDEX(Binders!$J$6:$J$30,MATCH(Q57,Binders!$I$6:$I$30,0))&amp;"")="TRUE"),FALSE()))</f>
        <v/>
      </c>
    </row>
    <row r="58" ht="15.75" customHeight="1">
      <c r="A58" s="80" t="str">
        <f t="array" ref="A58">IF(INDEX(Wishlist!$A:$Z,ROW()-0,'List Setup'!$D$2)="","",INDEX(Wishlist!$A:$Z,ROW()-0,'List Setup'!$D$2))</f>
        <v/>
      </c>
      <c r="B58" s="80" t="str">
        <f t="array" ref="B58">IF(A58="","",IFERROR(INDEX('Binder Setup'!$B$2:$B$401,MIN(IF(ISNUMBER(SEARCH(CHAR(10)&amp;'Binder Setup'!$B$2:$B$401&amp;CHAR(10),$H58)),'List Setup'!$Q$2:$Q$401,999),IF(ISNUMBER(SEARCH(CHAR(10)&amp;'Set Aliases'!$A$2:$A$501&amp;CHAR(10),$H58)),'Set Aliases'!$C$2:$C$501,999))),"(none)"))</f>
        <v/>
      </c>
      <c r="C58" s="80" t="str">
        <f t="shared" si="1"/>
        <v/>
      </c>
      <c r="D58" s="80" t="str">
        <f t="array" ref="D58">IF(A58="","",IF(ISLOGICAL(INDEX(Wishlist!$A:$Z,ROW()-0,'List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58" s="80" t="str">
        <f t="shared" si="2"/>
        <v/>
      </c>
      <c r="F58" s="80" t="str">
        <f t="array" ref="F58">IF(A58="","",IF(ISNUMBER(J58),J58,IF(ISNUMBER(INDEX(Wishlist!$A:$Z,ROW()-0,'List Setup'!$F$2)),INDEX(Wishlist!$A:$Z,ROW()-0,'List Setup'!$F$2),0)))</f>
        <v/>
      </c>
      <c r="G58" s="80" t="str">
        <f t="array" ref="G58">IF(A58="","",A58&amp;IF(N(INDEX(Wishlist!$A:$Z,ROW()-0,'List Setup'!$C$2))&gt;1," (x"&amp;INDEX(Wishlist!$A:$Z,ROW()-0,'List Setup'!$C$2)&amp;")","")&amp;IF(COUNTIF(Binders!$J$6:$J$30,TRUE())&gt;1," ["&amp;Q58&amp;"]",""))</f>
        <v/>
      </c>
      <c r="H58" s="80" t="str">
        <f t="array" ref="H58">IF(A58="","",CHAR(10)&amp;INDEX(Wishlist!$A:$Z,ROW()-0,'List Setup'!$E$2)&amp;CHAR(10))</f>
        <v/>
      </c>
      <c r="I58" s="80" t="str">
        <f t="array" ref="I58">IF(OR(B58="",B58="(none)"),"",IF(ISNUMBER(SEARCH(CHAR(10)&amp;B58&amp;CHAR(10),H58)),B58,IFERROR(INDEX('Set Aliases'!$A$2:$A$501,MATCH(1,('Set Aliases'!$B$2:$B$501=B58)*ISNUMBER(SEARCH(CHAR(10)&amp;'Set Aliases'!$A$2:$A$501&amp;CHAR(10),H58)),0)),"")))</f>
        <v/>
      </c>
      <c r="J58" s="80" t="str">
        <f t="array" ref="J58">IF(I58="","",IFERROR(VALUE(TRIM(MID(SUBSTITUTE(INDEX(Wishlist!$A:$Z,ROW()-0,'List Setup'!$G$2),CHAR(10),REPT(" ",100)),((SEARCH(CHAR(10)&amp;I58&amp;CHAR(10),H58)-LEN(SUBSTITUTE(LEFT(H58,SEARCH(CHAR(10)&amp;I58&amp;CHAR(10),H58)),CHAR(10),"")))-1)*100+1,100))),""))</f>
        <v/>
      </c>
      <c r="K58" s="80" t="str">
        <f t="array" ref="K58">IF(A58="","",IF(ISNUMBER(SEARCH("Land",LEFT(IFERROR(INDEX(Wishlist!$A:$Z,ROW()-0,'List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58" s="80" t="str">
        <f t="shared" si="3"/>
        <v/>
      </c>
      <c r="M58" s="80" t="str">
        <f>IF(A58="","",IF(AND(E58="Y",B58='Use at Shop'!$B$4),K58*10000000000+(MAX(0,MIN(26,CODE(MID(UPPER(A58)&amp;"    ",1,1))-64))*19683+MAX(0,MIN(26,CODE(MID(UPPER(A58)&amp;"    ",2,1))-64))*729+MAX(0,MIN(26,CODE(MID(UPPER(A58)&amp;"    ",3,1))-64))*27+MAX(0,MIN(26,CODE(MID(UPPER(A58)&amp;"    ",4,1))-64))*1)*10000+ROW(),""))</f>
        <v/>
      </c>
      <c r="N58" s="80" t="str">
        <f t="shared" si="4"/>
        <v/>
      </c>
      <c r="O58" s="80" t="str">
        <f t="array" ref="O58">IF(A58="","",IFERROR(INDEX(Wishlist!$A:$Z,ROW()-0,'List Setup'!$J$2)&amp;"",""))</f>
        <v/>
      </c>
      <c r="P58" s="2"/>
      <c r="Q58" s="80" t="str">
        <f>IF(A58="","",'List Setup'!$A$2)</f>
        <v/>
      </c>
      <c r="R58" s="80" t="str">
        <f t="array" ref="R58">IF(A58="","",IFERROR(OR(INDEX(Binders!$J$6:$J$30,MATCH(Q58,Binders!$I$6:$I$30,0))=TRUE(),UPPER(INDEX(Binders!$J$6:$J$30,MATCH(Q58,Binders!$I$6:$I$30,0))&amp;"")="TRUE"),FALSE()))</f>
        <v/>
      </c>
    </row>
    <row r="59" ht="15.75" customHeight="1">
      <c r="A59" s="80" t="str">
        <f t="array" ref="A59">IF(INDEX(Wishlist!$A:$Z,ROW()-0,'List Setup'!$D$2)="","",INDEX(Wishlist!$A:$Z,ROW()-0,'List Setup'!$D$2))</f>
        <v/>
      </c>
      <c r="B59" s="80" t="str">
        <f t="array" ref="B59">IF(A59="","",IFERROR(INDEX('Binder Setup'!$B$2:$B$401,MIN(IF(ISNUMBER(SEARCH(CHAR(10)&amp;'Binder Setup'!$B$2:$B$401&amp;CHAR(10),$H59)),'List Setup'!$Q$2:$Q$401,999),IF(ISNUMBER(SEARCH(CHAR(10)&amp;'Set Aliases'!$A$2:$A$501&amp;CHAR(10),$H59)),'Set Aliases'!$C$2:$C$501,999))),"(none)"))</f>
        <v/>
      </c>
      <c r="C59" s="80" t="str">
        <f t="shared" si="1"/>
        <v/>
      </c>
      <c r="D59" s="80" t="str">
        <f t="array" ref="D59">IF(A59="","",IF(ISLOGICAL(INDEX(Wishlist!$A:$Z,ROW()-0,'List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59" s="80" t="str">
        <f t="shared" si="2"/>
        <v/>
      </c>
      <c r="F59" s="80" t="str">
        <f t="array" ref="F59">IF(A59="","",IF(ISNUMBER(J59),J59,IF(ISNUMBER(INDEX(Wishlist!$A:$Z,ROW()-0,'List Setup'!$F$2)),INDEX(Wishlist!$A:$Z,ROW()-0,'List Setup'!$F$2),0)))</f>
        <v/>
      </c>
      <c r="G59" s="80" t="str">
        <f t="array" ref="G59">IF(A59="","",A59&amp;IF(N(INDEX(Wishlist!$A:$Z,ROW()-0,'List Setup'!$C$2))&gt;1," (x"&amp;INDEX(Wishlist!$A:$Z,ROW()-0,'List Setup'!$C$2)&amp;")","")&amp;IF(COUNTIF(Binders!$J$6:$J$30,TRUE())&gt;1," ["&amp;Q59&amp;"]",""))</f>
        <v/>
      </c>
      <c r="H59" s="80" t="str">
        <f t="array" ref="H59">IF(A59="","",CHAR(10)&amp;INDEX(Wishlist!$A:$Z,ROW()-0,'List Setup'!$E$2)&amp;CHAR(10))</f>
        <v/>
      </c>
      <c r="I59" s="80" t="str">
        <f t="array" ref="I59">IF(OR(B59="",B59="(none)"),"",IF(ISNUMBER(SEARCH(CHAR(10)&amp;B59&amp;CHAR(10),H59)),B59,IFERROR(INDEX('Set Aliases'!$A$2:$A$501,MATCH(1,('Set Aliases'!$B$2:$B$501=B59)*ISNUMBER(SEARCH(CHAR(10)&amp;'Set Aliases'!$A$2:$A$501&amp;CHAR(10),H59)),0)),"")))</f>
        <v/>
      </c>
      <c r="J59" s="80" t="str">
        <f t="array" ref="J59">IF(I59="","",IFERROR(VALUE(TRIM(MID(SUBSTITUTE(INDEX(Wishlist!$A:$Z,ROW()-0,'List Setup'!$G$2),CHAR(10),REPT(" ",100)),((SEARCH(CHAR(10)&amp;I59&amp;CHAR(10),H59)-LEN(SUBSTITUTE(LEFT(H59,SEARCH(CHAR(10)&amp;I59&amp;CHAR(10),H59)),CHAR(10),"")))-1)*100+1,100))),""))</f>
        <v/>
      </c>
      <c r="K59" s="80" t="str">
        <f t="array" ref="K59">IF(A59="","",IF(ISNUMBER(SEARCH("Land",LEFT(IFERROR(INDEX(Wishlist!$A:$Z,ROW()-0,'List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59" s="80" t="str">
        <f t="shared" si="3"/>
        <v/>
      </c>
      <c r="M59" s="80" t="str">
        <f>IF(A59="","",IF(AND(E59="Y",B59='Use at Shop'!$B$4),K59*10000000000+(MAX(0,MIN(26,CODE(MID(UPPER(A59)&amp;"    ",1,1))-64))*19683+MAX(0,MIN(26,CODE(MID(UPPER(A59)&amp;"    ",2,1))-64))*729+MAX(0,MIN(26,CODE(MID(UPPER(A59)&amp;"    ",3,1))-64))*27+MAX(0,MIN(26,CODE(MID(UPPER(A59)&amp;"    ",4,1))-64))*1)*10000+ROW(),""))</f>
        <v/>
      </c>
      <c r="N59" s="80" t="str">
        <f t="shared" si="4"/>
        <v/>
      </c>
      <c r="O59" s="80" t="str">
        <f t="array" ref="O59">IF(A59="","",IFERROR(INDEX(Wishlist!$A:$Z,ROW()-0,'List Setup'!$J$2)&amp;"",""))</f>
        <v/>
      </c>
      <c r="P59" s="2"/>
      <c r="Q59" s="80" t="str">
        <f>IF(A59="","",'List Setup'!$A$2)</f>
        <v/>
      </c>
      <c r="R59" s="80" t="str">
        <f t="array" ref="R59">IF(A59="","",IFERROR(OR(INDEX(Binders!$J$6:$J$30,MATCH(Q59,Binders!$I$6:$I$30,0))=TRUE(),UPPER(INDEX(Binders!$J$6:$J$30,MATCH(Q59,Binders!$I$6:$I$30,0))&amp;"")="TRUE"),FALSE()))</f>
        <v/>
      </c>
    </row>
    <row r="60" ht="15.75" customHeight="1">
      <c r="A60" s="80" t="str">
        <f t="array" ref="A60">IF(INDEX(Wishlist!$A:$Z,ROW()-0,'List Setup'!$D$2)="","",INDEX(Wishlist!$A:$Z,ROW()-0,'List Setup'!$D$2))</f>
        <v/>
      </c>
      <c r="B60" s="80" t="str">
        <f t="array" ref="B60">IF(A60="","",IFERROR(INDEX('Binder Setup'!$B$2:$B$401,MIN(IF(ISNUMBER(SEARCH(CHAR(10)&amp;'Binder Setup'!$B$2:$B$401&amp;CHAR(10),$H60)),'List Setup'!$Q$2:$Q$401,999),IF(ISNUMBER(SEARCH(CHAR(10)&amp;'Set Aliases'!$A$2:$A$501&amp;CHAR(10),$H60)),'Set Aliases'!$C$2:$C$501,999))),"(none)"))</f>
        <v/>
      </c>
      <c r="C60" s="80" t="str">
        <f t="shared" si="1"/>
        <v/>
      </c>
      <c r="D60" s="80" t="str">
        <f t="array" ref="D60">IF(A60="","",IF(ISLOGICAL(INDEX(Wishlist!$A:$Z,ROW()-0,'List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60" s="80" t="str">
        <f t="shared" si="2"/>
        <v/>
      </c>
      <c r="F60" s="80" t="str">
        <f t="array" ref="F60">IF(A60="","",IF(ISNUMBER(J60),J60,IF(ISNUMBER(INDEX(Wishlist!$A:$Z,ROW()-0,'List Setup'!$F$2)),INDEX(Wishlist!$A:$Z,ROW()-0,'List Setup'!$F$2),0)))</f>
        <v/>
      </c>
      <c r="G60" s="80" t="str">
        <f t="array" ref="G60">IF(A60="","",A60&amp;IF(N(INDEX(Wishlist!$A:$Z,ROW()-0,'List Setup'!$C$2))&gt;1," (x"&amp;INDEX(Wishlist!$A:$Z,ROW()-0,'List Setup'!$C$2)&amp;")","")&amp;IF(COUNTIF(Binders!$J$6:$J$30,TRUE())&gt;1," ["&amp;Q60&amp;"]",""))</f>
        <v/>
      </c>
      <c r="H60" s="80" t="str">
        <f t="array" ref="H60">IF(A60="","",CHAR(10)&amp;INDEX(Wishlist!$A:$Z,ROW()-0,'List Setup'!$E$2)&amp;CHAR(10))</f>
        <v/>
      </c>
      <c r="I60" s="80" t="str">
        <f t="array" ref="I60">IF(OR(B60="",B60="(none)"),"",IF(ISNUMBER(SEARCH(CHAR(10)&amp;B60&amp;CHAR(10),H60)),B60,IFERROR(INDEX('Set Aliases'!$A$2:$A$501,MATCH(1,('Set Aliases'!$B$2:$B$501=B60)*ISNUMBER(SEARCH(CHAR(10)&amp;'Set Aliases'!$A$2:$A$501&amp;CHAR(10),H60)),0)),"")))</f>
        <v/>
      </c>
      <c r="J60" s="80" t="str">
        <f t="array" ref="J60">IF(I60="","",IFERROR(VALUE(TRIM(MID(SUBSTITUTE(INDEX(Wishlist!$A:$Z,ROW()-0,'List Setup'!$G$2),CHAR(10),REPT(" ",100)),((SEARCH(CHAR(10)&amp;I60&amp;CHAR(10),H60)-LEN(SUBSTITUTE(LEFT(H60,SEARCH(CHAR(10)&amp;I60&amp;CHAR(10),H60)),CHAR(10),"")))-1)*100+1,100))),""))</f>
        <v/>
      </c>
      <c r="K60" s="80" t="str">
        <f t="array" ref="K60">IF(A60="","",IF(ISNUMBER(SEARCH("Land",LEFT(IFERROR(INDEX(Wishlist!$A:$Z,ROW()-0,'List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60" s="80" t="str">
        <f t="shared" si="3"/>
        <v/>
      </c>
      <c r="M60" s="80" t="str">
        <f>IF(A60="","",IF(AND(E60="Y",B60='Use at Shop'!$B$4),K60*10000000000+(MAX(0,MIN(26,CODE(MID(UPPER(A60)&amp;"    ",1,1))-64))*19683+MAX(0,MIN(26,CODE(MID(UPPER(A60)&amp;"    ",2,1))-64))*729+MAX(0,MIN(26,CODE(MID(UPPER(A60)&amp;"    ",3,1))-64))*27+MAX(0,MIN(26,CODE(MID(UPPER(A60)&amp;"    ",4,1))-64))*1)*10000+ROW(),""))</f>
        <v/>
      </c>
      <c r="N60" s="80" t="str">
        <f t="shared" si="4"/>
        <v/>
      </c>
      <c r="O60" s="80" t="str">
        <f t="array" ref="O60">IF(A60="","",IFERROR(INDEX(Wishlist!$A:$Z,ROW()-0,'List Setup'!$J$2)&amp;"",""))</f>
        <v/>
      </c>
      <c r="P60" s="2"/>
      <c r="Q60" s="80" t="str">
        <f>IF(A60="","",'List Setup'!$A$2)</f>
        <v/>
      </c>
      <c r="R60" s="80" t="str">
        <f t="array" ref="R60">IF(A60="","",IFERROR(OR(INDEX(Binders!$J$6:$J$30,MATCH(Q60,Binders!$I$6:$I$30,0))=TRUE(),UPPER(INDEX(Binders!$J$6:$J$30,MATCH(Q60,Binders!$I$6:$I$30,0))&amp;"")="TRUE"),FALSE()))</f>
        <v/>
      </c>
    </row>
    <row r="61" ht="15.75" customHeight="1">
      <c r="A61" s="80" t="str">
        <f t="array" ref="A61">IF(INDEX(Wishlist!$A:$Z,ROW()-0,'List Setup'!$D$2)="","",INDEX(Wishlist!$A:$Z,ROW()-0,'List Setup'!$D$2))</f>
        <v/>
      </c>
      <c r="B61" s="80" t="str">
        <f t="array" ref="B61">IF(A61="","",IFERROR(INDEX('Binder Setup'!$B$2:$B$401,MIN(IF(ISNUMBER(SEARCH(CHAR(10)&amp;'Binder Setup'!$B$2:$B$401&amp;CHAR(10),$H61)),'List Setup'!$Q$2:$Q$401,999),IF(ISNUMBER(SEARCH(CHAR(10)&amp;'Set Aliases'!$A$2:$A$501&amp;CHAR(10),$H61)),'Set Aliases'!$C$2:$C$501,999))),"(none)"))</f>
        <v/>
      </c>
      <c r="C61" s="80" t="str">
        <f t="shared" si="1"/>
        <v/>
      </c>
      <c r="D61" s="80" t="str">
        <f t="array" ref="D61">IF(A61="","",IF(ISLOGICAL(INDEX(Wishlist!$A:$Z,ROW()-0,'List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61" s="80" t="str">
        <f t="shared" si="2"/>
        <v/>
      </c>
      <c r="F61" s="80" t="str">
        <f t="array" ref="F61">IF(A61="","",IF(ISNUMBER(J61),J61,IF(ISNUMBER(INDEX(Wishlist!$A:$Z,ROW()-0,'List Setup'!$F$2)),INDEX(Wishlist!$A:$Z,ROW()-0,'List Setup'!$F$2),0)))</f>
        <v/>
      </c>
      <c r="G61" s="80" t="str">
        <f t="array" ref="G61">IF(A61="","",A61&amp;IF(N(INDEX(Wishlist!$A:$Z,ROW()-0,'List Setup'!$C$2))&gt;1," (x"&amp;INDEX(Wishlist!$A:$Z,ROW()-0,'List Setup'!$C$2)&amp;")","")&amp;IF(COUNTIF(Binders!$J$6:$J$30,TRUE())&gt;1," ["&amp;Q61&amp;"]",""))</f>
        <v/>
      </c>
      <c r="H61" s="80" t="str">
        <f t="array" ref="H61">IF(A61="","",CHAR(10)&amp;INDEX(Wishlist!$A:$Z,ROW()-0,'List Setup'!$E$2)&amp;CHAR(10))</f>
        <v/>
      </c>
      <c r="I61" s="80" t="str">
        <f t="array" ref="I61">IF(OR(B61="",B61="(none)"),"",IF(ISNUMBER(SEARCH(CHAR(10)&amp;B61&amp;CHAR(10),H61)),B61,IFERROR(INDEX('Set Aliases'!$A$2:$A$501,MATCH(1,('Set Aliases'!$B$2:$B$501=B61)*ISNUMBER(SEARCH(CHAR(10)&amp;'Set Aliases'!$A$2:$A$501&amp;CHAR(10),H61)),0)),"")))</f>
        <v/>
      </c>
      <c r="J61" s="80" t="str">
        <f t="array" ref="J61">IF(I61="","",IFERROR(VALUE(TRIM(MID(SUBSTITUTE(INDEX(Wishlist!$A:$Z,ROW()-0,'List Setup'!$G$2),CHAR(10),REPT(" ",100)),((SEARCH(CHAR(10)&amp;I61&amp;CHAR(10),H61)-LEN(SUBSTITUTE(LEFT(H61,SEARCH(CHAR(10)&amp;I61&amp;CHAR(10),H61)),CHAR(10),"")))-1)*100+1,100))),""))</f>
        <v/>
      </c>
      <c r="K61" s="80" t="str">
        <f t="array" ref="K61">IF(A61="","",IF(ISNUMBER(SEARCH("Land",LEFT(IFERROR(INDEX(Wishlist!$A:$Z,ROW()-0,'List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61" s="80" t="str">
        <f t="shared" si="3"/>
        <v/>
      </c>
      <c r="M61" s="80" t="str">
        <f>IF(A61="","",IF(AND(E61="Y",B61='Use at Shop'!$B$4),K61*10000000000+(MAX(0,MIN(26,CODE(MID(UPPER(A61)&amp;"    ",1,1))-64))*19683+MAX(0,MIN(26,CODE(MID(UPPER(A61)&amp;"    ",2,1))-64))*729+MAX(0,MIN(26,CODE(MID(UPPER(A61)&amp;"    ",3,1))-64))*27+MAX(0,MIN(26,CODE(MID(UPPER(A61)&amp;"    ",4,1))-64))*1)*10000+ROW(),""))</f>
        <v/>
      </c>
      <c r="N61" s="80" t="str">
        <f t="shared" si="4"/>
        <v/>
      </c>
      <c r="O61" s="80" t="str">
        <f t="array" ref="O61">IF(A61="","",IFERROR(INDEX(Wishlist!$A:$Z,ROW()-0,'List Setup'!$J$2)&amp;"",""))</f>
        <v/>
      </c>
      <c r="P61" s="2"/>
      <c r="Q61" s="80" t="str">
        <f>IF(A61="","",'List Setup'!$A$2)</f>
        <v/>
      </c>
      <c r="R61" s="80" t="str">
        <f t="array" ref="R61">IF(A61="","",IFERROR(OR(INDEX(Binders!$J$6:$J$30,MATCH(Q61,Binders!$I$6:$I$30,0))=TRUE(),UPPER(INDEX(Binders!$J$6:$J$30,MATCH(Q61,Binders!$I$6:$I$30,0))&amp;"")="TRUE"),FALSE()))</f>
        <v/>
      </c>
    </row>
    <row r="62" ht="15.75" customHeight="1">
      <c r="A62" s="80" t="str">
        <f t="array" ref="A62">IF(INDEX(Wishlist!$A:$Z,ROW()-0,'List Setup'!$D$2)="","",INDEX(Wishlist!$A:$Z,ROW()-0,'List Setup'!$D$2))</f>
        <v/>
      </c>
      <c r="B62" s="80" t="str">
        <f t="array" ref="B62">IF(A62="","",IFERROR(INDEX('Binder Setup'!$B$2:$B$401,MIN(IF(ISNUMBER(SEARCH(CHAR(10)&amp;'Binder Setup'!$B$2:$B$401&amp;CHAR(10),$H62)),'List Setup'!$Q$2:$Q$401,999),IF(ISNUMBER(SEARCH(CHAR(10)&amp;'Set Aliases'!$A$2:$A$501&amp;CHAR(10),$H62)),'Set Aliases'!$C$2:$C$501,999))),"(none)"))</f>
        <v/>
      </c>
      <c r="C62" s="80" t="str">
        <f t="shared" si="1"/>
        <v/>
      </c>
      <c r="D62" s="80" t="str">
        <f t="array" ref="D62">IF(A62="","",IF(ISLOGICAL(INDEX(Wishlist!$A:$Z,ROW()-0,'List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62" s="80" t="str">
        <f t="shared" si="2"/>
        <v/>
      </c>
      <c r="F62" s="80" t="str">
        <f t="array" ref="F62">IF(A62="","",IF(ISNUMBER(J62),J62,IF(ISNUMBER(INDEX(Wishlist!$A:$Z,ROW()-0,'List Setup'!$F$2)),INDEX(Wishlist!$A:$Z,ROW()-0,'List Setup'!$F$2),0)))</f>
        <v/>
      </c>
      <c r="G62" s="80" t="str">
        <f t="array" ref="G62">IF(A62="","",A62&amp;IF(N(INDEX(Wishlist!$A:$Z,ROW()-0,'List Setup'!$C$2))&gt;1," (x"&amp;INDEX(Wishlist!$A:$Z,ROW()-0,'List Setup'!$C$2)&amp;")","")&amp;IF(COUNTIF(Binders!$J$6:$J$30,TRUE())&gt;1," ["&amp;Q62&amp;"]",""))</f>
        <v/>
      </c>
      <c r="H62" s="80" t="str">
        <f t="array" ref="H62">IF(A62="","",CHAR(10)&amp;INDEX(Wishlist!$A:$Z,ROW()-0,'List Setup'!$E$2)&amp;CHAR(10))</f>
        <v/>
      </c>
      <c r="I62" s="80" t="str">
        <f t="array" ref="I62">IF(OR(B62="",B62="(none)"),"",IF(ISNUMBER(SEARCH(CHAR(10)&amp;B62&amp;CHAR(10),H62)),B62,IFERROR(INDEX('Set Aliases'!$A$2:$A$501,MATCH(1,('Set Aliases'!$B$2:$B$501=B62)*ISNUMBER(SEARCH(CHAR(10)&amp;'Set Aliases'!$A$2:$A$501&amp;CHAR(10),H62)),0)),"")))</f>
        <v/>
      </c>
      <c r="J62" s="80" t="str">
        <f t="array" ref="J62">IF(I62="","",IFERROR(VALUE(TRIM(MID(SUBSTITUTE(INDEX(Wishlist!$A:$Z,ROW()-0,'List Setup'!$G$2),CHAR(10),REPT(" ",100)),((SEARCH(CHAR(10)&amp;I62&amp;CHAR(10),H62)-LEN(SUBSTITUTE(LEFT(H62,SEARCH(CHAR(10)&amp;I62&amp;CHAR(10),H62)),CHAR(10),"")))-1)*100+1,100))),""))</f>
        <v/>
      </c>
      <c r="K62" s="80" t="str">
        <f t="array" ref="K62">IF(A62="","",IF(ISNUMBER(SEARCH("Land",LEFT(IFERROR(INDEX(Wishlist!$A:$Z,ROW()-0,'List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62" s="80" t="str">
        <f t="shared" si="3"/>
        <v/>
      </c>
      <c r="M62" s="80" t="str">
        <f>IF(A62="","",IF(AND(E62="Y",B62='Use at Shop'!$B$4),K62*10000000000+(MAX(0,MIN(26,CODE(MID(UPPER(A62)&amp;"    ",1,1))-64))*19683+MAX(0,MIN(26,CODE(MID(UPPER(A62)&amp;"    ",2,1))-64))*729+MAX(0,MIN(26,CODE(MID(UPPER(A62)&amp;"    ",3,1))-64))*27+MAX(0,MIN(26,CODE(MID(UPPER(A62)&amp;"    ",4,1))-64))*1)*10000+ROW(),""))</f>
        <v/>
      </c>
      <c r="N62" s="80" t="str">
        <f t="shared" si="4"/>
        <v/>
      </c>
      <c r="O62" s="80" t="str">
        <f t="array" ref="O62">IF(A62="","",IFERROR(INDEX(Wishlist!$A:$Z,ROW()-0,'List Setup'!$J$2)&amp;"",""))</f>
        <v/>
      </c>
      <c r="P62" s="2"/>
      <c r="Q62" s="80" t="str">
        <f>IF(A62="","",'List Setup'!$A$2)</f>
        <v/>
      </c>
      <c r="R62" s="80" t="str">
        <f t="array" ref="R62">IF(A62="","",IFERROR(OR(INDEX(Binders!$J$6:$J$30,MATCH(Q62,Binders!$I$6:$I$30,0))=TRUE(),UPPER(INDEX(Binders!$J$6:$J$30,MATCH(Q62,Binders!$I$6:$I$30,0))&amp;"")="TRUE"),FALSE()))</f>
        <v/>
      </c>
    </row>
    <row r="63" ht="15.75" customHeight="1">
      <c r="A63" s="80" t="str">
        <f t="array" ref="A63">IF(INDEX(Wishlist!$A:$Z,ROW()-0,'List Setup'!$D$2)="","",INDEX(Wishlist!$A:$Z,ROW()-0,'List Setup'!$D$2))</f>
        <v/>
      </c>
      <c r="B63" s="80" t="str">
        <f t="array" ref="B63">IF(A63="","",IFERROR(INDEX('Binder Setup'!$B$2:$B$401,MIN(IF(ISNUMBER(SEARCH(CHAR(10)&amp;'Binder Setup'!$B$2:$B$401&amp;CHAR(10),$H63)),'List Setup'!$Q$2:$Q$401,999),IF(ISNUMBER(SEARCH(CHAR(10)&amp;'Set Aliases'!$A$2:$A$501&amp;CHAR(10),$H63)),'Set Aliases'!$C$2:$C$501,999))),"(none)"))</f>
        <v/>
      </c>
      <c r="C63" s="80" t="str">
        <f t="shared" si="1"/>
        <v/>
      </c>
      <c r="D63" s="80" t="str">
        <f t="array" ref="D63">IF(A63="","",IF(ISLOGICAL(INDEX(Wishlist!$A:$Z,ROW()-0,'List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63" s="80" t="str">
        <f t="shared" si="2"/>
        <v/>
      </c>
      <c r="F63" s="80" t="str">
        <f t="array" ref="F63">IF(A63="","",IF(ISNUMBER(J63),J63,IF(ISNUMBER(INDEX(Wishlist!$A:$Z,ROW()-0,'List Setup'!$F$2)),INDEX(Wishlist!$A:$Z,ROW()-0,'List Setup'!$F$2),0)))</f>
        <v/>
      </c>
      <c r="G63" s="80" t="str">
        <f t="array" ref="G63">IF(A63="","",A63&amp;IF(N(INDEX(Wishlist!$A:$Z,ROW()-0,'List Setup'!$C$2))&gt;1," (x"&amp;INDEX(Wishlist!$A:$Z,ROW()-0,'List Setup'!$C$2)&amp;")","")&amp;IF(COUNTIF(Binders!$J$6:$J$30,TRUE())&gt;1," ["&amp;Q63&amp;"]",""))</f>
        <v/>
      </c>
      <c r="H63" s="80" t="str">
        <f t="array" ref="H63">IF(A63="","",CHAR(10)&amp;INDEX(Wishlist!$A:$Z,ROW()-0,'List Setup'!$E$2)&amp;CHAR(10))</f>
        <v/>
      </c>
      <c r="I63" s="80" t="str">
        <f t="array" ref="I63">IF(OR(B63="",B63="(none)"),"",IF(ISNUMBER(SEARCH(CHAR(10)&amp;B63&amp;CHAR(10),H63)),B63,IFERROR(INDEX('Set Aliases'!$A$2:$A$501,MATCH(1,('Set Aliases'!$B$2:$B$501=B63)*ISNUMBER(SEARCH(CHAR(10)&amp;'Set Aliases'!$A$2:$A$501&amp;CHAR(10),H63)),0)),"")))</f>
        <v/>
      </c>
      <c r="J63" s="80" t="str">
        <f t="array" ref="J63">IF(I63="","",IFERROR(VALUE(TRIM(MID(SUBSTITUTE(INDEX(Wishlist!$A:$Z,ROW()-0,'List Setup'!$G$2),CHAR(10),REPT(" ",100)),((SEARCH(CHAR(10)&amp;I63&amp;CHAR(10),H63)-LEN(SUBSTITUTE(LEFT(H63,SEARCH(CHAR(10)&amp;I63&amp;CHAR(10),H63)),CHAR(10),"")))-1)*100+1,100))),""))</f>
        <v/>
      </c>
      <c r="K63" s="80" t="str">
        <f t="array" ref="K63">IF(A63="","",IF(ISNUMBER(SEARCH("Land",LEFT(IFERROR(INDEX(Wishlist!$A:$Z,ROW()-0,'List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63" s="80" t="str">
        <f t="shared" si="3"/>
        <v/>
      </c>
      <c r="M63" s="80" t="str">
        <f>IF(A63="","",IF(AND(E63="Y",B63='Use at Shop'!$B$4),K63*10000000000+(MAX(0,MIN(26,CODE(MID(UPPER(A63)&amp;"    ",1,1))-64))*19683+MAX(0,MIN(26,CODE(MID(UPPER(A63)&amp;"    ",2,1))-64))*729+MAX(0,MIN(26,CODE(MID(UPPER(A63)&amp;"    ",3,1))-64))*27+MAX(0,MIN(26,CODE(MID(UPPER(A63)&amp;"    ",4,1))-64))*1)*10000+ROW(),""))</f>
        <v/>
      </c>
      <c r="N63" s="80" t="str">
        <f t="shared" si="4"/>
        <v/>
      </c>
      <c r="O63" s="80" t="str">
        <f t="array" ref="O63">IF(A63="","",IFERROR(INDEX(Wishlist!$A:$Z,ROW()-0,'List Setup'!$J$2)&amp;"",""))</f>
        <v/>
      </c>
      <c r="P63" s="2"/>
      <c r="Q63" s="80" t="str">
        <f>IF(A63="","",'List Setup'!$A$2)</f>
        <v/>
      </c>
      <c r="R63" s="80" t="str">
        <f t="array" ref="R63">IF(A63="","",IFERROR(OR(INDEX(Binders!$J$6:$J$30,MATCH(Q63,Binders!$I$6:$I$30,0))=TRUE(),UPPER(INDEX(Binders!$J$6:$J$30,MATCH(Q63,Binders!$I$6:$I$30,0))&amp;"")="TRUE"),FALSE()))</f>
        <v/>
      </c>
    </row>
    <row r="64" ht="15.75" customHeight="1">
      <c r="A64" s="80" t="str">
        <f t="array" ref="A64">IF(INDEX(Wishlist!$A:$Z,ROW()-0,'List Setup'!$D$2)="","",INDEX(Wishlist!$A:$Z,ROW()-0,'List Setup'!$D$2))</f>
        <v/>
      </c>
      <c r="B64" s="80" t="str">
        <f t="array" ref="B64">IF(A64="","",IFERROR(INDEX('Binder Setup'!$B$2:$B$401,MIN(IF(ISNUMBER(SEARCH(CHAR(10)&amp;'Binder Setup'!$B$2:$B$401&amp;CHAR(10),$H64)),'List Setup'!$Q$2:$Q$401,999),IF(ISNUMBER(SEARCH(CHAR(10)&amp;'Set Aliases'!$A$2:$A$501&amp;CHAR(10),$H64)),'Set Aliases'!$C$2:$C$501,999))),"(none)"))</f>
        <v/>
      </c>
      <c r="C64" s="80" t="str">
        <f t="shared" si="1"/>
        <v/>
      </c>
      <c r="D64" s="80" t="str">
        <f t="array" ref="D64">IF(A64="","",IF(ISLOGICAL(INDEX(Wishlist!$A:$Z,ROW()-0,'List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64" s="80" t="str">
        <f t="shared" si="2"/>
        <v/>
      </c>
      <c r="F64" s="80" t="str">
        <f t="array" ref="F64">IF(A64="","",IF(ISNUMBER(J64),J64,IF(ISNUMBER(INDEX(Wishlist!$A:$Z,ROW()-0,'List Setup'!$F$2)),INDEX(Wishlist!$A:$Z,ROW()-0,'List Setup'!$F$2),0)))</f>
        <v/>
      </c>
      <c r="G64" s="80" t="str">
        <f t="array" ref="G64">IF(A64="","",A64&amp;IF(N(INDEX(Wishlist!$A:$Z,ROW()-0,'List Setup'!$C$2))&gt;1," (x"&amp;INDEX(Wishlist!$A:$Z,ROW()-0,'List Setup'!$C$2)&amp;")","")&amp;IF(COUNTIF(Binders!$J$6:$J$30,TRUE())&gt;1," ["&amp;Q64&amp;"]",""))</f>
        <v/>
      </c>
      <c r="H64" s="80" t="str">
        <f t="array" ref="H64">IF(A64="","",CHAR(10)&amp;INDEX(Wishlist!$A:$Z,ROW()-0,'List Setup'!$E$2)&amp;CHAR(10))</f>
        <v/>
      </c>
      <c r="I64" s="80" t="str">
        <f t="array" ref="I64">IF(OR(B64="",B64="(none)"),"",IF(ISNUMBER(SEARCH(CHAR(10)&amp;B64&amp;CHAR(10),H64)),B64,IFERROR(INDEX('Set Aliases'!$A$2:$A$501,MATCH(1,('Set Aliases'!$B$2:$B$501=B64)*ISNUMBER(SEARCH(CHAR(10)&amp;'Set Aliases'!$A$2:$A$501&amp;CHAR(10),H64)),0)),"")))</f>
        <v/>
      </c>
      <c r="J64" s="80" t="str">
        <f t="array" ref="J64">IF(I64="","",IFERROR(VALUE(TRIM(MID(SUBSTITUTE(INDEX(Wishlist!$A:$Z,ROW()-0,'List Setup'!$G$2),CHAR(10),REPT(" ",100)),((SEARCH(CHAR(10)&amp;I64&amp;CHAR(10),H64)-LEN(SUBSTITUTE(LEFT(H64,SEARCH(CHAR(10)&amp;I64&amp;CHAR(10),H64)),CHAR(10),"")))-1)*100+1,100))),""))</f>
        <v/>
      </c>
      <c r="K64" s="80" t="str">
        <f t="array" ref="K64">IF(A64="","",IF(ISNUMBER(SEARCH("Land",LEFT(IFERROR(INDEX(Wishlist!$A:$Z,ROW()-0,'List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64" s="80" t="str">
        <f t="shared" si="3"/>
        <v/>
      </c>
      <c r="M64" s="80" t="str">
        <f>IF(A64="","",IF(AND(E64="Y",B64='Use at Shop'!$B$4),K64*10000000000+(MAX(0,MIN(26,CODE(MID(UPPER(A64)&amp;"    ",1,1))-64))*19683+MAX(0,MIN(26,CODE(MID(UPPER(A64)&amp;"    ",2,1))-64))*729+MAX(0,MIN(26,CODE(MID(UPPER(A64)&amp;"    ",3,1))-64))*27+MAX(0,MIN(26,CODE(MID(UPPER(A64)&amp;"    ",4,1))-64))*1)*10000+ROW(),""))</f>
        <v/>
      </c>
      <c r="N64" s="80" t="str">
        <f t="shared" si="4"/>
        <v/>
      </c>
      <c r="O64" s="80" t="str">
        <f t="array" ref="O64">IF(A64="","",IFERROR(INDEX(Wishlist!$A:$Z,ROW()-0,'List Setup'!$J$2)&amp;"",""))</f>
        <v/>
      </c>
      <c r="P64" s="2"/>
      <c r="Q64" s="80" t="str">
        <f>IF(A64="","",'List Setup'!$A$2)</f>
        <v/>
      </c>
      <c r="R64" s="80" t="str">
        <f t="array" ref="R64">IF(A64="","",IFERROR(OR(INDEX(Binders!$J$6:$J$30,MATCH(Q64,Binders!$I$6:$I$30,0))=TRUE(),UPPER(INDEX(Binders!$J$6:$J$30,MATCH(Q64,Binders!$I$6:$I$30,0))&amp;"")="TRUE"),FALSE()))</f>
        <v/>
      </c>
    </row>
    <row r="65" ht="15.75" customHeight="1">
      <c r="A65" s="80" t="str">
        <f t="array" ref="A65">IF(INDEX(Wishlist!$A:$Z,ROW()-0,'List Setup'!$D$2)="","",INDEX(Wishlist!$A:$Z,ROW()-0,'List Setup'!$D$2))</f>
        <v/>
      </c>
      <c r="B65" s="80" t="str">
        <f t="array" ref="B65">IF(A65="","",IFERROR(INDEX('Binder Setup'!$B$2:$B$401,MIN(IF(ISNUMBER(SEARCH(CHAR(10)&amp;'Binder Setup'!$B$2:$B$401&amp;CHAR(10),$H65)),'List Setup'!$Q$2:$Q$401,999),IF(ISNUMBER(SEARCH(CHAR(10)&amp;'Set Aliases'!$A$2:$A$501&amp;CHAR(10),$H65)),'Set Aliases'!$C$2:$C$501,999))),"(none)"))</f>
        <v/>
      </c>
      <c r="C65" s="80" t="str">
        <f t="shared" si="1"/>
        <v/>
      </c>
      <c r="D65" s="80" t="str">
        <f t="array" ref="D65">IF(A65="","",IF(ISLOGICAL(INDEX(Wishlist!$A:$Z,ROW()-0,'List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65" s="80" t="str">
        <f t="shared" si="2"/>
        <v/>
      </c>
      <c r="F65" s="80" t="str">
        <f t="array" ref="F65">IF(A65="","",IF(ISNUMBER(J65),J65,IF(ISNUMBER(INDEX(Wishlist!$A:$Z,ROW()-0,'List Setup'!$F$2)),INDEX(Wishlist!$A:$Z,ROW()-0,'List Setup'!$F$2),0)))</f>
        <v/>
      </c>
      <c r="G65" s="80" t="str">
        <f t="array" ref="G65">IF(A65="","",A65&amp;IF(N(INDEX(Wishlist!$A:$Z,ROW()-0,'List Setup'!$C$2))&gt;1," (x"&amp;INDEX(Wishlist!$A:$Z,ROW()-0,'List Setup'!$C$2)&amp;")","")&amp;IF(COUNTIF(Binders!$J$6:$J$30,TRUE())&gt;1," ["&amp;Q65&amp;"]",""))</f>
        <v/>
      </c>
      <c r="H65" s="80" t="str">
        <f t="array" ref="H65">IF(A65="","",CHAR(10)&amp;INDEX(Wishlist!$A:$Z,ROW()-0,'List Setup'!$E$2)&amp;CHAR(10))</f>
        <v/>
      </c>
      <c r="I65" s="80" t="str">
        <f t="array" ref="I65">IF(OR(B65="",B65="(none)"),"",IF(ISNUMBER(SEARCH(CHAR(10)&amp;B65&amp;CHAR(10),H65)),B65,IFERROR(INDEX('Set Aliases'!$A$2:$A$501,MATCH(1,('Set Aliases'!$B$2:$B$501=B65)*ISNUMBER(SEARCH(CHAR(10)&amp;'Set Aliases'!$A$2:$A$501&amp;CHAR(10),H65)),0)),"")))</f>
        <v/>
      </c>
      <c r="J65" s="80" t="str">
        <f t="array" ref="J65">IF(I65="","",IFERROR(VALUE(TRIM(MID(SUBSTITUTE(INDEX(Wishlist!$A:$Z,ROW()-0,'List Setup'!$G$2),CHAR(10),REPT(" ",100)),((SEARCH(CHAR(10)&amp;I65&amp;CHAR(10),H65)-LEN(SUBSTITUTE(LEFT(H65,SEARCH(CHAR(10)&amp;I65&amp;CHAR(10),H65)),CHAR(10),"")))-1)*100+1,100))),""))</f>
        <v/>
      </c>
      <c r="K65" s="80" t="str">
        <f t="array" ref="K65">IF(A65="","",IF(ISNUMBER(SEARCH("Land",LEFT(IFERROR(INDEX(Wishlist!$A:$Z,ROW()-0,'List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65" s="80" t="str">
        <f t="shared" si="3"/>
        <v/>
      </c>
      <c r="M65" s="80" t="str">
        <f>IF(A65="","",IF(AND(E65="Y",B65='Use at Shop'!$B$4),K65*10000000000+(MAX(0,MIN(26,CODE(MID(UPPER(A65)&amp;"    ",1,1))-64))*19683+MAX(0,MIN(26,CODE(MID(UPPER(A65)&amp;"    ",2,1))-64))*729+MAX(0,MIN(26,CODE(MID(UPPER(A65)&amp;"    ",3,1))-64))*27+MAX(0,MIN(26,CODE(MID(UPPER(A65)&amp;"    ",4,1))-64))*1)*10000+ROW(),""))</f>
        <v/>
      </c>
      <c r="N65" s="80" t="str">
        <f t="shared" si="4"/>
        <v/>
      </c>
      <c r="O65" s="80" t="str">
        <f t="array" ref="O65">IF(A65="","",IFERROR(INDEX(Wishlist!$A:$Z,ROW()-0,'List Setup'!$J$2)&amp;"",""))</f>
        <v/>
      </c>
      <c r="P65" s="2"/>
      <c r="Q65" s="80" t="str">
        <f>IF(A65="","",'List Setup'!$A$2)</f>
        <v/>
      </c>
      <c r="R65" s="80" t="str">
        <f t="array" ref="R65">IF(A65="","",IFERROR(OR(INDEX(Binders!$J$6:$J$30,MATCH(Q65,Binders!$I$6:$I$30,0))=TRUE(),UPPER(INDEX(Binders!$J$6:$J$30,MATCH(Q65,Binders!$I$6:$I$30,0))&amp;"")="TRUE"),FALSE()))</f>
        <v/>
      </c>
    </row>
    <row r="66" ht="15.75" customHeight="1">
      <c r="A66" s="80" t="str">
        <f t="array" ref="A66">IF(INDEX(Wishlist!$A:$Z,ROW()-0,'List Setup'!$D$2)="","",INDEX(Wishlist!$A:$Z,ROW()-0,'List Setup'!$D$2))</f>
        <v/>
      </c>
      <c r="B66" s="80" t="str">
        <f t="array" ref="B66">IF(A66="","",IFERROR(INDEX('Binder Setup'!$B$2:$B$401,MIN(IF(ISNUMBER(SEARCH(CHAR(10)&amp;'Binder Setup'!$B$2:$B$401&amp;CHAR(10),$H66)),'List Setup'!$Q$2:$Q$401,999),IF(ISNUMBER(SEARCH(CHAR(10)&amp;'Set Aliases'!$A$2:$A$501&amp;CHAR(10),$H66)),'Set Aliases'!$C$2:$C$501,999))),"(none)"))</f>
        <v/>
      </c>
      <c r="C66" s="80" t="str">
        <f t="shared" si="1"/>
        <v/>
      </c>
      <c r="D66" s="80" t="str">
        <f t="array" ref="D66">IF(A66="","",IF(ISLOGICAL(INDEX(Wishlist!$A:$Z,ROW()-0,'List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66" s="80" t="str">
        <f t="shared" si="2"/>
        <v/>
      </c>
      <c r="F66" s="80" t="str">
        <f t="array" ref="F66">IF(A66="","",IF(ISNUMBER(J66),J66,IF(ISNUMBER(INDEX(Wishlist!$A:$Z,ROW()-0,'List Setup'!$F$2)),INDEX(Wishlist!$A:$Z,ROW()-0,'List Setup'!$F$2),0)))</f>
        <v/>
      </c>
      <c r="G66" s="80" t="str">
        <f t="array" ref="G66">IF(A66="","",A66&amp;IF(N(INDEX(Wishlist!$A:$Z,ROW()-0,'List Setup'!$C$2))&gt;1," (x"&amp;INDEX(Wishlist!$A:$Z,ROW()-0,'List Setup'!$C$2)&amp;")","")&amp;IF(COUNTIF(Binders!$J$6:$J$30,TRUE())&gt;1," ["&amp;Q66&amp;"]",""))</f>
        <v/>
      </c>
      <c r="H66" s="80" t="str">
        <f t="array" ref="H66">IF(A66="","",CHAR(10)&amp;INDEX(Wishlist!$A:$Z,ROW()-0,'List Setup'!$E$2)&amp;CHAR(10))</f>
        <v/>
      </c>
      <c r="I66" s="80" t="str">
        <f t="array" ref="I66">IF(OR(B66="",B66="(none)"),"",IF(ISNUMBER(SEARCH(CHAR(10)&amp;B66&amp;CHAR(10),H66)),B66,IFERROR(INDEX('Set Aliases'!$A$2:$A$501,MATCH(1,('Set Aliases'!$B$2:$B$501=B66)*ISNUMBER(SEARCH(CHAR(10)&amp;'Set Aliases'!$A$2:$A$501&amp;CHAR(10),H66)),0)),"")))</f>
        <v/>
      </c>
      <c r="J66" s="80" t="str">
        <f t="array" ref="J66">IF(I66="","",IFERROR(VALUE(TRIM(MID(SUBSTITUTE(INDEX(Wishlist!$A:$Z,ROW()-0,'List Setup'!$G$2),CHAR(10),REPT(" ",100)),((SEARCH(CHAR(10)&amp;I66&amp;CHAR(10),H66)-LEN(SUBSTITUTE(LEFT(H66,SEARCH(CHAR(10)&amp;I66&amp;CHAR(10),H66)),CHAR(10),"")))-1)*100+1,100))),""))</f>
        <v/>
      </c>
      <c r="K66" s="80" t="str">
        <f t="array" ref="K66">IF(A66="","",IF(ISNUMBER(SEARCH("Land",LEFT(IFERROR(INDEX(Wishlist!$A:$Z,ROW()-0,'List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66" s="80" t="str">
        <f t="shared" si="3"/>
        <v/>
      </c>
      <c r="M66" s="80" t="str">
        <f>IF(A66="","",IF(AND(E66="Y",B66='Use at Shop'!$B$4),K66*10000000000+(MAX(0,MIN(26,CODE(MID(UPPER(A66)&amp;"    ",1,1))-64))*19683+MAX(0,MIN(26,CODE(MID(UPPER(A66)&amp;"    ",2,1))-64))*729+MAX(0,MIN(26,CODE(MID(UPPER(A66)&amp;"    ",3,1))-64))*27+MAX(0,MIN(26,CODE(MID(UPPER(A66)&amp;"    ",4,1))-64))*1)*10000+ROW(),""))</f>
        <v/>
      </c>
      <c r="N66" s="80" t="str">
        <f t="shared" si="4"/>
        <v/>
      </c>
      <c r="O66" s="80" t="str">
        <f t="array" ref="O66">IF(A66="","",IFERROR(INDEX(Wishlist!$A:$Z,ROW()-0,'List Setup'!$J$2)&amp;"",""))</f>
        <v/>
      </c>
      <c r="P66" s="2"/>
      <c r="Q66" s="80" t="str">
        <f>IF(A66="","",'List Setup'!$A$2)</f>
        <v/>
      </c>
      <c r="R66" s="80" t="str">
        <f t="array" ref="R66">IF(A66="","",IFERROR(OR(INDEX(Binders!$J$6:$J$30,MATCH(Q66,Binders!$I$6:$I$30,0))=TRUE(),UPPER(INDEX(Binders!$J$6:$J$30,MATCH(Q66,Binders!$I$6:$I$30,0))&amp;"")="TRUE"),FALSE()))</f>
        <v/>
      </c>
    </row>
    <row r="67" ht="15.75" customHeight="1">
      <c r="A67" s="80" t="str">
        <f t="array" ref="A67">IF(INDEX(Wishlist!$A:$Z,ROW()-0,'List Setup'!$D$2)="","",INDEX(Wishlist!$A:$Z,ROW()-0,'List Setup'!$D$2))</f>
        <v/>
      </c>
      <c r="B67" s="80" t="str">
        <f t="array" ref="B67">IF(A67="","",IFERROR(INDEX('Binder Setup'!$B$2:$B$401,MIN(IF(ISNUMBER(SEARCH(CHAR(10)&amp;'Binder Setup'!$B$2:$B$401&amp;CHAR(10),$H67)),'List Setup'!$Q$2:$Q$401,999),IF(ISNUMBER(SEARCH(CHAR(10)&amp;'Set Aliases'!$A$2:$A$501&amp;CHAR(10),$H67)),'Set Aliases'!$C$2:$C$501,999))),"(none)"))</f>
        <v/>
      </c>
      <c r="C67" s="80" t="str">
        <f t="shared" si="1"/>
        <v/>
      </c>
      <c r="D67" s="80" t="str">
        <f t="array" ref="D67">IF(A67="","",IF(ISLOGICAL(INDEX(Wishlist!$A:$Z,ROW()-0,'List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67" s="80" t="str">
        <f t="shared" si="2"/>
        <v/>
      </c>
      <c r="F67" s="80" t="str">
        <f t="array" ref="F67">IF(A67="","",IF(ISNUMBER(J67),J67,IF(ISNUMBER(INDEX(Wishlist!$A:$Z,ROW()-0,'List Setup'!$F$2)),INDEX(Wishlist!$A:$Z,ROW()-0,'List Setup'!$F$2),0)))</f>
        <v/>
      </c>
      <c r="G67" s="80" t="str">
        <f t="array" ref="G67">IF(A67="","",A67&amp;IF(N(INDEX(Wishlist!$A:$Z,ROW()-0,'List Setup'!$C$2))&gt;1," (x"&amp;INDEX(Wishlist!$A:$Z,ROW()-0,'List Setup'!$C$2)&amp;")","")&amp;IF(COUNTIF(Binders!$J$6:$J$30,TRUE())&gt;1," ["&amp;Q67&amp;"]",""))</f>
        <v/>
      </c>
      <c r="H67" s="80" t="str">
        <f t="array" ref="H67">IF(A67="","",CHAR(10)&amp;INDEX(Wishlist!$A:$Z,ROW()-0,'List Setup'!$E$2)&amp;CHAR(10))</f>
        <v/>
      </c>
      <c r="I67" s="80" t="str">
        <f t="array" ref="I67">IF(OR(B67="",B67="(none)"),"",IF(ISNUMBER(SEARCH(CHAR(10)&amp;B67&amp;CHAR(10),H67)),B67,IFERROR(INDEX('Set Aliases'!$A$2:$A$501,MATCH(1,('Set Aliases'!$B$2:$B$501=B67)*ISNUMBER(SEARCH(CHAR(10)&amp;'Set Aliases'!$A$2:$A$501&amp;CHAR(10),H67)),0)),"")))</f>
        <v/>
      </c>
      <c r="J67" s="80" t="str">
        <f t="array" ref="J67">IF(I67="","",IFERROR(VALUE(TRIM(MID(SUBSTITUTE(INDEX(Wishlist!$A:$Z,ROW()-0,'List Setup'!$G$2),CHAR(10),REPT(" ",100)),((SEARCH(CHAR(10)&amp;I67&amp;CHAR(10),H67)-LEN(SUBSTITUTE(LEFT(H67,SEARCH(CHAR(10)&amp;I67&amp;CHAR(10),H67)),CHAR(10),"")))-1)*100+1,100))),""))</f>
        <v/>
      </c>
      <c r="K67" s="80" t="str">
        <f t="array" ref="K67">IF(A67="","",IF(ISNUMBER(SEARCH("Land",LEFT(IFERROR(INDEX(Wishlist!$A:$Z,ROW()-0,'List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67" s="80" t="str">
        <f t="shared" si="3"/>
        <v/>
      </c>
      <c r="M67" s="80" t="str">
        <f>IF(A67="","",IF(AND(E67="Y",B67='Use at Shop'!$B$4),K67*10000000000+(MAX(0,MIN(26,CODE(MID(UPPER(A67)&amp;"    ",1,1))-64))*19683+MAX(0,MIN(26,CODE(MID(UPPER(A67)&amp;"    ",2,1))-64))*729+MAX(0,MIN(26,CODE(MID(UPPER(A67)&amp;"    ",3,1))-64))*27+MAX(0,MIN(26,CODE(MID(UPPER(A67)&amp;"    ",4,1))-64))*1)*10000+ROW(),""))</f>
        <v/>
      </c>
      <c r="N67" s="80" t="str">
        <f t="shared" si="4"/>
        <v/>
      </c>
      <c r="O67" s="80" t="str">
        <f t="array" ref="O67">IF(A67="","",IFERROR(INDEX(Wishlist!$A:$Z,ROW()-0,'List Setup'!$J$2)&amp;"",""))</f>
        <v/>
      </c>
      <c r="P67" s="2"/>
      <c r="Q67" s="80" t="str">
        <f>IF(A67="","",'List Setup'!$A$2)</f>
        <v/>
      </c>
      <c r="R67" s="80" t="str">
        <f t="array" ref="R67">IF(A67="","",IFERROR(OR(INDEX(Binders!$J$6:$J$30,MATCH(Q67,Binders!$I$6:$I$30,0))=TRUE(),UPPER(INDEX(Binders!$J$6:$J$30,MATCH(Q67,Binders!$I$6:$I$30,0))&amp;"")="TRUE"),FALSE()))</f>
        <v/>
      </c>
    </row>
    <row r="68" ht="15.75" customHeight="1">
      <c r="A68" s="80" t="str">
        <f t="array" ref="A68">IF(INDEX(Wishlist!$A:$Z,ROW()-0,'List Setup'!$D$2)="","",INDEX(Wishlist!$A:$Z,ROW()-0,'List Setup'!$D$2))</f>
        <v/>
      </c>
      <c r="B68" s="80" t="str">
        <f t="array" ref="B68">IF(A68="","",IFERROR(INDEX('Binder Setup'!$B$2:$B$401,MIN(IF(ISNUMBER(SEARCH(CHAR(10)&amp;'Binder Setup'!$B$2:$B$401&amp;CHAR(10),$H68)),'List Setup'!$Q$2:$Q$401,999),IF(ISNUMBER(SEARCH(CHAR(10)&amp;'Set Aliases'!$A$2:$A$501&amp;CHAR(10),$H68)),'Set Aliases'!$C$2:$C$501,999))),"(none)"))</f>
        <v/>
      </c>
      <c r="C68" s="80" t="str">
        <f t="shared" si="1"/>
        <v/>
      </c>
      <c r="D68" s="80" t="str">
        <f t="array" ref="D68">IF(A68="","",IF(ISLOGICAL(INDEX(Wishlist!$A:$Z,ROW()-0,'List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68" s="80" t="str">
        <f t="shared" si="2"/>
        <v/>
      </c>
      <c r="F68" s="80" t="str">
        <f t="array" ref="F68">IF(A68="","",IF(ISNUMBER(J68),J68,IF(ISNUMBER(INDEX(Wishlist!$A:$Z,ROW()-0,'List Setup'!$F$2)),INDEX(Wishlist!$A:$Z,ROW()-0,'List Setup'!$F$2),0)))</f>
        <v/>
      </c>
      <c r="G68" s="80" t="str">
        <f t="array" ref="G68">IF(A68="","",A68&amp;IF(N(INDEX(Wishlist!$A:$Z,ROW()-0,'List Setup'!$C$2))&gt;1," (x"&amp;INDEX(Wishlist!$A:$Z,ROW()-0,'List Setup'!$C$2)&amp;")","")&amp;IF(COUNTIF(Binders!$J$6:$J$30,TRUE())&gt;1," ["&amp;Q68&amp;"]",""))</f>
        <v/>
      </c>
      <c r="H68" s="80" t="str">
        <f t="array" ref="H68">IF(A68="","",CHAR(10)&amp;INDEX(Wishlist!$A:$Z,ROW()-0,'List Setup'!$E$2)&amp;CHAR(10))</f>
        <v/>
      </c>
      <c r="I68" s="80" t="str">
        <f t="array" ref="I68">IF(OR(B68="",B68="(none)"),"",IF(ISNUMBER(SEARCH(CHAR(10)&amp;B68&amp;CHAR(10),H68)),B68,IFERROR(INDEX('Set Aliases'!$A$2:$A$501,MATCH(1,('Set Aliases'!$B$2:$B$501=B68)*ISNUMBER(SEARCH(CHAR(10)&amp;'Set Aliases'!$A$2:$A$501&amp;CHAR(10),H68)),0)),"")))</f>
        <v/>
      </c>
      <c r="J68" s="80" t="str">
        <f t="array" ref="J68">IF(I68="","",IFERROR(VALUE(TRIM(MID(SUBSTITUTE(INDEX(Wishlist!$A:$Z,ROW()-0,'List Setup'!$G$2),CHAR(10),REPT(" ",100)),((SEARCH(CHAR(10)&amp;I68&amp;CHAR(10),H68)-LEN(SUBSTITUTE(LEFT(H68,SEARCH(CHAR(10)&amp;I68&amp;CHAR(10),H68)),CHAR(10),"")))-1)*100+1,100))),""))</f>
        <v/>
      </c>
      <c r="K68" s="80" t="str">
        <f t="array" ref="K68">IF(A68="","",IF(ISNUMBER(SEARCH("Land",LEFT(IFERROR(INDEX(Wishlist!$A:$Z,ROW()-0,'List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68" s="80" t="str">
        <f t="shared" si="3"/>
        <v/>
      </c>
      <c r="M68" s="80" t="str">
        <f>IF(A68="","",IF(AND(E68="Y",B68='Use at Shop'!$B$4),K68*10000000000+(MAX(0,MIN(26,CODE(MID(UPPER(A68)&amp;"    ",1,1))-64))*19683+MAX(0,MIN(26,CODE(MID(UPPER(A68)&amp;"    ",2,1))-64))*729+MAX(0,MIN(26,CODE(MID(UPPER(A68)&amp;"    ",3,1))-64))*27+MAX(0,MIN(26,CODE(MID(UPPER(A68)&amp;"    ",4,1))-64))*1)*10000+ROW(),""))</f>
        <v/>
      </c>
      <c r="N68" s="80" t="str">
        <f t="shared" si="4"/>
        <v/>
      </c>
      <c r="O68" s="80" t="str">
        <f t="array" ref="O68">IF(A68="","",IFERROR(INDEX(Wishlist!$A:$Z,ROW()-0,'List Setup'!$J$2)&amp;"",""))</f>
        <v/>
      </c>
      <c r="P68" s="2"/>
      <c r="Q68" s="80" t="str">
        <f>IF(A68="","",'List Setup'!$A$2)</f>
        <v/>
      </c>
      <c r="R68" s="80" t="str">
        <f t="array" ref="R68">IF(A68="","",IFERROR(OR(INDEX(Binders!$J$6:$J$30,MATCH(Q68,Binders!$I$6:$I$30,0))=TRUE(),UPPER(INDEX(Binders!$J$6:$J$30,MATCH(Q68,Binders!$I$6:$I$30,0))&amp;"")="TRUE"),FALSE()))</f>
        <v/>
      </c>
    </row>
    <row r="69" ht="15.75" customHeight="1">
      <c r="A69" s="80" t="str">
        <f t="array" ref="A69">IF(INDEX(Wishlist!$A:$Z,ROW()-0,'List Setup'!$D$2)="","",INDEX(Wishlist!$A:$Z,ROW()-0,'List Setup'!$D$2))</f>
        <v/>
      </c>
      <c r="B69" s="80" t="str">
        <f t="array" ref="B69">IF(A69="","",IFERROR(INDEX('Binder Setup'!$B$2:$B$401,MIN(IF(ISNUMBER(SEARCH(CHAR(10)&amp;'Binder Setup'!$B$2:$B$401&amp;CHAR(10),$H69)),'List Setup'!$Q$2:$Q$401,999),IF(ISNUMBER(SEARCH(CHAR(10)&amp;'Set Aliases'!$A$2:$A$501&amp;CHAR(10),$H69)),'Set Aliases'!$C$2:$C$501,999))),"(none)"))</f>
        <v/>
      </c>
      <c r="C69" s="80" t="str">
        <f t="shared" si="1"/>
        <v/>
      </c>
      <c r="D69" s="80" t="str">
        <f t="array" ref="D69">IF(A69="","",IF(ISLOGICAL(INDEX(Wishlist!$A:$Z,ROW()-0,'List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69" s="80" t="str">
        <f t="shared" si="2"/>
        <v/>
      </c>
      <c r="F69" s="80" t="str">
        <f t="array" ref="F69">IF(A69="","",IF(ISNUMBER(J69),J69,IF(ISNUMBER(INDEX(Wishlist!$A:$Z,ROW()-0,'List Setup'!$F$2)),INDEX(Wishlist!$A:$Z,ROW()-0,'List Setup'!$F$2),0)))</f>
        <v/>
      </c>
      <c r="G69" s="80" t="str">
        <f t="array" ref="G69">IF(A69="","",A69&amp;IF(N(INDEX(Wishlist!$A:$Z,ROW()-0,'List Setup'!$C$2))&gt;1," (x"&amp;INDEX(Wishlist!$A:$Z,ROW()-0,'List Setup'!$C$2)&amp;")","")&amp;IF(COUNTIF(Binders!$J$6:$J$30,TRUE())&gt;1," ["&amp;Q69&amp;"]",""))</f>
        <v/>
      </c>
      <c r="H69" s="80" t="str">
        <f t="array" ref="H69">IF(A69="","",CHAR(10)&amp;INDEX(Wishlist!$A:$Z,ROW()-0,'List Setup'!$E$2)&amp;CHAR(10))</f>
        <v/>
      </c>
      <c r="I69" s="80" t="str">
        <f t="array" ref="I69">IF(OR(B69="",B69="(none)"),"",IF(ISNUMBER(SEARCH(CHAR(10)&amp;B69&amp;CHAR(10),H69)),B69,IFERROR(INDEX('Set Aliases'!$A$2:$A$501,MATCH(1,('Set Aliases'!$B$2:$B$501=B69)*ISNUMBER(SEARCH(CHAR(10)&amp;'Set Aliases'!$A$2:$A$501&amp;CHAR(10),H69)),0)),"")))</f>
        <v/>
      </c>
      <c r="J69" s="80" t="str">
        <f t="array" ref="J69">IF(I69="","",IFERROR(VALUE(TRIM(MID(SUBSTITUTE(INDEX(Wishlist!$A:$Z,ROW()-0,'List Setup'!$G$2),CHAR(10),REPT(" ",100)),((SEARCH(CHAR(10)&amp;I69&amp;CHAR(10),H69)-LEN(SUBSTITUTE(LEFT(H69,SEARCH(CHAR(10)&amp;I69&amp;CHAR(10),H69)),CHAR(10),"")))-1)*100+1,100))),""))</f>
        <v/>
      </c>
      <c r="K69" s="80" t="str">
        <f t="array" ref="K69">IF(A69="","",IF(ISNUMBER(SEARCH("Land",LEFT(IFERROR(INDEX(Wishlist!$A:$Z,ROW()-0,'List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69" s="80" t="str">
        <f t="shared" si="3"/>
        <v/>
      </c>
      <c r="M69" s="80" t="str">
        <f>IF(A69="","",IF(AND(E69="Y",B69='Use at Shop'!$B$4),K69*10000000000+(MAX(0,MIN(26,CODE(MID(UPPER(A69)&amp;"    ",1,1))-64))*19683+MAX(0,MIN(26,CODE(MID(UPPER(A69)&amp;"    ",2,1))-64))*729+MAX(0,MIN(26,CODE(MID(UPPER(A69)&amp;"    ",3,1))-64))*27+MAX(0,MIN(26,CODE(MID(UPPER(A69)&amp;"    ",4,1))-64))*1)*10000+ROW(),""))</f>
        <v/>
      </c>
      <c r="N69" s="80" t="str">
        <f t="shared" si="4"/>
        <v/>
      </c>
      <c r="O69" s="80" t="str">
        <f t="array" ref="O69">IF(A69="","",IFERROR(INDEX(Wishlist!$A:$Z,ROW()-0,'List Setup'!$J$2)&amp;"",""))</f>
        <v/>
      </c>
      <c r="P69" s="2"/>
      <c r="Q69" s="80" t="str">
        <f>IF(A69="","",'List Setup'!$A$2)</f>
        <v/>
      </c>
      <c r="R69" s="80" t="str">
        <f t="array" ref="R69">IF(A69="","",IFERROR(OR(INDEX(Binders!$J$6:$J$30,MATCH(Q69,Binders!$I$6:$I$30,0))=TRUE(),UPPER(INDEX(Binders!$J$6:$J$30,MATCH(Q69,Binders!$I$6:$I$30,0))&amp;"")="TRUE"),FALSE()))</f>
        <v/>
      </c>
    </row>
    <row r="70" ht="15.75" customHeight="1">
      <c r="A70" s="80" t="str">
        <f t="array" ref="A70">IF(INDEX(Wishlist!$A:$Z,ROW()-0,'List Setup'!$D$2)="","",INDEX(Wishlist!$A:$Z,ROW()-0,'List Setup'!$D$2))</f>
        <v/>
      </c>
      <c r="B70" s="80" t="str">
        <f t="array" ref="B70">IF(A70="","",IFERROR(INDEX('Binder Setup'!$B$2:$B$401,MIN(IF(ISNUMBER(SEARCH(CHAR(10)&amp;'Binder Setup'!$B$2:$B$401&amp;CHAR(10),$H70)),'List Setup'!$Q$2:$Q$401,999),IF(ISNUMBER(SEARCH(CHAR(10)&amp;'Set Aliases'!$A$2:$A$501&amp;CHAR(10),$H70)),'Set Aliases'!$C$2:$C$501,999))),"(none)"))</f>
        <v/>
      </c>
      <c r="C70" s="80" t="str">
        <f t="shared" si="1"/>
        <v/>
      </c>
      <c r="D70" s="80" t="str">
        <f t="array" ref="D70">IF(A70="","",IF(ISLOGICAL(INDEX(Wishlist!$A:$Z,ROW()-0,'List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70" s="80" t="str">
        <f t="shared" si="2"/>
        <v/>
      </c>
      <c r="F70" s="80" t="str">
        <f t="array" ref="F70">IF(A70="","",IF(ISNUMBER(J70),J70,IF(ISNUMBER(INDEX(Wishlist!$A:$Z,ROW()-0,'List Setup'!$F$2)),INDEX(Wishlist!$A:$Z,ROW()-0,'List Setup'!$F$2),0)))</f>
        <v/>
      </c>
      <c r="G70" s="80" t="str">
        <f t="array" ref="G70">IF(A70="","",A70&amp;IF(N(INDEX(Wishlist!$A:$Z,ROW()-0,'List Setup'!$C$2))&gt;1," (x"&amp;INDEX(Wishlist!$A:$Z,ROW()-0,'List Setup'!$C$2)&amp;")","")&amp;IF(COUNTIF(Binders!$J$6:$J$30,TRUE())&gt;1," ["&amp;Q70&amp;"]",""))</f>
        <v/>
      </c>
      <c r="H70" s="80" t="str">
        <f t="array" ref="H70">IF(A70="","",CHAR(10)&amp;INDEX(Wishlist!$A:$Z,ROW()-0,'List Setup'!$E$2)&amp;CHAR(10))</f>
        <v/>
      </c>
      <c r="I70" s="80" t="str">
        <f t="array" ref="I70">IF(OR(B70="",B70="(none)"),"",IF(ISNUMBER(SEARCH(CHAR(10)&amp;B70&amp;CHAR(10),H70)),B70,IFERROR(INDEX('Set Aliases'!$A$2:$A$501,MATCH(1,('Set Aliases'!$B$2:$B$501=B70)*ISNUMBER(SEARCH(CHAR(10)&amp;'Set Aliases'!$A$2:$A$501&amp;CHAR(10),H70)),0)),"")))</f>
        <v/>
      </c>
      <c r="J70" s="80" t="str">
        <f t="array" ref="J70">IF(I70="","",IFERROR(VALUE(TRIM(MID(SUBSTITUTE(INDEX(Wishlist!$A:$Z,ROW()-0,'List Setup'!$G$2),CHAR(10),REPT(" ",100)),((SEARCH(CHAR(10)&amp;I70&amp;CHAR(10),H70)-LEN(SUBSTITUTE(LEFT(H70,SEARCH(CHAR(10)&amp;I70&amp;CHAR(10),H70)),CHAR(10),"")))-1)*100+1,100))),""))</f>
        <v/>
      </c>
      <c r="K70" s="80" t="str">
        <f t="array" ref="K70">IF(A70="","",IF(ISNUMBER(SEARCH("Land",LEFT(IFERROR(INDEX(Wishlist!$A:$Z,ROW()-0,'List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70" s="80" t="str">
        <f t="shared" si="3"/>
        <v/>
      </c>
      <c r="M70" s="80" t="str">
        <f>IF(A70="","",IF(AND(E70="Y",B70='Use at Shop'!$B$4),K70*10000000000+(MAX(0,MIN(26,CODE(MID(UPPER(A70)&amp;"    ",1,1))-64))*19683+MAX(0,MIN(26,CODE(MID(UPPER(A70)&amp;"    ",2,1))-64))*729+MAX(0,MIN(26,CODE(MID(UPPER(A70)&amp;"    ",3,1))-64))*27+MAX(0,MIN(26,CODE(MID(UPPER(A70)&amp;"    ",4,1))-64))*1)*10000+ROW(),""))</f>
        <v/>
      </c>
      <c r="N70" s="80" t="str">
        <f t="shared" si="4"/>
        <v/>
      </c>
      <c r="O70" s="80" t="str">
        <f t="array" ref="O70">IF(A70="","",IFERROR(INDEX(Wishlist!$A:$Z,ROW()-0,'List Setup'!$J$2)&amp;"",""))</f>
        <v/>
      </c>
      <c r="P70" s="2"/>
      <c r="Q70" s="80" t="str">
        <f>IF(A70="","",'List Setup'!$A$2)</f>
        <v/>
      </c>
      <c r="R70" s="80" t="str">
        <f t="array" ref="R70">IF(A70="","",IFERROR(OR(INDEX(Binders!$J$6:$J$30,MATCH(Q70,Binders!$I$6:$I$30,0))=TRUE(),UPPER(INDEX(Binders!$J$6:$J$30,MATCH(Q70,Binders!$I$6:$I$30,0))&amp;"")="TRUE"),FALSE()))</f>
        <v/>
      </c>
    </row>
    <row r="71" ht="15.75" customHeight="1">
      <c r="A71" s="80" t="str">
        <f t="array" ref="A71">IF(INDEX(Wishlist!$A:$Z,ROW()-0,'List Setup'!$D$2)="","",INDEX(Wishlist!$A:$Z,ROW()-0,'List Setup'!$D$2))</f>
        <v/>
      </c>
      <c r="B71" s="80" t="str">
        <f t="array" ref="B71">IF(A71="","",IFERROR(INDEX('Binder Setup'!$B$2:$B$401,MIN(IF(ISNUMBER(SEARCH(CHAR(10)&amp;'Binder Setup'!$B$2:$B$401&amp;CHAR(10),$H71)),'List Setup'!$Q$2:$Q$401,999),IF(ISNUMBER(SEARCH(CHAR(10)&amp;'Set Aliases'!$A$2:$A$501&amp;CHAR(10),$H71)),'Set Aliases'!$C$2:$C$501,999))),"(none)"))</f>
        <v/>
      </c>
      <c r="C71" s="80" t="str">
        <f t="shared" si="1"/>
        <v/>
      </c>
      <c r="D71" s="80" t="str">
        <f t="array" ref="D71">IF(A71="","",IF(ISLOGICAL(INDEX(Wishlist!$A:$Z,ROW()-0,'List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71" s="80" t="str">
        <f t="shared" si="2"/>
        <v/>
      </c>
      <c r="F71" s="80" t="str">
        <f t="array" ref="F71">IF(A71="","",IF(ISNUMBER(J71),J71,IF(ISNUMBER(INDEX(Wishlist!$A:$Z,ROW()-0,'List Setup'!$F$2)),INDEX(Wishlist!$A:$Z,ROW()-0,'List Setup'!$F$2),0)))</f>
        <v/>
      </c>
      <c r="G71" s="80" t="str">
        <f t="array" ref="G71">IF(A71="","",A71&amp;IF(N(INDEX(Wishlist!$A:$Z,ROW()-0,'List Setup'!$C$2))&gt;1," (x"&amp;INDEX(Wishlist!$A:$Z,ROW()-0,'List Setup'!$C$2)&amp;")","")&amp;IF(COUNTIF(Binders!$J$6:$J$30,TRUE())&gt;1," ["&amp;Q71&amp;"]",""))</f>
        <v/>
      </c>
      <c r="H71" s="80" t="str">
        <f t="array" ref="H71">IF(A71="","",CHAR(10)&amp;INDEX(Wishlist!$A:$Z,ROW()-0,'List Setup'!$E$2)&amp;CHAR(10))</f>
        <v/>
      </c>
      <c r="I71" s="80" t="str">
        <f t="array" ref="I71">IF(OR(B71="",B71="(none)"),"",IF(ISNUMBER(SEARCH(CHAR(10)&amp;B71&amp;CHAR(10),H71)),B71,IFERROR(INDEX('Set Aliases'!$A$2:$A$501,MATCH(1,('Set Aliases'!$B$2:$B$501=B71)*ISNUMBER(SEARCH(CHAR(10)&amp;'Set Aliases'!$A$2:$A$501&amp;CHAR(10),H71)),0)),"")))</f>
        <v/>
      </c>
      <c r="J71" s="80" t="str">
        <f t="array" ref="J71">IF(I71="","",IFERROR(VALUE(TRIM(MID(SUBSTITUTE(INDEX(Wishlist!$A:$Z,ROW()-0,'List Setup'!$G$2),CHAR(10),REPT(" ",100)),((SEARCH(CHAR(10)&amp;I71&amp;CHAR(10),H71)-LEN(SUBSTITUTE(LEFT(H71,SEARCH(CHAR(10)&amp;I71&amp;CHAR(10),H71)),CHAR(10),"")))-1)*100+1,100))),""))</f>
        <v/>
      </c>
      <c r="K71" s="80" t="str">
        <f t="array" ref="K71">IF(A71="","",IF(ISNUMBER(SEARCH("Land",LEFT(IFERROR(INDEX(Wishlist!$A:$Z,ROW()-0,'List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71" s="80" t="str">
        <f t="shared" si="3"/>
        <v/>
      </c>
      <c r="M71" s="80" t="str">
        <f>IF(A71="","",IF(AND(E71="Y",B71='Use at Shop'!$B$4),K71*10000000000+(MAX(0,MIN(26,CODE(MID(UPPER(A71)&amp;"    ",1,1))-64))*19683+MAX(0,MIN(26,CODE(MID(UPPER(A71)&amp;"    ",2,1))-64))*729+MAX(0,MIN(26,CODE(MID(UPPER(A71)&amp;"    ",3,1))-64))*27+MAX(0,MIN(26,CODE(MID(UPPER(A71)&amp;"    ",4,1))-64))*1)*10000+ROW(),""))</f>
        <v/>
      </c>
      <c r="N71" s="80" t="str">
        <f t="shared" si="4"/>
        <v/>
      </c>
      <c r="O71" s="80" t="str">
        <f t="array" ref="O71">IF(A71="","",IFERROR(INDEX(Wishlist!$A:$Z,ROW()-0,'List Setup'!$J$2)&amp;"",""))</f>
        <v/>
      </c>
      <c r="P71" s="2"/>
      <c r="Q71" s="80" t="str">
        <f>IF(A71="","",'List Setup'!$A$2)</f>
        <v/>
      </c>
      <c r="R71" s="80" t="str">
        <f t="array" ref="R71">IF(A71="","",IFERROR(OR(INDEX(Binders!$J$6:$J$30,MATCH(Q71,Binders!$I$6:$I$30,0))=TRUE(),UPPER(INDEX(Binders!$J$6:$J$30,MATCH(Q71,Binders!$I$6:$I$30,0))&amp;"")="TRUE"),FALSE()))</f>
        <v/>
      </c>
    </row>
    <row r="72" ht="15.75" customHeight="1">
      <c r="A72" s="80" t="str">
        <f t="array" ref="A72">IF(INDEX(Wishlist!$A:$Z,ROW()-0,'List Setup'!$D$2)="","",INDEX(Wishlist!$A:$Z,ROW()-0,'List Setup'!$D$2))</f>
        <v/>
      </c>
      <c r="B72" s="80" t="str">
        <f t="array" ref="B72">IF(A72="","",IFERROR(INDEX('Binder Setup'!$B$2:$B$401,MIN(IF(ISNUMBER(SEARCH(CHAR(10)&amp;'Binder Setup'!$B$2:$B$401&amp;CHAR(10),$H72)),'List Setup'!$Q$2:$Q$401,999),IF(ISNUMBER(SEARCH(CHAR(10)&amp;'Set Aliases'!$A$2:$A$501&amp;CHAR(10),$H72)),'Set Aliases'!$C$2:$C$501,999))),"(none)"))</f>
        <v/>
      </c>
      <c r="C72" s="80" t="str">
        <f t="shared" si="1"/>
        <v/>
      </c>
      <c r="D72" s="80" t="str">
        <f t="array" ref="D72">IF(A72="","",IF(ISLOGICAL(INDEX(Wishlist!$A:$Z,ROW()-0,'List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72" s="80" t="str">
        <f t="shared" si="2"/>
        <v/>
      </c>
      <c r="F72" s="80" t="str">
        <f t="array" ref="F72">IF(A72="","",IF(ISNUMBER(J72),J72,IF(ISNUMBER(INDEX(Wishlist!$A:$Z,ROW()-0,'List Setup'!$F$2)),INDEX(Wishlist!$A:$Z,ROW()-0,'List Setup'!$F$2),0)))</f>
        <v/>
      </c>
      <c r="G72" s="80" t="str">
        <f t="array" ref="G72">IF(A72="","",A72&amp;IF(N(INDEX(Wishlist!$A:$Z,ROW()-0,'List Setup'!$C$2))&gt;1," (x"&amp;INDEX(Wishlist!$A:$Z,ROW()-0,'List Setup'!$C$2)&amp;")","")&amp;IF(COUNTIF(Binders!$J$6:$J$30,TRUE())&gt;1," ["&amp;Q72&amp;"]",""))</f>
        <v/>
      </c>
      <c r="H72" s="80" t="str">
        <f t="array" ref="H72">IF(A72="","",CHAR(10)&amp;INDEX(Wishlist!$A:$Z,ROW()-0,'List Setup'!$E$2)&amp;CHAR(10))</f>
        <v/>
      </c>
      <c r="I72" s="80" t="str">
        <f t="array" ref="I72">IF(OR(B72="",B72="(none)"),"",IF(ISNUMBER(SEARCH(CHAR(10)&amp;B72&amp;CHAR(10),H72)),B72,IFERROR(INDEX('Set Aliases'!$A$2:$A$501,MATCH(1,('Set Aliases'!$B$2:$B$501=B72)*ISNUMBER(SEARCH(CHAR(10)&amp;'Set Aliases'!$A$2:$A$501&amp;CHAR(10),H72)),0)),"")))</f>
        <v/>
      </c>
      <c r="J72" s="80" t="str">
        <f t="array" ref="J72">IF(I72="","",IFERROR(VALUE(TRIM(MID(SUBSTITUTE(INDEX(Wishlist!$A:$Z,ROW()-0,'List Setup'!$G$2),CHAR(10),REPT(" ",100)),((SEARCH(CHAR(10)&amp;I72&amp;CHAR(10),H72)-LEN(SUBSTITUTE(LEFT(H72,SEARCH(CHAR(10)&amp;I72&amp;CHAR(10),H72)),CHAR(10),"")))-1)*100+1,100))),""))</f>
        <v/>
      </c>
      <c r="K72" s="80" t="str">
        <f t="array" ref="K72">IF(A72="","",IF(ISNUMBER(SEARCH("Land",LEFT(IFERROR(INDEX(Wishlist!$A:$Z,ROW()-0,'List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72" s="80" t="str">
        <f t="shared" si="3"/>
        <v/>
      </c>
      <c r="M72" s="80" t="str">
        <f>IF(A72="","",IF(AND(E72="Y",B72='Use at Shop'!$B$4),K72*10000000000+(MAX(0,MIN(26,CODE(MID(UPPER(A72)&amp;"    ",1,1))-64))*19683+MAX(0,MIN(26,CODE(MID(UPPER(A72)&amp;"    ",2,1))-64))*729+MAX(0,MIN(26,CODE(MID(UPPER(A72)&amp;"    ",3,1))-64))*27+MAX(0,MIN(26,CODE(MID(UPPER(A72)&amp;"    ",4,1))-64))*1)*10000+ROW(),""))</f>
        <v/>
      </c>
      <c r="N72" s="80" t="str">
        <f t="shared" si="4"/>
        <v/>
      </c>
      <c r="O72" s="80" t="str">
        <f t="array" ref="O72">IF(A72="","",IFERROR(INDEX(Wishlist!$A:$Z,ROW()-0,'List Setup'!$J$2)&amp;"",""))</f>
        <v/>
      </c>
      <c r="P72" s="2"/>
      <c r="Q72" s="80" t="str">
        <f>IF(A72="","",'List Setup'!$A$2)</f>
        <v/>
      </c>
      <c r="R72" s="80" t="str">
        <f t="array" ref="R72">IF(A72="","",IFERROR(OR(INDEX(Binders!$J$6:$J$30,MATCH(Q72,Binders!$I$6:$I$30,0))=TRUE(),UPPER(INDEX(Binders!$J$6:$J$30,MATCH(Q72,Binders!$I$6:$I$30,0))&amp;"")="TRUE"),FALSE()))</f>
        <v/>
      </c>
    </row>
    <row r="73" ht="15.75" customHeight="1">
      <c r="A73" s="80" t="str">
        <f t="array" ref="A73">IF(INDEX(Wishlist!$A:$Z,ROW()-0,'List Setup'!$D$2)="","",INDEX(Wishlist!$A:$Z,ROW()-0,'List Setup'!$D$2))</f>
        <v/>
      </c>
      <c r="B73" s="80" t="str">
        <f t="array" ref="B73">IF(A73="","",IFERROR(INDEX('Binder Setup'!$B$2:$B$401,MIN(IF(ISNUMBER(SEARCH(CHAR(10)&amp;'Binder Setup'!$B$2:$B$401&amp;CHAR(10),$H73)),'List Setup'!$Q$2:$Q$401,999),IF(ISNUMBER(SEARCH(CHAR(10)&amp;'Set Aliases'!$A$2:$A$501&amp;CHAR(10),$H73)),'Set Aliases'!$C$2:$C$501,999))),"(none)"))</f>
        <v/>
      </c>
      <c r="C73" s="80" t="str">
        <f t="shared" si="1"/>
        <v/>
      </c>
      <c r="D73" s="80" t="str">
        <f t="array" ref="D73">IF(A73="","",IF(ISLOGICAL(INDEX(Wishlist!$A:$Z,ROW()-0,'List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73" s="80" t="str">
        <f t="shared" si="2"/>
        <v/>
      </c>
      <c r="F73" s="80" t="str">
        <f t="array" ref="F73">IF(A73="","",IF(ISNUMBER(J73),J73,IF(ISNUMBER(INDEX(Wishlist!$A:$Z,ROW()-0,'List Setup'!$F$2)),INDEX(Wishlist!$A:$Z,ROW()-0,'List Setup'!$F$2),0)))</f>
        <v/>
      </c>
      <c r="G73" s="80" t="str">
        <f t="array" ref="G73">IF(A73="","",A73&amp;IF(N(INDEX(Wishlist!$A:$Z,ROW()-0,'List Setup'!$C$2))&gt;1," (x"&amp;INDEX(Wishlist!$A:$Z,ROW()-0,'List Setup'!$C$2)&amp;")","")&amp;IF(COUNTIF(Binders!$J$6:$J$30,TRUE())&gt;1," ["&amp;Q73&amp;"]",""))</f>
        <v/>
      </c>
      <c r="H73" s="80" t="str">
        <f t="array" ref="H73">IF(A73="","",CHAR(10)&amp;INDEX(Wishlist!$A:$Z,ROW()-0,'List Setup'!$E$2)&amp;CHAR(10))</f>
        <v/>
      </c>
      <c r="I73" s="80" t="str">
        <f t="array" ref="I73">IF(OR(B73="",B73="(none)"),"",IF(ISNUMBER(SEARCH(CHAR(10)&amp;B73&amp;CHAR(10),H73)),B73,IFERROR(INDEX('Set Aliases'!$A$2:$A$501,MATCH(1,('Set Aliases'!$B$2:$B$501=B73)*ISNUMBER(SEARCH(CHAR(10)&amp;'Set Aliases'!$A$2:$A$501&amp;CHAR(10),H73)),0)),"")))</f>
        <v/>
      </c>
      <c r="J73" s="80" t="str">
        <f t="array" ref="J73">IF(I73="","",IFERROR(VALUE(TRIM(MID(SUBSTITUTE(INDEX(Wishlist!$A:$Z,ROW()-0,'List Setup'!$G$2),CHAR(10),REPT(" ",100)),((SEARCH(CHAR(10)&amp;I73&amp;CHAR(10),H73)-LEN(SUBSTITUTE(LEFT(H73,SEARCH(CHAR(10)&amp;I73&amp;CHAR(10),H73)),CHAR(10),"")))-1)*100+1,100))),""))</f>
        <v/>
      </c>
      <c r="K73" s="80" t="str">
        <f t="array" ref="K73">IF(A73="","",IF(ISNUMBER(SEARCH("Land",LEFT(IFERROR(INDEX(Wishlist!$A:$Z,ROW()-0,'List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73" s="80" t="str">
        <f t="shared" si="3"/>
        <v/>
      </c>
      <c r="M73" s="80" t="str">
        <f>IF(A73="","",IF(AND(E73="Y",B73='Use at Shop'!$B$4),K73*10000000000+(MAX(0,MIN(26,CODE(MID(UPPER(A73)&amp;"    ",1,1))-64))*19683+MAX(0,MIN(26,CODE(MID(UPPER(A73)&amp;"    ",2,1))-64))*729+MAX(0,MIN(26,CODE(MID(UPPER(A73)&amp;"    ",3,1))-64))*27+MAX(0,MIN(26,CODE(MID(UPPER(A73)&amp;"    ",4,1))-64))*1)*10000+ROW(),""))</f>
        <v/>
      </c>
      <c r="N73" s="80" t="str">
        <f t="shared" si="4"/>
        <v/>
      </c>
      <c r="O73" s="80" t="str">
        <f t="array" ref="O73">IF(A73="","",IFERROR(INDEX(Wishlist!$A:$Z,ROW()-0,'List Setup'!$J$2)&amp;"",""))</f>
        <v/>
      </c>
      <c r="P73" s="2"/>
      <c r="Q73" s="80" t="str">
        <f>IF(A73="","",'List Setup'!$A$2)</f>
        <v/>
      </c>
      <c r="R73" s="80" t="str">
        <f t="array" ref="R73">IF(A73="","",IFERROR(OR(INDEX(Binders!$J$6:$J$30,MATCH(Q73,Binders!$I$6:$I$30,0))=TRUE(),UPPER(INDEX(Binders!$J$6:$J$30,MATCH(Q73,Binders!$I$6:$I$30,0))&amp;"")="TRUE"),FALSE()))</f>
        <v/>
      </c>
    </row>
    <row r="74" ht="15.75" customHeight="1">
      <c r="A74" s="80" t="str">
        <f t="array" ref="A74">IF(INDEX(Wishlist!$A:$Z,ROW()-0,'List Setup'!$D$2)="","",INDEX(Wishlist!$A:$Z,ROW()-0,'List Setup'!$D$2))</f>
        <v/>
      </c>
      <c r="B74" s="80" t="str">
        <f t="array" ref="B74">IF(A74="","",IFERROR(INDEX('Binder Setup'!$B$2:$B$401,MIN(IF(ISNUMBER(SEARCH(CHAR(10)&amp;'Binder Setup'!$B$2:$B$401&amp;CHAR(10),$H74)),'List Setup'!$Q$2:$Q$401,999),IF(ISNUMBER(SEARCH(CHAR(10)&amp;'Set Aliases'!$A$2:$A$501&amp;CHAR(10),$H74)),'Set Aliases'!$C$2:$C$501,999))),"(none)"))</f>
        <v/>
      </c>
      <c r="C74" s="80" t="str">
        <f t="shared" si="1"/>
        <v/>
      </c>
      <c r="D74" s="80" t="str">
        <f t="array" ref="D74">IF(A74="","",IF(ISLOGICAL(INDEX(Wishlist!$A:$Z,ROW()-0,'List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74" s="80" t="str">
        <f t="shared" si="2"/>
        <v/>
      </c>
      <c r="F74" s="80" t="str">
        <f t="array" ref="F74">IF(A74="","",IF(ISNUMBER(J74),J74,IF(ISNUMBER(INDEX(Wishlist!$A:$Z,ROW()-0,'List Setup'!$F$2)),INDEX(Wishlist!$A:$Z,ROW()-0,'List Setup'!$F$2),0)))</f>
        <v/>
      </c>
      <c r="G74" s="80" t="str">
        <f t="array" ref="G74">IF(A74="","",A74&amp;IF(N(INDEX(Wishlist!$A:$Z,ROW()-0,'List Setup'!$C$2))&gt;1," (x"&amp;INDEX(Wishlist!$A:$Z,ROW()-0,'List Setup'!$C$2)&amp;")","")&amp;IF(COUNTIF(Binders!$J$6:$J$30,TRUE())&gt;1," ["&amp;Q74&amp;"]",""))</f>
        <v/>
      </c>
      <c r="H74" s="80" t="str">
        <f t="array" ref="H74">IF(A74="","",CHAR(10)&amp;INDEX(Wishlist!$A:$Z,ROW()-0,'List Setup'!$E$2)&amp;CHAR(10))</f>
        <v/>
      </c>
      <c r="I74" s="80" t="str">
        <f t="array" ref="I74">IF(OR(B74="",B74="(none)"),"",IF(ISNUMBER(SEARCH(CHAR(10)&amp;B74&amp;CHAR(10),H74)),B74,IFERROR(INDEX('Set Aliases'!$A$2:$A$501,MATCH(1,('Set Aliases'!$B$2:$B$501=B74)*ISNUMBER(SEARCH(CHAR(10)&amp;'Set Aliases'!$A$2:$A$501&amp;CHAR(10),H74)),0)),"")))</f>
        <v/>
      </c>
      <c r="J74" s="80" t="str">
        <f t="array" ref="J74">IF(I74="","",IFERROR(VALUE(TRIM(MID(SUBSTITUTE(INDEX(Wishlist!$A:$Z,ROW()-0,'List Setup'!$G$2),CHAR(10),REPT(" ",100)),((SEARCH(CHAR(10)&amp;I74&amp;CHAR(10),H74)-LEN(SUBSTITUTE(LEFT(H74,SEARCH(CHAR(10)&amp;I74&amp;CHAR(10),H74)),CHAR(10),"")))-1)*100+1,100))),""))</f>
        <v/>
      </c>
      <c r="K74" s="80" t="str">
        <f t="array" ref="K74">IF(A74="","",IF(ISNUMBER(SEARCH("Land",LEFT(IFERROR(INDEX(Wishlist!$A:$Z,ROW()-0,'List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74" s="80" t="str">
        <f t="shared" si="3"/>
        <v/>
      </c>
      <c r="M74" s="80" t="str">
        <f>IF(A74="","",IF(AND(E74="Y",B74='Use at Shop'!$B$4),K74*10000000000+(MAX(0,MIN(26,CODE(MID(UPPER(A74)&amp;"    ",1,1))-64))*19683+MAX(0,MIN(26,CODE(MID(UPPER(A74)&amp;"    ",2,1))-64))*729+MAX(0,MIN(26,CODE(MID(UPPER(A74)&amp;"    ",3,1))-64))*27+MAX(0,MIN(26,CODE(MID(UPPER(A74)&amp;"    ",4,1))-64))*1)*10000+ROW(),""))</f>
        <v/>
      </c>
      <c r="N74" s="80" t="str">
        <f t="shared" si="4"/>
        <v/>
      </c>
      <c r="O74" s="80" t="str">
        <f t="array" ref="O74">IF(A74="","",IFERROR(INDEX(Wishlist!$A:$Z,ROW()-0,'List Setup'!$J$2)&amp;"",""))</f>
        <v/>
      </c>
      <c r="P74" s="2"/>
      <c r="Q74" s="80" t="str">
        <f>IF(A74="","",'List Setup'!$A$2)</f>
        <v/>
      </c>
      <c r="R74" s="80" t="str">
        <f t="array" ref="R74">IF(A74="","",IFERROR(OR(INDEX(Binders!$J$6:$J$30,MATCH(Q74,Binders!$I$6:$I$30,0))=TRUE(),UPPER(INDEX(Binders!$J$6:$J$30,MATCH(Q74,Binders!$I$6:$I$30,0))&amp;"")="TRUE"),FALSE()))</f>
        <v/>
      </c>
    </row>
    <row r="75" ht="15.75" customHeight="1">
      <c r="A75" s="80" t="str">
        <f t="array" ref="A75">IF(INDEX(Wishlist!$A:$Z,ROW()-0,'List Setup'!$D$2)="","",INDEX(Wishlist!$A:$Z,ROW()-0,'List Setup'!$D$2))</f>
        <v/>
      </c>
      <c r="B75" s="80" t="str">
        <f t="array" ref="B75">IF(A75="","",IFERROR(INDEX('Binder Setup'!$B$2:$B$401,MIN(IF(ISNUMBER(SEARCH(CHAR(10)&amp;'Binder Setup'!$B$2:$B$401&amp;CHAR(10),$H75)),'List Setup'!$Q$2:$Q$401,999),IF(ISNUMBER(SEARCH(CHAR(10)&amp;'Set Aliases'!$A$2:$A$501&amp;CHAR(10),$H75)),'Set Aliases'!$C$2:$C$501,999))),"(none)"))</f>
        <v/>
      </c>
      <c r="C75" s="80" t="str">
        <f t="shared" si="1"/>
        <v/>
      </c>
      <c r="D75" s="80" t="str">
        <f t="array" ref="D75">IF(A75="","",IF(ISLOGICAL(INDEX(Wishlist!$A:$Z,ROW()-0,'List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75" s="80" t="str">
        <f t="shared" si="2"/>
        <v/>
      </c>
      <c r="F75" s="80" t="str">
        <f t="array" ref="F75">IF(A75="","",IF(ISNUMBER(J75),J75,IF(ISNUMBER(INDEX(Wishlist!$A:$Z,ROW()-0,'List Setup'!$F$2)),INDEX(Wishlist!$A:$Z,ROW()-0,'List Setup'!$F$2),0)))</f>
        <v/>
      </c>
      <c r="G75" s="80" t="str">
        <f t="array" ref="G75">IF(A75="","",A75&amp;IF(N(INDEX(Wishlist!$A:$Z,ROW()-0,'List Setup'!$C$2))&gt;1," (x"&amp;INDEX(Wishlist!$A:$Z,ROW()-0,'List Setup'!$C$2)&amp;")","")&amp;IF(COUNTIF(Binders!$J$6:$J$30,TRUE())&gt;1," ["&amp;Q75&amp;"]",""))</f>
        <v/>
      </c>
      <c r="H75" s="80" t="str">
        <f t="array" ref="H75">IF(A75="","",CHAR(10)&amp;INDEX(Wishlist!$A:$Z,ROW()-0,'List Setup'!$E$2)&amp;CHAR(10))</f>
        <v/>
      </c>
      <c r="I75" s="80" t="str">
        <f t="array" ref="I75">IF(OR(B75="",B75="(none)"),"",IF(ISNUMBER(SEARCH(CHAR(10)&amp;B75&amp;CHAR(10),H75)),B75,IFERROR(INDEX('Set Aliases'!$A$2:$A$501,MATCH(1,('Set Aliases'!$B$2:$B$501=B75)*ISNUMBER(SEARCH(CHAR(10)&amp;'Set Aliases'!$A$2:$A$501&amp;CHAR(10),H75)),0)),"")))</f>
        <v/>
      </c>
      <c r="J75" s="80" t="str">
        <f t="array" ref="J75">IF(I75="","",IFERROR(VALUE(TRIM(MID(SUBSTITUTE(INDEX(Wishlist!$A:$Z,ROW()-0,'List Setup'!$G$2),CHAR(10),REPT(" ",100)),((SEARCH(CHAR(10)&amp;I75&amp;CHAR(10),H75)-LEN(SUBSTITUTE(LEFT(H75,SEARCH(CHAR(10)&amp;I75&amp;CHAR(10),H75)),CHAR(10),"")))-1)*100+1,100))),""))</f>
        <v/>
      </c>
      <c r="K75" s="80" t="str">
        <f t="array" ref="K75">IF(A75="","",IF(ISNUMBER(SEARCH("Land",LEFT(IFERROR(INDEX(Wishlist!$A:$Z,ROW()-0,'List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75" s="80" t="str">
        <f t="shared" si="3"/>
        <v/>
      </c>
      <c r="M75" s="80" t="str">
        <f>IF(A75="","",IF(AND(E75="Y",B75='Use at Shop'!$B$4),K75*10000000000+(MAX(0,MIN(26,CODE(MID(UPPER(A75)&amp;"    ",1,1))-64))*19683+MAX(0,MIN(26,CODE(MID(UPPER(A75)&amp;"    ",2,1))-64))*729+MAX(0,MIN(26,CODE(MID(UPPER(A75)&amp;"    ",3,1))-64))*27+MAX(0,MIN(26,CODE(MID(UPPER(A75)&amp;"    ",4,1))-64))*1)*10000+ROW(),""))</f>
        <v/>
      </c>
      <c r="N75" s="80" t="str">
        <f t="shared" si="4"/>
        <v/>
      </c>
      <c r="O75" s="80" t="str">
        <f t="array" ref="O75">IF(A75="","",IFERROR(INDEX(Wishlist!$A:$Z,ROW()-0,'List Setup'!$J$2)&amp;"",""))</f>
        <v/>
      </c>
      <c r="P75" s="2"/>
      <c r="Q75" s="80" t="str">
        <f>IF(A75="","",'List Setup'!$A$2)</f>
        <v/>
      </c>
      <c r="R75" s="80" t="str">
        <f t="array" ref="R75">IF(A75="","",IFERROR(OR(INDEX(Binders!$J$6:$J$30,MATCH(Q75,Binders!$I$6:$I$30,0))=TRUE(),UPPER(INDEX(Binders!$J$6:$J$30,MATCH(Q75,Binders!$I$6:$I$30,0))&amp;"")="TRUE"),FALSE()))</f>
        <v/>
      </c>
    </row>
    <row r="76" ht="15.75" customHeight="1">
      <c r="A76" s="80" t="str">
        <f t="array" ref="A76">IF(INDEX(Wishlist!$A:$Z,ROW()-0,'List Setup'!$D$2)="","",INDEX(Wishlist!$A:$Z,ROW()-0,'List Setup'!$D$2))</f>
        <v/>
      </c>
      <c r="B76" s="80" t="str">
        <f t="array" ref="B76">IF(A76="","",IFERROR(INDEX('Binder Setup'!$B$2:$B$401,MIN(IF(ISNUMBER(SEARCH(CHAR(10)&amp;'Binder Setup'!$B$2:$B$401&amp;CHAR(10),$H76)),'List Setup'!$Q$2:$Q$401,999),IF(ISNUMBER(SEARCH(CHAR(10)&amp;'Set Aliases'!$A$2:$A$501&amp;CHAR(10),$H76)),'Set Aliases'!$C$2:$C$501,999))),"(none)"))</f>
        <v/>
      </c>
      <c r="C76" s="80" t="str">
        <f t="shared" si="1"/>
        <v/>
      </c>
      <c r="D76" s="80" t="str">
        <f t="array" ref="D76">IF(A76="","",IF(ISLOGICAL(INDEX(Wishlist!$A:$Z,ROW()-0,'List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76" s="80" t="str">
        <f t="shared" si="2"/>
        <v/>
      </c>
      <c r="F76" s="80" t="str">
        <f t="array" ref="F76">IF(A76="","",IF(ISNUMBER(J76),J76,IF(ISNUMBER(INDEX(Wishlist!$A:$Z,ROW()-0,'List Setup'!$F$2)),INDEX(Wishlist!$A:$Z,ROW()-0,'List Setup'!$F$2),0)))</f>
        <v/>
      </c>
      <c r="G76" s="80" t="str">
        <f t="array" ref="G76">IF(A76="","",A76&amp;IF(N(INDEX(Wishlist!$A:$Z,ROW()-0,'List Setup'!$C$2))&gt;1," (x"&amp;INDEX(Wishlist!$A:$Z,ROW()-0,'List Setup'!$C$2)&amp;")","")&amp;IF(COUNTIF(Binders!$J$6:$J$30,TRUE())&gt;1," ["&amp;Q76&amp;"]",""))</f>
        <v/>
      </c>
      <c r="H76" s="80" t="str">
        <f t="array" ref="H76">IF(A76="","",CHAR(10)&amp;INDEX(Wishlist!$A:$Z,ROW()-0,'List Setup'!$E$2)&amp;CHAR(10))</f>
        <v/>
      </c>
      <c r="I76" s="80" t="str">
        <f t="array" ref="I76">IF(OR(B76="",B76="(none)"),"",IF(ISNUMBER(SEARCH(CHAR(10)&amp;B76&amp;CHAR(10),H76)),B76,IFERROR(INDEX('Set Aliases'!$A$2:$A$501,MATCH(1,('Set Aliases'!$B$2:$B$501=B76)*ISNUMBER(SEARCH(CHAR(10)&amp;'Set Aliases'!$A$2:$A$501&amp;CHAR(10),H76)),0)),"")))</f>
        <v/>
      </c>
      <c r="J76" s="80" t="str">
        <f t="array" ref="J76">IF(I76="","",IFERROR(VALUE(TRIM(MID(SUBSTITUTE(INDEX(Wishlist!$A:$Z,ROW()-0,'List Setup'!$G$2),CHAR(10),REPT(" ",100)),((SEARCH(CHAR(10)&amp;I76&amp;CHAR(10),H76)-LEN(SUBSTITUTE(LEFT(H76,SEARCH(CHAR(10)&amp;I76&amp;CHAR(10),H76)),CHAR(10),"")))-1)*100+1,100))),""))</f>
        <v/>
      </c>
      <c r="K76" s="80" t="str">
        <f t="array" ref="K76">IF(A76="","",IF(ISNUMBER(SEARCH("Land",LEFT(IFERROR(INDEX(Wishlist!$A:$Z,ROW()-0,'List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76" s="80" t="str">
        <f t="shared" si="3"/>
        <v/>
      </c>
      <c r="M76" s="80" t="str">
        <f>IF(A76="","",IF(AND(E76="Y",B76='Use at Shop'!$B$4),K76*10000000000+(MAX(0,MIN(26,CODE(MID(UPPER(A76)&amp;"    ",1,1))-64))*19683+MAX(0,MIN(26,CODE(MID(UPPER(A76)&amp;"    ",2,1))-64))*729+MAX(0,MIN(26,CODE(MID(UPPER(A76)&amp;"    ",3,1))-64))*27+MAX(0,MIN(26,CODE(MID(UPPER(A76)&amp;"    ",4,1))-64))*1)*10000+ROW(),""))</f>
        <v/>
      </c>
      <c r="N76" s="80" t="str">
        <f t="shared" si="4"/>
        <v/>
      </c>
      <c r="O76" s="80" t="str">
        <f t="array" ref="O76">IF(A76="","",IFERROR(INDEX(Wishlist!$A:$Z,ROW()-0,'List Setup'!$J$2)&amp;"",""))</f>
        <v/>
      </c>
      <c r="P76" s="2"/>
      <c r="Q76" s="80" t="str">
        <f>IF(A76="","",'List Setup'!$A$2)</f>
        <v/>
      </c>
      <c r="R76" s="80" t="str">
        <f t="array" ref="R76">IF(A76="","",IFERROR(OR(INDEX(Binders!$J$6:$J$30,MATCH(Q76,Binders!$I$6:$I$30,0))=TRUE(),UPPER(INDEX(Binders!$J$6:$J$30,MATCH(Q76,Binders!$I$6:$I$30,0))&amp;"")="TRUE"),FALSE()))</f>
        <v/>
      </c>
    </row>
    <row r="77" ht="15.75" customHeight="1">
      <c r="A77" s="80" t="str">
        <f t="array" ref="A77">IF(INDEX(Wishlist!$A:$Z,ROW()-0,'List Setup'!$D$2)="","",INDEX(Wishlist!$A:$Z,ROW()-0,'List Setup'!$D$2))</f>
        <v/>
      </c>
      <c r="B77" s="80" t="str">
        <f t="array" ref="B77">IF(A77="","",IFERROR(INDEX('Binder Setup'!$B$2:$B$401,MIN(IF(ISNUMBER(SEARCH(CHAR(10)&amp;'Binder Setup'!$B$2:$B$401&amp;CHAR(10),$H77)),'List Setup'!$Q$2:$Q$401,999),IF(ISNUMBER(SEARCH(CHAR(10)&amp;'Set Aliases'!$A$2:$A$501&amp;CHAR(10),$H77)),'Set Aliases'!$C$2:$C$501,999))),"(none)"))</f>
        <v/>
      </c>
      <c r="C77" s="80" t="str">
        <f t="shared" si="1"/>
        <v/>
      </c>
      <c r="D77" s="80" t="str">
        <f t="array" ref="D77">IF(A77="","",IF(ISLOGICAL(INDEX(Wishlist!$A:$Z,ROW()-0,'List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77" s="80" t="str">
        <f t="shared" si="2"/>
        <v/>
      </c>
      <c r="F77" s="80" t="str">
        <f t="array" ref="F77">IF(A77="","",IF(ISNUMBER(J77),J77,IF(ISNUMBER(INDEX(Wishlist!$A:$Z,ROW()-0,'List Setup'!$F$2)),INDEX(Wishlist!$A:$Z,ROW()-0,'List Setup'!$F$2),0)))</f>
        <v/>
      </c>
      <c r="G77" s="80" t="str">
        <f t="array" ref="G77">IF(A77="","",A77&amp;IF(N(INDEX(Wishlist!$A:$Z,ROW()-0,'List Setup'!$C$2))&gt;1," (x"&amp;INDEX(Wishlist!$A:$Z,ROW()-0,'List Setup'!$C$2)&amp;")","")&amp;IF(COUNTIF(Binders!$J$6:$J$30,TRUE())&gt;1," ["&amp;Q77&amp;"]",""))</f>
        <v/>
      </c>
      <c r="H77" s="80" t="str">
        <f t="array" ref="H77">IF(A77="","",CHAR(10)&amp;INDEX(Wishlist!$A:$Z,ROW()-0,'List Setup'!$E$2)&amp;CHAR(10))</f>
        <v/>
      </c>
      <c r="I77" s="80" t="str">
        <f t="array" ref="I77">IF(OR(B77="",B77="(none)"),"",IF(ISNUMBER(SEARCH(CHAR(10)&amp;B77&amp;CHAR(10),H77)),B77,IFERROR(INDEX('Set Aliases'!$A$2:$A$501,MATCH(1,('Set Aliases'!$B$2:$B$501=B77)*ISNUMBER(SEARCH(CHAR(10)&amp;'Set Aliases'!$A$2:$A$501&amp;CHAR(10),H77)),0)),"")))</f>
        <v/>
      </c>
      <c r="J77" s="80" t="str">
        <f t="array" ref="J77">IF(I77="","",IFERROR(VALUE(TRIM(MID(SUBSTITUTE(INDEX(Wishlist!$A:$Z,ROW()-0,'List Setup'!$G$2),CHAR(10),REPT(" ",100)),((SEARCH(CHAR(10)&amp;I77&amp;CHAR(10),H77)-LEN(SUBSTITUTE(LEFT(H77,SEARCH(CHAR(10)&amp;I77&amp;CHAR(10),H77)),CHAR(10),"")))-1)*100+1,100))),""))</f>
        <v/>
      </c>
      <c r="K77" s="80" t="str">
        <f t="array" ref="K77">IF(A77="","",IF(ISNUMBER(SEARCH("Land",LEFT(IFERROR(INDEX(Wishlist!$A:$Z,ROW()-0,'List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77" s="80" t="str">
        <f t="shared" si="3"/>
        <v/>
      </c>
      <c r="M77" s="80" t="str">
        <f>IF(A77="","",IF(AND(E77="Y",B77='Use at Shop'!$B$4),K77*10000000000+(MAX(0,MIN(26,CODE(MID(UPPER(A77)&amp;"    ",1,1))-64))*19683+MAX(0,MIN(26,CODE(MID(UPPER(A77)&amp;"    ",2,1))-64))*729+MAX(0,MIN(26,CODE(MID(UPPER(A77)&amp;"    ",3,1))-64))*27+MAX(0,MIN(26,CODE(MID(UPPER(A77)&amp;"    ",4,1))-64))*1)*10000+ROW(),""))</f>
        <v/>
      </c>
      <c r="N77" s="80" t="str">
        <f t="shared" si="4"/>
        <v/>
      </c>
      <c r="O77" s="80" t="str">
        <f t="array" ref="O77">IF(A77="","",IFERROR(INDEX(Wishlist!$A:$Z,ROW()-0,'List Setup'!$J$2)&amp;"",""))</f>
        <v/>
      </c>
      <c r="P77" s="2"/>
      <c r="Q77" s="80" t="str">
        <f>IF(A77="","",'List Setup'!$A$2)</f>
        <v/>
      </c>
      <c r="R77" s="80" t="str">
        <f t="array" ref="R77">IF(A77="","",IFERROR(OR(INDEX(Binders!$J$6:$J$30,MATCH(Q77,Binders!$I$6:$I$30,0))=TRUE(),UPPER(INDEX(Binders!$J$6:$J$30,MATCH(Q77,Binders!$I$6:$I$30,0))&amp;"")="TRUE"),FALSE()))</f>
        <v/>
      </c>
    </row>
    <row r="78" ht="15.75" customHeight="1">
      <c r="A78" s="80" t="str">
        <f t="array" ref="A78">IF(INDEX(Wishlist!$A:$Z,ROW()-0,'List Setup'!$D$2)="","",INDEX(Wishlist!$A:$Z,ROW()-0,'List Setup'!$D$2))</f>
        <v/>
      </c>
      <c r="B78" s="80" t="str">
        <f t="array" ref="B78">IF(A78="","",IFERROR(INDEX('Binder Setup'!$B$2:$B$401,MIN(IF(ISNUMBER(SEARCH(CHAR(10)&amp;'Binder Setup'!$B$2:$B$401&amp;CHAR(10),$H78)),'List Setup'!$Q$2:$Q$401,999),IF(ISNUMBER(SEARCH(CHAR(10)&amp;'Set Aliases'!$A$2:$A$501&amp;CHAR(10),$H78)),'Set Aliases'!$C$2:$C$501,999))),"(none)"))</f>
        <v/>
      </c>
      <c r="C78" s="80" t="str">
        <f t="shared" si="1"/>
        <v/>
      </c>
      <c r="D78" s="80" t="str">
        <f t="array" ref="D78">IF(A78="","",IF(ISLOGICAL(INDEX(Wishlist!$A:$Z,ROW()-0,'List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78" s="80" t="str">
        <f t="shared" si="2"/>
        <v/>
      </c>
      <c r="F78" s="80" t="str">
        <f t="array" ref="F78">IF(A78="","",IF(ISNUMBER(J78),J78,IF(ISNUMBER(INDEX(Wishlist!$A:$Z,ROW()-0,'List Setup'!$F$2)),INDEX(Wishlist!$A:$Z,ROW()-0,'List Setup'!$F$2),0)))</f>
        <v/>
      </c>
      <c r="G78" s="80" t="str">
        <f t="array" ref="G78">IF(A78="","",A78&amp;IF(N(INDEX(Wishlist!$A:$Z,ROW()-0,'List Setup'!$C$2))&gt;1," (x"&amp;INDEX(Wishlist!$A:$Z,ROW()-0,'List Setup'!$C$2)&amp;")","")&amp;IF(COUNTIF(Binders!$J$6:$J$30,TRUE())&gt;1," ["&amp;Q78&amp;"]",""))</f>
        <v/>
      </c>
      <c r="H78" s="80" t="str">
        <f t="array" ref="H78">IF(A78="","",CHAR(10)&amp;INDEX(Wishlist!$A:$Z,ROW()-0,'List Setup'!$E$2)&amp;CHAR(10))</f>
        <v/>
      </c>
      <c r="I78" s="80" t="str">
        <f t="array" ref="I78">IF(OR(B78="",B78="(none)"),"",IF(ISNUMBER(SEARCH(CHAR(10)&amp;B78&amp;CHAR(10),H78)),B78,IFERROR(INDEX('Set Aliases'!$A$2:$A$501,MATCH(1,('Set Aliases'!$B$2:$B$501=B78)*ISNUMBER(SEARCH(CHAR(10)&amp;'Set Aliases'!$A$2:$A$501&amp;CHAR(10),H78)),0)),"")))</f>
        <v/>
      </c>
      <c r="J78" s="80" t="str">
        <f t="array" ref="J78">IF(I78="","",IFERROR(VALUE(TRIM(MID(SUBSTITUTE(INDEX(Wishlist!$A:$Z,ROW()-0,'List Setup'!$G$2),CHAR(10),REPT(" ",100)),((SEARCH(CHAR(10)&amp;I78&amp;CHAR(10),H78)-LEN(SUBSTITUTE(LEFT(H78,SEARCH(CHAR(10)&amp;I78&amp;CHAR(10),H78)),CHAR(10),"")))-1)*100+1,100))),""))</f>
        <v/>
      </c>
      <c r="K78" s="80" t="str">
        <f t="array" ref="K78">IF(A78="","",IF(ISNUMBER(SEARCH("Land",LEFT(IFERROR(INDEX(Wishlist!$A:$Z,ROW()-0,'List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78" s="80" t="str">
        <f t="shared" si="3"/>
        <v/>
      </c>
      <c r="M78" s="80" t="str">
        <f>IF(A78="","",IF(AND(E78="Y",B78='Use at Shop'!$B$4),K78*10000000000+(MAX(0,MIN(26,CODE(MID(UPPER(A78)&amp;"    ",1,1))-64))*19683+MAX(0,MIN(26,CODE(MID(UPPER(A78)&amp;"    ",2,1))-64))*729+MAX(0,MIN(26,CODE(MID(UPPER(A78)&amp;"    ",3,1))-64))*27+MAX(0,MIN(26,CODE(MID(UPPER(A78)&amp;"    ",4,1))-64))*1)*10000+ROW(),""))</f>
        <v/>
      </c>
      <c r="N78" s="80" t="str">
        <f t="shared" si="4"/>
        <v/>
      </c>
      <c r="O78" s="80" t="str">
        <f t="array" ref="O78">IF(A78="","",IFERROR(INDEX(Wishlist!$A:$Z,ROW()-0,'List Setup'!$J$2)&amp;"",""))</f>
        <v/>
      </c>
      <c r="P78" s="2"/>
      <c r="Q78" s="80" t="str">
        <f>IF(A78="","",'List Setup'!$A$2)</f>
        <v/>
      </c>
      <c r="R78" s="80" t="str">
        <f t="array" ref="R78">IF(A78="","",IFERROR(OR(INDEX(Binders!$J$6:$J$30,MATCH(Q78,Binders!$I$6:$I$30,0))=TRUE(),UPPER(INDEX(Binders!$J$6:$J$30,MATCH(Q78,Binders!$I$6:$I$30,0))&amp;"")="TRUE"),FALSE()))</f>
        <v/>
      </c>
    </row>
    <row r="79" ht="15.75" customHeight="1">
      <c r="A79" s="80" t="str">
        <f t="array" ref="A79">IF(INDEX(Wishlist!$A:$Z,ROW()-0,'List Setup'!$D$2)="","",INDEX(Wishlist!$A:$Z,ROW()-0,'List Setup'!$D$2))</f>
        <v/>
      </c>
      <c r="B79" s="80" t="str">
        <f t="array" ref="B79">IF(A79="","",IFERROR(INDEX('Binder Setup'!$B$2:$B$401,MIN(IF(ISNUMBER(SEARCH(CHAR(10)&amp;'Binder Setup'!$B$2:$B$401&amp;CHAR(10),$H79)),'List Setup'!$Q$2:$Q$401,999),IF(ISNUMBER(SEARCH(CHAR(10)&amp;'Set Aliases'!$A$2:$A$501&amp;CHAR(10),$H79)),'Set Aliases'!$C$2:$C$501,999))),"(none)"))</f>
        <v/>
      </c>
      <c r="C79" s="80" t="str">
        <f t="shared" si="1"/>
        <v/>
      </c>
      <c r="D79" s="80" t="str">
        <f t="array" ref="D79">IF(A79="","",IF(ISLOGICAL(INDEX(Wishlist!$A:$Z,ROW()-0,'List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79" s="80" t="str">
        <f t="shared" si="2"/>
        <v/>
      </c>
      <c r="F79" s="80" t="str">
        <f t="array" ref="F79">IF(A79="","",IF(ISNUMBER(J79),J79,IF(ISNUMBER(INDEX(Wishlist!$A:$Z,ROW()-0,'List Setup'!$F$2)),INDEX(Wishlist!$A:$Z,ROW()-0,'List Setup'!$F$2),0)))</f>
        <v/>
      </c>
      <c r="G79" s="80" t="str">
        <f t="array" ref="G79">IF(A79="","",A79&amp;IF(N(INDEX(Wishlist!$A:$Z,ROW()-0,'List Setup'!$C$2))&gt;1," (x"&amp;INDEX(Wishlist!$A:$Z,ROW()-0,'List Setup'!$C$2)&amp;")","")&amp;IF(COUNTIF(Binders!$J$6:$J$30,TRUE())&gt;1," ["&amp;Q79&amp;"]",""))</f>
        <v/>
      </c>
      <c r="H79" s="80" t="str">
        <f t="array" ref="H79">IF(A79="","",CHAR(10)&amp;INDEX(Wishlist!$A:$Z,ROW()-0,'List Setup'!$E$2)&amp;CHAR(10))</f>
        <v/>
      </c>
      <c r="I79" s="80" t="str">
        <f t="array" ref="I79">IF(OR(B79="",B79="(none)"),"",IF(ISNUMBER(SEARCH(CHAR(10)&amp;B79&amp;CHAR(10),H79)),B79,IFERROR(INDEX('Set Aliases'!$A$2:$A$501,MATCH(1,('Set Aliases'!$B$2:$B$501=B79)*ISNUMBER(SEARCH(CHAR(10)&amp;'Set Aliases'!$A$2:$A$501&amp;CHAR(10),H79)),0)),"")))</f>
        <v/>
      </c>
      <c r="J79" s="80" t="str">
        <f t="array" ref="J79">IF(I79="","",IFERROR(VALUE(TRIM(MID(SUBSTITUTE(INDEX(Wishlist!$A:$Z,ROW()-0,'List Setup'!$G$2),CHAR(10),REPT(" ",100)),((SEARCH(CHAR(10)&amp;I79&amp;CHAR(10),H79)-LEN(SUBSTITUTE(LEFT(H79,SEARCH(CHAR(10)&amp;I79&amp;CHAR(10),H79)),CHAR(10),"")))-1)*100+1,100))),""))</f>
        <v/>
      </c>
      <c r="K79" s="80" t="str">
        <f t="array" ref="K79">IF(A79="","",IF(ISNUMBER(SEARCH("Land",LEFT(IFERROR(INDEX(Wishlist!$A:$Z,ROW()-0,'List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79" s="80" t="str">
        <f t="shared" si="3"/>
        <v/>
      </c>
      <c r="M79" s="80" t="str">
        <f>IF(A79="","",IF(AND(E79="Y",B79='Use at Shop'!$B$4),K79*10000000000+(MAX(0,MIN(26,CODE(MID(UPPER(A79)&amp;"    ",1,1))-64))*19683+MAX(0,MIN(26,CODE(MID(UPPER(A79)&amp;"    ",2,1))-64))*729+MAX(0,MIN(26,CODE(MID(UPPER(A79)&amp;"    ",3,1))-64))*27+MAX(0,MIN(26,CODE(MID(UPPER(A79)&amp;"    ",4,1))-64))*1)*10000+ROW(),""))</f>
        <v/>
      </c>
      <c r="N79" s="80" t="str">
        <f t="shared" si="4"/>
        <v/>
      </c>
      <c r="O79" s="80" t="str">
        <f t="array" ref="O79">IF(A79="","",IFERROR(INDEX(Wishlist!$A:$Z,ROW()-0,'List Setup'!$J$2)&amp;"",""))</f>
        <v/>
      </c>
      <c r="P79" s="2"/>
      <c r="Q79" s="80" t="str">
        <f>IF(A79="","",'List Setup'!$A$2)</f>
        <v/>
      </c>
      <c r="R79" s="80" t="str">
        <f t="array" ref="R79">IF(A79="","",IFERROR(OR(INDEX(Binders!$J$6:$J$30,MATCH(Q79,Binders!$I$6:$I$30,0))=TRUE(),UPPER(INDEX(Binders!$J$6:$J$30,MATCH(Q79,Binders!$I$6:$I$30,0))&amp;"")="TRUE"),FALSE()))</f>
        <v/>
      </c>
    </row>
    <row r="80" ht="15.75" customHeight="1">
      <c r="A80" s="80" t="str">
        <f t="array" ref="A80">IF(INDEX(Wishlist!$A:$Z,ROW()-0,'List Setup'!$D$2)="","",INDEX(Wishlist!$A:$Z,ROW()-0,'List Setup'!$D$2))</f>
        <v/>
      </c>
      <c r="B80" s="80" t="str">
        <f t="array" ref="B80">IF(A80="","",IFERROR(INDEX('Binder Setup'!$B$2:$B$401,MIN(IF(ISNUMBER(SEARCH(CHAR(10)&amp;'Binder Setup'!$B$2:$B$401&amp;CHAR(10),$H80)),'List Setup'!$Q$2:$Q$401,999),IF(ISNUMBER(SEARCH(CHAR(10)&amp;'Set Aliases'!$A$2:$A$501&amp;CHAR(10),$H80)),'Set Aliases'!$C$2:$C$501,999))),"(none)"))</f>
        <v/>
      </c>
      <c r="C80" s="80" t="str">
        <f t="shared" si="1"/>
        <v/>
      </c>
      <c r="D80" s="80" t="str">
        <f t="array" ref="D80">IF(A80="","",IF(ISLOGICAL(INDEX(Wishlist!$A:$Z,ROW()-0,'List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80" s="80" t="str">
        <f t="shared" si="2"/>
        <v/>
      </c>
      <c r="F80" s="80" t="str">
        <f t="array" ref="F80">IF(A80="","",IF(ISNUMBER(J80),J80,IF(ISNUMBER(INDEX(Wishlist!$A:$Z,ROW()-0,'List Setup'!$F$2)),INDEX(Wishlist!$A:$Z,ROW()-0,'List Setup'!$F$2),0)))</f>
        <v/>
      </c>
      <c r="G80" s="80" t="str">
        <f t="array" ref="G80">IF(A80="","",A80&amp;IF(N(INDEX(Wishlist!$A:$Z,ROW()-0,'List Setup'!$C$2))&gt;1," (x"&amp;INDEX(Wishlist!$A:$Z,ROW()-0,'List Setup'!$C$2)&amp;")","")&amp;IF(COUNTIF(Binders!$J$6:$J$30,TRUE())&gt;1," ["&amp;Q80&amp;"]",""))</f>
        <v/>
      </c>
      <c r="H80" s="80" t="str">
        <f t="array" ref="H80">IF(A80="","",CHAR(10)&amp;INDEX(Wishlist!$A:$Z,ROW()-0,'List Setup'!$E$2)&amp;CHAR(10))</f>
        <v/>
      </c>
      <c r="I80" s="80" t="str">
        <f t="array" ref="I80">IF(OR(B80="",B80="(none)"),"",IF(ISNUMBER(SEARCH(CHAR(10)&amp;B80&amp;CHAR(10),H80)),B80,IFERROR(INDEX('Set Aliases'!$A$2:$A$501,MATCH(1,('Set Aliases'!$B$2:$B$501=B80)*ISNUMBER(SEARCH(CHAR(10)&amp;'Set Aliases'!$A$2:$A$501&amp;CHAR(10),H80)),0)),"")))</f>
        <v/>
      </c>
      <c r="J80" s="80" t="str">
        <f t="array" ref="J80">IF(I80="","",IFERROR(VALUE(TRIM(MID(SUBSTITUTE(INDEX(Wishlist!$A:$Z,ROW()-0,'List Setup'!$G$2),CHAR(10),REPT(" ",100)),((SEARCH(CHAR(10)&amp;I80&amp;CHAR(10),H80)-LEN(SUBSTITUTE(LEFT(H80,SEARCH(CHAR(10)&amp;I80&amp;CHAR(10),H80)),CHAR(10),"")))-1)*100+1,100))),""))</f>
        <v/>
      </c>
      <c r="K80" s="80" t="str">
        <f t="array" ref="K80">IF(A80="","",IF(ISNUMBER(SEARCH("Land",LEFT(IFERROR(INDEX(Wishlist!$A:$Z,ROW()-0,'List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80" s="80" t="str">
        <f t="shared" si="3"/>
        <v/>
      </c>
      <c r="M80" s="80" t="str">
        <f>IF(A80="","",IF(AND(E80="Y",B80='Use at Shop'!$B$4),K80*10000000000+(MAX(0,MIN(26,CODE(MID(UPPER(A80)&amp;"    ",1,1))-64))*19683+MAX(0,MIN(26,CODE(MID(UPPER(A80)&amp;"    ",2,1))-64))*729+MAX(0,MIN(26,CODE(MID(UPPER(A80)&amp;"    ",3,1))-64))*27+MAX(0,MIN(26,CODE(MID(UPPER(A80)&amp;"    ",4,1))-64))*1)*10000+ROW(),""))</f>
        <v/>
      </c>
      <c r="N80" s="80" t="str">
        <f t="shared" si="4"/>
        <v/>
      </c>
      <c r="O80" s="80" t="str">
        <f t="array" ref="O80">IF(A80="","",IFERROR(INDEX(Wishlist!$A:$Z,ROW()-0,'List Setup'!$J$2)&amp;"",""))</f>
        <v/>
      </c>
      <c r="P80" s="2"/>
      <c r="Q80" s="80" t="str">
        <f>IF(A80="","",'List Setup'!$A$2)</f>
        <v/>
      </c>
      <c r="R80" s="80" t="str">
        <f t="array" ref="R80">IF(A80="","",IFERROR(OR(INDEX(Binders!$J$6:$J$30,MATCH(Q80,Binders!$I$6:$I$30,0))=TRUE(),UPPER(INDEX(Binders!$J$6:$J$30,MATCH(Q80,Binders!$I$6:$I$30,0))&amp;"")="TRUE"),FALSE()))</f>
        <v/>
      </c>
    </row>
    <row r="81" ht="15.75" customHeight="1">
      <c r="A81" s="80" t="str">
        <f t="array" ref="A81">IF(INDEX(Wishlist!$A:$Z,ROW()-0,'List Setup'!$D$2)="","",INDEX(Wishlist!$A:$Z,ROW()-0,'List Setup'!$D$2))</f>
        <v/>
      </c>
      <c r="B81" s="80" t="str">
        <f t="array" ref="B81">IF(A81="","",IFERROR(INDEX('Binder Setup'!$B$2:$B$401,MIN(IF(ISNUMBER(SEARCH(CHAR(10)&amp;'Binder Setup'!$B$2:$B$401&amp;CHAR(10),$H81)),'List Setup'!$Q$2:$Q$401,999),IF(ISNUMBER(SEARCH(CHAR(10)&amp;'Set Aliases'!$A$2:$A$501&amp;CHAR(10),$H81)),'Set Aliases'!$C$2:$C$501,999))),"(none)"))</f>
        <v/>
      </c>
      <c r="C81" s="80" t="str">
        <f t="shared" si="1"/>
        <v/>
      </c>
      <c r="D81" s="80" t="str">
        <f t="array" ref="D81">IF(A81="","",IF(ISLOGICAL(INDEX(Wishlist!$A:$Z,ROW()-0,'List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81" s="80" t="str">
        <f t="shared" si="2"/>
        <v/>
      </c>
      <c r="F81" s="80" t="str">
        <f t="array" ref="F81">IF(A81="","",IF(ISNUMBER(J81),J81,IF(ISNUMBER(INDEX(Wishlist!$A:$Z,ROW()-0,'List Setup'!$F$2)),INDEX(Wishlist!$A:$Z,ROW()-0,'List Setup'!$F$2),0)))</f>
        <v/>
      </c>
      <c r="G81" s="80" t="str">
        <f t="array" ref="G81">IF(A81="","",A81&amp;IF(N(INDEX(Wishlist!$A:$Z,ROW()-0,'List Setup'!$C$2))&gt;1," (x"&amp;INDEX(Wishlist!$A:$Z,ROW()-0,'List Setup'!$C$2)&amp;")","")&amp;IF(COUNTIF(Binders!$J$6:$J$30,TRUE())&gt;1," ["&amp;Q81&amp;"]",""))</f>
        <v/>
      </c>
      <c r="H81" s="80" t="str">
        <f t="array" ref="H81">IF(A81="","",CHAR(10)&amp;INDEX(Wishlist!$A:$Z,ROW()-0,'List Setup'!$E$2)&amp;CHAR(10))</f>
        <v/>
      </c>
      <c r="I81" s="80" t="str">
        <f t="array" ref="I81">IF(OR(B81="",B81="(none)"),"",IF(ISNUMBER(SEARCH(CHAR(10)&amp;B81&amp;CHAR(10),H81)),B81,IFERROR(INDEX('Set Aliases'!$A$2:$A$501,MATCH(1,('Set Aliases'!$B$2:$B$501=B81)*ISNUMBER(SEARCH(CHAR(10)&amp;'Set Aliases'!$A$2:$A$501&amp;CHAR(10),H81)),0)),"")))</f>
        <v/>
      </c>
      <c r="J81" s="80" t="str">
        <f t="array" ref="J81">IF(I81="","",IFERROR(VALUE(TRIM(MID(SUBSTITUTE(INDEX(Wishlist!$A:$Z,ROW()-0,'List Setup'!$G$2),CHAR(10),REPT(" ",100)),((SEARCH(CHAR(10)&amp;I81&amp;CHAR(10),H81)-LEN(SUBSTITUTE(LEFT(H81,SEARCH(CHAR(10)&amp;I81&amp;CHAR(10),H81)),CHAR(10),"")))-1)*100+1,100))),""))</f>
        <v/>
      </c>
      <c r="K81" s="80" t="str">
        <f t="array" ref="K81">IF(A81="","",IF(ISNUMBER(SEARCH("Land",LEFT(IFERROR(INDEX(Wishlist!$A:$Z,ROW()-0,'List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81" s="80" t="str">
        <f t="shared" si="3"/>
        <v/>
      </c>
      <c r="M81" s="80" t="str">
        <f>IF(A81="","",IF(AND(E81="Y",B81='Use at Shop'!$B$4),K81*10000000000+(MAX(0,MIN(26,CODE(MID(UPPER(A81)&amp;"    ",1,1))-64))*19683+MAX(0,MIN(26,CODE(MID(UPPER(A81)&amp;"    ",2,1))-64))*729+MAX(0,MIN(26,CODE(MID(UPPER(A81)&amp;"    ",3,1))-64))*27+MAX(0,MIN(26,CODE(MID(UPPER(A81)&amp;"    ",4,1))-64))*1)*10000+ROW(),""))</f>
        <v/>
      </c>
      <c r="N81" s="80" t="str">
        <f t="shared" si="4"/>
        <v/>
      </c>
      <c r="O81" s="80" t="str">
        <f t="array" ref="O81">IF(A81="","",IFERROR(INDEX(Wishlist!$A:$Z,ROW()-0,'List Setup'!$J$2)&amp;"",""))</f>
        <v/>
      </c>
      <c r="P81" s="2"/>
      <c r="Q81" s="80" t="str">
        <f>IF(A81="","",'List Setup'!$A$2)</f>
        <v/>
      </c>
      <c r="R81" s="80" t="str">
        <f t="array" ref="R81">IF(A81="","",IFERROR(OR(INDEX(Binders!$J$6:$J$30,MATCH(Q81,Binders!$I$6:$I$30,0))=TRUE(),UPPER(INDEX(Binders!$J$6:$J$30,MATCH(Q81,Binders!$I$6:$I$30,0))&amp;"")="TRUE"),FALSE()))</f>
        <v/>
      </c>
    </row>
    <row r="82" ht="15.75" customHeight="1">
      <c r="A82" s="80" t="str">
        <f t="array" ref="A82">IF(INDEX(Wishlist!$A:$Z,ROW()-0,'List Setup'!$D$2)="","",INDEX(Wishlist!$A:$Z,ROW()-0,'List Setup'!$D$2))</f>
        <v/>
      </c>
      <c r="B82" s="80" t="str">
        <f t="array" ref="B82">IF(A82="","",IFERROR(INDEX('Binder Setup'!$B$2:$B$401,MIN(IF(ISNUMBER(SEARCH(CHAR(10)&amp;'Binder Setup'!$B$2:$B$401&amp;CHAR(10),$H82)),'List Setup'!$Q$2:$Q$401,999),IF(ISNUMBER(SEARCH(CHAR(10)&amp;'Set Aliases'!$A$2:$A$501&amp;CHAR(10),$H82)),'Set Aliases'!$C$2:$C$501,999))),"(none)"))</f>
        <v/>
      </c>
      <c r="C82" s="80" t="str">
        <f t="shared" si="1"/>
        <v/>
      </c>
      <c r="D82" s="80" t="str">
        <f t="array" ref="D82">IF(A82="","",IF(ISLOGICAL(INDEX(Wishlist!$A:$Z,ROW()-0,'List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82" s="80" t="str">
        <f t="shared" si="2"/>
        <v/>
      </c>
      <c r="F82" s="80" t="str">
        <f t="array" ref="F82">IF(A82="","",IF(ISNUMBER(J82),J82,IF(ISNUMBER(INDEX(Wishlist!$A:$Z,ROW()-0,'List Setup'!$F$2)),INDEX(Wishlist!$A:$Z,ROW()-0,'List Setup'!$F$2),0)))</f>
        <v/>
      </c>
      <c r="G82" s="80" t="str">
        <f t="array" ref="G82">IF(A82="","",A82&amp;IF(N(INDEX(Wishlist!$A:$Z,ROW()-0,'List Setup'!$C$2))&gt;1," (x"&amp;INDEX(Wishlist!$A:$Z,ROW()-0,'List Setup'!$C$2)&amp;")","")&amp;IF(COUNTIF(Binders!$J$6:$J$30,TRUE())&gt;1," ["&amp;Q82&amp;"]",""))</f>
        <v/>
      </c>
      <c r="H82" s="80" t="str">
        <f t="array" ref="H82">IF(A82="","",CHAR(10)&amp;INDEX(Wishlist!$A:$Z,ROW()-0,'List Setup'!$E$2)&amp;CHAR(10))</f>
        <v/>
      </c>
      <c r="I82" s="80" t="str">
        <f t="array" ref="I82">IF(OR(B82="",B82="(none)"),"",IF(ISNUMBER(SEARCH(CHAR(10)&amp;B82&amp;CHAR(10),H82)),B82,IFERROR(INDEX('Set Aliases'!$A$2:$A$501,MATCH(1,('Set Aliases'!$B$2:$B$501=B82)*ISNUMBER(SEARCH(CHAR(10)&amp;'Set Aliases'!$A$2:$A$501&amp;CHAR(10),H82)),0)),"")))</f>
        <v/>
      </c>
      <c r="J82" s="80" t="str">
        <f t="array" ref="J82">IF(I82="","",IFERROR(VALUE(TRIM(MID(SUBSTITUTE(INDEX(Wishlist!$A:$Z,ROW()-0,'List Setup'!$G$2),CHAR(10),REPT(" ",100)),((SEARCH(CHAR(10)&amp;I82&amp;CHAR(10),H82)-LEN(SUBSTITUTE(LEFT(H82,SEARCH(CHAR(10)&amp;I82&amp;CHAR(10),H82)),CHAR(10),"")))-1)*100+1,100))),""))</f>
        <v/>
      </c>
      <c r="K82" s="80" t="str">
        <f t="array" ref="K82">IF(A82="","",IF(ISNUMBER(SEARCH("Land",LEFT(IFERROR(INDEX(Wishlist!$A:$Z,ROW()-0,'List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82" s="80" t="str">
        <f t="shared" si="3"/>
        <v/>
      </c>
      <c r="M82" s="80" t="str">
        <f>IF(A82="","",IF(AND(E82="Y",B82='Use at Shop'!$B$4),K82*10000000000+(MAX(0,MIN(26,CODE(MID(UPPER(A82)&amp;"    ",1,1))-64))*19683+MAX(0,MIN(26,CODE(MID(UPPER(A82)&amp;"    ",2,1))-64))*729+MAX(0,MIN(26,CODE(MID(UPPER(A82)&amp;"    ",3,1))-64))*27+MAX(0,MIN(26,CODE(MID(UPPER(A82)&amp;"    ",4,1))-64))*1)*10000+ROW(),""))</f>
        <v/>
      </c>
      <c r="N82" s="80" t="str">
        <f t="shared" si="4"/>
        <v/>
      </c>
      <c r="O82" s="80" t="str">
        <f t="array" ref="O82">IF(A82="","",IFERROR(INDEX(Wishlist!$A:$Z,ROW()-0,'List Setup'!$J$2)&amp;"",""))</f>
        <v/>
      </c>
      <c r="P82" s="2"/>
      <c r="Q82" s="80" t="str">
        <f>IF(A82="","",'List Setup'!$A$2)</f>
        <v/>
      </c>
      <c r="R82" s="80" t="str">
        <f t="array" ref="R82">IF(A82="","",IFERROR(OR(INDEX(Binders!$J$6:$J$30,MATCH(Q82,Binders!$I$6:$I$30,0))=TRUE(),UPPER(INDEX(Binders!$J$6:$J$30,MATCH(Q82,Binders!$I$6:$I$30,0))&amp;"")="TRUE"),FALSE()))</f>
        <v/>
      </c>
    </row>
    <row r="83" ht="15.75" customHeight="1">
      <c r="A83" s="80" t="str">
        <f t="array" ref="A83">IF(INDEX(Wishlist!$A:$Z,ROW()-0,'List Setup'!$D$2)="","",INDEX(Wishlist!$A:$Z,ROW()-0,'List Setup'!$D$2))</f>
        <v/>
      </c>
      <c r="B83" s="80" t="str">
        <f t="array" ref="B83">IF(A83="","",IFERROR(INDEX('Binder Setup'!$B$2:$B$401,MIN(IF(ISNUMBER(SEARCH(CHAR(10)&amp;'Binder Setup'!$B$2:$B$401&amp;CHAR(10),$H83)),'List Setup'!$Q$2:$Q$401,999),IF(ISNUMBER(SEARCH(CHAR(10)&amp;'Set Aliases'!$A$2:$A$501&amp;CHAR(10),$H83)),'Set Aliases'!$C$2:$C$501,999))),"(none)"))</f>
        <v/>
      </c>
      <c r="C83" s="80" t="str">
        <f t="shared" si="1"/>
        <v/>
      </c>
      <c r="D83" s="80" t="str">
        <f t="array" ref="D83">IF(A83="","",IF(ISLOGICAL(INDEX(Wishlist!$A:$Z,ROW()-0,'List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83" s="80" t="str">
        <f t="shared" si="2"/>
        <v/>
      </c>
      <c r="F83" s="80" t="str">
        <f t="array" ref="F83">IF(A83="","",IF(ISNUMBER(J83),J83,IF(ISNUMBER(INDEX(Wishlist!$A:$Z,ROW()-0,'List Setup'!$F$2)),INDEX(Wishlist!$A:$Z,ROW()-0,'List Setup'!$F$2),0)))</f>
        <v/>
      </c>
      <c r="G83" s="80" t="str">
        <f t="array" ref="G83">IF(A83="","",A83&amp;IF(N(INDEX(Wishlist!$A:$Z,ROW()-0,'List Setup'!$C$2))&gt;1," (x"&amp;INDEX(Wishlist!$A:$Z,ROW()-0,'List Setup'!$C$2)&amp;")","")&amp;IF(COUNTIF(Binders!$J$6:$J$30,TRUE())&gt;1," ["&amp;Q83&amp;"]",""))</f>
        <v/>
      </c>
      <c r="H83" s="80" t="str">
        <f t="array" ref="H83">IF(A83="","",CHAR(10)&amp;INDEX(Wishlist!$A:$Z,ROW()-0,'List Setup'!$E$2)&amp;CHAR(10))</f>
        <v/>
      </c>
      <c r="I83" s="80" t="str">
        <f t="array" ref="I83">IF(OR(B83="",B83="(none)"),"",IF(ISNUMBER(SEARCH(CHAR(10)&amp;B83&amp;CHAR(10),H83)),B83,IFERROR(INDEX('Set Aliases'!$A$2:$A$501,MATCH(1,('Set Aliases'!$B$2:$B$501=B83)*ISNUMBER(SEARCH(CHAR(10)&amp;'Set Aliases'!$A$2:$A$501&amp;CHAR(10),H83)),0)),"")))</f>
        <v/>
      </c>
      <c r="J83" s="80" t="str">
        <f t="array" ref="J83">IF(I83="","",IFERROR(VALUE(TRIM(MID(SUBSTITUTE(INDEX(Wishlist!$A:$Z,ROW()-0,'List Setup'!$G$2),CHAR(10),REPT(" ",100)),((SEARCH(CHAR(10)&amp;I83&amp;CHAR(10),H83)-LEN(SUBSTITUTE(LEFT(H83,SEARCH(CHAR(10)&amp;I83&amp;CHAR(10),H83)),CHAR(10),"")))-1)*100+1,100))),""))</f>
        <v/>
      </c>
      <c r="K83" s="80" t="str">
        <f t="array" ref="K83">IF(A83="","",IF(ISNUMBER(SEARCH("Land",LEFT(IFERROR(INDEX(Wishlist!$A:$Z,ROW()-0,'List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83" s="80" t="str">
        <f t="shared" si="3"/>
        <v/>
      </c>
      <c r="M83" s="80" t="str">
        <f>IF(A83="","",IF(AND(E83="Y",B83='Use at Shop'!$B$4),K83*10000000000+(MAX(0,MIN(26,CODE(MID(UPPER(A83)&amp;"    ",1,1))-64))*19683+MAX(0,MIN(26,CODE(MID(UPPER(A83)&amp;"    ",2,1))-64))*729+MAX(0,MIN(26,CODE(MID(UPPER(A83)&amp;"    ",3,1))-64))*27+MAX(0,MIN(26,CODE(MID(UPPER(A83)&amp;"    ",4,1))-64))*1)*10000+ROW(),""))</f>
        <v/>
      </c>
      <c r="N83" s="80" t="str">
        <f t="shared" si="4"/>
        <v/>
      </c>
      <c r="O83" s="80" t="str">
        <f t="array" ref="O83">IF(A83="","",IFERROR(INDEX(Wishlist!$A:$Z,ROW()-0,'List Setup'!$J$2)&amp;"",""))</f>
        <v/>
      </c>
      <c r="P83" s="2"/>
      <c r="Q83" s="80" t="str">
        <f>IF(A83="","",'List Setup'!$A$2)</f>
        <v/>
      </c>
      <c r="R83" s="80" t="str">
        <f t="array" ref="R83">IF(A83="","",IFERROR(OR(INDEX(Binders!$J$6:$J$30,MATCH(Q83,Binders!$I$6:$I$30,0))=TRUE(),UPPER(INDEX(Binders!$J$6:$J$30,MATCH(Q83,Binders!$I$6:$I$30,0))&amp;"")="TRUE"),FALSE()))</f>
        <v/>
      </c>
    </row>
    <row r="84" ht="15.75" customHeight="1">
      <c r="A84" s="80" t="str">
        <f t="array" ref="A84">IF(INDEX(Wishlist!$A:$Z,ROW()-0,'List Setup'!$D$2)="","",INDEX(Wishlist!$A:$Z,ROW()-0,'List Setup'!$D$2))</f>
        <v/>
      </c>
      <c r="B84" s="80" t="str">
        <f t="array" ref="B84">IF(A84="","",IFERROR(INDEX('Binder Setup'!$B$2:$B$401,MIN(IF(ISNUMBER(SEARCH(CHAR(10)&amp;'Binder Setup'!$B$2:$B$401&amp;CHAR(10),$H84)),'List Setup'!$Q$2:$Q$401,999),IF(ISNUMBER(SEARCH(CHAR(10)&amp;'Set Aliases'!$A$2:$A$501&amp;CHAR(10),$H84)),'Set Aliases'!$C$2:$C$501,999))),"(none)"))</f>
        <v/>
      </c>
      <c r="C84" s="80" t="str">
        <f t="shared" si="1"/>
        <v/>
      </c>
      <c r="D84" s="80" t="str">
        <f t="array" ref="D84">IF(A84="","",IF(ISLOGICAL(INDEX(Wishlist!$A:$Z,ROW()-0,'List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84" s="80" t="str">
        <f t="shared" si="2"/>
        <v/>
      </c>
      <c r="F84" s="80" t="str">
        <f t="array" ref="F84">IF(A84="","",IF(ISNUMBER(J84),J84,IF(ISNUMBER(INDEX(Wishlist!$A:$Z,ROW()-0,'List Setup'!$F$2)),INDEX(Wishlist!$A:$Z,ROW()-0,'List Setup'!$F$2),0)))</f>
        <v/>
      </c>
      <c r="G84" s="80" t="str">
        <f t="array" ref="G84">IF(A84="","",A84&amp;IF(N(INDEX(Wishlist!$A:$Z,ROW()-0,'List Setup'!$C$2))&gt;1," (x"&amp;INDEX(Wishlist!$A:$Z,ROW()-0,'List Setup'!$C$2)&amp;")","")&amp;IF(COUNTIF(Binders!$J$6:$J$30,TRUE())&gt;1," ["&amp;Q84&amp;"]",""))</f>
        <v/>
      </c>
      <c r="H84" s="80" t="str">
        <f t="array" ref="H84">IF(A84="","",CHAR(10)&amp;INDEX(Wishlist!$A:$Z,ROW()-0,'List Setup'!$E$2)&amp;CHAR(10))</f>
        <v/>
      </c>
      <c r="I84" s="80" t="str">
        <f t="array" ref="I84">IF(OR(B84="",B84="(none)"),"",IF(ISNUMBER(SEARCH(CHAR(10)&amp;B84&amp;CHAR(10),H84)),B84,IFERROR(INDEX('Set Aliases'!$A$2:$A$501,MATCH(1,('Set Aliases'!$B$2:$B$501=B84)*ISNUMBER(SEARCH(CHAR(10)&amp;'Set Aliases'!$A$2:$A$501&amp;CHAR(10),H84)),0)),"")))</f>
        <v/>
      </c>
      <c r="J84" s="80" t="str">
        <f t="array" ref="J84">IF(I84="","",IFERROR(VALUE(TRIM(MID(SUBSTITUTE(INDEX(Wishlist!$A:$Z,ROW()-0,'List Setup'!$G$2),CHAR(10),REPT(" ",100)),((SEARCH(CHAR(10)&amp;I84&amp;CHAR(10),H84)-LEN(SUBSTITUTE(LEFT(H84,SEARCH(CHAR(10)&amp;I84&amp;CHAR(10),H84)),CHAR(10),"")))-1)*100+1,100))),""))</f>
        <v/>
      </c>
      <c r="K84" s="80" t="str">
        <f t="array" ref="K84">IF(A84="","",IF(ISNUMBER(SEARCH("Land",LEFT(IFERROR(INDEX(Wishlist!$A:$Z,ROW()-0,'List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84" s="80" t="str">
        <f t="shared" si="3"/>
        <v/>
      </c>
      <c r="M84" s="80" t="str">
        <f>IF(A84="","",IF(AND(E84="Y",B84='Use at Shop'!$B$4),K84*10000000000+(MAX(0,MIN(26,CODE(MID(UPPER(A84)&amp;"    ",1,1))-64))*19683+MAX(0,MIN(26,CODE(MID(UPPER(A84)&amp;"    ",2,1))-64))*729+MAX(0,MIN(26,CODE(MID(UPPER(A84)&amp;"    ",3,1))-64))*27+MAX(0,MIN(26,CODE(MID(UPPER(A84)&amp;"    ",4,1))-64))*1)*10000+ROW(),""))</f>
        <v/>
      </c>
      <c r="N84" s="80" t="str">
        <f t="shared" si="4"/>
        <v/>
      </c>
      <c r="O84" s="80" t="str">
        <f t="array" ref="O84">IF(A84="","",IFERROR(INDEX(Wishlist!$A:$Z,ROW()-0,'List Setup'!$J$2)&amp;"",""))</f>
        <v/>
      </c>
      <c r="P84" s="2"/>
      <c r="Q84" s="80" t="str">
        <f>IF(A84="","",'List Setup'!$A$2)</f>
        <v/>
      </c>
      <c r="R84" s="80" t="str">
        <f t="array" ref="R84">IF(A84="","",IFERROR(OR(INDEX(Binders!$J$6:$J$30,MATCH(Q84,Binders!$I$6:$I$30,0))=TRUE(),UPPER(INDEX(Binders!$J$6:$J$30,MATCH(Q84,Binders!$I$6:$I$30,0))&amp;"")="TRUE"),FALSE()))</f>
        <v/>
      </c>
    </row>
    <row r="85" ht="15.75" customHeight="1">
      <c r="A85" s="80" t="str">
        <f t="array" ref="A85">IF(INDEX(Wishlist!$A:$Z,ROW()-0,'List Setup'!$D$2)="","",INDEX(Wishlist!$A:$Z,ROW()-0,'List Setup'!$D$2))</f>
        <v/>
      </c>
      <c r="B85" s="80" t="str">
        <f t="array" ref="B85">IF(A85="","",IFERROR(INDEX('Binder Setup'!$B$2:$B$401,MIN(IF(ISNUMBER(SEARCH(CHAR(10)&amp;'Binder Setup'!$B$2:$B$401&amp;CHAR(10),$H85)),'List Setup'!$Q$2:$Q$401,999),IF(ISNUMBER(SEARCH(CHAR(10)&amp;'Set Aliases'!$A$2:$A$501&amp;CHAR(10),$H85)),'Set Aliases'!$C$2:$C$501,999))),"(none)"))</f>
        <v/>
      </c>
      <c r="C85" s="80" t="str">
        <f t="shared" si="1"/>
        <v/>
      </c>
      <c r="D85" s="80" t="str">
        <f t="array" ref="D85">IF(A85="","",IF(ISLOGICAL(INDEX(Wishlist!$A:$Z,ROW()-0,'List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85" s="80" t="str">
        <f t="shared" si="2"/>
        <v/>
      </c>
      <c r="F85" s="80" t="str">
        <f t="array" ref="F85">IF(A85="","",IF(ISNUMBER(J85),J85,IF(ISNUMBER(INDEX(Wishlist!$A:$Z,ROW()-0,'List Setup'!$F$2)),INDEX(Wishlist!$A:$Z,ROW()-0,'List Setup'!$F$2),0)))</f>
        <v/>
      </c>
      <c r="G85" s="80" t="str">
        <f t="array" ref="G85">IF(A85="","",A85&amp;IF(N(INDEX(Wishlist!$A:$Z,ROW()-0,'List Setup'!$C$2))&gt;1," (x"&amp;INDEX(Wishlist!$A:$Z,ROW()-0,'List Setup'!$C$2)&amp;")","")&amp;IF(COUNTIF(Binders!$J$6:$J$30,TRUE())&gt;1," ["&amp;Q85&amp;"]",""))</f>
        <v/>
      </c>
      <c r="H85" s="80" t="str">
        <f t="array" ref="H85">IF(A85="","",CHAR(10)&amp;INDEX(Wishlist!$A:$Z,ROW()-0,'List Setup'!$E$2)&amp;CHAR(10))</f>
        <v/>
      </c>
      <c r="I85" s="80" t="str">
        <f t="array" ref="I85">IF(OR(B85="",B85="(none)"),"",IF(ISNUMBER(SEARCH(CHAR(10)&amp;B85&amp;CHAR(10),H85)),B85,IFERROR(INDEX('Set Aliases'!$A$2:$A$501,MATCH(1,('Set Aliases'!$B$2:$B$501=B85)*ISNUMBER(SEARCH(CHAR(10)&amp;'Set Aliases'!$A$2:$A$501&amp;CHAR(10),H85)),0)),"")))</f>
        <v/>
      </c>
      <c r="J85" s="80" t="str">
        <f t="array" ref="J85">IF(I85="","",IFERROR(VALUE(TRIM(MID(SUBSTITUTE(INDEX(Wishlist!$A:$Z,ROW()-0,'List Setup'!$G$2),CHAR(10),REPT(" ",100)),((SEARCH(CHAR(10)&amp;I85&amp;CHAR(10),H85)-LEN(SUBSTITUTE(LEFT(H85,SEARCH(CHAR(10)&amp;I85&amp;CHAR(10),H85)),CHAR(10),"")))-1)*100+1,100))),""))</f>
        <v/>
      </c>
      <c r="K85" s="80" t="str">
        <f t="array" ref="K85">IF(A85="","",IF(ISNUMBER(SEARCH("Land",LEFT(IFERROR(INDEX(Wishlist!$A:$Z,ROW()-0,'List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85" s="80" t="str">
        <f t="shared" si="3"/>
        <v/>
      </c>
      <c r="M85" s="80" t="str">
        <f>IF(A85="","",IF(AND(E85="Y",B85='Use at Shop'!$B$4),K85*10000000000+(MAX(0,MIN(26,CODE(MID(UPPER(A85)&amp;"    ",1,1))-64))*19683+MAX(0,MIN(26,CODE(MID(UPPER(A85)&amp;"    ",2,1))-64))*729+MAX(0,MIN(26,CODE(MID(UPPER(A85)&amp;"    ",3,1))-64))*27+MAX(0,MIN(26,CODE(MID(UPPER(A85)&amp;"    ",4,1))-64))*1)*10000+ROW(),""))</f>
        <v/>
      </c>
      <c r="N85" s="80" t="str">
        <f t="shared" si="4"/>
        <v/>
      </c>
      <c r="O85" s="80" t="str">
        <f t="array" ref="O85">IF(A85="","",IFERROR(INDEX(Wishlist!$A:$Z,ROW()-0,'List Setup'!$J$2)&amp;"",""))</f>
        <v/>
      </c>
      <c r="P85" s="2"/>
      <c r="Q85" s="80" t="str">
        <f>IF(A85="","",'List Setup'!$A$2)</f>
        <v/>
      </c>
      <c r="R85" s="80" t="str">
        <f t="array" ref="R85">IF(A85="","",IFERROR(OR(INDEX(Binders!$J$6:$J$30,MATCH(Q85,Binders!$I$6:$I$30,0))=TRUE(),UPPER(INDEX(Binders!$J$6:$J$30,MATCH(Q85,Binders!$I$6:$I$30,0))&amp;"")="TRUE"),FALSE()))</f>
        <v/>
      </c>
    </row>
    <row r="86" ht="15.75" customHeight="1">
      <c r="A86" s="80" t="str">
        <f t="array" ref="A86">IF(INDEX(Wishlist!$A:$Z,ROW()-0,'List Setup'!$D$2)="","",INDEX(Wishlist!$A:$Z,ROW()-0,'List Setup'!$D$2))</f>
        <v/>
      </c>
      <c r="B86" s="80" t="str">
        <f t="array" ref="B86">IF(A86="","",IFERROR(INDEX('Binder Setup'!$B$2:$B$401,MIN(IF(ISNUMBER(SEARCH(CHAR(10)&amp;'Binder Setup'!$B$2:$B$401&amp;CHAR(10),$H86)),'List Setup'!$Q$2:$Q$401,999),IF(ISNUMBER(SEARCH(CHAR(10)&amp;'Set Aliases'!$A$2:$A$501&amp;CHAR(10),$H86)),'Set Aliases'!$C$2:$C$501,999))),"(none)"))</f>
        <v/>
      </c>
      <c r="C86" s="80" t="str">
        <f t="shared" si="1"/>
        <v/>
      </c>
      <c r="D86" s="80" t="str">
        <f t="array" ref="D86">IF(A86="","",IF(ISLOGICAL(INDEX(Wishlist!$A:$Z,ROW()-0,'List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86" s="80" t="str">
        <f t="shared" si="2"/>
        <v/>
      </c>
      <c r="F86" s="80" t="str">
        <f t="array" ref="F86">IF(A86="","",IF(ISNUMBER(J86),J86,IF(ISNUMBER(INDEX(Wishlist!$A:$Z,ROW()-0,'List Setup'!$F$2)),INDEX(Wishlist!$A:$Z,ROW()-0,'List Setup'!$F$2),0)))</f>
        <v/>
      </c>
      <c r="G86" s="80" t="str">
        <f t="array" ref="G86">IF(A86="","",A86&amp;IF(N(INDEX(Wishlist!$A:$Z,ROW()-0,'List Setup'!$C$2))&gt;1," (x"&amp;INDEX(Wishlist!$A:$Z,ROW()-0,'List Setup'!$C$2)&amp;")","")&amp;IF(COUNTIF(Binders!$J$6:$J$30,TRUE())&gt;1," ["&amp;Q86&amp;"]",""))</f>
        <v/>
      </c>
      <c r="H86" s="80" t="str">
        <f t="array" ref="H86">IF(A86="","",CHAR(10)&amp;INDEX(Wishlist!$A:$Z,ROW()-0,'List Setup'!$E$2)&amp;CHAR(10))</f>
        <v/>
      </c>
      <c r="I86" s="80" t="str">
        <f t="array" ref="I86">IF(OR(B86="",B86="(none)"),"",IF(ISNUMBER(SEARCH(CHAR(10)&amp;B86&amp;CHAR(10),H86)),B86,IFERROR(INDEX('Set Aliases'!$A$2:$A$501,MATCH(1,('Set Aliases'!$B$2:$B$501=B86)*ISNUMBER(SEARCH(CHAR(10)&amp;'Set Aliases'!$A$2:$A$501&amp;CHAR(10),H86)),0)),"")))</f>
        <v/>
      </c>
      <c r="J86" s="80" t="str">
        <f t="array" ref="J86">IF(I86="","",IFERROR(VALUE(TRIM(MID(SUBSTITUTE(INDEX(Wishlist!$A:$Z,ROW()-0,'List Setup'!$G$2),CHAR(10),REPT(" ",100)),((SEARCH(CHAR(10)&amp;I86&amp;CHAR(10),H86)-LEN(SUBSTITUTE(LEFT(H86,SEARCH(CHAR(10)&amp;I86&amp;CHAR(10),H86)),CHAR(10),"")))-1)*100+1,100))),""))</f>
        <v/>
      </c>
      <c r="K86" s="80" t="str">
        <f t="array" ref="K86">IF(A86="","",IF(ISNUMBER(SEARCH("Land",LEFT(IFERROR(INDEX(Wishlist!$A:$Z,ROW()-0,'List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86" s="80" t="str">
        <f t="shared" si="3"/>
        <v/>
      </c>
      <c r="M86" s="80" t="str">
        <f>IF(A86="","",IF(AND(E86="Y",B86='Use at Shop'!$B$4),K86*10000000000+(MAX(0,MIN(26,CODE(MID(UPPER(A86)&amp;"    ",1,1))-64))*19683+MAX(0,MIN(26,CODE(MID(UPPER(A86)&amp;"    ",2,1))-64))*729+MAX(0,MIN(26,CODE(MID(UPPER(A86)&amp;"    ",3,1))-64))*27+MAX(0,MIN(26,CODE(MID(UPPER(A86)&amp;"    ",4,1))-64))*1)*10000+ROW(),""))</f>
        <v/>
      </c>
      <c r="N86" s="80" t="str">
        <f t="shared" si="4"/>
        <v/>
      </c>
      <c r="O86" s="80" t="str">
        <f t="array" ref="O86">IF(A86="","",IFERROR(INDEX(Wishlist!$A:$Z,ROW()-0,'List Setup'!$J$2)&amp;"",""))</f>
        <v/>
      </c>
      <c r="P86" s="2"/>
      <c r="Q86" s="80" t="str">
        <f>IF(A86="","",'List Setup'!$A$2)</f>
        <v/>
      </c>
      <c r="R86" s="80" t="str">
        <f t="array" ref="R86">IF(A86="","",IFERROR(OR(INDEX(Binders!$J$6:$J$30,MATCH(Q86,Binders!$I$6:$I$30,0))=TRUE(),UPPER(INDEX(Binders!$J$6:$J$30,MATCH(Q86,Binders!$I$6:$I$30,0))&amp;"")="TRUE"),FALSE()))</f>
        <v/>
      </c>
    </row>
    <row r="87" ht="15.75" customHeight="1">
      <c r="A87" s="80" t="str">
        <f t="array" ref="A87">IF(INDEX(Wishlist!$A:$Z,ROW()-0,'List Setup'!$D$2)="","",INDEX(Wishlist!$A:$Z,ROW()-0,'List Setup'!$D$2))</f>
        <v/>
      </c>
      <c r="B87" s="80" t="str">
        <f t="array" ref="B87">IF(A87="","",IFERROR(INDEX('Binder Setup'!$B$2:$B$401,MIN(IF(ISNUMBER(SEARCH(CHAR(10)&amp;'Binder Setup'!$B$2:$B$401&amp;CHAR(10),$H87)),'List Setup'!$Q$2:$Q$401,999),IF(ISNUMBER(SEARCH(CHAR(10)&amp;'Set Aliases'!$A$2:$A$501&amp;CHAR(10),$H87)),'Set Aliases'!$C$2:$C$501,999))),"(none)"))</f>
        <v/>
      </c>
      <c r="C87" s="80" t="str">
        <f t="shared" si="1"/>
        <v/>
      </c>
      <c r="D87" s="80" t="str">
        <f t="array" ref="D87">IF(A87="","",IF(ISLOGICAL(INDEX(Wishlist!$A:$Z,ROW()-0,'List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87" s="80" t="str">
        <f t="shared" si="2"/>
        <v/>
      </c>
      <c r="F87" s="80" t="str">
        <f t="array" ref="F87">IF(A87="","",IF(ISNUMBER(J87),J87,IF(ISNUMBER(INDEX(Wishlist!$A:$Z,ROW()-0,'List Setup'!$F$2)),INDEX(Wishlist!$A:$Z,ROW()-0,'List Setup'!$F$2),0)))</f>
        <v/>
      </c>
      <c r="G87" s="80" t="str">
        <f t="array" ref="G87">IF(A87="","",A87&amp;IF(N(INDEX(Wishlist!$A:$Z,ROW()-0,'List Setup'!$C$2))&gt;1," (x"&amp;INDEX(Wishlist!$A:$Z,ROW()-0,'List Setup'!$C$2)&amp;")","")&amp;IF(COUNTIF(Binders!$J$6:$J$30,TRUE())&gt;1," ["&amp;Q87&amp;"]",""))</f>
        <v/>
      </c>
      <c r="H87" s="80" t="str">
        <f t="array" ref="H87">IF(A87="","",CHAR(10)&amp;INDEX(Wishlist!$A:$Z,ROW()-0,'List Setup'!$E$2)&amp;CHAR(10))</f>
        <v/>
      </c>
      <c r="I87" s="80" t="str">
        <f t="array" ref="I87">IF(OR(B87="",B87="(none)"),"",IF(ISNUMBER(SEARCH(CHAR(10)&amp;B87&amp;CHAR(10),H87)),B87,IFERROR(INDEX('Set Aliases'!$A$2:$A$501,MATCH(1,('Set Aliases'!$B$2:$B$501=B87)*ISNUMBER(SEARCH(CHAR(10)&amp;'Set Aliases'!$A$2:$A$501&amp;CHAR(10),H87)),0)),"")))</f>
        <v/>
      </c>
      <c r="J87" s="80" t="str">
        <f t="array" ref="J87">IF(I87="","",IFERROR(VALUE(TRIM(MID(SUBSTITUTE(INDEX(Wishlist!$A:$Z,ROW()-0,'List Setup'!$G$2),CHAR(10),REPT(" ",100)),((SEARCH(CHAR(10)&amp;I87&amp;CHAR(10),H87)-LEN(SUBSTITUTE(LEFT(H87,SEARCH(CHAR(10)&amp;I87&amp;CHAR(10),H87)),CHAR(10),"")))-1)*100+1,100))),""))</f>
        <v/>
      </c>
      <c r="K87" s="80" t="str">
        <f t="array" ref="K87">IF(A87="","",IF(ISNUMBER(SEARCH("Land",LEFT(IFERROR(INDEX(Wishlist!$A:$Z,ROW()-0,'List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87" s="80" t="str">
        <f t="shared" si="3"/>
        <v/>
      </c>
      <c r="M87" s="80" t="str">
        <f>IF(A87="","",IF(AND(E87="Y",B87='Use at Shop'!$B$4),K87*10000000000+(MAX(0,MIN(26,CODE(MID(UPPER(A87)&amp;"    ",1,1))-64))*19683+MAX(0,MIN(26,CODE(MID(UPPER(A87)&amp;"    ",2,1))-64))*729+MAX(0,MIN(26,CODE(MID(UPPER(A87)&amp;"    ",3,1))-64))*27+MAX(0,MIN(26,CODE(MID(UPPER(A87)&amp;"    ",4,1))-64))*1)*10000+ROW(),""))</f>
        <v/>
      </c>
      <c r="N87" s="80" t="str">
        <f t="shared" si="4"/>
        <v/>
      </c>
      <c r="O87" s="80" t="str">
        <f t="array" ref="O87">IF(A87="","",IFERROR(INDEX(Wishlist!$A:$Z,ROW()-0,'List Setup'!$J$2)&amp;"",""))</f>
        <v/>
      </c>
      <c r="P87" s="2"/>
      <c r="Q87" s="80" t="str">
        <f>IF(A87="","",'List Setup'!$A$2)</f>
        <v/>
      </c>
      <c r="R87" s="80" t="str">
        <f t="array" ref="R87">IF(A87="","",IFERROR(OR(INDEX(Binders!$J$6:$J$30,MATCH(Q87,Binders!$I$6:$I$30,0))=TRUE(),UPPER(INDEX(Binders!$J$6:$J$30,MATCH(Q87,Binders!$I$6:$I$30,0))&amp;"")="TRUE"),FALSE()))</f>
        <v/>
      </c>
    </row>
    <row r="88" ht="15.75" customHeight="1">
      <c r="A88" s="80" t="str">
        <f t="array" ref="A88">IF(INDEX(Wishlist!$A:$Z,ROW()-0,'List Setup'!$D$2)="","",INDEX(Wishlist!$A:$Z,ROW()-0,'List Setup'!$D$2))</f>
        <v/>
      </c>
      <c r="B88" s="80" t="str">
        <f t="array" ref="B88">IF(A88="","",IFERROR(INDEX('Binder Setup'!$B$2:$B$401,MIN(IF(ISNUMBER(SEARCH(CHAR(10)&amp;'Binder Setup'!$B$2:$B$401&amp;CHAR(10),$H88)),'List Setup'!$Q$2:$Q$401,999),IF(ISNUMBER(SEARCH(CHAR(10)&amp;'Set Aliases'!$A$2:$A$501&amp;CHAR(10),$H88)),'Set Aliases'!$C$2:$C$501,999))),"(none)"))</f>
        <v/>
      </c>
      <c r="C88" s="80" t="str">
        <f t="shared" si="1"/>
        <v/>
      </c>
      <c r="D88" s="80" t="str">
        <f t="array" ref="D88">IF(A88="","",IF(ISLOGICAL(INDEX(Wishlist!$A:$Z,ROW()-0,'List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88" s="80" t="str">
        <f t="shared" si="2"/>
        <v/>
      </c>
      <c r="F88" s="80" t="str">
        <f t="array" ref="F88">IF(A88="","",IF(ISNUMBER(J88),J88,IF(ISNUMBER(INDEX(Wishlist!$A:$Z,ROW()-0,'List Setup'!$F$2)),INDEX(Wishlist!$A:$Z,ROW()-0,'List Setup'!$F$2),0)))</f>
        <v/>
      </c>
      <c r="G88" s="80" t="str">
        <f t="array" ref="G88">IF(A88="","",A88&amp;IF(N(INDEX(Wishlist!$A:$Z,ROW()-0,'List Setup'!$C$2))&gt;1," (x"&amp;INDEX(Wishlist!$A:$Z,ROW()-0,'List Setup'!$C$2)&amp;")","")&amp;IF(COUNTIF(Binders!$J$6:$J$30,TRUE())&gt;1," ["&amp;Q88&amp;"]",""))</f>
        <v/>
      </c>
      <c r="H88" s="80" t="str">
        <f t="array" ref="H88">IF(A88="","",CHAR(10)&amp;INDEX(Wishlist!$A:$Z,ROW()-0,'List Setup'!$E$2)&amp;CHAR(10))</f>
        <v/>
      </c>
      <c r="I88" s="80" t="str">
        <f t="array" ref="I88">IF(OR(B88="",B88="(none)"),"",IF(ISNUMBER(SEARCH(CHAR(10)&amp;B88&amp;CHAR(10),H88)),B88,IFERROR(INDEX('Set Aliases'!$A$2:$A$501,MATCH(1,('Set Aliases'!$B$2:$B$501=B88)*ISNUMBER(SEARCH(CHAR(10)&amp;'Set Aliases'!$A$2:$A$501&amp;CHAR(10),H88)),0)),"")))</f>
        <v/>
      </c>
      <c r="J88" s="80" t="str">
        <f t="array" ref="J88">IF(I88="","",IFERROR(VALUE(TRIM(MID(SUBSTITUTE(INDEX(Wishlist!$A:$Z,ROW()-0,'List Setup'!$G$2),CHAR(10),REPT(" ",100)),((SEARCH(CHAR(10)&amp;I88&amp;CHAR(10),H88)-LEN(SUBSTITUTE(LEFT(H88,SEARCH(CHAR(10)&amp;I88&amp;CHAR(10),H88)),CHAR(10),"")))-1)*100+1,100))),""))</f>
        <v/>
      </c>
      <c r="K88" s="80" t="str">
        <f t="array" ref="K88">IF(A88="","",IF(ISNUMBER(SEARCH("Land",LEFT(IFERROR(INDEX(Wishlist!$A:$Z,ROW()-0,'List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88" s="80" t="str">
        <f t="shared" si="3"/>
        <v/>
      </c>
      <c r="M88" s="80" t="str">
        <f>IF(A88="","",IF(AND(E88="Y",B88='Use at Shop'!$B$4),K88*10000000000+(MAX(0,MIN(26,CODE(MID(UPPER(A88)&amp;"    ",1,1))-64))*19683+MAX(0,MIN(26,CODE(MID(UPPER(A88)&amp;"    ",2,1))-64))*729+MAX(0,MIN(26,CODE(MID(UPPER(A88)&amp;"    ",3,1))-64))*27+MAX(0,MIN(26,CODE(MID(UPPER(A88)&amp;"    ",4,1))-64))*1)*10000+ROW(),""))</f>
        <v/>
      </c>
      <c r="N88" s="80" t="str">
        <f t="shared" si="4"/>
        <v/>
      </c>
      <c r="O88" s="80" t="str">
        <f t="array" ref="O88">IF(A88="","",IFERROR(INDEX(Wishlist!$A:$Z,ROW()-0,'List Setup'!$J$2)&amp;"",""))</f>
        <v/>
      </c>
      <c r="P88" s="2"/>
      <c r="Q88" s="80" t="str">
        <f>IF(A88="","",'List Setup'!$A$2)</f>
        <v/>
      </c>
      <c r="R88" s="80" t="str">
        <f t="array" ref="R88">IF(A88="","",IFERROR(OR(INDEX(Binders!$J$6:$J$30,MATCH(Q88,Binders!$I$6:$I$30,0))=TRUE(),UPPER(INDEX(Binders!$J$6:$J$30,MATCH(Q88,Binders!$I$6:$I$30,0))&amp;"")="TRUE"),FALSE()))</f>
        <v/>
      </c>
    </row>
    <row r="89" ht="15.75" customHeight="1">
      <c r="A89" s="80" t="str">
        <f t="array" ref="A89">IF(INDEX(Wishlist!$A:$Z,ROW()-0,'List Setup'!$D$2)="","",INDEX(Wishlist!$A:$Z,ROW()-0,'List Setup'!$D$2))</f>
        <v/>
      </c>
      <c r="B89" s="80" t="str">
        <f t="array" ref="B89">IF(A89="","",IFERROR(INDEX('Binder Setup'!$B$2:$B$401,MIN(IF(ISNUMBER(SEARCH(CHAR(10)&amp;'Binder Setup'!$B$2:$B$401&amp;CHAR(10),$H89)),'List Setup'!$Q$2:$Q$401,999),IF(ISNUMBER(SEARCH(CHAR(10)&amp;'Set Aliases'!$A$2:$A$501&amp;CHAR(10),$H89)),'Set Aliases'!$C$2:$C$501,999))),"(none)"))</f>
        <v/>
      </c>
      <c r="C89" s="80" t="str">
        <f t="shared" si="1"/>
        <v/>
      </c>
      <c r="D89" s="80" t="str">
        <f t="array" ref="D89">IF(A89="","",IF(ISLOGICAL(INDEX(Wishlist!$A:$Z,ROW()-0,'List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89" s="80" t="str">
        <f t="shared" si="2"/>
        <v/>
      </c>
      <c r="F89" s="80" t="str">
        <f t="array" ref="F89">IF(A89="","",IF(ISNUMBER(J89),J89,IF(ISNUMBER(INDEX(Wishlist!$A:$Z,ROW()-0,'List Setup'!$F$2)),INDEX(Wishlist!$A:$Z,ROW()-0,'List Setup'!$F$2),0)))</f>
        <v/>
      </c>
      <c r="G89" s="80" t="str">
        <f t="array" ref="G89">IF(A89="","",A89&amp;IF(N(INDEX(Wishlist!$A:$Z,ROW()-0,'List Setup'!$C$2))&gt;1," (x"&amp;INDEX(Wishlist!$A:$Z,ROW()-0,'List Setup'!$C$2)&amp;")","")&amp;IF(COUNTIF(Binders!$J$6:$J$30,TRUE())&gt;1," ["&amp;Q89&amp;"]",""))</f>
        <v/>
      </c>
      <c r="H89" s="80" t="str">
        <f t="array" ref="H89">IF(A89="","",CHAR(10)&amp;INDEX(Wishlist!$A:$Z,ROW()-0,'List Setup'!$E$2)&amp;CHAR(10))</f>
        <v/>
      </c>
      <c r="I89" s="80" t="str">
        <f t="array" ref="I89">IF(OR(B89="",B89="(none)"),"",IF(ISNUMBER(SEARCH(CHAR(10)&amp;B89&amp;CHAR(10),H89)),B89,IFERROR(INDEX('Set Aliases'!$A$2:$A$501,MATCH(1,('Set Aliases'!$B$2:$B$501=B89)*ISNUMBER(SEARCH(CHAR(10)&amp;'Set Aliases'!$A$2:$A$501&amp;CHAR(10),H89)),0)),"")))</f>
        <v/>
      </c>
      <c r="J89" s="80" t="str">
        <f t="array" ref="J89">IF(I89="","",IFERROR(VALUE(TRIM(MID(SUBSTITUTE(INDEX(Wishlist!$A:$Z,ROW()-0,'List Setup'!$G$2),CHAR(10),REPT(" ",100)),((SEARCH(CHAR(10)&amp;I89&amp;CHAR(10),H89)-LEN(SUBSTITUTE(LEFT(H89,SEARCH(CHAR(10)&amp;I89&amp;CHAR(10),H89)),CHAR(10),"")))-1)*100+1,100))),""))</f>
        <v/>
      </c>
      <c r="K89" s="80" t="str">
        <f t="array" ref="K89">IF(A89="","",IF(ISNUMBER(SEARCH("Land",LEFT(IFERROR(INDEX(Wishlist!$A:$Z,ROW()-0,'List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89" s="80" t="str">
        <f t="shared" si="3"/>
        <v/>
      </c>
      <c r="M89" s="80" t="str">
        <f>IF(A89="","",IF(AND(E89="Y",B89='Use at Shop'!$B$4),K89*10000000000+(MAX(0,MIN(26,CODE(MID(UPPER(A89)&amp;"    ",1,1))-64))*19683+MAX(0,MIN(26,CODE(MID(UPPER(A89)&amp;"    ",2,1))-64))*729+MAX(0,MIN(26,CODE(MID(UPPER(A89)&amp;"    ",3,1))-64))*27+MAX(0,MIN(26,CODE(MID(UPPER(A89)&amp;"    ",4,1))-64))*1)*10000+ROW(),""))</f>
        <v/>
      </c>
      <c r="N89" s="80" t="str">
        <f t="shared" si="4"/>
        <v/>
      </c>
      <c r="O89" s="80" t="str">
        <f t="array" ref="O89">IF(A89="","",IFERROR(INDEX(Wishlist!$A:$Z,ROW()-0,'List Setup'!$J$2)&amp;"",""))</f>
        <v/>
      </c>
      <c r="P89" s="2"/>
      <c r="Q89" s="80" t="str">
        <f>IF(A89="","",'List Setup'!$A$2)</f>
        <v/>
      </c>
      <c r="R89" s="80" t="str">
        <f t="array" ref="R89">IF(A89="","",IFERROR(OR(INDEX(Binders!$J$6:$J$30,MATCH(Q89,Binders!$I$6:$I$30,0))=TRUE(),UPPER(INDEX(Binders!$J$6:$J$30,MATCH(Q89,Binders!$I$6:$I$30,0))&amp;"")="TRUE"),FALSE()))</f>
        <v/>
      </c>
    </row>
    <row r="90" ht="15.75" customHeight="1">
      <c r="A90" s="80" t="str">
        <f t="array" ref="A90">IF(INDEX(Wishlist!$A:$Z,ROW()-0,'List Setup'!$D$2)="","",INDEX(Wishlist!$A:$Z,ROW()-0,'List Setup'!$D$2))</f>
        <v/>
      </c>
      <c r="B90" s="80" t="str">
        <f t="array" ref="B90">IF(A90="","",IFERROR(INDEX('Binder Setup'!$B$2:$B$401,MIN(IF(ISNUMBER(SEARCH(CHAR(10)&amp;'Binder Setup'!$B$2:$B$401&amp;CHAR(10),$H90)),'List Setup'!$Q$2:$Q$401,999),IF(ISNUMBER(SEARCH(CHAR(10)&amp;'Set Aliases'!$A$2:$A$501&amp;CHAR(10),$H90)),'Set Aliases'!$C$2:$C$501,999))),"(none)"))</f>
        <v/>
      </c>
      <c r="C90" s="80" t="str">
        <f t="shared" si="1"/>
        <v/>
      </c>
      <c r="D90" s="80" t="str">
        <f t="array" ref="D90">IF(A90="","",IF(ISLOGICAL(INDEX(Wishlist!$A:$Z,ROW()-0,'List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90" s="80" t="str">
        <f t="shared" si="2"/>
        <v/>
      </c>
      <c r="F90" s="80" t="str">
        <f t="array" ref="F90">IF(A90="","",IF(ISNUMBER(J90),J90,IF(ISNUMBER(INDEX(Wishlist!$A:$Z,ROW()-0,'List Setup'!$F$2)),INDEX(Wishlist!$A:$Z,ROW()-0,'List Setup'!$F$2),0)))</f>
        <v/>
      </c>
      <c r="G90" s="80" t="str">
        <f t="array" ref="G90">IF(A90="","",A90&amp;IF(N(INDEX(Wishlist!$A:$Z,ROW()-0,'List Setup'!$C$2))&gt;1," (x"&amp;INDEX(Wishlist!$A:$Z,ROW()-0,'List Setup'!$C$2)&amp;")","")&amp;IF(COUNTIF(Binders!$J$6:$J$30,TRUE())&gt;1," ["&amp;Q90&amp;"]",""))</f>
        <v/>
      </c>
      <c r="H90" s="80" t="str">
        <f t="array" ref="H90">IF(A90="","",CHAR(10)&amp;INDEX(Wishlist!$A:$Z,ROW()-0,'List Setup'!$E$2)&amp;CHAR(10))</f>
        <v/>
      </c>
      <c r="I90" s="80" t="str">
        <f t="array" ref="I90">IF(OR(B90="",B90="(none)"),"",IF(ISNUMBER(SEARCH(CHAR(10)&amp;B90&amp;CHAR(10),H90)),B90,IFERROR(INDEX('Set Aliases'!$A$2:$A$501,MATCH(1,('Set Aliases'!$B$2:$B$501=B90)*ISNUMBER(SEARCH(CHAR(10)&amp;'Set Aliases'!$A$2:$A$501&amp;CHAR(10),H90)),0)),"")))</f>
        <v/>
      </c>
      <c r="J90" s="80" t="str">
        <f t="array" ref="J90">IF(I90="","",IFERROR(VALUE(TRIM(MID(SUBSTITUTE(INDEX(Wishlist!$A:$Z,ROW()-0,'List Setup'!$G$2),CHAR(10),REPT(" ",100)),((SEARCH(CHAR(10)&amp;I90&amp;CHAR(10),H90)-LEN(SUBSTITUTE(LEFT(H90,SEARCH(CHAR(10)&amp;I90&amp;CHAR(10),H90)),CHAR(10),"")))-1)*100+1,100))),""))</f>
        <v/>
      </c>
      <c r="K90" s="80" t="str">
        <f t="array" ref="K90">IF(A90="","",IF(ISNUMBER(SEARCH("Land",LEFT(IFERROR(INDEX(Wishlist!$A:$Z,ROW()-0,'List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90" s="80" t="str">
        <f t="shared" si="3"/>
        <v/>
      </c>
      <c r="M90" s="80" t="str">
        <f>IF(A90="","",IF(AND(E90="Y",B90='Use at Shop'!$B$4),K90*10000000000+(MAX(0,MIN(26,CODE(MID(UPPER(A90)&amp;"    ",1,1))-64))*19683+MAX(0,MIN(26,CODE(MID(UPPER(A90)&amp;"    ",2,1))-64))*729+MAX(0,MIN(26,CODE(MID(UPPER(A90)&amp;"    ",3,1))-64))*27+MAX(0,MIN(26,CODE(MID(UPPER(A90)&amp;"    ",4,1))-64))*1)*10000+ROW(),""))</f>
        <v/>
      </c>
      <c r="N90" s="80" t="str">
        <f t="shared" si="4"/>
        <v/>
      </c>
      <c r="O90" s="80" t="str">
        <f t="array" ref="O90">IF(A90="","",IFERROR(INDEX(Wishlist!$A:$Z,ROW()-0,'List Setup'!$J$2)&amp;"",""))</f>
        <v/>
      </c>
      <c r="P90" s="2"/>
      <c r="Q90" s="80" t="str">
        <f>IF(A90="","",'List Setup'!$A$2)</f>
        <v/>
      </c>
      <c r="R90" s="80" t="str">
        <f t="array" ref="R90">IF(A90="","",IFERROR(OR(INDEX(Binders!$J$6:$J$30,MATCH(Q90,Binders!$I$6:$I$30,0))=TRUE(),UPPER(INDEX(Binders!$J$6:$J$30,MATCH(Q90,Binders!$I$6:$I$30,0))&amp;"")="TRUE"),FALSE()))</f>
        <v/>
      </c>
    </row>
    <row r="91" ht="15.75" customHeight="1">
      <c r="A91" s="80" t="str">
        <f t="array" ref="A91">IF(INDEX(Wishlist!$A:$Z,ROW()-0,'List Setup'!$D$2)="","",INDEX(Wishlist!$A:$Z,ROW()-0,'List Setup'!$D$2))</f>
        <v/>
      </c>
      <c r="B91" s="80" t="str">
        <f t="array" ref="B91">IF(A91="","",IFERROR(INDEX('Binder Setup'!$B$2:$B$401,MIN(IF(ISNUMBER(SEARCH(CHAR(10)&amp;'Binder Setup'!$B$2:$B$401&amp;CHAR(10),$H91)),'List Setup'!$Q$2:$Q$401,999),IF(ISNUMBER(SEARCH(CHAR(10)&amp;'Set Aliases'!$A$2:$A$501&amp;CHAR(10),$H91)),'Set Aliases'!$C$2:$C$501,999))),"(none)"))</f>
        <v/>
      </c>
      <c r="C91" s="80" t="str">
        <f t="shared" si="1"/>
        <v/>
      </c>
      <c r="D91" s="80" t="str">
        <f t="array" ref="D91">IF(A91="","",IF(ISLOGICAL(INDEX(Wishlist!$A:$Z,ROW()-0,'List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91" s="80" t="str">
        <f t="shared" si="2"/>
        <v/>
      </c>
      <c r="F91" s="80" t="str">
        <f t="array" ref="F91">IF(A91="","",IF(ISNUMBER(J91),J91,IF(ISNUMBER(INDEX(Wishlist!$A:$Z,ROW()-0,'List Setup'!$F$2)),INDEX(Wishlist!$A:$Z,ROW()-0,'List Setup'!$F$2),0)))</f>
        <v/>
      </c>
      <c r="G91" s="80" t="str">
        <f t="array" ref="G91">IF(A91="","",A91&amp;IF(N(INDEX(Wishlist!$A:$Z,ROW()-0,'List Setup'!$C$2))&gt;1," (x"&amp;INDEX(Wishlist!$A:$Z,ROW()-0,'List Setup'!$C$2)&amp;")","")&amp;IF(COUNTIF(Binders!$J$6:$J$30,TRUE())&gt;1," ["&amp;Q91&amp;"]",""))</f>
        <v/>
      </c>
      <c r="H91" s="80" t="str">
        <f t="array" ref="H91">IF(A91="","",CHAR(10)&amp;INDEX(Wishlist!$A:$Z,ROW()-0,'List Setup'!$E$2)&amp;CHAR(10))</f>
        <v/>
      </c>
      <c r="I91" s="80" t="str">
        <f t="array" ref="I91">IF(OR(B91="",B91="(none)"),"",IF(ISNUMBER(SEARCH(CHAR(10)&amp;B91&amp;CHAR(10),H91)),B91,IFERROR(INDEX('Set Aliases'!$A$2:$A$501,MATCH(1,('Set Aliases'!$B$2:$B$501=B91)*ISNUMBER(SEARCH(CHAR(10)&amp;'Set Aliases'!$A$2:$A$501&amp;CHAR(10),H91)),0)),"")))</f>
        <v/>
      </c>
      <c r="J91" s="80" t="str">
        <f t="array" ref="J91">IF(I91="","",IFERROR(VALUE(TRIM(MID(SUBSTITUTE(INDEX(Wishlist!$A:$Z,ROW()-0,'List Setup'!$G$2),CHAR(10),REPT(" ",100)),((SEARCH(CHAR(10)&amp;I91&amp;CHAR(10),H91)-LEN(SUBSTITUTE(LEFT(H91,SEARCH(CHAR(10)&amp;I91&amp;CHAR(10),H91)),CHAR(10),"")))-1)*100+1,100))),""))</f>
        <v/>
      </c>
      <c r="K91" s="80" t="str">
        <f t="array" ref="K91">IF(A91="","",IF(ISNUMBER(SEARCH("Land",LEFT(IFERROR(INDEX(Wishlist!$A:$Z,ROW()-0,'List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91" s="80" t="str">
        <f t="shared" si="3"/>
        <v/>
      </c>
      <c r="M91" s="80" t="str">
        <f>IF(A91="","",IF(AND(E91="Y",B91='Use at Shop'!$B$4),K91*10000000000+(MAX(0,MIN(26,CODE(MID(UPPER(A91)&amp;"    ",1,1))-64))*19683+MAX(0,MIN(26,CODE(MID(UPPER(A91)&amp;"    ",2,1))-64))*729+MAX(0,MIN(26,CODE(MID(UPPER(A91)&amp;"    ",3,1))-64))*27+MAX(0,MIN(26,CODE(MID(UPPER(A91)&amp;"    ",4,1))-64))*1)*10000+ROW(),""))</f>
        <v/>
      </c>
      <c r="N91" s="80" t="str">
        <f t="shared" si="4"/>
        <v/>
      </c>
      <c r="O91" s="80" t="str">
        <f t="array" ref="O91">IF(A91="","",IFERROR(INDEX(Wishlist!$A:$Z,ROW()-0,'List Setup'!$J$2)&amp;"",""))</f>
        <v/>
      </c>
      <c r="P91" s="2"/>
      <c r="Q91" s="80" t="str">
        <f>IF(A91="","",'List Setup'!$A$2)</f>
        <v/>
      </c>
      <c r="R91" s="80" t="str">
        <f t="array" ref="R91">IF(A91="","",IFERROR(OR(INDEX(Binders!$J$6:$J$30,MATCH(Q91,Binders!$I$6:$I$30,0))=TRUE(),UPPER(INDEX(Binders!$J$6:$J$30,MATCH(Q91,Binders!$I$6:$I$30,0))&amp;"")="TRUE"),FALSE()))</f>
        <v/>
      </c>
    </row>
    <row r="92" ht="15.75" customHeight="1">
      <c r="A92" s="80" t="str">
        <f t="array" ref="A92">IF(INDEX(Wishlist!$A:$Z,ROW()-0,'List Setup'!$D$2)="","",INDEX(Wishlist!$A:$Z,ROW()-0,'List Setup'!$D$2))</f>
        <v/>
      </c>
      <c r="B92" s="80" t="str">
        <f t="array" ref="B92">IF(A92="","",IFERROR(INDEX('Binder Setup'!$B$2:$B$401,MIN(IF(ISNUMBER(SEARCH(CHAR(10)&amp;'Binder Setup'!$B$2:$B$401&amp;CHAR(10),$H92)),'List Setup'!$Q$2:$Q$401,999),IF(ISNUMBER(SEARCH(CHAR(10)&amp;'Set Aliases'!$A$2:$A$501&amp;CHAR(10),$H92)),'Set Aliases'!$C$2:$C$501,999))),"(none)"))</f>
        <v/>
      </c>
      <c r="C92" s="80" t="str">
        <f t="shared" si="1"/>
        <v/>
      </c>
      <c r="D92" s="80" t="str">
        <f t="array" ref="D92">IF(A92="","",IF(ISLOGICAL(INDEX(Wishlist!$A:$Z,ROW()-0,'List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92" s="80" t="str">
        <f t="shared" si="2"/>
        <v/>
      </c>
      <c r="F92" s="80" t="str">
        <f t="array" ref="F92">IF(A92="","",IF(ISNUMBER(J92),J92,IF(ISNUMBER(INDEX(Wishlist!$A:$Z,ROW()-0,'List Setup'!$F$2)),INDEX(Wishlist!$A:$Z,ROW()-0,'List Setup'!$F$2),0)))</f>
        <v/>
      </c>
      <c r="G92" s="80" t="str">
        <f t="array" ref="G92">IF(A92="","",A92&amp;IF(N(INDEX(Wishlist!$A:$Z,ROW()-0,'List Setup'!$C$2))&gt;1," (x"&amp;INDEX(Wishlist!$A:$Z,ROW()-0,'List Setup'!$C$2)&amp;")","")&amp;IF(COUNTIF(Binders!$J$6:$J$30,TRUE())&gt;1," ["&amp;Q92&amp;"]",""))</f>
        <v/>
      </c>
      <c r="H92" s="80" t="str">
        <f t="array" ref="H92">IF(A92="","",CHAR(10)&amp;INDEX(Wishlist!$A:$Z,ROW()-0,'List Setup'!$E$2)&amp;CHAR(10))</f>
        <v/>
      </c>
      <c r="I92" s="80" t="str">
        <f t="array" ref="I92">IF(OR(B92="",B92="(none)"),"",IF(ISNUMBER(SEARCH(CHAR(10)&amp;B92&amp;CHAR(10),H92)),B92,IFERROR(INDEX('Set Aliases'!$A$2:$A$501,MATCH(1,('Set Aliases'!$B$2:$B$501=B92)*ISNUMBER(SEARCH(CHAR(10)&amp;'Set Aliases'!$A$2:$A$501&amp;CHAR(10),H92)),0)),"")))</f>
        <v/>
      </c>
      <c r="J92" s="80" t="str">
        <f t="array" ref="J92">IF(I92="","",IFERROR(VALUE(TRIM(MID(SUBSTITUTE(INDEX(Wishlist!$A:$Z,ROW()-0,'List Setup'!$G$2),CHAR(10),REPT(" ",100)),((SEARCH(CHAR(10)&amp;I92&amp;CHAR(10),H92)-LEN(SUBSTITUTE(LEFT(H92,SEARCH(CHAR(10)&amp;I92&amp;CHAR(10),H92)),CHAR(10),"")))-1)*100+1,100))),""))</f>
        <v/>
      </c>
      <c r="K92" s="80" t="str">
        <f t="array" ref="K92">IF(A92="","",IF(ISNUMBER(SEARCH("Land",LEFT(IFERROR(INDEX(Wishlist!$A:$Z,ROW()-0,'List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92" s="80" t="str">
        <f t="shared" si="3"/>
        <v/>
      </c>
      <c r="M92" s="80" t="str">
        <f>IF(A92="","",IF(AND(E92="Y",B92='Use at Shop'!$B$4),K92*10000000000+(MAX(0,MIN(26,CODE(MID(UPPER(A92)&amp;"    ",1,1))-64))*19683+MAX(0,MIN(26,CODE(MID(UPPER(A92)&amp;"    ",2,1))-64))*729+MAX(0,MIN(26,CODE(MID(UPPER(A92)&amp;"    ",3,1))-64))*27+MAX(0,MIN(26,CODE(MID(UPPER(A92)&amp;"    ",4,1))-64))*1)*10000+ROW(),""))</f>
        <v/>
      </c>
      <c r="N92" s="80" t="str">
        <f t="shared" si="4"/>
        <v/>
      </c>
      <c r="O92" s="80" t="str">
        <f t="array" ref="O92">IF(A92="","",IFERROR(INDEX(Wishlist!$A:$Z,ROW()-0,'List Setup'!$J$2)&amp;"",""))</f>
        <v/>
      </c>
      <c r="P92" s="2"/>
      <c r="Q92" s="80" t="str">
        <f>IF(A92="","",'List Setup'!$A$2)</f>
        <v/>
      </c>
      <c r="R92" s="80" t="str">
        <f t="array" ref="R92">IF(A92="","",IFERROR(OR(INDEX(Binders!$J$6:$J$30,MATCH(Q92,Binders!$I$6:$I$30,0))=TRUE(),UPPER(INDEX(Binders!$J$6:$J$30,MATCH(Q92,Binders!$I$6:$I$30,0))&amp;"")="TRUE"),FALSE()))</f>
        <v/>
      </c>
    </row>
    <row r="93" ht="15.75" customHeight="1">
      <c r="A93" s="80" t="str">
        <f t="array" ref="A93">IF(INDEX(Wishlist!$A:$Z,ROW()-0,'List Setup'!$D$2)="","",INDEX(Wishlist!$A:$Z,ROW()-0,'List Setup'!$D$2))</f>
        <v/>
      </c>
      <c r="B93" s="80" t="str">
        <f t="array" ref="B93">IF(A93="","",IFERROR(INDEX('Binder Setup'!$B$2:$B$401,MIN(IF(ISNUMBER(SEARCH(CHAR(10)&amp;'Binder Setup'!$B$2:$B$401&amp;CHAR(10),$H93)),'List Setup'!$Q$2:$Q$401,999),IF(ISNUMBER(SEARCH(CHAR(10)&amp;'Set Aliases'!$A$2:$A$501&amp;CHAR(10),$H93)),'Set Aliases'!$C$2:$C$501,999))),"(none)"))</f>
        <v/>
      </c>
      <c r="C93" s="80" t="str">
        <f t="shared" si="1"/>
        <v/>
      </c>
      <c r="D93" s="80" t="str">
        <f t="array" ref="D93">IF(A93="","",IF(ISLOGICAL(INDEX(Wishlist!$A:$Z,ROW()-0,'List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93" s="80" t="str">
        <f t="shared" si="2"/>
        <v/>
      </c>
      <c r="F93" s="80" t="str">
        <f t="array" ref="F93">IF(A93="","",IF(ISNUMBER(J93),J93,IF(ISNUMBER(INDEX(Wishlist!$A:$Z,ROW()-0,'List Setup'!$F$2)),INDEX(Wishlist!$A:$Z,ROW()-0,'List Setup'!$F$2),0)))</f>
        <v/>
      </c>
      <c r="G93" s="80" t="str">
        <f t="array" ref="G93">IF(A93="","",A93&amp;IF(N(INDEX(Wishlist!$A:$Z,ROW()-0,'List Setup'!$C$2))&gt;1," (x"&amp;INDEX(Wishlist!$A:$Z,ROW()-0,'List Setup'!$C$2)&amp;")","")&amp;IF(COUNTIF(Binders!$J$6:$J$30,TRUE())&gt;1," ["&amp;Q93&amp;"]",""))</f>
        <v/>
      </c>
      <c r="H93" s="80" t="str">
        <f t="array" ref="H93">IF(A93="","",CHAR(10)&amp;INDEX(Wishlist!$A:$Z,ROW()-0,'List Setup'!$E$2)&amp;CHAR(10))</f>
        <v/>
      </c>
      <c r="I93" s="80" t="str">
        <f t="array" ref="I93">IF(OR(B93="",B93="(none)"),"",IF(ISNUMBER(SEARCH(CHAR(10)&amp;B93&amp;CHAR(10),H93)),B93,IFERROR(INDEX('Set Aliases'!$A$2:$A$501,MATCH(1,('Set Aliases'!$B$2:$B$501=B93)*ISNUMBER(SEARCH(CHAR(10)&amp;'Set Aliases'!$A$2:$A$501&amp;CHAR(10),H93)),0)),"")))</f>
        <v/>
      </c>
      <c r="J93" s="80" t="str">
        <f t="array" ref="J93">IF(I93="","",IFERROR(VALUE(TRIM(MID(SUBSTITUTE(INDEX(Wishlist!$A:$Z,ROW()-0,'List Setup'!$G$2),CHAR(10),REPT(" ",100)),((SEARCH(CHAR(10)&amp;I93&amp;CHAR(10),H93)-LEN(SUBSTITUTE(LEFT(H93,SEARCH(CHAR(10)&amp;I93&amp;CHAR(10),H93)),CHAR(10),"")))-1)*100+1,100))),""))</f>
        <v/>
      </c>
      <c r="K93" s="80" t="str">
        <f t="array" ref="K93">IF(A93="","",IF(ISNUMBER(SEARCH("Land",LEFT(IFERROR(INDEX(Wishlist!$A:$Z,ROW()-0,'List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93" s="80" t="str">
        <f t="shared" si="3"/>
        <v/>
      </c>
      <c r="M93" s="80" t="str">
        <f>IF(A93="","",IF(AND(E93="Y",B93='Use at Shop'!$B$4),K93*10000000000+(MAX(0,MIN(26,CODE(MID(UPPER(A93)&amp;"    ",1,1))-64))*19683+MAX(0,MIN(26,CODE(MID(UPPER(A93)&amp;"    ",2,1))-64))*729+MAX(0,MIN(26,CODE(MID(UPPER(A93)&amp;"    ",3,1))-64))*27+MAX(0,MIN(26,CODE(MID(UPPER(A93)&amp;"    ",4,1))-64))*1)*10000+ROW(),""))</f>
        <v/>
      </c>
      <c r="N93" s="80" t="str">
        <f t="shared" si="4"/>
        <v/>
      </c>
      <c r="O93" s="80" t="str">
        <f t="array" ref="O93">IF(A93="","",IFERROR(INDEX(Wishlist!$A:$Z,ROW()-0,'List Setup'!$J$2)&amp;"",""))</f>
        <v/>
      </c>
      <c r="P93" s="2"/>
      <c r="Q93" s="80" t="str">
        <f>IF(A93="","",'List Setup'!$A$2)</f>
        <v/>
      </c>
      <c r="R93" s="80" t="str">
        <f t="array" ref="R93">IF(A93="","",IFERROR(OR(INDEX(Binders!$J$6:$J$30,MATCH(Q93,Binders!$I$6:$I$30,0))=TRUE(),UPPER(INDEX(Binders!$J$6:$J$30,MATCH(Q93,Binders!$I$6:$I$30,0))&amp;"")="TRUE"),FALSE()))</f>
        <v/>
      </c>
    </row>
    <row r="94" ht="15.75" customHeight="1">
      <c r="A94" s="80" t="str">
        <f t="array" ref="A94">IF(INDEX(Wishlist!$A:$Z,ROW()-0,'List Setup'!$D$2)="","",INDEX(Wishlist!$A:$Z,ROW()-0,'List Setup'!$D$2))</f>
        <v/>
      </c>
      <c r="B94" s="80" t="str">
        <f t="array" ref="B94">IF(A94="","",IFERROR(INDEX('Binder Setup'!$B$2:$B$401,MIN(IF(ISNUMBER(SEARCH(CHAR(10)&amp;'Binder Setup'!$B$2:$B$401&amp;CHAR(10),$H94)),'List Setup'!$Q$2:$Q$401,999),IF(ISNUMBER(SEARCH(CHAR(10)&amp;'Set Aliases'!$A$2:$A$501&amp;CHAR(10),$H94)),'Set Aliases'!$C$2:$C$501,999))),"(none)"))</f>
        <v/>
      </c>
      <c r="C94" s="80" t="str">
        <f t="shared" si="1"/>
        <v/>
      </c>
      <c r="D94" s="80" t="str">
        <f t="array" ref="D94">IF(A94="","",IF(ISLOGICAL(INDEX(Wishlist!$A:$Z,ROW()-0,'List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94" s="80" t="str">
        <f t="shared" si="2"/>
        <v/>
      </c>
      <c r="F94" s="80" t="str">
        <f t="array" ref="F94">IF(A94="","",IF(ISNUMBER(J94),J94,IF(ISNUMBER(INDEX(Wishlist!$A:$Z,ROW()-0,'List Setup'!$F$2)),INDEX(Wishlist!$A:$Z,ROW()-0,'List Setup'!$F$2),0)))</f>
        <v/>
      </c>
      <c r="G94" s="80" t="str">
        <f t="array" ref="G94">IF(A94="","",A94&amp;IF(N(INDEX(Wishlist!$A:$Z,ROW()-0,'List Setup'!$C$2))&gt;1," (x"&amp;INDEX(Wishlist!$A:$Z,ROW()-0,'List Setup'!$C$2)&amp;")","")&amp;IF(COUNTIF(Binders!$J$6:$J$30,TRUE())&gt;1," ["&amp;Q94&amp;"]",""))</f>
        <v/>
      </c>
      <c r="H94" s="80" t="str">
        <f t="array" ref="H94">IF(A94="","",CHAR(10)&amp;INDEX(Wishlist!$A:$Z,ROW()-0,'List Setup'!$E$2)&amp;CHAR(10))</f>
        <v/>
      </c>
      <c r="I94" s="80" t="str">
        <f t="array" ref="I94">IF(OR(B94="",B94="(none)"),"",IF(ISNUMBER(SEARCH(CHAR(10)&amp;B94&amp;CHAR(10),H94)),B94,IFERROR(INDEX('Set Aliases'!$A$2:$A$501,MATCH(1,('Set Aliases'!$B$2:$B$501=B94)*ISNUMBER(SEARCH(CHAR(10)&amp;'Set Aliases'!$A$2:$A$501&amp;CHAR(10),H94)),0)),"")))</f>
        <v/>
      </c>
      <c r="J94" s="80" t="str">
        <f t="array" ref="J94">IF(I94="","",IFERROR(VALUE(TRIM(MID(SUBSTITUTE(INDEX(Wishlist!$A:$Z,ROW()-0,'List Setup'!$G$2),CHAR(10),REPT(" ",100)),((SEARCH(CHAR(10)&amp;I94&amp;CHAR(10),H94)-LEN(SUBSTITUTE(LEFT(H94,SEARCH(CHAR(10)&amp;I94&amp;CHAR(10),H94)),CHAR(10),"")))-1)*100+1,100))),""))</f>
        <v/>
      </c>
      <c r="K94" s="80" t="str">
        <f t="array" ref="K94">IF(A94="","",IF(ISNUMBER(SEARCH("Land",LEFT(IFERROR(INDEX(Wishlist!$A:$Z,ROW()-0,'List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94" s="80" t="str">
        <f t="shared" si="3"/>
        <v/>
      </c>
      <c r="M94" s="80" t="str">
        <f>IF(A94="","",IF(AND(E94="Y",B94='Use at Shop'!$B$4),K94*10000000000+(MAX(0,MIN(26,CODE(MID(UPPER(A94)&amp;"    ",1,1))-64))*19683+MAX(0,MIN(26,CODE(MID(UPPER(A94)&amp;"    ",2,1))-64))*729+MAX(0,MIN(26,CODE(MID(UPPER(A94)&amp;"    ",3,1))-64))*27+MAX(0,MIN(26,CODE(MID(UPPER(A94)&amp;"    ",4,1))-64))*1)*10000+ROW(),""))</f>
        <v/>
      </c>
      <c r="N94" s="80" t="str">
        <f t="shared" si="4"/>
        <v/>
      </c>
      <c r="O94" s="80" t="str">
        <f t="array" ref="O94">IF(A94="","",IFERROR(INDEX(Wishlist!$A:$Z,ROW()-0,'List Setup'!$J$2)&amp;"",""))</f>
        <v/>
      </c>
      <c r="P94" s="2"/>
      <c r="Q94" s="80" t="str">
        <f>IF(A94="","",'List Setup'!$A$2)</f>
        <v/>
      </c>
      <c r="R94" s="80" t="str">
        <f t="array" ref="R94">IF(A94="","",IFERROR(OR(INDEX(Binders!$J$6:$J$30,MATCH(Q94,Binders!$I$6:$I$30,0))=TRUE(),UPPER(INDEX(Binders!$J$6:$J$30,MATCH(Q94,Binders!$I$6:$I$30,0))&amp;"")="TRUE"),FALSE()))</f>
        <v/>
      </c>
    </row>
    <row r="95" ht="15.75" customHeight="1">
      <c r="A95" s="80" t="str">
        <f t="array" ref="A95">IF(INDEX(Wishlist!$A:$Z,ROW()-0,'List Setup'!$D$2)="","",INDEX(Wishlist!$A:$Z,ROW()-0,'List Setup'!$D$2))</f>
        <v/>
      </c>
      <c r="B95" s="80" t="str">
        <f t="array" ref="B95">IF(A95="","",IFERROR(INDEX('Binder Setup'!$B$2:$B$401,MIN(IF(ISNUMBER(SEARCH(CHAR(10)&amp;'Binder Setup'!$B$2:$B$401&amp;CHAR(10),$H95)),'List Setup'!$Q$2:$Q$401,999),IF(ISNUMBER(SEARCH(CHAR(10)&amp;'Set Aliases'!$A$2:$A$501&amp;CHAR(10),$H95)),'Set Aliases'!$C$2:$C$501,999))),"(none)"))</f>
        <v/>
      </c>
      <c r="C95" s="80" t="str">
        <f t="shared" si="1"/>
        <v/>
      </c>
      <c r="D95" s="80" t="str">
        <f t="array" ref="D95">IF(A95="","",IF(ISLOGICAL(INDEX(Wishlist!$A:$Z,ROW()-0,'List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95" s="80" t="str">
        <f t="shared" si="2"/>
        <v/>
      </c>
      <c r="F95" s="80" t="str">
        <f t="array" ref="F95">IF(A95="","",IF(ISNUMBER(J95),J95,IF(ISNUMBER(INDEX(Wishlist!$A:$Z,ROW()-0,'List Setup'!$F$2)),INDEX(Wishlist!$A:$Z,ROW()-0,'List Setup'!$F$2),0)))</f>
        <v/>
      </c>
      <c r="G95" s="80" t="str">
        <f t="array" ref="G95">IF(A95="","",A95&amp;IF(N(INDEX(Wishlist!$A:$Z,ROW()-0,'List Setup'!$C$2))&gt;1," (x"&amp;INDEX(Wishlist!$A:$Z,ROW()-0,'List Setup'!$C$2)&amp;")","")&amp;IF(COUNTIF(Binders!$J$6:$J$30,TRUE())&gt;1," ["&amp;Q95&amp;"]",""))</f>
        <v/>
      </c>
      <c r="H95" s="80" t="str">
        <f t="array" ref="H95">IF(A95="","",CHAR(10)&amp;INDEX(Wishlist!$A:$Z,ROW()-0,'List Setup'!$E$2)&amp;CHAR(10))</f>
        <v/>
      </c>
      <c r="I95" s="80" t="str">
        <f t="array" ref="I95">IF(OR(B95="",B95="(none)"),"",IF(ISNUMBER(SEARCH(CHAR(10)&amp;B95&amp;CHAR(10),H95)),B95,IFERROR(INDEX('Set Aliases'!$A$2:$A$501,MATCH(1,('Set Aliases'!$B$2:$B$501=B95)*ISNUMBER(SEARCH(CHAR(10)&amp;'Set Aliases'!$A$2:$A$501&amp;CHAR(10),H95)),0)),"")))</f>
        <v/>
      </c>
      <c r="J95" s="80" t="str">
        <f t="array" ref="J95">IF(I95="","",IFERROR(VALUE(TRIM(MID(SUBSTITUTE(INDEX(Wishlist!$A:$Z,ROW()-0,'List Setup'!$G$2),CHAR(10),REPT(" ",100)),((SEARCH(CHAR(10)&amp;I95&amp;CHAR(10),H95)-LEN(SUBSTITUTE(LEFT(H95,SEARCH(CHAR(10)&amp;I95&amp;CHAR(10),H95)),CHAR(10),"")))-1)*100+1,100))),""))</f>
        <v/>
      </c>
      <c r="K95" s="80" t="str">
        <f t="array" ref="K95">IF(A95="","",IF(ISNUMBER(SEARCH("Land",LEFT(IFERROR(INDEX(Wishlist!$A:$Z,ROW()-0,'List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95" s="80" t="str">
        <f t="shared" si="3"/>
        <v/>
      </c>
      <c r="M95" s="80" t="str">
        <f>IF(A95="","",IF(AND(E95="Y",B95='Use at Shop'!$B$4),K95*10000000000+(MAX(0,MIN(26,CODE(MID(UPPER(A95)&amp;"    ",1,1))-64))*19683+MAX(0,MIN(26,CODE(MID(UPPER(A95)&amp;"    ",2,1))-64))*729+MAX(0,MIN(26,CODE(MID(UPPER(A95)&amp;"    ",3,1))-64))*27+MAX(0,MIN(26,CODE(MID(UPPER(A95)&amp;"    ",4,1))-64))*1)*10000+ROW(),""))</f>
        <v/>
      </c>
      <c r="N95" s="80" t="str">
        <f t="shared" si="4"/>
        <v/>
      </c>
      <c r="O95" s="80" t="str">
        <f t="array" ref="O95">IF(A95="","",IFERROR(INDEX(Wishlist!$A:$Z,ROW()-0,'List Setup'!$J$2)&amp;"",""))</f>
        <v/>
      </c>
      <c r="P95" s="2"/>
      <c r="Q95" s="80" t="str">
        <f>IF(A95="","",'List Setup'!$A$2)</f>
        <v/>
      </c>
      <c r="R95" s="80" t="str">
        <f t="array" ref="R95">IF(A95="","",IFERROR(OR(INDEX(Binders!$J$6:$J$30,MATCH(Q95,Binders!$I$6:$I$30,0))=TRUE(),UPPER(INDEX(Binders!$J$6:$J$30,MATCH(Q95,Binders!$I$6:$I$30,0))&amp;"")="TRUE"),FALSE()))</f>
        <v/>
      </c>
    </row>
    <row r="96" ht="15.75" customHeight="1">
      <c r="A96" s="80" t="str">
        <f t="array" ref="A96">IF(INDEX(Wishlist!$A:$Z,ROW()-0,'List Setup'!$D$2)="","",INDEX(Wishlist!$A:$Z,ROW()-0,'List Setup'!$D$2))</f>
        <v/>
      </c>
      <c r="B96" s="80" t="str">
        <f t="array" ref="B96">IF(A96="","",IFERROR(INDEX('Binder Setup'!$B$2:$B$401,MIN(IF(ISNUMBER(SEARCH(CHAR(10)&amp;'Binder Setup'!$B$2:$B$401&amp;CHAR(10),$H96)),'List Setup'!$Q$2:$Q$401,999),IF(ISNUMBER(SEARCH(CHAR(10)&amp;'Set Aliases'!$A$2:$A$501&amp;CHAR(10),$H96)),'Set Aliases'!$C$2:$C$501,999))),"(none)"))</f>
        <v/>
      </c>
      <c r="C96" s="80" t="str">
        <f t="shared" si="1"/>
        <v/>
      </c>
      <c r="D96" s="80" t="str">
        <f t="array" ref="D96">IF(A96="","",IF(ISLOGICAL(INDEX(Wishlist!$A:$Z,ROW()-0,'List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96" s="80" t="str">
        <f t="shared" si="2"/>
        <v/>
      </c>
      <c r="F96" s="80" t="str">
        <f t="array" ref="F96">IF(A96="","",IF(ISNUMBER(J96),J96,IF(ISNUMBER(INDEX(Wishlist!$A:$Z,ROW()-0,'List Setup'!$F$2)),INDEX(Wishlist!$A:$Z,ROW()-0,'List Setup'!$F$2),0)))</f>
        <v/>
      </c>
      <c r="G96" s="80" t="str">
        <f t="array" ref="G96">IF(A96="","",A96&amp;IF(N(INDEX(Wishlist!$A:$Z,ROW()-0,'List Setup'!$C$2))&gt;1," (x"&amp;INDEX(Wishlist!$A:$Z,ROW()-0,'List Setup'!$C$2)&amp;")","")&amp;IF(COUNTIF(Binders!$J$6:$J$30,TRUE())&gt;1," ["&amp;Q96&amp;"]",""))</f>
        <v/>
      </c>
      <c r="H96" s="80" t="str">
        <f t="array" ref="H96">IF(A96="","",CHAR(10)&amp;INDEX(Wishlist!$A:$Z,ROW()-0,'List Setup'!$E$2)&amp;CHAR(10))</f>
        <v/>
      </c>
      <c r="I96" s="80" t="str">
        <f t="array" ref="I96">IF(OR(B96="",B96="(none)"),"",IF(ISNUMBER(SEARCH(CHAR(10)&amp;B96&amp;CHAR(10),H96)),B96,IFERROR(INDEX('Set Aliases'!$A$2:$A$501,MATCH(1,('Set Aliases'!$B$2:$B$501=B96)*ISNUMBER(SEARCH(CHAR(10)&amp;'Set Aliases'!$A$2:$A$501&amp;CHAR(10),H96)),0)),"")))</f>
        <v/>
      </c>
      <c r="J96" s="80" t="str">
        <f t="array" ref="J96">IF(I96="","",IFERROR(VALUE(TRIM(MID(SUBSTITUTE(INDEX(Wishlist!$A:$Z,ROW()-0,'List Setup'!$G$2),CHAR(10),REPT(" ",100)),((SEARCH(CHAR(10)&amp;I96&amp;CHAR(10),H96)-LEN(SUBSTITUTE(LEFT(H96,SEARCH(CHAR(10)&amp;I96&amp;CHAR(10),H96)),CHAR(10),"")))-1)*100+1,100))),""))</f>
        <v/>
      </c>
      <c r="K96" s="80" t="str">
        <f t="array" ref="K96">IF(A96="","",IF(ISNUMBER(SEARCH("Land",LEFT(IFERROR(INDEX(Wishlist!$A:$Z,ROW()-0,'List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96" s="80" t="str">
        <f t="shared" si="3"/>
        <v/>
      </c>
      <c r="M96" s="80" t="str">
        <f>IF(A96="","",IF(AND(E96="Y",B96='Use at Shop'!$B$4),K96*10000000000+(MAX(0,MIN(26,CODE(MID(UPPER(A96)&amp;"    ",1,1))-64))*19683+MAX(0,MIN(26,CODE(MID(UPPER(A96)&amp;"    ",2,1))-64))*729+MAX(0,MIN(26,CODE(MID(UPPER(A96)&amp;"    ",3,1))-64))*27+MAX(0,MIN(26,CODE(MID(UPPER(A96)&amp;"    ",4,1))-64))*1)*10000+ROW(),""))</f>
        <v/>
      </c>
      <c r="N96" s="80" t="str">
        <f t="shared" si="4"/>
        <v/>
      </c>
      <c r="O96" s="80" t="str">
        <f t="array" ref="O96">IF(A96="","",IFERROR(INDEX(Wishlist!$A:$Z,ROW()-0,'List Setup'!$J$2)&amp;"",""))</f>
        <v/>
      </c>
      <c r="P96" s="2"/>
      <c r="Q96" s="80" t="str">
        <f>IF(A96="","",'List Setup'!$A$2)</f>
        <v/>
      </c>
      <c r="R96" s="80" t="str">
        <f t="array" ref="R96">IF(A96="","",IFERROR(OR(INDEX(Binders!$J$6:$J$30,MATCH(Q96,Binders!$I$6:$I$30,0))=TRUE(),UPPER(INDEX(Binders!$J$6:$J$30,MATCH(Q96,Binders!$I$6:$I$30,0))&amp;"")="TRUE"),FALSE()))</f>
        <v/>
      </c>
    </row>
    <row r="97" ht="15.75" customHeight="1">
      <c r="A97" s="80" t="str">
        <f t="array" ref="A97">IF(INDEX(Wishlist!$A:$Z,ROW()-0,'List Setup'!$D$2)="","",INDEX(Wishlist!$A:$Z,ROW()-0,'List Setup'!$D$2))</f>
        <v/>
      </c>
      <c r="B97" s="80" t="str">
        <f t="array" ref="B97">IF(A97="","",IFERROR(INDEX('Binder Setup'!$B$2:$B$401,MIN(IF(ISNUMBER(SEARCH(CHAR(10)&amp;'Binder Setup'!$B$2:$B$401&amp;CHAR(10),$H97)),'List Setup'!$Q$2:$Q$401,999),IF(ISNUMBER(SEARCH(CHAR(10)&amp;'Set Aliases'!$A$2:$A$501&amp;CHAR(10),$H97)),'Set Aliases'!$C$2:$C$501,999))),"(none)"))</f>
        <v/>
      </c>
      <c r="C97" s="80" t="str">
        <f t="shared" si="1"/>
        <v/>
      </c>
      <c r="D97" s="80" t="str">
        <f t="array" ref="D97">IF(A97="","",IF(ISLOGICAL(INDEX(Wishlist!$A:$Z,ROW()-0,'List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97" s="80" t="str">
        <f t="shared" si="2"/>
        <v/>
      </c>
      <c r="F97" s="80" t="str">
        <f t="array" ref="F97">IF(A97="","",IF(ISNUMBER(J97),J97,IF(ISNUMBER(INDEX(Wishlist!$A:$Z,ROW()-0,'List Setup'!$F$2)),INDEX(Wishlist!$A:$Z,ROW()-0,'List Setup'!$F$2),0)))</f>
        <v/>
      </c>
      <c r="G97" s="80" t="str">
        <f t="array" ref="G97">IF(A97="","",A97&amp;IF(N(INDEX(Wishlist!$A:$Z,ROW()-0,'List Setup'!$C$2))&gt;1," (x"&amp;INDEX(Wishlist!$A:$Z,ROW()-0,'List Setup'!$C$2)&amp;")","")&amp;IF(COUNTIF(Binders!$J$6:$J$30,TRUE())&gt;1," ["&amp;Q97&amp;"]",""))</f>
        <v/>
      </c>
      <c r="H97" s="80" t="str">
        <f t="array" ref="H97">IF(A97="","",CHAR(10)&amp;INDEX(Wishlist!$A:$Z,ROW()-0,'List Setup'!$E$2)&amp;CHAR(10))</f>
        <v/>
      </c>
      <c r="I97" s="80" t="str">
        <f t="array" ref="I97">IF(OR(B97="",B97="(none)"),"",IF(ISNUMBER(SEARCH(CHAR(10)&amp;B97&amp;CHAR(10),H97)),B97,IFERROR(INDEX('Set Aliases'!$A$2:$A$501,MATCH(1,('Set Aliases'!$B$2:$B$501=B97)*ISNUMBER(SEARCH(CHAR(10)&amp;'Set Aliases'!$A$2:$A$501&amp;CHAR(10),H97)),0)),"")))</f>
        <v/>
      </c>
      <c r="J97" s="80" t="str">
        <f t="array" ref="J97">IF(I97="","",IFERROR(VALUE(TRIM(MID(SUBSTITUTE(INDEX(Wishlist!$A:$Z,ROW()-0,'List Setup'!$G$2),CHAR(10),REPT(" ",100)),((SEARCH(CHAR(10)&amp;I97&amp;CHAR(10),H97)-LEN(SUBSTITUTE(LEFT(H97,SEARCH(CHAR(10)&amp;I97&amp;CHAR(10),H97)),CHAR(10),"")))-1)*100+1,100))),""))</f>
        <v/>
      </c>
      <c r="K97" s="80" t="str">
        <f t="array" ref="K97">IF(A97="","",IF(ISNUMBER(SEARCH("Land",LEFT(IFERROR(INDEX(Wishlist!$A:$Z,ROW()-0,'List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97" s="80" t="str">
        <f t="shared" si="3"/>
        <v/>
      </c>
      <c r="M97" s="80" t="str">
        <f>IF(A97="","",IF(AND(E97="Y",B97='Use at Shop'!$B$4),K97*10000000000+(MAX(0,MIN(26,CODE(MID(UPPER(A97)&amp;"    ",1,1))-64))*19683+MAX(0,MIN(26,CODE(MID(UPPER(A97)&amp;"    ",2,1))-64))*729+MAX(0,MIN(26,CODE(MID(UPPER(A97)&amp;"    ",3,1))-64))*27+MAX(0,MIN(26,CODE(MID(UPPER(A97)&amp;"    ",4,1))-64))*1)*10000+ROW(),""))</f>
        <v/>
      </c>
      <c r="N97" s="80" t="str">
        <f t="shared" si="4"/>
        <v/>
      </c>
      <c r="O97" s="80" t="str">
        <f t="array" ref="O97">IF(A97="","",IFERROR(INDEX(Wishlist!$A:$Z,ROW()-0,'List Setup'!$J$2)&amp;"",""))</f>
        <v/>
      </c>
      <c r="P97" s="2"/>
      <c r="Q97" s="80" t="str">
        <f>IF(A97="","",'List Setup'!$A$2)</f>
        <v/>
      </c>
      <c r="R97" s="80" t="str">
        <f t="array" ref="R97">IF(A97="","",IFERROR(OR(INDEX(Binders!$J$6:$J$30,MATCH(Q97,Binders!$I$6:$I$30,0))=TRUE(),UPPER(INDEX(Binders!$J$6:$J$30,MATCH(Q97,Binders!$I$6:$I$30,0))&amp;"")="TRUE"),FALSE()))</f>
        <v/>
      </c>
    </row>
    <row r="98" ht="15.75" customHeight="1">
      <c r="A98" s="80" t="str">
        <f t="array" ref="A98">IF(INDEX(Wishlist!$A:$Z,ROW()-0,'List Setup'!$D$2)="","",INDEX(Wishlist!$A:$Z,ROW()-0,'List Setup'!$D$2))</f>
        <v/>
      </c>
      <c r="B98" s="80" t="str">
        <f t="array" ref="B98">IF(A98="","",IFERROR(INDEX('Binder Setup'!$B$2:$B$401,MIN(IF(ISNUMBER(SEARCH(CHAR(10)&amp;'Binder Setup'!$B$2:$B$401&amp;CHAR(10),$H98)),'List Setup'!$Q$2:$Q$401,999),IF(ISNUMBER(SEARCH(CHAR(10)&amp;'Set Aliases'!$A$2:$A$501&amp;CHAR(10),$H98)),'Set Aliases'!$C$2:$C$501,999))),"(none)"))</f>
        <v/>
      </c>
      <c r="C98" s="80" t="str">
        <f t="shared" si="1"/>
        <v/>
      </c>
      <c r="D98" s="80" t="str">
        <f t="array" ref="D98">IF(A98="","",IF(ISLOGICAL(INDEX(Wishlist!$A:$Z,ROW()-0,'List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98" s="80" t="str">
        <f t="shared" si="2"/>
        <v/>
      </c>
      <c r="F98" s="80" t="str">
        <f t="array" ref="F98">IF(A98="","",IF(ISNUMBER(J98),J98,IF(ISNUMBER(INDEX(Wishlist!$A:$Z,ROW()-0,'List Setup'!$F$2)),INDEX(Wishlist!$A:$Z,ROW()-0,'List Setup'!$F$2),0)))</f>
        <v/>
      </c>
      <c r="G98" s="80" t="str">
        <f t="array" ref="G98">IF(A98="","",A98&amp;IF(N(INDEX(Wishlist!$A:$Z,ROW()-0,'List Setup'!$C$2))&gt;1," (x"&amp;INDEX(Wishlist!$A:$Z,ROW()-0,'List Setup'!$C$2)&amp;")","")&amp;IF(COUNTIF(Binders!$J$6:$J$30,TRUE())&gt;1," ["&amp;Q98&amp;"]",""))</f>
        <v/>
      </c>
      <c r="H98" s="80" t="str">
        <f t="array" ref="H98">IF(A98="","",CHAR(10)&amp;INDEX(Wishlist!$A:$Z,ROW()-0,'List Setup'!$E$2)&amp;CHAR(10))</f>
        <v/>
      </c>
      <c r="I98" s="80" t="str">
        <f t="array" ref="I98">IF(OR(B98="",B98="(none)"),"",IF(ISNUMBER(SEARCH(CHAR(10)&amp;B98&amp;CHAR(10),H98)),B98,IFERROR(INDEX('Set Aliases'!$A$2:$A$501,MATCH(1,('Set Aliases'!$B$2:$B$501=B98)*ISNUMBER(SEARCH(CHAR(10)&amp;'Set Aliases'!$A$2:$A$501&amp;CHAR(10),H98)),0)),"")))</f>
        <v/>
      </c>
      <c r="J98" s="80" t="str">
        <f t="array" ref="J98">IF(I98="","",IFERROR(VALUE(TRIM(MID(SUBSTITUTE(INDEX(Wishlist!$A:$Z,ROW()-0,'List Setup'!$G$2),CHAR(10),REPT(" ",100)),((SEARCH(CHAR(10)&amp;I98&amp;CHAR(10),H98)-LEN(SUBSTITUTE(LEFT(H98,SEARCH(CHAR(10)&amp;I98&amp;CHAR(10),H98)),CHAR(10),"")))-1)*100+1,100))),""))</f>
        <v/>
      </c>
      <c r="K98" s="80" t="str">
        <f t="array" ref="K98">IF(A98="","",IF(ISNUMBER(SEARCH("Land",LEFT(IFERROR(INDEX(Wishlist!$A:$Z,ROW()-0,'List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98" s="80" t="str">
        <f t="shared" si="3"/>
        <v/>
      </c>
      <c r="M98" s="80" t="str">
        <f>IF(A98="","",IF(AND(E98="Y",B98='Use at Shop'!$B$4),K98*10000000000+(MAX(0,MIN(26,CODE(MID(UPPER(A98)&amp;"    ",1,1))-64))*19683+MAX(0,MIN(26,CODE(MID(UPPER(A98)&amp;"    ",2,1))-64))*729+MAX(0,MIN(26,CODE(MID(UPPER(A98)&amp;"    ",3,1))-64))*27+MAX(0,MIN(26,CODE(MID(UPPER(A98)&amp;"    ",4,1))-64))*1)*10000+ROW(),""))</f>
        <v/>
      </c>
      <c r="N98" s="80" t="str">
        <f t="shared" si="4"/>
        <v/>
      </c>
      <c r="O98" s="80" t="str">
        <f t="array" ref="O98">IF(A98="","",IFERROR(INDEX(Wishlist!$A:$Z,ROW()-0,'List Setup'!$J$2)&amp;"",""))</f>
        <v/>
      </c>
      <c r="P98" s="2"/>
      <c r="Q98" s="80" t="str">
        <f>IF(A98="","",'List Setup'!$A$2)</f>
        <v/>
      </c>
      <c r="R98" s="80" t="str">
        <f t="array" ref="R98">IF(A98="","",IFERROR(OR(INDEX(Binders!$J$6:$J$30,MATCH(Q98,Binders!$I$6:$I$30,0))=TRUE(),UPPER(INDEX(Binders!$J$6:$J$30,MATCH(Q98,Binders!$I$6:$I$30,0))&amp;"")="TRUE"),FALSE()))</f>
        <v/>
      </c>
    </row>
    <row r="99" ht="15.75" customHeight="1">
      <c r="A99" s="80" t="str">
        <f t="array" ref="A99">IF(INDEX(Wishlist!$A:$Z,ROW()-0,'List Setup'!$D$2)="","",INDEX(Wishlist!$A:$Z,ROW()-0,'List Setup'!$D$2))</f>
        <v/>
      </c>
      <c r="B99" s="80" t="str">
        <f t="array" ref="B99">IF(A99="","",IFERROR(INDEX('Binder Setup'!$B$2:$B$401,MIN(IF(ISNUMBER(SEARCH(CHAR(10)&amp;'Binder Setup'!$B$2:$B$401&amp;CHAR(10),$H99)),'List Setup'!$Q$2:$Q$401,999),IF(ISNUMBER(SEARCH(CHAR(10)&amp;'Set Aliases'!$A$2:$A$501&amp;CHAR(10),$H99)),'Set Aliases'!$C$2:$C$501,999))),"(none)"))</f>
        <v/>
      </c>
      <c r="C99" s="80" t="str">
        <f t="shared" si="1"/>
        <v/>
      </c>
      <c r="D99" s="80" t="str">
        <f t="array" ref="D99">IF(A99="","",IF(ISLOGICAL(INDEX(Wishlist!$A:$Z,ROW()-0,'List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99" s="80" t="str">
        <f t="shared" si="2"/>
        <v/>
      </c>
      <c r="F99" s="80" t="str">
        <f t="array" ref="F99">IF(A99="","",IF(ISNUMBER(J99),J99,IF(ISNUMBER(INDEX(Wishlist!$A:$Z,ROW()-0,'List Setup'!$F$2)),INDEX(Wishlist!$A:$Z,ROW()-0,'List Setup'!$F$2),0)))</f>
        <v/>
      </c>
      <c r="G99" s="80" t="str">
        <f t="array" ref="G99">IF(A99="","",A99&amp;IF(N(INDEX(Wishlist!$A:$Z,ROW()-0,'List Setup'!$C$2))&gt;1," (x"&amp;INDEX(Wishlist!$A:$Z,ROW()-0,'List Setup'!$C$2)&amp;")","")&amp;IF(COUNTIF(Binders!$J$6:$J$30,TRUE())&gt;1," ["&amp;Q99&amp;"]",""))</f>
        <v/>
      </c>
      <c r="H99" s="80" t="str">
        <f t="array" ref="H99">IF(A99="","",CHAR(10)&amp;INDEX(Wishlist!$A:$Z,ROW()-0,'List Setup'!$E$2)&amp;CHAR(10))</f>
        <v/>
      </c>
      <c r="I99" s="80" t="str">
        <f t="array" ref="I99">IF(OR(B99="",B99="(none)"),"",IF(ISNUMBER(SEARCH(CHAR(10)&amp;B99&amp;CHAR(10),H99)),B99,IFERROR(INDEX('Set Aliases'!$A$2:$A$501,MATCH(1,('Set Aliases'!$B$2:$B$501=B99)*ISNUMBER(SEARCH(CHAR(10)&amp;'Set Aliases'!$A$2:$A$501&amp;CHAR(10),H99)),0)),"")))</f>
        <v/>
      </c>
      <c r="J99" s="80" t="str">
        <f t="array" ref="J99">IF(I99="","",IFERROR(VALUE(TRIM(MID(SUBSTITUTE(INDEX(Wishlist!$A:$Z,ROW()-0,'List Setup'!$G$2),CHAR(10),REPT(" ",100)),((SEARCH(CHAR(10)&amp;I99&amp;CHAR(10),H99)-LEN(SUBSTITUTE(LEFT(H99,SEARCH(CHAR(10)&amp;I99&amp;CHAR(10),H99)),CHAR(10),"")))-1)*100+1,100))),""))</f>
        <v/>
      </c>
      <c r="K99" s="80" t="str">
        <f t="array" ref="K99">IF(A99="","",IF(ISNUMBER(SEARCH("Land",LEFT(IFERROR(INDEX(Wishlist!$A:$Z,ROW()-0,'List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99" s="80" t="str">
        <f t="shared" si="3"/>
        <v/>
      </c>
      <c r="M99" s="80" t="str">
        <f>IF(A99="","",IF(AND(E99="Y",B99='Use at Shop'!$B$4),K99*10000000000+(MAX(0,MIN(26,CODE(MID(UPPER(A99)&amp;"    ",1,1))-64))*19683+MAX(0,MIN(26,CODE(MID(UPPER(A99)&amp;"    ",2,1))-64))*729+MAX(0,MIN(26,CODE(MID(UPPER(A99)&amp;"    ",3,1))-64))*27+MAX(0,MIN(26,CODE(MID(UPPER(A99)&amp;"    ",4,1))-64))*1)*10000+ROW(),""))</f>
        <v/>
      </c>
      <c r="N99" s="80" t="str">
        <f t="shared" si="4"/>
        <v/>
      </c>
      <c r="O99" s="80" t="str">
        <f t="array" ref="O99">IF(A99="","",IFERROR(INDEX(Wishlist!$A:$Z,ROW()-0,'List Setup'!$J$2)&amp;"",""))</f>
        <v/>
      </c>
      <c r="P99" s="2"/>
      <c r="Q99" s="80" t="str">
        <f>IF(A99="","",'List Setup'!$A$2)</f>
        <v/>
      </c>
      <c r="R99" s="80" t="str">
        <f t="array" ref="R99">IF(A99="","",IFERROR(OR(INDEX(Binders!$J$6:$J$30,MATCH(Q99,Binders!$I$6:$I$30,0))=TRUE(),UPPER(INDEX(Binders!$J$6:$J$30,MATCH(Q99,Binders!$I$6:$I$30,0))&amp;"")="TRUE"),FALSE()))</f>
        <v/>
      </c>
    </row>
    <row r="100" ht="15.75" customHeight="1">
      <c r="A100" s="80" t="str">
        <f t="array" ref="A100">IF(INDEX(Wishlist!$A:$Z,ROW()-0,'List Setup'!$D$2)="","",INDEX(Wishlist!$A:$Z,ROW()-0,'List Setup'!$D$2))</f>
        <v/>
      </c>
      <c r="B100" s="80" t="str">
        <f t="array" ref="B100">IF(A100="","",IFERROR(INDEX('Binder Setup'!$B$2:$B$401,MIN(IF(ISNUMBER(SEARCH(CHAR(10)&amp;'Binder Setup'!$B$2:$B$401&amp;CHAR(10),$H100)),'List Setup'!$Q$2:$Q$401,999),IF(ISNUMBER(SEARCH(CHAR(10)&amp;'Set Aliases'!$A$2:$A$501&amp;CHAR(10),$H100)),'Set Aliases'!$C$2:$C$501,999))),"(none)"))</f>
        <v/>
      </c>
      <c r="C100" s="80" t="str">
        <f t="shared" si="1"/>
        <v/>
      </c>
      <c r="D100" s="80" t="str">
        <f t="array" ref="D100">IF(A100="","",IF(ISLOGICAL(INDEX(Wishlist!$A:$Z,ROW()-0,'List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00" s="80" t="str">
        <f t="shared" si="2"/>
        <v/>
      </c>
      <c r="F100" s="80" t="str">
        <f t="array" ref="F100">IF(A100="","",IF(ISNUMBER(J100),J100,IF(ISNUMBER(INDEX(Wishlist!$A:$Z,ROW()-0,'List Setup'!$F$2)),INDEX(Wishlist!$A:$Z,ROW()-0,'List Setup'!$F$2),0)))</f>
        <v/>
      </c>
      <c r="G100" s="80" t="str">
        <f t="array" ref="G100">IF(A100="","",A100&amp;IF(N(INDEX(Wishlist!$A:$Z,ROW()-0,'List Setup'!$C$2))&gt;1," (x"&amp;INDEX(Wishlist!$A:$Z,ROW()-0,'List Setup'!$C$2)&amp;")","")&amp;IF(COUNTIF(Binders!$J$6:$J$30,TRUE())&gt;1," ["&amp;Q100&amp;"]",""))</f>
        <v/>
      </c>
      <c r="H100" s="80" t="str">
        <f t="array" ref="H100">IF(A100="","",CHAR(10)&amp;INDEX(Wishlist!$A:$Z,ROW()-0,'List Setup'!$E$2)&amp;CHAR(10))</f>
        <v/>
      </c>
      <c r="I100" s="80" t="str">
        <f t="array" ref="I100">IF(OR(B100="",B100="(none)"),"",IF(ISNUMBER(SEARCH(CHAR(10)&amp;B100&amp;CHAR(10),H100)),B100,IFERROR(INDEX('Set Aliases'!$A$2:$A$501,MATCH(1,('Set Aliases'!$B$2:$B$501=B100)*ISNUMBER(SEARCH(CHAR(10)&amp;'Set Aliases'!$A$2:$A$501&amp;CHAR(10),H100)),0)),"")))</f>
        <v/>
      </c>
      <c r="J100" s="80" t="str">
        <f t="array" ref="J100">IF(I100="","",IFERROR(VALUE(TRIM(MID(SUBSTITUTE(INDEX(Wishlist!$A:$Z,ROW()-0,'List Setup'!$G$2),CHAR(10),REPT(" ",100)),((SEARCH(CHAR(10)&amp;I100&amp;CHAR(10),H100)-LEN(SUBSTITUTE(LEFT(H100,SEARCH(CHAR(10)&amp;I100&amp;CHAR(10),H100)),CHAR(10),"")))-1)*100+1,100))),""))</f>
        <v/>
      </c>
      <c r="K100" s="80" t="str">
        <f t="array" ref="K100">IF(A100="","",IF(ISNUMBER(SEARCH("Land",LEFT(IFERROR(INDEX(Wishlist!$A:$Z,ROW()-0,'List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00" s="80" t="str">
        <f t="shared" si="3"/>
        <v/>
      </c>
      <c r="M100" s="80" t="str">
        <f>IF(A100="","",IF(AND(E100="Y",B100='Use at Shop'!$B$4),K100*10000000000+(MAX(0,MIN(26,CODE(MID(UPPER(A100)&amp;"    ",1,1))-64))*19683+MAX(0,MIN(26,CODE(MID(UPPER(A100)&amp;"    ",2,1))-64))*729+MAX(0,MIN(26,CODE(MID(UPPER(A100)&amp;"    ",3,1))-64))*27+MAX(0,MIN(26,CODE(MID(UPPER(A100)&amp;"    ",4,1))-64))*1)*10000+ROW(),""))</f>
        <v/>
      </c>
      <c r="N100" s="80" t="str">
        <f t="shared" si="4"/>
        <v/>
      </c>
      <c r="O100" s="80" t="str">
        <f t="array" ref="O100">IF(A100="","",IFERROR(INDEX(Wishlist!$A:$Z,ROW()-0,'List Setup'!$J$2)&amp;"",""))</f>
        <v/>
      </c>
      <c r="P100" s="2"/>
      <c r="Q100" s="80" t="str">
        <f>IF(A100="","",'List Setup'!$A$2)</f>
        <v/>
      </c>
      <c r="R100" s="80" t="str">
        <f t="array" ref="R100">IF(A100="","",IFERROR(OR(INDEX(Binders!$J$6:$J$30,MATCH(Q100,Binders!$I$6:$I$30,0))=TRUE(),UPPER(INDEX(Binders!$J$6:$J$30,MATCH(Q100,Binders!$I$6:$I$30,0))&amp;"")="TRUE"),FALSE()))</f>
        <v/>
      </c>
    </row>
    <row r="101" ht="15.75" customHeight="1">
      <c r="A101" s="80" t="str">
        <f t="array" ref="A101">IF(INDEX(Wishlist!$A:$Z,ROW()-0,'List Setup'!$D$2)="","",INDEX(Wishlist!$A:$Z,ROW()-0,'List Setup'!$D$2))</f>
        <v/>
      </c>
      <c r="B101" s="80" t="str">
        <f t="array" ref="B101">IF(A101="","",IFERROR(INDEX('Binder Setup'!$B$2:$B$401,MIN(IF(ISNUMBER(SEARCH(CHAR(10)&amp;'Binder Setup'!$B$2:$B$401&amp;CHAR(10),$H101)),'List Setup'!$Q$2:$Q$401,999),IF(ISNUMBER(SEARCH(CHAR(10)&amp;'Set Aliases'!$A$2:$A$501&amp;CHAR(10),$H101)),'Set Aliases'!$C$2:$C$501,999))),"(none)"))</f>
        <v/>
      </c>
      <c r="C101" s="80" t="str">
        <f t="shared" si="1"/>
        <v/>
      </c>
      <c r="D101" s="80" t="str">
        <f t="array" ref="D101">IF(A101="","",IF(ISLOGICAL(INDEX(Wishlist!$A:$Z,ROW()-0,'List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01" s="80" t="str">
        <f t="shared" si="2"/>
        <v/>
      </c>
      <c r="F101" s="80" t="str">
        <f t="array" ref="F101">IF(A101="","",IF(ISNUMBER(J101),J101,IF(ISNUMBER(INDEX(Wishlist!$A:$Z,ROW()-0,'List Setup'!$F$2)),INDEX(Wishlist!$A:$Z,ROW()-0,'List Setup'!$F$2),0)))</f>
        <v/>
      </c>
      <c r="G101" s="80" t="str">
        <f t="array" ref="G101">IF(A101="","",A101&amp;IF(N(INDEX(Wishlist!$A:$Z,ROW()-0,'List Setup'!$C$2))&gt;1," (x"&amp;INDEX(Wishlist!$A:$Z,ROW()-0,'List Setup'!$C$2)&amp;")","")&amp;IF(COUNTIF(Binders!$J$6:$J$30,TRUE())&gt;1," ["&amp;Q101&amp;"]",""))</f>
        <v/>
      </c>
      <c r="H101" s="80" t="str">
        <f t="array" ref="H101">IF(A101="","",CHAR(10)&amp;INDEX(Wishlist!$A:$Z,ROW()-0,'List Setup'!$E$2)&amp;CHAR(10))</f>
        <v/>
      </c>
      <c r="I101" s="80" t="str">
        <f t="array" ref="I101">IF(OR(B101="",B101="(none)"),"",IF(ISNUMBER(SEARCH(CHAR(10)&amp;B101&amp;CHAR(10),H101)),B101,IFERROR(INDEX('Set Aliases'!$A$2:$A$501,MATCH(1,('Set Aliases'!$B$2:$B$501=B101)*ISNUMBER(SEARCH(CHAR(10)&amp;'Set Aliases'!$A$2:$A$501&amp;CHAR(10),H101)),0)),"")))</f>
        <v/>
      </c>
      <c r="J101" s="80" t="str">
        <f t="array" ref="J101">IF(I101="","",IFERROR(VALUE(TRIM(MID(SUBSTITUTE(INDEX(Wishlist!$A:$Z,ROW()-0,'List Setup'!$G$2),CHAR(10),REPT(" ",100)),((SEARCH(CHAR(10)&amp;I101&amp;CHAR(10),H101)-LEN(SUBSTITUTE(LEFT(H101,SEARCH(CHAR(10)&amp;I101&amp;CHAR(10),H101)),CHAR(10),"")))-1)*100+1,100))),""))</f>
        <v/>
      </c>
      <c r="K101" s="80" t="str">
        <f t="array" ref="K101">IF(A101="","",IF(ISNUMBER(SEARCH("Land",LEFT(IFERROR(INDEX(Wishlist!$A:$Z,ROW()-0,'List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01" s="80" t="str">
        <f t="shared" si="3"/>
        <v/>
      </c>
      <c r="M101" s="80" t="str">
        <f>IF(A101="","",IF(AND(E101="Y",B101='Use at Shop'!$B$4),K101*10000000000+(MAX(0,MIN(26,CODE(MID(UPPER(A101)&amp;"    ",1,1))-64))*19683+MAX(0,MIN(26,CODE(MID(UPPER(A101)&amp;"    ",2,1))-64))*729+MAX(0,MIN(26,CODE(MID(UPPER(A101)&amp;"    ",3,1))-64))*27+MAX(0,MIN(26,CODE(MID(UPPER(A101)&amp;"    ",4,1))-64))*1)*10000+ROW(),""))</f>
        <v/>
      </c>
      <c r="N101" s="80" t="str">
        <f t="shared" si="4"/>
        <v/>
      </c>
      <c r="O101" s="80" t="str">
        <f t="array" ref="O101">IF(A101="","",IFERROR(INDEX(Wishlist!$A:$Z,ROW()-0,'List Setup'!$J$2)&amp;"",""))</f>
        <v/>
      </c>
      <c r="P101" s="2"/>
      <c r="Q101" s="80" t="str">
        <f>IF(A101="","",'List Setup'!$A$2)</f>
        <v/>
      </c>
      <c r="R101" s="80" t="str">
        <f t="array" ref="R101">IF(A101="","",IFERROR(OR(INDEX(Binders!$J$6:$J$30,MATCH(Q101,Binders!$I$6:$I$30,0))=TRUE(),UPPER(INDEX(Binders!$J$6:$J$30,MATCH(Q101,Binders!$I$6:$I$30,0))&amp;"")="TRUE"),FALSE()))</f>
        <v/>
      </c>
    </row>
    <row r="102" ht="15.75" customHeight="1">
      <c r="A102" s="80" t="str">
        <f t="array" ref="A102">IF(INDEX(Wishlist!$A:$Z,ROW()-0,'List Setup'!$D$2)="","",INDEX(Wishlist!$A:$Z,ROW()-0,'List Setup'!$D$2))</f>
        <v/>
      </c>
      <c r="B102" s="80" t="str">
        <f t="array" ref="B102">IF(A102="","",IFERROR(INDEX('Binder Setup'!$B$2:$B$401,MIN(IF(ISNUMBER(SEARCH(CHAR(10)&amp;'Binder Setup'!$B$2:$B$401&amp;CHAR(10),$H102)),'List Setup'!$Q$2:$Q$401,999),IF(ISNUMBER(SEARCH(CHAR(10)&amp;'Set Aliases'!$A$2:$A$501&amp;CHAR(10),$H102)),'Set Aliases'!$C$2:$C$501,999))),"(none)"))</f>
        <v/>
      </c>
      <c r="C102" s="80" t="str">
        <f t="shared" si="1"/>
        <v/>
      </c>
      <c r="D102" s="80" t="str">
        <f t="array" ref="D102">IF(A102="","",IF(ISLOGICAL(INDEX(Wishlist!$A:$Z,ROW()-0,'List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02" s="80" t="str">
        <f t="shared" si="2"/>
        <v/>
      </c>
      <c r="F102" s="80" t="str">
        <f t="array" ref="F102">IF(A102="","",IF(ISNUMBER(J102),J102,IF(ISNUMBER(INDEX(Wishlist!$A:$Z,ROW()-0,'List Setup'!$F$2)),INDEX(Wishlist!$A:$Z,ROW()-0,'List Setup'!$F$2),0)))</f>
        <v/>
      </c>
      <c r="G102" s="80" t="str">
        <f t="array" ref="G102">IF(A102="","",A102&amp;IF(N(INDEX(Wishlist!$A:$Z,ROW()-0,'List Setup'!$C$2))&gt;1," (x"&amp;INDEX(Wishlist!$A:$Z,ROW()-0,'List Setup'!$C$2)&amp;")","")&amp;IF(COUNTIF(Binders!$J$6:$J$30,TRUE())&gt;1," ["&amp;Q102&amp;"]",""))</f>
        <v/>
      </c>
      <c r="H102" s="80" t="str">
        <f t="array" ref="H102">IF(A102="","",CHAR(10)&amp;INDEX(Wishlist!$A:$Z,ROW()-0,'List Setup'!$E$2)&amp;CHAR(10))</f>
        <v/>
      </c>
      <c r="I102" s="80" t="str">
        <f t="array" ref="I102">IF(OR(B102="",B102="(none)"),"",IF(ISNUMBER(SEARCH(CHAR(10)&amp;B102&amp;CHAR(10),H102)),B102,IFERROR(INDEX('Set Aliases'!$A$2:$A$501,MATCH(1,('Set Aliases'!$B$2:$B$501=B102)*ISNUMBER(SEARCH(CHAR(10)&amp;'Set Aliases'!$A$2:$A$501&amp;CHAR(10),H102)),0)),"")))</f>
        <v/>
      </c>
      <c r="J102" s="80" t="str">
        <f t="array" ref="J102">IF(I102="","",IFERROR(VALUE(TRIM(MID(SUBSTITUTE(INDEX(Wishlist!$A:$Z,ROW()-0,'List Setup'!$G$2),CHAR(10),REPT(" ",100)),((SEARCH(CHAR(10)&amp;I102&amp;CHAR(10),H102)-LEN(SUBSTITUTE(LEFT(H102,SEARCH(CHAR(10)&amp;I102&amp;CHAR(10),H102)),CHAR(10),"")))-1)*100+1,100))),""))</f>
        <v/>
      </c>
      <c r="K102" s="80" t="str">
        <f t="array" ref="K102">IF(A102="","",IF(ISNUMBER(SEARCH("Land",LEFT(IFERROR(INDEX(Wishlist!$A:$Z,ROW()-0,'List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02" s="80" t="str">
        <f t="shared" si="3"/>
        <v/>
      </c>
      <c r="M102" s="80" t="str">
        <f>IF(A102="","",IF(AND(E102="Y",B102='Use at Shop'!$B$4),K102*10000000000+(MAX(0,MIN(26,CODE(MID(UPPER(A102)&amp;"    ",1,1))-64))*19683+MAX(0,MIN(26,CODE(MID(UPPER(A102)&amp;"    ",2,1))-64))*729+MAX(0,MIN(26,CODE(MID(UPPER(A102)&amp;"    ",3,1))-64))*27+MAX(0,MIN(26,CODE(MID(UPPER(A102)&amp;"    ",4,1))-64))*1)*10000+ROW(),""))</f>
        <v/>
      </c>
      <c r="N102" s="80" t="str">
        <f t="shared" si="4"/>
        <v/>
      </c>
      <c r="O102" s="80" t="str">
        <f t="array" ref="O102">IF(A102="","",IFERROR(INDEX(Wishlist!$A:$Z,ROW()-0,'List Setup'!$J$2)&amp;"",""))</f>
        <v/>
      </c>
      <c r="P102" s="2"/>
      <c r="Q102" s="80" t="str">
        <f>IF(A102="","",'List Setup'!$A$2)</f>
        <v/>
      </c>
      <c r="R102" s="80" t="str">
        <f t="array" ref="R102">IF(A102="","",IFERROR(OR(INDEX(Binders!$J$6:$J$30,MATCH(Q102,Binders!$I$6:$I$30,0))=TRUE(),UPPER(INDEX(Binders!$J$6:$J$30,MATCH(Q102,Binders!$I$6:$I$30,0))&amp;"")="TRUE"),FALSE()))</f>
        <v/>
      </c>
    </row>
    <row r="103" ht="15.75" customHeight="1">
      <c r="A103" s="80" t="str">
        <f t="array" ref="A103">IF(INDEX(Wishlist!$A:$Z,ROW()-0,'List Setup'!$D$2)="","",INDEX(Wishlist!$A:$Z,ROW()-0,'List Setup'!$D$2))</f>
        <v/>
      </c>
      <c r="B103" s="80" t="str">
        <f t="array" ref="B103">IF(A103="","",IFERROR(INDEX('Binder Setup'!$B$2:$B$401,MIN(IF(ISNUMBER(SEARCH(CHAR(10)&amp;'Binder Setup'!$B$2:$B$401&amp;CHAR(10),$H103)),'List Setup'!$Q$2:$Q$401,999),IF(ISNUMBER(SEARCH(CHAR(10)&amp;'Set Aliases'!$A$2:$A$501&amp;CHAR(10),$H103)),'Set Aliases'!$C$2:$C$501,999))),"(none)"))</f>
        <v/>
      </c>
      <c r="C103" s="80" t="str">
        <f t="shared" si="1"/>
        <v/>
      </c>
      <c r="D103" s="80" t="str">
        <f t="array" ref="D103">IF(A103="","",IF(ISLOGICAL(INDEX(Wishlist!$A:$Z,ROW()-0,'List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03" s="80" t="str">
        <f t="shared" si="2"/>
        <v/>
      </c>
      <c r="F103" s="80" t="str">
        <f t="array" ref="F103">IF(A103="","",IF(ISNUMBER(J103),J103,IF(ISNUMBER(INDEX(Wishlist!$A:$Z,ROW()-0,'List Setup'!$F$2)),INDEX(Wishlist!$A:$Z,ROW()-0,'List Setup'!$F$2),0)))</f>
        <v/>
      </c>
      <c r="G103" s="80" t="str">
        <f t="array" ref="G103">IF(A103="","",A103&amp;IF(N(INDEX(Wishlist!$A:$Z,ROW()-0,'List Setup'!$C$2))&gt;1," (x"&amp;INDEX(Wishlist!$A:$Z,ROW()-0,'List Setup'!$C$2)&amp;")","")&amp;IF(COUNTIF(Binders!$J$6:$J$30,TRUE())&gt;1," ["&amp;Q103&amp;"]",""))</f>
        <v/>
      </c>
      <c r="H103" s="80" t="str">
        <f t="array" ref="H103">IF(A103="","",CHAR(10)&amp;INDEX(Wishlist!$A:$Z,ROW()-0,'List Setup'!$E$2)&amp;CHAR(10))</f>
        <v/>
      </c>
      <c r="I103" s="80" t="str">
        <f t="array" ref="I103">IF(OR(B103="",B103="(none)"),"",IF(ISNUMBER(SEARCH(CHAR(10)&amp;B103&amp;CHAR(10),H103)),B103,IFERROR(INDEX('Set Aliases'!$A$2:$A$501,MATCH(1,('Set Aliases'!$B$2:$B$501=B103)*ISNUMBER(SEARCH(CHAR(10)&amp;'Set Aliases'!$A$2:$A$501&amp;CHAR(10),H103)),0)),"")))</f>
        <v/>
      </c>
      <c r="J103" s="80" t="str">
        <f t="array" ref="J103">IF(I103="","",IFERROR(VALUE(TRIM(MID(SUBSTITUTE(INDEX(Wishlist!$A:$Z,ROW()-0,'List Setup'!$G$2),CHAR(10),REPT(" ",100)),((SEARCH(CHAR(10)&amp;I103&amp;CHAR(10),H103)-LEN(SUBSTITUTE(LEFT(H103,SEARCH(CHAR(10)&amp;I103&amp;CHAR(10),H103)),CHAR(10),"")))-1)*100+1,100))),""))</f>
        <v/>
      </c>
      <c r="K103" s="80" t="str">
        <f t="array" ref="K103">IF(A103="","",IF(ISNUMBER(SEARCH("Land",LEFT(IFERROR(INDEX(Wishlist!$A:$Z,ROW()-0,'List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03" s="80" t="str">
        <f t="shared" si="3"/>
        <v/>
      </c>
      <c r="M103" s="80" t="str">
        <f>IF(A103="","",IF(AND(E103="Y",B103='Use at Shop'!$B$4),K103*10000000000+(MAX(0,MIN(26,CODE(MID(UPPER(A103)&amp;"    ",1,1))-64))*19683+MAX(0,MIN(26,CODE(MID(UPPER(A103)&amp;"    ",2,1))-64))*729+MAX(0,MIN(26,CODE(MID(UPPER(A103)&amp;"    ",3,1))-64))*27+MAX(0,MIN(26,CODE(MID(UPPER(A103)&amp;"    ",4,1))-64))*1)*10000+ROW(),""))</f>
        <v/>
      </c>
      <c r="N103" s="80" t="str">
        <f t="shared" si="4"/>
        <v/>
      </c>
      <c r="O103" s="80" t="str">
        <f t="array" ref="O103">IF(A103="","",IFERROR(INDEX(Wishlist!$A:$Z,ROW()-0,'List Setup'!$J$2)&amp;"",""))</f>
        <v/>
      </c>
      <c r="P103" s="2"/>
      <c r="Q103" s="80" t="str">
        <f>IF(A103="","",'List Setup'!$A$2)</f>
        <v/>
      </c>
      <c r="R103" s="80" t="str">
        <f t="array" ref="R103">IF(A103="","",IFERROR(OR(INDEX(Binders!$J$6:$J$30,MATCH(Q103,Binders!$I$6:$I$30,0))=TRUE(),UPPER(INDEX(Binders!$J$6:$J$30,MATCH(Q103,Binders!$I$6:$I$30,0))&amp;"")="TRUE"),FALSE()))</f>
        <v/>
      </c>
    </row>
    <row r="104" ht="15.75" customHeight="1">
      <c r="A104" s="80" t="str">
        <f t="array" ref="A104">IF(INDEX(Wishlist!$A:$Z,ROW()-0,'List Setup'!$D$2)="","",INDEX(Wishlist!$A:$Z,ROW()-0,'List Setup'!$D$2))</f>
        <v/>
      </c>
      <c r="B104" s="80" t="str">
        <f t="array" ref="B104">IF(A104="","",IFERROR(INDEX('Binder Setup'!$B$2:$B$401,MIN(IF(ISNUMBER(SEARCH(CHAR(10)&amp;'Binder Setup'!$B$2:$B$401&amp;CHAR(10),$H104)),'List Setup'!$Q$2:$Q$401,999),IF(ISNUMBER(SEARCH(CHAR(10)&amp;'Set Aliases'!$A$2:$A$501&amp;CHAR(10),$H104)),'Set Aliases'!$C$2:$C$501,999))),"(none)"))</f>
        <v/>
      </c>
      <c r="C104" s="80" t="str">
        <f t="shared" si="1"/>
        <v/>
      </c>
      <c r="D104" s="80" t="str">
        <f t="array" ref="D104">IF(A104="","",IF(ISLOGICAL(INDEX(Wishlist!$A:$Z,ROW()-0,'List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04" s="80" t="str">
        <f t="shared" si="2"/>
        <v/>
      </c>
      <c r="F104" s="80" t="str">
        <f t="array" ref="F104">IF(A104="","",IF(ISNUMBER(J104),J104,IF(ISNUMBER(INDEX(Wishlist!$A:$Z,ROW()-0,'List Setup'!$F$2)),INDEX(Wishlist!$A:$Z,ROW()-0,'List Setup'!$F$2),0)))</f>
        <v/>
      </c>
      <c r="G104" s="80" t="str">
        <f t="array" ref="G104">IF(A104="","",A104&amp;IF(N(INDEX(Wishlist!$A:$Z,ROW()-0,'List Setup'!$C$2))&gt;1," (x"&amp;INDEX(Wishlist!$A:$Z,ROW()-0,'List Setup'!$C$2)&amp;")","")&amp;IF(COUNTIF(Binders!$J$6:$J$30,TRUE())&gt;1," ["&amp;Q104&amp;"]",""))</f>
        <v/>
      </c>
      <c r="H104" s="80" t="str">
        <f t="array" ref="H104">IF(A104="","",CHAR(10)&amp;INDEX(Wishlist!$A:$Z,ROW()-0,'List Setup'!$E$2)&amp;CHAR(10))</f>
        <v/>
      </c>
      <c r="I104" s="80" t="str">
        <f t="array" ref="I104">IF(OR(B104="",B104="(none)"),"",IF(ISNUMBER(SEARCH(CHAR(10)&amp;B104&amp;CHAR(10),H104)),B104,IFERROR(INDEX('Set Aliases'!$A$2:$A$501,MATCH(1,('Set Aliases'!$B$2:$B$501=B104)*ISNUMBER(SEARCH(CHAR(10)&amp;'Set Aliases'!$A$2:$A$501&amp;CHAR(10),H104)),0)),"")))</f>
        <v/>
      </c>
      <c r="J104" s="80" t="str">
        <f t="array" ref="J104">IF(I104="","",IFERROR(VALUE(TRIM(MID(SUBSTITUTE(INDEX(Wishlist!$A:$Z,ROW()-0,'List Setup'!$G$2),CHAR(10),REPT(" ",100)),((SEARCH(CHAR(10)&amp;I104&amp;CHAR(10),H104)-LEN(SUBSTITUTE(LEFT(H104,SEARCH(CHAR(10)&amp;I104&amp;CHAR(10),H104)),CHAR(10),"")))-1)*100+1,100))),""))</f>
        <v/>
      </c>
      <c r="K104" s="80" t="str">
        <f t="array" ref="K104">IF(A104="","",IF(ISNUMBER(SEARCH("Land",LEFT(IFERROR(INDEX(Wishlist!$A:$Z,ROW()-0,'List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04" s="80" t="str">
        <f t="shared" si="3"/>
        <v/>
      </c>
      <c r="M104" s="80" t="str">
        <f>IF(A104="","",IF(AND(E104="Y",B104='Use at Shop'!$B$4),K104*10000000000+(MAX(0,MIN(26,CODE(MID(UPPER(A104)&amp;"    ",1,1))-64))*19683+MAX(0,MIN(26,CODE(MID(UPPER(A104)&amp;"    ",2,1))-64))*729+MAX(0,MIN(26,CODE(MID(UPPER(A104)&amp;"    ",3,1))-64))*27+MAX(0,MIN(26,CODE(MID(UPPER(A104)&amp;"    ",4,1))-64))*1)*10000+ROW(),""))</f>
        <v/>
      </c>
      <c r="N104" s="80" t="str">
        <f t="shared" si="4"/>
        <v/>
      </c>
      <c r="O104" s="80" t="str">
        <f t="array" ref="O104">IF(A104="","",IFERROR(INDEX(Wishlist!$A:$Z,ROW()-0,'List Setup'!$J$2)&amp;"",""))</f>
        <v/>
      </c>
      <c r="P104" s="2"/>
      <c r="Q104" s="80" t="str">
        <f>IF(A104="","",'List Setup'!$A$2)</f>
        <v/>
      </c>
      <c r="R104" s="80" t="str">
        <f t="array" ref="R104">IF(A104="","",IFERROR(OR(INDEX(Binders!$J$6:$J$30,MATCH(Q104,Binders!$I$6:$I$30,0))=TRUE(),UPPER(INDEX(Binders!$J$6:$J$30,MATCH(Q104,Binders!$I$6:$I$30,0))&amp;"")="TRUE"),FALSE()))</f>
        <v/>
      </c>
    </row>
    <row r="105" ht="15.75" customHeight="1">
      <c r="A105" s="80" t="str">
        <f t="array" ref="A105">IF(INDEX(Wishlist!$A:$Z,ROW()-0,'List Setup'!$D$2)="","",INDEX(Wishlist!$A:$Z,ROW()-0,'List Setup'!$D$2))</f>
        <v/>
      </c>
      <c r="B105" s="80" t="str">
        <f t="array" ref="B105">IF(A105="","",IFERROR(INDEX('Binder Setup'!$B$2:$B$401,MIN(IF(ISNUMBER(SEARCH(CHAR(10)&amp;'Binder Setup'!$B$2:$B$401&amp;CHAR(10),$H105)),'List Setup'!$Q$2:$Q$401,999),IF(ISNUMBER(SEARCH(CHAR(10)&amp;'Set Aliases'!$A$2:$A$501&amp;CHAR(10),$H105)),'Set Aliases'!$C$2:$C$501,999))),"(none)"))</f>
        <v/>
      </c>
      <c r="C105" s="80" t="str">
        <f t="shared" si="1"/>
        <v/>
      </c>
      <c r="D105" s="80" t="str">
        <f t="array" ref="D105">IF(A105="","",IF(ISLOGICAL(INDEX(Wishlist!$A:$Z,ROW()-0,'List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05" s="80" t="str">
        <f t="shared" si="2"/>
        <v/>
      </c>
      <c r="F105" s="80" t="str">
        <f t="array" ref="F105">IF(A105="","",IF(ISNUMBER(J105),J105,IF(ISNUMBER(INDEX(Wishlist!$A:$Z,ROW()-0,'List Setup'!$F$2)),INDEX(Wishlist!$A:$Z,ROW()-0,'List Setup'!$F$2),0)))</f>
        <v/>
      </c>
      <c r="G105" s="80" t="str">
        <f t="array" ref="G105">IF(A105="","",A105&amp;IF(N(INDEX(Wishlist!$A:$Z,ROW()-0,'List Setup'!$C$2))&gt;1," (x"&amp;INDEX(Wishlist!$A:$Z,ROW()-0,'List Setup'!$C$2)&amp;")","")&amp;IF(COUNTIF(Binders!$J$6:$J$30,TRUE())&gt;1," ["&amp;Q105&amp;"]",""))</f>
        <v/>
      </c>
      <c r="H105" s="80" t="str">
        <f t="array" ref="H105">IF(A105="","",CHAR(10)&amp;INDEX(Wishlist!$A:$Z,ROW()-0,'List Setup'!$E$2)&amp;CHAR(10))</f>
        <v/>
      </c>
      <c r="I105" s="80" t="str">
        <f t="array" ref="I105">IF(OR(B105="",B105="(none)"),"",IF(ISNUMBER(SEARCH(CHAR(10)&amp;B105&amp;CHAR(10),H105)),B105,IFERROR(INDEX('Set Aliases'!$A$2:$A$501,MATCH(1,('Set Aliases'!$B$2:$B$501=B105)*ISNUMBER(SEARCH(CHAR(10)&amp;'Set Aliases'!$A$2:$A$501&amp;CHAR(10),H105)),0)),"")))</f>
        <v/>
      </c>
      <c r="J105" s="80" t="str">
        <f t="array" ref="J105">IF(I105="","",IFERROR(VALUE(TRIM(MID(SUBSTITUTE(INDEX(Wishlist!$A:$Z,ROW()-0,'List Setup'!$G$2),CHAR(10),REPT(" ",100)),((SEARCH(CHAR(10)&amp;I105&amp;CHAR(10),H105)-LEN(SUBSTITUTE(LEFT(H105,SEARCH(CHAR(10)&amp;I105&amp;CHAR(10),H105)),CHAR(10),"")))-1)*100+1,100))),""))</f>
        <v/>
      </c>
      <c r="K105" s="80" t="str">
        <f t="array" ref="K105">IF(A105="","",IF(ISNUMBER(SEARCH("Land",LEFT(IFERROR(INDEX(Wishlist!$A:$Z,ROW()-0,'List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05" s="80" t="str">
        <f t="shared" si="3"/>
        <v/>
      </c>
      <c r="M105" s="80" t="str">
        <f>IF(A105="","",IF(AND(E105="Y",B105='Use at Shop'!$B$4),K105*10000000000+(MAX(0,MIN(26,CODE(MID(UPPER(A105)&amp;"    ",1,1))-64))*19683+MAX(0,MIN(26,CODE(MID(UPPER(A105)&amp;"    ",2,1))-64))*729+MAX(0,MIN(26,CODE(MID(UPPER(A105)&amp;"    ",3,1))-64))*27+MAX(0,MIN(26,CODE(MID(UPPER(A105)&amp;"    ",4,1))-64))*1)*10000+ROW(),""))</f>
        <v/>
      </c>
      <c r="N105" s="80" t="str">
        <f t="shared" si="4"/>
        <v/>
      </c>
      <c r="O105" s="80" t="str">
        <f t="array" ref="O105">IF(A105="","",IFERROR(INDEX(Wishlist!$A:$Z,ROW()-0,'List Setup'!$J$2)&amp;"",""))</f>
        <v/>
      </c>
      <c r="P105" s="2"/>
      <c r="Q105" s="80" t="str">
        <f>IF(A105="","",'List Setup'!$A$2)</f>
        <v/>
      </c>
      <c r="R105" s="80" t="str">
        <f t="array" ref="R105">IF(A105="","",IFERROR(OR(INDEX(Binders!$J$6:$J$30,MATCH(Q105,Binders!$I$6:$I$30,0))=TRUE(),UPPER(INDEX(Binders!$J$6:$J$30,MATCH(Q105,Binders!$I$6:$I$30,0))&amp;"")="TRUE"),FALSE()))</f>
        <v/>
      </c>
    </row>
    <row r="106" ht="15.75" customHeight="1">
      <c r="A106" s="80" t="str">
        <f t="array" ref="A106">IF(INDEX(Wishlist!$A:$Z,ROW()-0,'List Setup'!$D$2)="","",INDEX(Wishlist!$A:$Z,ROW()-0,'List Setup'!$D$2))</f>
        <v/>
      </c>
      <c r="B106" s="80" t="str">
        <f t="array" ref="B106">IF(A106="","",IFERROR(INDEX('Binder Setup'!$B$2:$B$401,MIN(IF(ISNUMBER(SEARCH(CHAR(10)&amp;'Binder Setup'!$B$2:$B$401&amp;CHAR(10),$H106)),'List Setup'!$Q$2:$Q$401,999),IF(ISNUMBER(SEARCH(CHAR(10)&amp;'Set Aliases'!$A$2:$A$501&amp;CHAR(10),$H106)),'Set Aliases'!$C$2:$C$501,999))),"(none)"))</f>
        <v/>
      </c>
      <c r="C106" s="80" t="str">
        <f t="shared" si="1"/>
        <v/>
      </c>
      <c r="D106" s="80" t="str">
        <f t="array" ref="D106">IF(A106="","",IF(ISLOGICAL(INDEX(Wishlist!$A:$Z,ROW()-0,'List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06" s="80" t="str">
        <f t="shared" si="2"/>
        <v/>
      </c>
      <c r="F106" s="80" t="str">
        <f t="array" ref="F106">IF(A106="","",IF(ISNUMBER(J106),J106,IF(ISNUMBER(INDEX(Wishlist!$A:$Z,ROW()-0,'List Setup'!$F$2)),INDEX(Wishlist!$A:$Z,ROW()-0,'List Setup'!$F$2),0)))</f>
        <v/>
      </c>
      <c r="G106" s="80" t="str">
        <f t="array" ref="G106">IF(A106="","",A106&amp;IF(N(INDEX(Wishlist!$A:$Z,ROW()-0,'List Setup'!$C$2))&gt;1," (x"&amp;INDEX(Wishlist!$A:$Z,ROW()-0,'List Setup'!$C$2)&amp;")","")&amp;IF(COUNTIF(Binders!$J$6:$J$30,TRUE())&gt;1," ["&amp;Q106&amp;"]",""))</f>
        <v/>
      </c>
      <c r="H106" s="80" t="str">
        <f t="array" ref="H106">IF(A106="","",CHAR(10)&amp;INDEX(Wishlist!$A:$Z,ROW()-0,'List Setup'!$E$2)&amp;CHAR(10))</f>
        <v/>
      </c>
      <c r="I106" s="80" t="str">
        <f t="array" ref="I106">IF(OR(B106="",B106="(none)"),"",IF(ISNUMBER(SEARCH(CHAR(10)&amp;B106&amp;CHAR(10),H106)),B106,IFERROR(INDEX('Set Aliases'!$A$2:$A$501,MATCH(1,('Set Aliases'!$B$2:$B$501=B106)*ISNUMBER(SEARCH(CHAR(10)&amp;'Set Aliases'!$A$2:$A$501&amp;CHAR(10),H106)),0)),"")))</f>
        <v/>
      </c>
      <c r="J106" s="80" t="str">
        <f t="array" ref="J106">IF(I106="","",IFERROR(VALUE(TRIM(MID(SUBSTITUTE(INDEX(Wishlist!$A:$Z,ROW()-0,'List Setup'!$G$2),CHAR(10),REPT(" ",100)),((SEARCH(CHAR(10)&amp;I106&amp;CHAR(10),H106)-LEN(SUBSTITUTE(LEFT(H106,SEARCH(CHAR(10)&amp;I106&amp;CHAR(10),H106)),CHAR(10),"")))-1)*100+1,100))),""))</f>
        <v/>
      </c>
      <c r="K106" s="80" t="str">
        <f t="array" ref="K106">IF(A106="","",IF(ISNUMBER(SEARCH("Land",LEFT(IFERROR(INDEX(Wishlist!$A:$Z,ROW()-0,'List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06" s="80" t="str">
        <f t="shared" si="3"/>
        <v/>
      </c>
      <c r="M106" s="80" t="str">
        <f>IF(A106="","",IF(AND(E106="Y",B106='Use at Shop'!$B$4),K106*10000000000+(MAX(0,MIN(26,CODE(MID(UPPER(A106)&amp;"    ",1,1))-64))*19683+MAX(0,MIN(26,CODE(MID(UPPER(A106)&amp;"    ",2,1))-64))*729+MAX(0,MIN(26,CODE(MID(UPPER(A106)&amp;"    ",3,1))-64))*27+MAX(0,MIN(26,CODE(MID(UPPER(A106)&amp;"    ",4,1))-64))*1)*10000+ROW(),""))</f>
        <v/>
      </c>
      <c r="N106" s="80" t="str">
        <f t="shared" si="4"/>
        <v/>
      </c>
      <c r="O106" s="80" t="str">
        <f t="array" ref="O106">IF(A106="","",IFERROR(INDEX(Wishlist!$A:$Z,ROW()-0,'List Setup'!$J$2)&amp;"",""))</f>
        <v/>
      </c>
      <c r="P106" s="2"/>
      <c r="Q106" s="80" t="str">
        <f>IF(A106="","",'List Setup'!$A$2)</f>
        <v/>
      </c>
      <c r="R106" s="80" t="str">
        <f t="array" ref="R106">IF(A106="","",IFERROR(OR(INDEX(Binders!$J$6:$J$30,MATCH(Q106,Binders!$I$6:$I$30,0))=TRUE(),UPPER(INDEX(Binders!$J$6:$J$30,MATCH(Q106,Binders!$I$6:$I$30,0))&amp;"")="TRUE"),FALSE()))</f>
        <v/>
      </c>
    </row>
    <row r="107" ht="15.75" customHeight="1">
      <c r="A107" s="80" t="str">
        <f t="array" ref="A107">IF(INDEX(Wishlist!$A:$Z,ROW()-0,'List Setup'!$D$2)="","",INDEX(Wishlist!$A:$Z,ROW()-0,'List Setup'!$D$2))</f>
        <v/>
      </c>
      <c r="B107" s="80" t="str">
        <f t="array" ref="B107">IF(A107="","",IFERROR(INDEX('Binder Setup'!$B$2:$B$401,MIN(IF(ISNUMBER(SEARCH(CHAR(10)&amp;'Binder Setup'!$B$2:$B$401&amp;CHAR(10),$H107)),'List Setup'!$Q$2:$Q$401,999),IF(ISNUMBER(SEARCH(CHAR(10)&amp;'Set Aliases'!$A$2:$A$501&amp;CHAR(10),$H107)),'Set Aliases'!$C$2:$C$501,999))),"(none)"))</f>
        <v/>
      </c>
      <c r="C107" s="80" t="str">
        <f t="shared" si="1"/>
        <v/>
      </c>
      <c r="D107" s="80" t="str">
        <f t="array" ref="D107">IF(A107="","",IF(ISLOGICAL(INDEX(Wishlist!$A:$Z,ROW()-0,'List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07" s="80" t="str">
        <f t="shared" si="2"/>
        <v/>
      </c>
      <c r="F107" s="80" t="str">
        <f t="array" ref="F107">IF(A107="","",IF(ISNUMBER(J107),J107,IF(ISNUMBER(INDEX(Wishlist!$A:$Z,ROW()-0,'List Setup'!$F$2)),INDEX(Wishlist!$A:$Z,ROW()-0,'List Setup'!$F$2),0)))</f>
        <v/>
      </c>
      <c r="G107" s="80" t="str">
        <f t="array" ref="G107">IF(A107="","",A107&amp;IF(N(INDEX(Wishlist!$A:$Z,ROW()-0,'List Setup'!$C$2))&gt;1," (x"&amp;INDEX(Wishlist!$A:$Z,ROW()-0,'List Setup'!$C$2)&amp;")","")&amp;IF(COUNTIF(Binders!$J$6:$J$30,TRUE())&gt;1," ["&amp;Q107&amp;"]",""))</f>
        <v/>
      </c>
      <c r="H107" s="80" t="str">
        <f t="array" ref="H107">IF(A107="","",CHAR(10)&amp;INDEX(Wishlist!$A:$Z,ROW()-0,'List Setup'!$E$2)&amp;CHAR(10))</f>
        <v/>
      </c>
      <c r="I107" s="80" t="str">
        <f t="array" ref="I107">IF(OR(B107="",B107="(none)"),"",IF(ISNUMBER(SEARCH(CHAR(10)&amp;B107&amp;CHAR(10),H107)),B107,IFERROR(INDEX('Set Aliases'!$A$2:$A$501,MATCH(1,('Set Aliases'!$B$2:$B$501=B107)*ISNUMBER(SEARCH(CHAR(10)&amp;'Set Aliases'!$A$2:$A$501&amp;CHAR(10),H107)),0)),"")))</f>
        <v/>
      </c>
      <c r="J107" s="80" t="str">
        <f t="array" ref="J107">IF(I107="","",IFERROR(VALUE(TRIM(MID(SUBSTITUTE(INDEX(Wishlist!$A:$Z,ROW()-0,'List Setup'!$G$2),CHAR(10),REPT(" ",100)),((SEARCH(CHAR(10)&amp;I107&amp;CHAR(10),H107)-LEN(SUBSTITUTE(LEFT(H107,SEARCH(CHAR(10)&amp;I107&amp;CHAR(10),H107)),CHAR(10),"")))-1)*100+1,100))),""))</f>
        <v/>
      </c>
      <c r="K107" s="80" t="str">
        <f t="array" ref="K107">IF(A107="","",IF(ISNUMBER(SEARCH("Land",LEFT(IFERROR(INDEX(Wishlist!$A:$Z,ROW()-0,'List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07" s="80" t="str">
        <f t="shared" si="3"/>
        <v/>
      </c>
      <c r="M107" s="80" t="str">
        <f>IF(A107="","",IF(AND(E107="Y",B107='Use at Shop'!$B$4),K107*10000000000+(MAX(0,MIN(26,CODE(MID(UPPER(A107)&amp;"    ",1,1))-64))*19683+MAX(0,MIN(26,CODE(MID(UPPER(A107)&amp;"    ",2,1))-64))*729+MAX(0,MIN(26,CODE(MID(UPPER(A107)&amp;"    ",3,1))-64))*27+MAX(0,MIN(26,CODE(MID(UPPER(A107)&amp;"    ",4,1))-64))*1)*10000+ROW(),""))</f>
        <v/>
      </c>
      <c r="N107" s="80" t="str">
        <f t="shared" si="4"/>
        <v/>
      </c>
      <c r="O107" s="80" t="str">
        <f t="array" ref="O107">IF(A107="","",IFERROR(INDEX(Wishlist!$A:$Z,ROW()-0,'List Setup'!$J$2)&amp;"",""))</f>
        <v/>
      </c>
      <c r="P107" s="2"/>
      <c r="Q107" s="80" t="str">
        <f>IF(A107="","",'List Setup'!$A$2)</f>
        <v/>
      </c>
      <c r="R107" s="80" t="str">
        <f t="array" ref="R107">IF(A107="","",IFERROR(OR(INDEX(Binders!$J$6:$J$30,MATCH(Q107,Binders!$I$6:$I$30,0))=TRUE(),UPPER(INDEX(Binders!$J$6:$J$30,MATCH(Q107,Binders!$I$6:$I$30,0))&amp;"")="TRUE"),FALSE()))</f>
        <v/>
      </c>
    </row>
    <row r="108" ht="15.75" customHeight="1">
      <c r="A108" s="80" t="str">
        <f t="array" ref="A108">IF(INDEX(Wishlist!$A:$Z,ROW()-0,'List Setup'!$D$2)="","",INDEX(Wishlist!$A:$Z,ROW()-0,'List Setup'!$D$2))</f>
        <v/>
      </c>
      <c r="B108" s="80" t="str">
        <f t="array" ref="B108">IF(A108="","",IFERROR(INDEX('Binder Setup'!$B$2:$B$401,MIN(IF(ISNUMBER(SEARCH(CHAR(10)&amp;'Binder Setup'!$B$2:$B$401&amp;CHAR(10),$H108)),'List Setup'!$Q$2:$Q$401,999),IF(ISNUMBER(SEARCH(CHAR(10)&amp;'Set Aliases'!$A$2:$A$501&amp;CHAR(10),$H108)),'Set Aliases'!$C$2:$C$501,999))),"(none)"))</f>
        <v/>
      </c>
      <c r="C108" s="80" t="str">
        <f t="shared" si="1"/>
        <v/>
      </c>
      <c r="D108" s="80" t="str">
        <f t="array" ref="D108">IF(A108="","",IF(ISLOGICAL(INDEX(Wishlist!$A:$Z,ROW()-0,'List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08" s="80" t="str">
        <f t="shared" si="2"/>
        <v/>
      </c>
      <c r="F108" s="80" t="str">
        <f t="array" ref="F108">IF(A108="","",IF(ISNUMBER(J108),J108,IF(ISNUMBER(INDEX(Wishlist!$A:$Z,ROW()-0,'List Setup'!$F$2)),INDEX(Wishlist!$A:$Z,ROW()-0,'List Setup'!$F$2),0)))</f>
        <v/>
      </c>
      <c r="G108" s="80" t="str">
        <f t="array" ref="G108">IF(A108="","",A108&amp;IF(N(INDEX(Wishlist!$A:$Z,ROW()-0,'List Setup'!$C$2))&gt;1," (x"&amp;INDEX(Wishlist!$A:$Z,ROW()-0,'List Setup'!$C$2)&amp;")","")&amp;IF(COUNTIF(Binders!$J$6:$J$30,TRUE())&gt;1," ["&amp;Q108&amp;"]",""))</f>
        <v/>
      </c>
      <c r="H108" s="80" t="str">
        <f t="array" ref="H108">IF(A108="","",CHAR(10)&amp;INDEX(Wishlist!$A:$Z,ROW()-0,'List Setup'!$E$2)&amp;CHAR(10))</f>
        <v/>
      </c>
      <c r="I108" s="80" t="str">
        <f t="array" ref="I108">IF(OR(B108="",B108="(none)"),"",IF(ISNUMBER(SEARCH(CHAR(10)&amp;B108&amp;CHAR(10),H108)),B108,IFERROR(INDEX('Set Aliases'!$A$2:$A$501,MATCH(1,('Set Aliases'!$B$2:$B$501=B108)*ISNUMBER(SEARCH(CHAR(10)&amp;'Set Aliases'!$A$2:$A$501&amp;CHAR(10),H108)),0)),"")))</f>
        <v/>
      </c>
      <c r="J108" s="80" t="str">
        <f t="array" ref="J108">IF(I108="","",IFERROR(VALUE(TRIM(MID(SUBSTITUTE(INDEX(Wishlist!$A:$Z,ROW()-0,'List Setup'!$G$2),CHAR(10),REPT(" ",100)),((SEARCH(CHAR(10)&amp;I108&amp;CHAR(10),H108)-LEN(SUBSTITUTE(LEFT(H108,SEARCH(CHAR(10)&amp;I108&amp;CHAR(10),H108)),CHAR(10),"")))-1)*100+1,100))),""))</f>
        <v/>
      </c>
      <c r="K108" s="80" t="str">
        <f t="array" ref="K108">IF(A108="","",IF(ISNUMBER(SEARCH("Land",LEFT(IFERROR(INDEX(Wishlist!$A:$Z,ROW()-0,'List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08" s="80" t="str">
        <f t="shared" si="3"/>
        <v/>
      </c>
      <c r="M108" s="80" t="str">
        <f>IF(A108="","",IF(AND(E108="Y",B108='Use at Shop'!$B$4),K108*10000000000+(MAX(0,MIN(26,CODE(MID(UPPER(A108)&amp;"    ",1,1))-64))*19683+MAX(0,MIN(26,CODE(MID(UPPER(A108)&amp;"    ",2,1))-64))*729+MAX(0,MIN(26,CODE(MID(UPPER(A108)&amp;"    ",3,1))-64))*27+MAX(0,MIN(26,CODE(MID(UPPER(A108)&amp;"    ",4,1))-64))*1)*10000+ROW(),""))</f>
        <v/>
      </c>
      <c r="N108" s="80" t="str">
        <f t="shared" si="4"/>
        <v/>
      </c>
      <c r="O108" s="80" t="str">
        <f t="array" ref="O108">IF(A108="","",IFERROR(INDEX(Wishlist!$A:$Z,ROW()-0,'List Setup'!$J$2)&amp;"",""))</f>
        <v/>
      </c>
      <c r="P108" s="2"/>
      <c r="Q108" s="80" t="str">
        <f>IF(A108="","",'List Setup'!$A$2)</f>
        <v/>
      </c>
      <c r="R108" s="80" t="str">
        <f t="array" ref="R108">IF(A108="","",IFERROR(OR(INDEX(Binders!$J$6:$J$30,MATCH(Q108,Binders!$I$6:$I$30,0))=TRUE(),UPPER(INDEX(Binders!$J$6:$J$30,MATCH(Q108,Binders!$I$6:$I$30,0))&amp;"")="TRUE"),FALSE()))</f>
        <v/>
      </c>
    </row>
    <row r="109" ht="15.75" customHeight="1">
      <c r="A109" s="80" t="str">
        <f t="array" ref="A109">IF(INDEX(Wishlist!$A:$Z,ROW()-0,'List Setup'!$D$2)="","",INDEX(Wishlist!$A:$Z,ROW()-0,'List Setup'!$D$2))</f>
        <v/>
      </c>
      <c r="B109" s="80" t="str">
        <f t="array" ref="B109">IF(A109="","",IFERROR(INDEX('Binder Setup'!$B$2:$B$401,MIN(IF(ISNUMBER(SEARCH(CHAR(10)&amp;'Binder Setup'!$B$2:$B$401&amp;CHAR(10),$H109)),'List Setup'!$Q$2:$Q$401,999),IF(ISNUMBER(SEARCH(CHAR(10)&amp;'Set Aliases'!$A$2:$A$501&amp;CHAR(10),$H109)),'Set Aliases'!$C$2:$C$501,999))),"(none)"))</f>
        <v/>
      </c>
      <c r="C109" s="80" t="str">
        <f t="shared" si="1"/>
        <v/>
      </c>
      <c r="D109" s="80" t="str">
        <f t="array" ref="D109">IF(A109="","",IF(ISLOGICAL(INDEX(Wishlist!$A:$Z,ROW()-0,'List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09" s="80" t="str">
        <f t="shared" si="2"/>
        <v/>
      </c>
      <c r="F109" s="80" t="str">
        <f t="array" ref="F109">IF(A109="","",IF(ISNUMBER(J109),J109,IF(ISNUMBER(INDEX(Wishlist!$A:$Z,ROW()-0,'List Setup'!$F$2)),INDEX(Wishlist!$A:$Z,ROW()-0,'List Setup'!$F$2),0)))</f>
        <v/>
      </c>
      <c r="G109" s="80" t="str">
        <f t="array" ref="G109">IF(A109="","",A109&amp;IF(N(INDEX(Wishlist!$A:$Z,ROW()-0,'List Setup'!$C$2))&gt;1," (x"&amp;INDEX(Wishlist!$A:$Z,ROW()-0,'List Setup'!$C$2)&amp;")","")&amp;IF(COUNTIF(Binders!$J$6:$J$30,TRUE())&gt;1," ["&amp;Q109&amp;"]",""))</f>
        <v/>
      </c>
      <c r="H109" s="80" t="str">
        <f t="array" ref="H109">IF(A109="","",CHAR(10)&amp;INDEX(Wishlist!$A:$Z,ROW()-0,'List Setup'!$E$2)&amp;CHAR(10))</f>
        <v/>
      </c>
      <c r="I109" s="80" t="str">
        <f t="array" ref="I109">IF(OR(B109="",B109="(none)"),"",IF(ISNUMBER(SEARCH(CHAR(10)&amp;B109&amp;CHAR(10),H109)),B109,IFERROR(INDEX('Set Aliases'!$A$2:$A$501,MATCH(1,('Set Aliases'!$B$2:$B$501=B109)*ISNUMBER(SEARCH(CHAR(10)&amp;'Set Aliases'!$A$2:$A$501&amp;CHAR(10),H109)),0)),"")))</f>
        <v/>
      </c>
      <c r="J109" s="80" t="str">
        <f t="array" ref="J109">IF(I109="","",IFERROR(VALUE(TRIM(MID(SUBSTITUTE(INDEX(Wishlist!$A:$Z,ROW()-0,'List Setup'!$G$2),CHAR(10),REPT(" ",100)),((SEARCH(CHAR(10)&amp;I109&amp;CHAR(10),H109)-LEN(SUBSTITUTE(LEFT(H109,SEARCH(CHAR(10)&amp;I109&amp;CHAR(10),H109)),CHAR(10),"")))-1)*100+1,100))),""))</f>
        <v/>
      </c>
      <c r="K109" s="80" t="str">
        <f t="array" ref="K109">IF(A109="","",IF(ISNUMBER(SEARCH("Land",LEFT(IFERROR(INDEX(Wishlist!$A:$Z,ROW()-0,'List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09" s="80" t="str">
        <f t="shared" si="3"/>
        <v/>
      </c>
      <c r="M109" s="80" t="str">
        <f>IF(A109="","",IF(AND(E109="Y",B109='Use at Shop'!$B$4),K109*10000000000+(MAX(0,MIN(26,CODE(MID(UPPER(A109)&amp;"    ",1,1))-64))*19683+MAX(0,MIN(26,CODE(MID(UPPER(A109)&amp;"    ",2,1))-64))*729+MAX(0,MIN(26,CODE(MID(UPPER(A109)&amp;"    ",3,1))-64))*27+MAX(0,MIN(26,CODE(MID(UPPER(A109)&amp;"    ",4,1))-64))*1)*10000+ROW(),""))</f>
        <v/>
      </c>
      <c r="N109" s="80" t="str">
        <f t="shared" si="4"/>
        <v/>
      </c>
      <c r="O109" s="80" t="str">
        <f t="array" ref="O109">IF(A109="","",IFERROR(INDEX(Wishlist!$A:$Z,ROW()-0,'List Setup'!$J$2)&amp;"",""))</f>
        <v/>
      </c>
      <c r="P109" s="2"/>
      <c r="Q109" s="80" t="str">
        <f>IF(A109="","",'List Setup'!$A$2)</f>
        <v/>
      </c>
      <c r="R109" s="80" t="str">
        <f t="array" ref="R109">IF(A109="","",IFERROR(OR(INDEX(Binders!$J$6:$J$30,MATCH(Q109,Binders!$I$6:$I$30,0))=TRUE(),UPPER(INDEX(Binders!$J$6:$J$30,MATCH(Q109,Binders!$I$6:$I$30,0))&amp;"")="TRUE"),FALSE()))</f>
        <v/>
      </c>
    </row>
    <row r="110" ht="15.75" customHeight="1">
      <c r="A110" s="80" t="str">
        <f t="array" ref="A110">IF(INDEX(Wishlist!$A:$Z,ROW()-0,'List Setup'!$D$2)="","",INDEX(Wishlist!$A:$Z,ROW()-0,'List Setup'!$D$2))</f>
        <v/>
      </c>
      <c r="B110" s="80" t="str">
        <f t="array" ref="B110">IF(A110="","",IFERROR(INDEX('Binder Setup'!$B$2:$B$401,MIN(IF(ISNUMBER(SEARCH(CHAR(10)&amp;'Binder Setup'!$B$2:$B$401&amp;CHAR(10),$H110)),'List Setup'!$Q$2:$Q$401,999),IF(ISNUMBER(SEARCH(CHAR(10)&amp;'Set Aliases'!$A$2:$A$501&amp;CHAR(10),$H110)),'Set Aliases'!$C$2:$C$501,999))),"(none)"))</f>
        <v/>
      </c>
      <c r="C110" s="80" t="str">
        <f t="shared" si="1"/>
        <v/>
      </c>
      <c r="D110" s="80" t="str">
        <f t="array" ref="D110">IF(A110="","",IF(ISLOGICAL(INDEX(Wishlist!$A:$Z,ROW()-0,'List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10" s="80" t="str">
        <f t="shared" si="2"/>
        <v/>
      </c>
      <c r="F110" s="80" t="str">
        <f t="array" ref="F110">IF(A110="","",IF(ISNUMBER(J110),J110,IF(ISNUMBER(INDEX(Wishlist!$A:$Z,ROW()-0,'List Setup'!$F$2)),INDEX(Wishlist!$A:$Z,ROW()-0,'List Setup'!$F$2),0)))</f>
        <v/>
      </c>
      <c r="G110" s="80" t="str">
        <f t="array" ref="G110">IF(A110="","",A110&amp;IF(N(INDEX(Wishlist!$A:$Z,ROW()-0,'List Setup'!$C$2))&gt;1," (x"&amp;INDEX(Wishlist!$A:$Z,ROW()-0,'List Setup'!$C$2)&amp;")","")&amp;IF(COUNTIF(Binders!$J$6:$J$30,TRUE())&gt;1," ["&amp;Q110&amp;"]",""))</f>
        <v/>
      </c>
      <c r="H110" s="80" t="str">
        <f t="array" ref="H110">IF(A110="","",CHAR(10)&amp;INDEX(Wishlist!$A:$Z,ROW()-0,'List Setup'!$E$2)&amp;CHAR(10))</f>
        <v/>
      </c>
      <c r="I110" s="80" t="str">
        <f t="array" ref="I110">IF(OR(B110="",B110="(none)"),"",IF(ISNUMBER(SEARCH(CHAR(10)&amp;B110&amp;CHAR(10),H110)),B110,IFERROR(INDEX('Set Aliases'!$A$2:$A$501,MATCH(1,('Set Aliases'!$B$2:$B$501=B110)*ISNUMBER(SEARCH(CHAR(10)&amp;'Set Aliases'!$A$2:$A$501&amp;CHAR(10),H110)),0)),"")))</f>
        <v/>
      </c>
      <c r="J110" s="80" t="str">
        <f t="array" ref="J110">IF(I110="","",IFERROR(VALUE(TRIM(MID(SUBSTITUTE(INDEX(Wishlist!$A:$Z,ROW()-0,'List Setup'!$G$2),CHAR(10),REPT(" ",100)),((SEARCH(CHAR(10)&amp;I110&amp;CHAR(10),H110)-LEN(SUBSTITUTE(LEFT(H110,SEARCH(CHAR(10)&amp;I110&amp;CHAR(10),H110)),CHAR(10),"")))-1)*100+1,100))),""))</f>
        <v/>
      </c>
      <c r="K110" s="80" t="str">
        <f t="array" ref="K110">IF(A110="","",IF(ISNUMBER(SEARCH("Land",LEFT(IFERROR(INDEX(Wishlist!$A:$Z,ROW()-0,'List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10" s="80" t="str">
        <f t="shared" si="3"/>
        <v/>
      </c>
      <c r="M110" s="80" t="str">
        <f>IF(A110="","",IF(AND(E110="Y",B110='Use at Shop'!$B$4),K110*10000000000+(MAX(0,MIN(26,CODE(MID(UPPER(A110)&amp;"    ",1,1))-64))*19683+MAX(0,MIN(26,CODE(MID(UPPER(A110)&amp;"    ",2,1))-64))*729+MAX(0,MIN(26,CODE(MID(UPPER(A110)&amp;"    ",3,1))-64))*27+MAX(0,MIN(26,CODE(MID(UPPER(A110)&amp;"    ",4,1))-64))*1)*10000+ROW(),""))</f>
        <v/>
      </c>
      <c r="N110" s="80" t="str">
        <f t="shared" si="4"/>
        <v/>
      </c>
      <c r="O110" s="80" t="str">
        <f t="array" ref="O110">IF(A110="","",IFERROR(INDEX(Wishlist!$A:$Z,ROW()-0,'List Setup'!$J$2)&amp;"",""))</f>
        <v/>
      </c>
      <c r="P110" s="2"/>
      <c r="Q110" s="80" t="str">
        <f>IF(A110="","",'List Setup'!$A$2)</f>
        <v/>
      </c>
      <c r="R110" s="80" t="str">
        <f t="array" ref="R110">IF(A110="","",IFERROR(OR(INDEX(Binders!$J$6:$J$30,MATCH(Q110,Binders!$I$6:$I$30,0))=TRUE(),UPPER(INDEX(Binders!$J$6:$J$30,MATCH(Q110,Binders!$I$6:$I$30,0))&amp;"")="TRUE"),FALSE()))</f>
        <v/>
      </c>
    </row>
    <row r="111" ht="15.75" customHeight="1">
      <c r="A111" s="80" t="str">
        <f t="array" ref="A111">IF(INDEX(Wishlist!$A:$Z,ROW()-0,'List Setup'!$D$2)="","",INDEX(Wishlist!$A:$Z,ROW()-0,'List Setup'!$D$2))</f>
        <v/>
      </c>
      <c r="B111" s="80" t="str">
        <f t="array" ref="B111">IF(A111="","",IFERROR(INDEX('Binder Setup'!$B$2:$B$401,MIN(IF(ISNUMBER(SEARCH(CHAR(10)&amp;'Binder Setup'!$B$2:$B$401&amp;CHAR(10),$H111)),'List Setup'!$Q$2:$Q$401,999),IF(ISNUMBER(SEARCH(CHAR(10)&amp;'Set Aliases'!$A$2:$A$501&amp;CHAR(10),$H111)),'Set Aliases'!$C$2:$C$501,999))),"(none)"))</f>
        <v/>
      </c>
      <c r="C111" s="80" t="str">
        <f t="shared" si="1"/>
        <v/>
      </c>
      <c r="D111" s="80" t="str">
        <f t="array" ref="D111">IF(A111="","",IF(ISLOGICAL(INDEX(Wishlist!$A:$Z,ROW()-0,'List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11" s="80" t="str">
        <f t="shared" si="2"/>
        <v/>
      </c>
      <c r="F111" s="80" t="str">
        <f t="array" ref="F111">IF(A111="","",IF(ISNUMBER(J111),J111,IF(ISNUMBER(INDEX(Wishlist!$A:$Z,ROW()-0,'List Setup'!$F$2)),INDEX(Wishlist!$A:$Z,ROW()-0,'List Setup'!$F$2),0)))</f>
        <v/>
      </c>
      <c r="G111" s="80" t="str">
        <f t="array" ref="G111">IF(A111="","",A111&amp;IF(N(INDEX(Wishlist!$A:$Z,ROW()-0,'List Setup'!$C$2))&gt;1," (x"&amp;INDEX(Wishlist!$A:$Z,ROW()-0,'List Setup'!$C$2)&amp;")","")&amp;IF(COUNTIF(Binders!$J$6:$J$30,TRUE())&gt;1," ["&amp;Q111&amp;"]",""))</f>
        <v/>
      </c>
      <c r="H111" s="80" t="str">
        <f t="array" ref="H111">IF(A111="","",CHAR(10)&amp;INDEX(Wishlist!$A:$Z,ROW()-0,'List Setup'!$E$2)&amp;CHAR(10))</f>
        <v/>
      </c>
      <c r="I111" s="80" t="str">
        <f t="array" ref="I111">IF(OR(B111="",B111="(none)"),"",IF(ISNUMBER(SEARCH(CHAR(10)&amp;B111&amp;CHAR(10),H111)),B111,IFERROR(INDEX('Set Aliases'!$A$2:$A$501,MATCH(1,('Set Aliases'!$B$2:$B$501=B111)*ISNUMBER(SEARCH(CHAR(10)&amp;'Set Aliases'!$A$2:$A$501&amp;CHAR(10),H111)),0)),"")))</f>
        <v/>
      </c>
      <c r="J111" s="80" t="str">
        <f t="array" ref="J111">IF(I111="","",IFERROR(VALUE(TRIM(MID(SUBSTITUTE(INDEX(Wishlist!$A:$Z,ROW()-0,'List Setup'!$G$2),CHAR(10),REPT(" ",100)),((SEARCH(CHAR(10)&amp;I111&amp;CHAR(10),H111)-LEN(SUBSTITUTE(LEFT(H111,SEARCH(CHAR(10)&amp;I111&amp;CHAR(10),H111)),CHAR(10),"")))-1)*100+1,100))),""))</f>
        <v/>
      </c>
      <c r="K111" s="80" t="str">
        <f t="array" ref="K111">IF(A111="","",IF(ISNUMBER(SEARCH("Land",LEFT(IFERROR(INDEX(Wishlist!$A:$Z,ROW()-0,'List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11" s="80" t="str">
        <f t="shared" si="3"/>
        <v/>
      </c>
      <c r="M111" s="80" t="str">
        <f>IF(A111="","",IF(AND(E111="Y",B111='Use at Shop'!$B$4),K111*10000000000+(MAX(0,MIN(26,CODE(MID(UPPER(A111)&amp;"    ",1,1))-64))*19683+MAX(0,MIN(26,CODE(MID(UPPER(A111)&amp;"    ",2,1))-64))*729+MAX(0,MIN(26,CODE(MID(UPPER(A111)&amp;"    ",3,1))-64))*27+MAX(0,MIN(26,CODE(MID(UPPER(A111)&amp;"    ",4,1))-64))*1)*10000+ROW(),""))</f>
        <v/>
      </c>
      <c r="N111" s="80" t="str">
        <f t="shared" si="4"/>
        <v/>
      </c>
      <c r="O111" s="80" t="str">
        <f t="array" ref="O111">IF(A111="","",IFERROR(INDEX(Wishlist!$A:$Z,ROW()-0,'List Setup'!$J$2)&amp;"",""))</f>
        <v/>
      </c>
      <c r="P111" s="2"/>
      <c r="Q111" s="80" t="str">
        <f>IF(A111="","",'List Setup'!$A$2)</f>
        <v/>
      </c>
      <c r="R111" s="80" t="str">
        <f t="array" ref="R111">IF(A111="","",IFERROR(OR(INDEX(Binders!$J$6:$J$30,MATCH(Q111,Binders!$I$6:$I$30,0))=TRUE(),UPPER(INDEX(Binders!$J$6:$J$30,MATCH(Q111,Binders!$I$6:$I$30,0))&amp;"")="TRUE"),FALSE()))</f>
        <v/>
      </c>
    </row>
    <row r="112" ht="15.75" customHeight="1">
      <c r="A112" s="80" t="str">
        <f t="array" ref="A112">IF(INDEX(Wishlist!$A:$Z,ROW()-0,'List Setup'!$D$2)="","",INDEX(Wishlist!$A:$Z,ROW()-0,'List Setup'!$D$2))</f>
        <v/>
      </c>
      <c r="B112" s="80" t="str">
        <f t="array" ref="B112">IF(A112="","",IFERROR(INDEX('Binder Setup'!$B$2:$B$401,MIN(IF(ISNUMBER(SEARCH(CHAR(10)&amp;'Binder Setup'!$B$2:$B$401&amp;CHAR(10),$H112)),'List Setup'!$Q$2:$Q$401,999),IF(ISNUMBER(SEARCH(CHAR(10)&amp;'Set Aliases'!$A$2:$A$501&amp;CHAR(10),$H112)),'Set Aliases'!$C$2:$C$501,999))),"(none)"))</f>
        <v/>
      </c>
      <c r="C112" s="80" t="str">
        <f t="shared" si="1"/>
        <v/>
      </c>
      <c r="D112" s="80" t="str">
        <f t="array" ref="D112">IF(A112="","",IF(ISLOGICAL(INDEX(Wishlist!$A:$Z,ROW()-0,'List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12" s="80" t="str">
        <f t="shared" si="2"/>
        <v/>
      </c>
      <c r="F112" s="80" t="str">
        <f t="array" ref="F112">IF(A112="","",IF(ISNUMBER(J112),J112,IF(ISNUMBER(INDEX(Wishlist!$A:$Z,ROW()-0,'List Setup'!$F$2)),INDEX(Wishlist!$A:$Z,ROW()-0,'List Setup'!$F$2),0)))</f>
        <v/>
      </c>
      <c r="G112" s="80" t="str">
        <f t="array" ref="G112">IF(A112="","",A112&amp;IF(N(INDEX(Wishlist!$A:$Z,ROW()-0,'List Setup'!$C$2))&gt;1," (x"&amp;INDEX(Wishlist!$A:$Z,ROW()-0,'List Setup'!$C$2)&amp;")","")&amp;IF(COUNTIF(Binders!$J$6:$J$30,TRUE())&gt;1," ["&amp;Q112&amp;"]",""))</f>
        <v/>
      </c>
      <c r="H112" s="80" t="str">
        <f t="array" ref="H112">IF(A112="","",CHAR(10)&amp;INDEX(Wishlist!$A:$Z,ROW()-0,'List Setup'!$E$2)&amp;CHAR(10))</f>
        <v/>
      </c>
      <c r="I112" s="80" t="str">
        <f t="array" ref="I112">IF(OR(B112="",B112="(none)"),"",IF(ISNUMBER(SEARCH(CHAR(10)&amp;B112&amp;CHAR(10),H112)),B112,IFERROR(INDEX('Set Aliases'!$A$2:$A$501,MATCH(1,('Set Aliases'!$B$2:$B$501=B112)*ISNUMBER(SEARCH(CHAR(10)&amp;'Set Aliases'!$A$2:$A$501&amp;CHAR(10),H112)),0)),"")))</f>
        <v/>
      </c>
      <c r="J112" s="80" t="str">
        <f t="array" ref="J112">IF(I112="","",IFERROR(VALUE(TRIM(MID(SUBSTITUTE(INDEX(Wishlist!$A:$Z,ROW()-0,'List Setup'!$G$2),CHAR(10),REPT(" ",100)),((SEARCH(CHAR(10)&amp;I112&amp;CHAR(10),H112)-LEN(SUBSTITUTE(LEFT(H112,SEARCH(CHAR(10)&amp;I112&amp;CHAR(10),H112)),CHAR(10),"")))-1)*100+1,100))),""))</f>
        <v/>
      </c>
      <c r="K112" s="80" t="str">
        <f t="array" ref="K112">IF(A112="","",IF(ISNUMBER(SEARCH("Land",LEFT(IFERROR(INDEX(Wishlist!$A:$Z,ROW()-0,'List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12" s="80" t="str">
        <f t="shared" si="3"/>
        <v/>
      </c>
      <c r="M112" s="80" t="str">
        <f>IF(A112="","",IF(AND(E112="Y",B112='Use at Shop'!$B$4),K112*10000000000+(MAX(0,MIN(26,CODE(MID(UPPER(A112)&amp;"    ",1,1))-64))*19683+MAX(0,MIN(26,CODE(MID(UPPER(A112)&amp;"    ",2,1))-64))*729+MAX(0,MIN(26,CODE(MID(UPPER(A112)&amp;"    ",3,1))-64))*27+MAX(0,MIN(26,CODE(MID(UPPER(A112)&amp;"    ",4,1))-64))*1)*10000+ROW(),""))</f>
        <v/>
      </c>
      <c r="N112" s="80" t="str">
        <f t="shared" si="4"/>
        <v/>
      </c>
      <c r="O112" s="80" t="str">
        <f t="array" ref="O112">IF(A112="","",IFERROR(INDEX(Wishlist!$A:$Z,ROW()-0,'List Setup'!$J$2)&amp;"",""))</f>
        <v/>
      </c>
      <c r="P112" s="2"/>
      <c r="Q112" s="80" t="str">
        <f>IF(A112="","",'List Setup'!$A$2)</f>
        <v/>
      </c>
      <c r="R112" s="80" t="str">
        <f t="array" ref="R112">IF(A112="","",IFERROR(OR(INDEX(Binders!$J$6:$J$30,MATCH(Q112,Binders!$I$6:$I$30,0))=TRUE(),UPPER(INDEX(Binders!$J$6:$J$30,MATCH(Q112,Binders!$I$6:$I$30,0))&amp;"")="TRUE"),FALSE()))</f>
        <v/>
      </c>
    </row>
    <row r="113" ht="15.75" customHeight="1">
      <c r="A113" s="80" t="str">
        <f t="array" ref="A113">IF(INDEX(Wishlist!$A:$Z,ROW()-0,'List Setup'!$D$2)="","",INDEX(Wishlist!$A:$Z,ROW()-0,'List Setup'!$D$2))</f>
        <v/>
      </c>
      <c r="B113" s="80" t="str">
        <f t="array" ref="B113">IF(A113="","",IFERROR(INDEX('Binder Setup'!$B$2:$B$401,MIN(IF(ISNUMBER(SEARCH(CHAR(10)&amp;'Binder Setup'!$B$2:$B$401&amp;CHAR(10),$H113)),'List Setup'!$Q$2:$Q$401,999),IF(ISNUMBER(SEARCH(CHAR(10)&amp;'Set Aliases'!$A$2:$A$501&amp;CHAR(10),$H113)),'Set Aliases'!$C$2:$C$501,999))),"(none)"))</f>
        <v/>
      </c>
      <c r="C113" s="80" t="str">
        <f t="shared" si="1"/>
        <v/>
      </c>
      <c r="D113" s="80" t="str">
        <f t="array" ref="D113">IF(A113="","",IF(ISLOGICAL(INDEX(Wishlist!$A:$Z,ROW()-0,'List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13" s="80" t="str">
        <f t="shared" si="2"/>
        <v/>
      </c>
      <c r="F113" s="80" t="str">
        <f t="array" ref="F113">IF(A113="","",IF(ISNUMBER(J113),J113,IF(ISNUMBER(INDEX(Wishlist!$A:$Z,ROW()-0,'List Setup'!$F$2)),INDEX(Wishlist!$A:$Z,ROW()-0,'List Setup'!$F$2),0)))</f>
        <v/>
      </c>
      <c r="G113" s="80" t="str">
        <f t="array" ref="G113">IF(A113="","",A113&amp;IF(N(INDEX(Wishlist!$A:$Z,ROW()-0,'List Setup'!$C$2))&gt;1," (x"&amp;INDEX(Wishlist!$A:$Z,ROW()-0,'List Setup'!$C$2)&amp;")","")&amp;IF(COUNTIF(Binders!$J$6:$J$30,TRUE())&gt;1," ["&amp;Q113&amp;"]",""))</f>
        <v/>
      </c>
      <c r="H113" s="80" t="str">
        <f t="array" ref="H113">IF(A113="","",CHAR(10)&amp;INDEX(Wishlist!$A:$Z,ROW()-0,'List Setup'!$E$2)&amp;CHAR(10))</f>
        <v/>
      </c>
      <c r="I113" s="80" t="str">
        <f t="array" ref="I113">IF(OR(B113="",B113="(none)"),"",IF(ISNUMBER(SEARCH(CHAR(10)&amp;B113&amp;CHAR(10),H113)),B113,IFERROR(INDEX('Set Aliases'!$A$2:$A$501,MATCH(1,('Set Aliases'!$B$2:$B$501=B113)*ISNUMBER(SEARCH(CHAR(10)&amp;'Set Aliases'!$A$2:$A$501&amp;CHAR(10),H113)),0)),"")))</f>
        <v/>
      </c>
      <c r="J113" s="80" t="str">
        <f t="array" ref="J113">IF(I113="","",IFERROR(VALUE(TRIM(MID(SUBSTITUTE(INDEX(Wishlist!$A:$Z,ROW()-0,'List Setup'!$G$2),CHAR(10),REPT(" ",100)),((SEARCH(CHAR(10)&amp;I113&amp;CHAR(10),H113)-LEN(SUBSTITUTE(LEFT(H113,SEARCH(CHAR(10)&amp;I113&amp;CHAR(10),H113)),CHAR(10),"")))-1)*100+1,100))),""))</f>
        <v/>
      </c>
      <c r="K113" s="80" t="str">
        <f t="array" ref="K113">IF(A113="","",IF(ISNUMBER(SEARCH("Land",LEFT(IFERROR(INDEX(Wishlist!$A:$Z,ROW()-0,'List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13" s="80" t="str">
        <f t="shared" si="3"/>
        <v/>
      </c>
      <c r="M113" s="80" t="str">
        <f>IF(A113="","",IF(AND(E113="Y",B113='Use at Shop'!$B$4),K113*10000000000+(MAX(0,MIN(26,CODE(MID(UPPER(A113)&amp;"    ",1,1))-64))*19683+MAX(0,MIN(26,CODE(MID(UPPER(A113)&amp;"    ",2,1))-64))*729+MAX(0,MIN(26,CODE(MID(UPPER(A113)&amp;"    ",3,1))-64))*27+MAX(0,MIN(26,CODE(MID(UPPER(A113)&amp;"    ",4,1))-64))*1)*10000+ROW(),""))</f>
        <v/>
      </c>
      <c r="N113" s="80" t="str">
        <f t="shared" si="4"/>
        <v/>
      </c>
      <c r="O113" s="80" t="str">
        <f t="array" ref="O113">IF(A113="","",IFERROR(INDEX(Wishlist!$A:$Z,ROW()-0,'List Setup'!$J$2)&amp;"",""))</f>
        <v/>
      </c>
      <c r="P113" s="2"/>
      <c r="Q113" s="80" t="str">
        <f>IF(A113="","",'List Setup'!$A$2)</f>
        <v/>
      </c>
      <c r="R113" s="80" t="str">
        <f t="array" ref="R113">IF(A113="","",IFERROR(OR(INDEX(Binders!$J$6:$J$30,MATCH(Q113,Binders!$I$6:$I$30,0))=TRUE(),UPPER(INDEX(Binders!$J$6:$J$30,MATCH(Q113,Binders!$I$6:$I$30,0))&amp;"")="TRUE"),FALSE()))</f>
        <v/>
      </c>
    </row>
    <row r="114" ht="15.75" customHeight="1">
      <c r="A114" s="80" t="str">
        <f t="array" ref="A114">IF(INDEX(Wishlist!$A:$Z,ROW()-0,'List Setup'!$D$2)="","",INDEX(Wishlist!$A:$Z,ROW()-0,'List Setup'!$D$2))</f>
        <v/>
      </c>
      <c r="B114" s="80" t="str">
        <f t="array" ref="B114">IF(A114="","",IFERROR(INDEX('Binder Setup'!$B$2:$B$401,MIN(IF(ISNUMBER(SEARCH(CHAR(10)&amp;'Binder Setup'!$B$2:$B$401&amp;CHAR(10),$H114)),'List Setup'!$Q$2:$Q$401,999),IF(ISNUMBER(SEARCH(CHAR(10)&amp;'Set Aliases'!$A$2:$A$501&amp;CHAR(10),$H114)),'Set Aliases'!$C$2:$C$501,999))),"(none)"))</f>
        <v/>
      </c>
      <c r="C114" s="80" t="str">
        <f t="shared" si="1"/>
        <v/>
      </c>
      <c r="D114" s="80" t="str">
        <f t="array" ref="D114">IF(A114="","",IF(ISLOGICAL(INDEX(Wishlist!$A:$Z,ROW()-0,'List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14" s="80" t="str">
        <f t="shared" si="2"/>
        <v/>
      </c>
      <c r="F114" s="80" t="str">
        <f t="array" ref="F114">IF(A114="","",IF(ISNUMBER(J114),J114,IF(ISNUMBER(INDEX(Wishlist!$A:$Z,ROW()-0,'List Setup'!$F$2)),INDEX(Wishlist!$A:$Z,ROW()-0,'List Setup'!$F$2),0)))</f>
        <v/>
      </c>
      <c r="G114" s="80" t="str">
        <f t="array" ref="G114">IF(A114="","",A114&amp;IF(N(INDEX(Wishlist!$A:$Z,ROW()-0,'List Setup'!$C$2))&gt;1," (x"&amp;INDEX(Wishlist!$A:$Z,ROW()-0,'List Setup'!$C$2)&amp;")","")&amp;IF(COUNTIF(Binders!$J$6:$J$30,TRUE())&gt;1," ["&amp;Q114&amp;"]",""))</f>
        <v/>
      </c>
      <c r="H114" s="80" t="str">
        <f t="array" ref="H114">IF(A114="","",CHAR(10)&amp;INDEX(Wishlist!$A:$Z,ROW()-0,'List Setup'!$E$2)&amp;CHAR(10))</f>
        <v/>
      </c>
      <c r="I114" s="80" t="str">
        <f t="array" ref="I114">IF(OR(B114="",B114="(none)"),"",IF(ISNUMBER(SEARCH(CHAR(10)&amp;B114&amp;CHAR(10),H114)),B114,IFERROR(INDEX('Set Aliases'!$A$2:$A$501,MATCH(1,('Set Aliases'!$B$2:$B$501=B114)*ISNUMBER(SEARCH(CHAR(10)&amp;'Set Aliases'!$A$2:$A$501&amp;CHAR(10),H114)),0)),"")))</f>
        <v/>
      </c>
      <c r="J114" s="80" t="str">
        <f t="array" ref="J114">IF(I114="","",IFERROR(VALUE(TRIM(MID(SUBSTITUTE(INDEX(Wishlist!$A:$Z,ROW()-0,'List Setup'!$G$2),CHAR(10),REPT(" ",100)),((SEARCH(CHAR(10)&amp;I114&amp;CHAR(10),H114)-LEN(SUBSTITUTE(LEFT(H114,SEARCH(CHAR(10)&amp;I114&amp;CHAR(10),H114)),CHAR(10),"")))-1)*100+1,100))),""))</f>
        <v/>
      </c>
      <c r="K114" s="80" t="str">
        <f t="array" ref="K114">IF(A114="","",IF(ISNUMBER(SEARCH("Land",LEFT(IFERROR(INDEX(Wishlist!$A:$Z,ROW()-0,'List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14" s="80" t="str">
        <f t="shared" si="3"/>
        <v/>
      </c>
      <c r="M114" s="80" t="str">
        <f>IF(A114="","",IF(AND(E114="Y",B114='Use at Shop'!$B$4),K114*10000000000+(MAX(0,MIN(26,CODE(MID(UPPER(A114)&amp;"    ",1,1))-64))*19683+MAX(0,MIN(26,CODE(MID(UPPER(A114)&amp;"    ",2,1))-64))*729+MAX(0,MIN(26,CODE(MID(UPPER(A114)&amp;"    ",3,1))-64))*27+MAX(0,MIN(26,CODE(MID(UPPER(A114)&amp;"    ",4,1))-64))*1)*10000+ROW(),""))</f>
        <v/>
      </c>
      <c r="N114" s="80" t="str">
        <f t="shared" si="4"/>
        <v/>
      </c>
      <c r="O114" s="80" t="str">
        <f t="array" ref="O114">IF(A114="","",IFERROR(INDEX(Wishlist!$A:$Z,ROW()-0,'List Setup'!$J$2)&amp;"",""))</f>
        <v/>
      </c>
      <c r="P114" s="2"/>
      <c r="Q114" s="80" t="str">
        <f>IF(A114="","",'List Setup'!$A$2)</f>
        <v/>
      </c>
      <c r="R114" s="80" t="str">
        <f t="array" ref="R114">IF(A114="","",IFERROR(OR(INDEX(Binders!$J$6:$J$30,MATCH(Q114,Binders!$I$6:$I$30,0))=TRUE(),UPPER(INDEX(Binders!$J$6:$J$30,MATCH(Q114,Binders!$I$6:$I$30,0))&amp;"")="TRUE"),FALSE()))</f>
        <v/>
      </c>
    </row>
    <row r="115" ht="15.75" customHeight="1">
      <c r="A115" s="80" t="str">
        <f t="array" ref="A115">IF(INDEX(Wishlist!$A:$Z,ROW()-0,'List Setup'!$D$2)="","",INDEX(Wishlist!$A:$Z,ROW()-0,'List Setup'!$D$2))</f>
        <v/>
      </c>
      <c r="B115" s="80" t="str">
        <f t="array" ref="B115">IF(A115="","",IFERROR(INDEX('Binder Setup'!$B$2:$B$401,MIN(IF(ISNUMBER(SEARCH(CHAR(10)&amp;'Binder Setup'!$B$2:$B$401&amp;CHAR(10),$H115)),'List Setup'!$Q$2:$Q$401,999),IF(ISNUMBER(SEARCH(CHAR(10)&amp;'Set Aliases'!$A$2:$A$501&amp;CHAR(10),$H115)),'Set Aliases'!$C$2:$C$501,999))),"(none)"))</f>
        <v/>
      </c>
      <c r="C115" s="80" t="str">
        <f t="shared" si="1"/>
        <v/>
      </c>
      <c r="D115" s="80" t="str">
        <f t="array" ref="D115">IF(A115="","",IF(ISLOGICAL(INDEX(Wishlist!$A:$Z,ROW()-0,'List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15" s="80" t="str">
        <f t="shared" si="2"/>
        <v/>
      </c>
      <c r="F115" s="80" t="str">
        <f t="array" ref="F115">IF(A115="","",IF(ISNUMBER(J115),J115,IF(ISNUMBER(INDEX(Wishlist!$A:$Z,ROW()-0,'List Setup'!$F$2)),INDEX(Wishlist!$A:$Z,ROW()-0,'List Setup'!$F$2),0)))</f>
        <v/>
      </c>
      <c r="G115" s="80" t="str">
        <f t="array" ref="G115">IF(A115="","",A115&amp;IF(N(INDEX(Wishlist!$A:$Z,ROW()-0,'List Setup'!$C$2))&gt;1," (x"&amp;INDEX(Wishlist!$A:$Z,ROW()-0,'List Setup'!$C$2)&amp;")","")&amp;IF(COUNTIF(Binders!$J$6:$J$30,TRUE())&gt;1," ["&amp;Q115&amp;"]",""))</f>
        <v/>
      </c>
      <c r="H115" s="80" t="str">
        <f t="array" ref="H115">IF(A115="","",CHAR(10)&amp;INDEX(Wishlist!$A:$Z,ROW()-0,'List Setup'!$E$2)&amp;CHAR(10))</f>
        <v/>
      </c>
      <c r="I115" s="80" t="str">
        <f t="array" ref="I115">IF(OR(B115="",B115="(none)"),"",IF(ISNUMBER(SEARCH(CHAR(10)&amp;B115&amp;CHAR(10),H115)),B115,IFERROR(INDEX('Set Aliases'!$A$2:$A$501,MATCH(1,('Set Aliases'!$B$2:$B$501=B115)*ISNUMBER(SEARCH(CHAR(10)&amp;'Set Aliases'!$A$2:$A$501&amp;CHAR(10),H115)),0)),"")))</f>
        <v/>
      </c>
      <c r="J115" s="80" t="str">
        <f t="array" ref="J115">IF(I115="","",IFERROR(VALUE(TRIM(MID(SUBSTITUTE(INDEX(Wishlist!$A:$Z,ROW()-0,'List Setup'!$G$2),CHAR(10),REPT(" ",100)),((SEARCH(CHAR(10)&amp;I115&amp;CHAR(10),H115)-LEN(SUBSTITUTE(LEFT(H115,SEARCH(CHAR(10)&amp;I115&amp;CHAR(10),H115)),CHAR(10),"")))-1)*100+1,100))),""))</f>
        <v/>
      </c>
      <c r="K115" s="80" t="str">
        <f t="array" ref="K115">IF(A115="","",IF(ISNUMBER(SEARCH("Land",LEFT(IFERROR(INDEX(Wishlist!$A:$Z,ROW()-0,'List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15" s="80" t="str">
        <f t="shared" si="3"/>
        <v/>
      </c>
      <c r="M115" s="80" t="str">
        <f>IF(A115="","",IF(AND(E115="Y",B115='Use at Shop'!$B$4),K115*10000000000+(MAX(0,MIN(26,CODE(MID(UPPER(A115)&amp;"    ",1,1))-64))*19683+MAX(0,MIN(26,CODE(MID(UPPER(A115)&amp;"    ",2,1))-64))*729+MAX(0,MIN(26,CODE(MID(UPPER(A115)&amp;"    ",3,1))-64))*27+MAX(0,MIN(26,CODE(MID(UPPER(A115)&amp;"    ",4,1))-64))*1)*10000+ROW(),""))</f>
        <v/>
      </c>
      <c r="N115" s="80" t="str">
        <f t="shared" si="4"/>
        <v/>
      </c>
      <c r="O115" s="80" t="str">
        <f t="array" ref="O115">IF(A115="","",IFERROR(INDEX(Wishlist!$A:$Z,ROW()-0,'List Setup'!$J$2)&amp;"",""))</f>
        <v/>
      </c>
      <c r="P115" s="2"/>
      <c r="Q115" s="80" t="str">
        <f>IF(A115="","",'List Setup'!$A$2)</f>
        <v/>
      </c>
      <c r="R115" s="80" t="str">
        <f t="array" ref="R115">IF(A115="","",IFERROR(OR(INDEX(Binders!$J$6:$J$30,MATCH(Q115,Binders!$I$6:$I$30,0))=TRUE(),UPPER(INDEX(Binders!$J$6:$J$30,MATCH(Q115,Binders!$I$6:$I$30,0))&amp;"")="TRUE"),FALSE()))</f>
        <v/>
      </c>
    </row>
    <row r="116" ht="15.75" customHeight="1">
      <c r="A116" s="80" t="str">
        <f t="array" ref="A116">IF(INDEX(Wishlist!$A:$Z,ROW()-0,'List Setup'!$D$2)="","",INDEX(Wishlist!$A:$Z,ROW()-0,'List Setup'!$D$2))</f>
        <v/>
      </c>
      <c r="B116" s="80" t="str">
        <f t="array" ref="B116">IF(A116="","",IFERROR(INDEX('Binder Setup'!$B$2:$B$401,MIN(IF(ISNUMBER(SEARCH(CHAR(10)&amp;'Binder Setup'!$B$2:$B$401&amp;CHAR(10),$H116)),'List Setup'!$Q$2:$Q$401,999),IF(ISNUMBER(SEARCH(CHAR(10)&amp;'Set Aliases'!$A$2:$A$501&amp;CHAR(10),$H116)),'Set Aliases'!$C$2:$C$501,999))),"(none)"))</f>
        <v/>
      </c>
      <c r="C116" s="80" t="str">
        <f t="shared" si="1"/>
        <v/>
      </c>
      <c r="D116" s="80" t="str">
        <f t="array" ref="D116">IF(A116="","",IF(ISLOGICAL(INDEX(Wishlist!$A:$Z,ROW()-0,'List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16" s="80" t="str">
        <f t="shared" si="2"/>
        <v/>
      </c>
      <c r="F116" s="80" t="str">
        <f t="array" ref="F116">IF(A116="","",IF(ISNUMBER(J116),J116,IF(ISNUMBER(INDEX(Wishlist!$A:$Z,ROW()-0,'List Setup'!$F$2)),INDEX(Wishlist!$A:$Z,ROW()-0,'List Setup'!$F$2),0)))</f>
        <v/>
      </c>
      <c r="G116" s="80" t="str">
        <f t="array" ref="G116">IF(A116="","",A116&amp;IF(N(INDEX(Wishlist!$A:$Z,ROW()-0,'List Setup'!$C$2))&gt;1," (x"&amp;INDEX(Wishlist!$A:$Z,ROW()-0,'List Setup'!$C$2)&amp;")","")&amp;IF(COUNTIF(Binders!$J$6:$J$30,TRUE())&gt;1," ["&amp;Q116&amp;"]",""))</f>
        <v/>
      </c>
      <c r="H116" s="80" t="str">
        <f t="array" ref="H116">IF(A116="","",CHAR(10)&amp;INDEX(Wishlist!$A:$Z,ROW()-0,'List Setup'!$E$2)&amp;CHAR(10))</f>
        <v/>
      </c>
      <c r="I116" s="80" t="str">
        <f t="array" ref="I116">IF(OR(B116="",B116="(none)"),"",IF(ISNUMBER(SEARCH(CHAR(10)&amp;B116&amp;CHAR(10),H116)),B116,IFERROR(INDEX('Set Aliases'!$A$2:$A$501,MATCH(1,('Set Aliases'!$B$2:$B$501=B116)*ISNUMBER(SEARCH(CHAR(10)&amp;'Set Aliases'!$A$2:$A$501&amp;CHAR(10),H116)),0)),"")))</f>
        <v/>
      </c>
      <c r="J116" s="80" t="str">
        <f t="array" ref="J116">IF(I116="","",IFERROR(VALUE(TRIM(MID(SUBSTITUTE(INDEX(Wishlist!$A:$Z,ROW()-0,'List Setup'!$G$2),CHAR(10),REPT(" ",100)),((SEARCH(CHAR(10)&amp;I116&amp;CHAR(10),H116)-LEN(SUBSTITUTE(LEFT(H116,SEARCH(CHAR(10)&amp;I116&amp;CHAR(10),H116)),CHAR(10),"")))-1)*100+1,100))),""))</f>
        <v/>
      </c>
      <c r="K116" s="80" t="str">
        <f t="array" ref="K116">IF(A116="","",IF(ISNUMBER(SEARCH("Land",LEFT(IFERROR(INDEX(Wishlist!$A:$Z,ROW()-0,'List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16" s="80" t="str">
        <f t="shared" si="3"/>
        <v/>
      </c>
      <c r="M116" s="80" t="str">
        <f>IF(A116="","",IF(AND(E116="Y",B116='Use at Shop'!$B$4),K116*10000000000+(MAX(0,MIN(26,CODE(MID(UPPER(A116)&amp;"    ",1,1))-64))*19683+MAX(0,MIN(26,CODE(MID(UPPER(A116)&amp;"    ",2,1))-64))*729+MAX(0,MIN(26,CODE(MID(UPPER(A116)&amp;"    ",3,1))-64))*27+MAX(0,MIN(26,CODE(MID(UPPER(A116)&amp;"    ",4,1))-64))*1)*10000+ROW(),""))</f>
        <v/>
      </c>
      <c r="N116" s="80" t="str">
        <f t="shared" si="4"/>
        <v/>
      </c>
      <c r="O116" s="80" t="str">
        <f t="array" ref="O116">IF(A116="","",IFERROR(INDEX(Wishlist!$A:$Z,ROW()-0,'List Setup'!$J$2)&amp;"",""))</f>
        <v/>
      </c>
      <c r="P116" s="2"/>
      <c r="Q116" s="80" t="str">
        <f>IF(A116="","",'List Setup'!$A$2)</f>
        <v/>
      </c>
      <c r="R116" s="80" t="str">
        <f t="array" ref="R116">IF(A116="","",IFERROR(OR(INDEX(Binders!$J$6:$J$30,MATCH(Q116,Binders!$I$6:$I$30,0))=TRUE(),UPPER(INDEX(Binders!$J$6:$J$30,MATCH(Q116,Binders!$I$6:$I$30,0))&amp;"")="TRUE"),FALSE()))</f>
        <v/>
      </c>
    </row>
    <row r="117" ht="15.75" customHeight="1">
      <c r="A117" s="80" t="str">
        <f t="array" ref="A117">IF(INDEX(Wishlist!$A:$Z,ROW()-0,'List Setup'!$D$2)="","",INDEX(Wishlist!$A:$Z,ROW()-0,'List Setup'!$D$2))</f>
        <v/>
      </c>
      <c r="B117" s="80" t="str">
        <f t="array" ref="B117">IF(A117="","",IFERROR(INDEX('Binder Setup'!$B$2:$B$401,MIN(IF(ISNUMBER(SEARCH(CHAR(10)&amp;'Binder Setup'!$B$2:$B$401&amp;CHAR(10),$H117)),'List Setup'!$Q$2:$Q$401,999),IF(ISNUMBER(SEARCH(CHAR(10)&amp;'Set Aliases'!$A$2:$A$501&amp;CHAR(10),$H117)),'Set Aliases'!$C$2:$C$501,999))),"(none)"))</f>
        <v/>
      </c>
      <c r="C117" s="80" t="str">
        <f t="shared" si="1"/>
        <v/>
      </c>
      <c r="D117" s="80" t="str">
        <f t="array" ref="D117">IF(A117="","",IF(ISLOGICAL(INDEX(Wishlist!$A:$Z,ROW()-0,'List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17" s="80" t="str">
        <f t="shared" si="2"/>
        <v/>
      </c>
      <c r="F117" s="80" t="str">
        <f t="array" ref="F117">IF(A117="","",IF(ISNUMBER(J117),J117,IF(ISNUMBER(INDEX(Wishlist!$A:$Z,ROW()-0,'List Setup'!$F$2)),INDEX(Wishlist!$A:$Z,ROW()-0,'List Setup'!$F$2),0)))</f>
        <v/>
      </c>
      <c r="G117" s="80" t="str">
        <f t="array" ref="G117">IF(A117="","",A117&amp;IF(N(INDEX(Wishlist!$A:$Z,ROW()-0,'List Setup'!$C$2))&gt;1," (x"&amp;INDEX(Wishlist!$A:$Z,ROW()-0,'List Setup'!$C$2)&amp;")","")&amp;IF(COUNTIF(Binders!$J$6:$J$30,TRUE())&gt;1," ["&amp;Q117&amp;"]",""))</f>
        <v/>
      </c>
      <c r="H117" s="80" t="str">
        <f t="array" ref="H117">IF(A117="","",CHAR(10)&amp;INDEX(Wishlist!$A:$Z,ROW()-0,'List Setup'!$E$2)&amp;CHAR(10))</f>
        <v/>
      </c>
      <c r="I117" s="80" t="str">
        <f t="array" ref="I117">IF(OR(B117="",B117="(none)"),"",IF(ISNUMBER(SEARCH(CHAR(10)&amp;B117&amp;CHAR(10),H117)),B117,IFERROR(INDEX('Set Aliases'!$A$2:$A$501,MATCH(1,('Set Aliases'!$B$2:$B$501=B117)*ISNUMBER(SEARCH(CHAR(10)&amp;'Set Aliases'!$A$2:$A$501&amp;CHAR(10),H117)),0)),"")))</f>
        <v/>
      </c>
      <c r="J117" s="80" t="str">
        <f t="array" ref="J117">IF(I117="","",IFERROR(VALUE(TRIM(MID(SUBSTITUTE(INDEX(Wishlist!$A:$Z,ROW()-0,'List Setup'!$G$2),CHAR(10),REPT(" ",100)),((SEARCH(CHAR(10)&amp;I117&amp;CHAR(10),H117)-LEN(SUBSTITUTE(LEFT(H117,SEARCH(CHAR(10)&amp;I117&amp;CHAR(10),H117)),CHAR(10),"")))-1)*100+1,100))),""))</f>
        <v/>
      </c>
      <c r="K117" s="80" t="str">
        <f t="array" ref="K117">IF(A117="","",IF(ISNUMBER(SEARCH("Land",LEFT(IFERROR(INDEX(Wishlist!$A:$Z,ROW()-0,'List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17" s="80" t="str">
        <f t="shared" si="3"/>
        <v/>
      </c>
      <c r="M117" s="80" t="str">
        <f>IF(A117="","",IF(AND(E117="Y",B117='Use at Shop'!$B$4),K117*10000000000+(MAX(0,MIN(26,CODE(MID(UPPER(A117)&amp;"    ",1,1))-64))*19683+MAX(0,MIN(26,CODE(MID(UPPER(A117)&amp;"    ",2,1))-64))*729+MAX(0,MIN(26,CODE(MID(UPPER(A117)&amp;"    ",3,1))-64))*27+MAX(0,MIN(26,CODE(MID(UPPER(A117)&amp;"    ",4,1))-64))*1)*10000+ROW(),""))</f>
        <v/>
      </c>
      <c r="N117" s="80" t="str">
        <f t="shared" si="4"/>
        <v/>
      </c>
      <c r="O117" s="80" t="str">
        <f t="array" ref="O117">IF(A117="","",IFERROR(INDEX(Wishlist!$A:$Z,ROW()-0,'List Setup'!$J$2)&amp;"",""))</f>
        <v/>
      </c>
      <c r="P117" s="2"/>
      <c r="Q117" s="80" t="str">
        <f>IF(A117="","",'List Setup'!$A$2)</f>
        <v/>
      </c>
      <c r="R117" s="80" t="str">
        <f t="array" ref="R117">IF(A117="","",IFERROR(OR(INDEX(Binders!$J$6:$J$30,MATCH(Q117,Binders!$I$6:$I$30,0))=TRUE(),UPPER(INDEX(Binders!$J$6:$J$30,MATCH(Q117,Binders!$I$6:$I$30,0))&amp;"")="TRUE"),FALSE()))</f>
        <v/>
      </c>
    </row>
    <row r="118" ht="15.75" customHeight="1">
      <c r="A118" s="80" t="str">
        <f t="array" ref="A118">IF(INDEX(Wishlist!$A:$Z,ROW()-0,'List Setup'!$D$2)="","",INDEX(Wishlist!$A:$Z,ROW()-0,'List Setup'!$D$2))</f>
        <v/>
      </c>
      <c r="B118" s="80" t="str">
        <f t="array" ref="B118">IF(A118="","",IFERROR(INDEX('Binder Setup'!$B$2:$B$401,MIN(IF(ISNUMBER(SEARCH(CHAR(10)&amp;'Binder Setup'!$B$2:$B$401&amp;CHAR(10),$H118)),'List Setup'!$Q$2:$Q$401,999),IF(ISNUMBER(SEARCH(CHAR(10)&amp;'Set Aliases'!$A$2:$A$501&amp;CHAR(10),$H118)),'Set Aliases'!$C$2:$C$501,999))),"(none)"))</f>
        <v/>
      </c>
      <c r="C118" s="80" t="str">
        <f t="shared" si="1"/>
        <v/>
      </c>
      <c r="D118" s="80" t="str">
        <f t="array" ref="D118">IF(A118="","",IF(ISLOGICAL(INDEX(Wishlist!$A:$Z,ROW()-0,'List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18" s="80" t="str">
        <f t="shared" si="2"/>
        <v/>
      </c>
      <c r="F118" s="80" t="str">
        <f t="array" ref="F118">IF(A118="","",IF(ISNUMBER(J118),J118,IF(ISNUMBER(INDEX(Wishlist!$A:$Z,ROW()-0,'List Setup'!$F$2)),INDEX(Wishlist!$A:$Z,ROW()-0,'List Setup'!$F$2),0)))</f>
        <v/>
      </c>
      <c r="G118" s="80" t="str">
        <f t="array" ref="G118">IF(A118="","",A118&amp;IF(N(INDEX(Wishlist!$A:$Z,ROW()-0,'List Setup'!$C$2))&gt;1," (x"&amp;INDEX(Wishlist!$A:$Z,ROW()-0,'List Setup'!$C$2)&amp;")","")&amp;IF(COUNTIF(Binders!$J$6:$J$30,TRUE())&gt;1," ["&amp;Q118&amp;"]",""))</f>
        <v/>
      </c>
      <c r="H118" s="80" t="str">
        <f t="array" ref="H118">IF(A118="","",CHAR(10)&amp;INDEX(Wishlist!$A:$Z,ROW()-0,'List Setup'!$E$2)&amp;CHAR(10))</f>
        <v/>
      </c>
      <c r="I118" s="80" t="str">
        <f t="array" ref="I118">IF(OR(B118="",B118="(none)"),"",IF(ISNUMBER(SEARCH(CHAR(10)&amp;B118&amp;CHAR(10),H118)),B118,IFERROR(INDEX('Set Aliases'!$A$2:$A$501,MATCH(1,('Set Aliases'!$B$2:$B$501=B118)*ISNUMBER(SEARCH(CHAR(10)&amp;'Set Aliases'!$A$2:$A$501&amp;CHAR(10),H118)),0)),"")))</f>
        <v/>
      </c>
      <c r="J118" s="80" t="str">
        <f t="array" ref="J118">IF(I118="","",IFERROR(VALUE(TRIM(MID(SUBSTITUTE(INDEX(Wishlist!$A:$Z,ROW()-0,'List Setup'!$G$2),CHAR(10),REPT(" ",100)),((SEARCH(CHAR(10)&amp;I118&amp;CHAR(10),H118)-LEN(SUBSTITUTE(LEFT(H118,SEARCH(CHAR(10)&amp;I118&amp;CHAR(10),H118)),CHAR(10),"")))-1)*100+1,100))),""))</f>
        <v/>
      </c>
      <c r="K118" s="80" t="str">
        <f t="array" ref="K118">IF(A118="","",IF(ISNUMBER(SEARCH("Land",LEFT(IFERROR(INDEX(Wishlist!$A:$Z,ROW()-0,'List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18" s="80" t="str">
        <f t="shared" si="3"/>
        <v/>
      </c>
      <c r="M118" s="80" t="str">
        <f>IF(A118="","",IF(AND(E118="Y",B118='Use at Shop'!$B$4),K118*10000000000+(MAX(0,MIN(26,CODE(MID(UPPER(A118)&amp;"    ",1,1))-64))*19683+MAX(0,MIN(26,CODE(MID(UPPER(A118)&amp;"    ",2,1))-64))*729+MAX(0,MIN(26,CODE(MID(UPPER(A118)&amp;"    ",3,1))-64))*27+MAX(0,MIN(26,CODE(MID(UPPER(A118)&amp;"    ",4,1))-64))*1)*10000+ROW(),""))</f>
        <v/>
      </c>
      <c r="N118" s="80" t="str">
        <f t="shared" si="4"/>
        <v/>
      </c>
      <c r="O118" s="80" t="str">
        <f t="array" ref="O118">IF(A118="","",IFERROR(INDEX(Wishlist!$A:$Z,ROW()-0,'List Setup'!$J$2)&amp;"",""))</f>
        <v/>
      </c>
      <c r="P118" s="2"/>
      <c r="Q118" s="80" t="str">
        <f>IF(A118="","",'List Setup'!$A$2)</f>
        <v/>
      </c>
      <c r="R118" s="80" t="str">
        <f t="array" ref="R118">IF(A118="","",IFERROR(OR(INDEX(Binders!$J$6:$J$30,MATCH(Q118,Binders!$I$6:$I$30,0))=TRUE(),UPPER(INDEX(Binders!$J$6:$J$30,MATCH(Q118,Binders!$I$6:$I$30,0))&amp;"")="TRUE"),FALSE()))</f>
        <v/>
      </c>
    </row>
    <row r="119" ht="15.75" customHeight="1">
      <c r="A119" s="80" t="str">
        <f t="array" ref="A119">IF(INDEX(Wishlist!$A:$Z,ROW()-0,'List Setup'!$D$2)="","",INDEX(Wishlist!$A:$Z,ROW()-0,'List Setup'!$D$2))</f>
        <v/>
      </c>
      <c r="B119" s="80" t="str">
        <f t="array" ref="B119">IF(A119="","",IFERROR(INDEX('Binder Setup'!$B$2:$B$401,MIN(IF(ISNUMBER(SEARCH(CHAR(10)&amp;'Binder Setup'!$B$2:$B$401&amp;CHAR(10),$H119)),'List Setup'!$Q$2:$Q$401,999),IF(ISNUMBER(SEARCH(CHAR(10)&amp;'Set Aliases'!$A$2:$A$501&amp;CHAR(10),$H119)),'Set Aliases'!$C$2:$C$501,999))),"(none)"))</f>
        <v/>
      </c>
      <c r="C119" s="80" t="str">
        <f t="shared" si="1"/>
        <v/>
      </c>
      <c r="D119" s="80" t="str">
        <f t="array" ref="D119">IF(A119="","",IF(ISLOGICAL(INDEX(Wishlist!$A:$Z,ROW()-0,'List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19" s="80" t="str">
        <f t="shared" si="2"/>
        <v/>
      </c>
      <c r="F119" s="80" t="str">
        <f t="array" ref="F119">IF(A119="","",IF(ISNUMBER(J119),J119,IF(ISNUMBER(INDEX(Wishlist!$A:$Z,ROW()-0,'List Setup'!$F$2)),INDEX(Wishlist!$A:$Z,ROW()-0,'List Setup'!$F$2),0)))</f>
        <v/>
      </c>
      <c r="G119" s="80" t="str">
        <f t="array" ref="G119">IF(A119="","",A119&amp;IF(N(INDEX(Wishlist!$A:$Z,ROW()-0,'List Setup'!$C$2))&gt;1," (x"&amp;INDEX(Wishlist!$A:$Z,ROW()-0,'List Setup'!$C$2)&amp;")","")&amp;IF(COUNTIF(Binders!$J$6:$J$30,TRUE())&gt;1," ["&amp;Q119&amp;"]",""))</f>
        <v/>
      </c>
      <c r="H119" s="80" t="str">
        <f t="array" ref="H119">IF(A119="","",CHAR(10)&amp;INDEX(Wishlist!$A:$Z,ROW()-0,'List Setup'!$E$2)&amp;CHAR(10))</f>
        <v/>
      </c>
      <c r="I119" s="80" t="str">
        <f t="array" ref="I119">IF(OR(B119="",B119="(none)"),"",IF(ISNUMBER(SEARCH(CHAR(10)&amp;B119&amp;CHAR(10),H119)),B119,IFERROR(INDEX('Set Aliases'!$A$2:$A$501,MATCH(1,('Set Aliases'!$B$2:$B$501=B119)*ISNUMBER(SEARCH(CHAR(10)&amp;'Set Aliases'!$A$2:$A$501&amp;CHAR(10),H119)),0)),"")))</f>
        <v/>
      </c>
      <c r="J119" s="80" t="str">
        <f t="array" ref="J119">IF(I119="","",IFERROR(VALUE(TRIM(MID(SUBSTITUTE(INDEX(Wishlist!$A:$Z,ROW()-0,'List Setup'!$G$2),CHAR(10),REPT(" ",100)),((SEARCH(CHAR(10)&amp;I119&amp;CHAR(10),H119)-LEN(SUBSTITUTE(LEFT(H119,SEARCH(CHAR(10)&amp;I119&amp;CHAR(10),H119)),CHAR(10),"")))-1)*100+1,100))),""))</f>
        <v/>
      </c>
      <c r="K119" s="80" t="str">
        <f t="array" ref="K119">IF(A119="","",IF(ISNUMBER(SEARCH("Land",LEFT(IFERROR(INDEX(Wishlist!$A:$Z,ROW()-0,'List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19" s="80" t="str">
        <f t="shared" si="3"/>
        <v/>
      </c>
      <c r="M119" s="80" t="str">
        <f>IF(A119="","",IF(AND(E119="Y",B119='Use at Shop'!$B$4),K119*10000000000+(MAX(0,MIN(26,CODE(MID(UPPER(A119)&amp;"    ",1,1))-64))*19683+MAX(0,MIN(26,CODE(MID(UPPER(A119)&amp;"    ",2,1))-64))*729+MAX(0,MIN(26,CODE(MID(UPPER(A119)&amp;"    ",3,1))-64))*27+MAX(0,MIN(26,CODE(MID(UPPER(A119)&amp;"    ",4,1))-64))*1)*10000+ROW(),""))</f>
        <v/>
      </c>
      <c r="N119" s="80" t="str">
        <f t="shared" si="4"/>
        <v/>
      </c>
      <c r="O119" s="80" t="str">
        <f t="array" ref="O119">IF(A119="","",IFERROR(INDEX(Wishlist!$A:$Z,ROW()-0,'List Setup'!$J$2)&amp;"",""))</f>
        <v/>
      </c>
      <c r="P119" s="2"/>
      <c r="Q119" s="80" t="str">
        <f>IF(A119="","",'List Setup'!$A$2)</f>
        <v/>
      </c>
      <c r="R119" s="80" t="str">
        <f t="array" ref="R119">IF(A119="","",IFERROR(OR(INDEX(Binders!$J$6:$J$30,MATCH(Q119,Binders!$I$6:$I$30,0))=TRUE(),UPPER(INDEX(Binders!$J$6:$J$30,MATCH(Q119,Binders!$I$6:$I$30,0))&amp;"")="TRUE"),FALSE()))</f>
        <v/>
      </c>
    </row>
    <row r="120" ht="15.75" customHeight="1">
      <c r="A120" s="80" t="str">
        <f t="array" ref="A120">IF(INDEX(Wishlist!$A:$Z,ROW()-0,'List Setup'!$D$2)="","",INDEX(Wishlist!$A:$Z,ROW()-0,'List Setup'!$D$2))</f>
        <v/>
      </c>
      <c r="B120" s="80" t="str">
        <f t="array" ref="B120">IF(A120="","",IFERROR(INDEX('Binder Setup'!$B$2:$B$401,MIN(IF(ISNUMBER(SEARCH(CHAR(10)&amp;'Binder Setup'!$B$2:$B$401&amp;CHAR(10),$H120)),'List Setup'!$Q$2:$Q$401,999),IF(ISNUMBER(SEARCH(CHAR(10)&amp;'Set Aliases'!$A$2:$A$501&amp;CHAR(10),$H120)),'Set Aliases'!$C$2:$C$501,999))),"(none)"))</f>
        <v/>
      </c>
      <c r="C120" s="80" t="str">
        <f t="shared" si="1"/>
        <v/>
      </c>
      <c r="D120" s="80" t="str">
        <f t="array" ref="D120">IF(A120="","",IF(ISLOGICAL(INDEX(Wishlist!$A:$Z,ROW()-0,'List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20" s="80" t="str">
        <f t="shared" si="2"/>
        <v/>
      </c>
      <c r="F120" s="80" t="str">
        <f t="array" ref="F120">IF(A120="","",IF(ISNUMBER(J120),J120,IF(ISNUMBER(INDEX(Wishlist!$A:$Z,ROW()-0,'List Setup'!$F$2)),INDEX(Wishlist!$A:$Z,ROW()-0,'List Setup'!$F$2),0)))</f>
        <v/>
      </c>
      <c r="G120" s="80" t="str">
        <f t="array" ref="G120">IF(A120="","",A120&amp;IF(N(INDEX(Wishlist!$A:$Z,ROW()-0,'List Setup'!$C$2))&gt;1," (x"&amp;INDEX(Wishlist!$A:$Z,ROW()-0,'List Setup'!$C$2)&amp;")","")&amp;IF(COUNTIF(Binders!$J$6:$J$30,TRUE())&gt;1," ["&amp;Q120&amp;"]",""))</f>
        <v/>
      </c>
      <c r="H120" s="80" t="str">
        <f t="array" ref="H120">IF(A120="","",CHAR(10)&amp;INDEX(Wishlist!$A:$Z,ROW()-0,'List Setup'!$E$2)&amp;CHAR(10))</f>
        <v/>
      </c>
      <c r="I120" s="80" t="str">
        <f t="array" ref="I120">IF(OR(B120="",B120="(none)"),"",IF(ISNUMBER(SEARCH(CHAR(10)&amp;B120&amp;CHAR(10),H120)),B120,IFERROR(INDEX('Set Aliases'!$A$2:$A$501,MATCH(1,('Set Aliases'!$B$2:$B$501=B120)*ISNUMBER(SEARCH(CHAR(10)&amp;'Set Aliases'!$A$2:$A$501&amp;CHAR(10),H120)),0)),"")))</f>
        <v/>
      </c>
      <c r="J120" s="80" t="str">
        <f t="array" ref="J120">IF(I120="","",IFERROR(VALUE(TRIM(MID(SUBSTITUTE(INDEX(Wishlist!$A:$Z,ROW()-0,'List Setup'!$G$2),CHAR(10),REPT(" ",100)),((SEARCH(CHAR(10)&amp;I120&amp;CHAR(10),H120)-LEN(SUBSTITUTE(LEFT(H120,SEARCH(CHAR(10)&amp;I120&amp;CHAR(10),H120)),CHAR(10),"")))-1)*100+1,100))),""))</f>
        <v/>
      </c>
      <c r="K120" s="80" t="str">
        <f t="array" ref="K120">IF(A120="","",IF(ISNUMBER(SEARCH("Land",LEFT(IFERROR(INDEX(Wishlist!$A:$Z,ROW()-0,'List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20" s="80" t="str">
        <f t="shared" si="3"/>
        <v/>
      </c>
      <c r="M120" s="80" t="str">
        <f>IF(A120="","",IF(AND(E120="Y",B120='Use at Shop'!$B$4),K120*10000000000+(MAX(0,MIN(26,CODE(MID(UPPER(A120)&amp;"    ",1,1))-64))*19683+MAX(0,MIN(26,CODE(MID(UPPER(A120)&amp;"    ",2,1))-64))*729+MAX(0,MIN(26,CODE(MID(UPPER(A120)&amp;"    ",3,1))-64))*27+MAX(0,MIN(26,CODE(MID(UPPER(A120)&amp;"    ",4,1))-64))*1)*10000+ROW(),""))</f>
        <v/>
      </c>
      <c r="N120" s="80" t="str">
        <f t="shared" si="4"/>
        <v/>
      </c>
      <c r="O120" s="80" t="str">
        <f t="array" ref="O120">IF(A120="","",IFERROR(INDEX(Wishlist!$A:$Z,ROW()-0,'List Setup'!$J$2)&amp;"",""))</f>
        <v/>
      </c>
      <c r="P120" s="2"/>
      <c r="Q120" s="80" t="str">
        <f>IF(A120="","",'List Setup'!$A$2)</f>
        <v/>
      </c>
      <c r="R120" s="80" t="str">
        <f t="array" ref="R120">IF(A120="","",IFERROR(OR(INDEX(Binders!$J$6:$J$30,MATCH(Q120,Binders!$I$6:$I$30,0))=TRUE(),UPPER(INDEX(Binders!$J$6:$J$30,MATCH(Q120,Binders!$I$6:$I$30,0))&amp;"")="TRUE"),FALSE()))</f>
        <v/>
      </c>
    </row>
    <row r="121" ht="15.75" customHeight="1">
      <c r="A121" s="80" t="str">
        <f t="array" ref="A121">IF(INDEX(Wishlist!$A:$Z,ROW()-0,'List Setup'!$D$2)="","",INDEX(Wishlist!$A:$Z,ROW()-0,'List Setup'!$D$2))</f>
        <v/>
      </c>
      <c r="B121" s="80" t="str">
        <f t="array" ref="B121">IF(A121="","",IFERROR(INDEX('Binder Setup'!$B$2:$B$401,MIN(IF(ISNUMBER(SEARCH(CHAR(10)&amp;'Binder Setup'!$B$2:$B$401&amp;CHAR(10),$H121)),'List Setup'!$Q$2:$Q$401,999),IF(ISNUMBER(SEARCH(CHAR(10)&amp;'Set Aliases'!$A$2:$A$501&amp;CHAR(10),$H121)),'Set Aliases'!$C$2:$C$501,999))),"(none)"))</f>
        <v/>
      </c>
      <c r="C121" s="80" t="str">
        <f t="shared" si="1"/>
        <v/>
      </c>
      <c r="D121" s="80" t="str">
        <f t="array" ref="D121">IF(A121="","",IF(ISLOGICAL(INDEX(Wishlist!$A:$Z,ROW()-0,'List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21" s="80" t="str">
        <f t="shared" si="2"/>
        <v/>
      </c>
      <c r="F121" s="80" t="str">
        <f t="array" ref="F121">IF(A121="","",IF(ISNUMBER(J121),J121,IF(ISNUMBER(INDEX(Wishlist!$A:$Z,ROW()-0,'List Setup'!$F$2)),INDEX(Wishlist!$A:$Z,ROW()-0,'List Setup'!$F$2),0)))</f>
        <v/>
      </c>
      <c r="G121" s="80" t="str">
        <f t="array" ref="G121">IF(A121="","",A121&amp;IF(N(INDEX(Wishlist!$A:$Z,ROW()-0,'List Setup'!$C$2))&gt;1," (x"&amp;INDEX(Wishlist!$A:$Z,ROW()-0,'List Setup'!$C$2)&amp;")","")&amp;IF(COUNTIF(Binders!$J$6:$J$30,TRUE())&gt;1," ["&amp;Q121&amp;"]",""))</f>
        <v/>
      </c>
      <c r="H121" s="80" t="str">
        <f t="array" ref="H121">IF(A121="","",CHAR(10)&amp;INDEX(Wishlist!$A:$Z,ROW()-0,'List Setup'!$E$2)&amp;CHAR(10))</f>
        <v/>
      </c>
      <c r="I121" s="80" t="str">
        <f t="array" ref="I121">IF(OR(B121="",B121="(none)"),"",IF(ISNUMBER(SEARCH(CHAR(10)&amp;B121&amp;CHAR(10),H121)),B121,IFERROR(INDEX('Set Aliases'!$A$2:$A$501,MATCH(1,('Set Aliases'!$B$2:$B$501=B121)*ISNUMBER(SEARCH(CHAR(10)&amp;'Set Aliases'!$A$2:$A$501&amp;CHAR(10),H121)),0)),"")))</f>
        <v/>
      </c>
      <c r="J121" s="80" t="str">
        <f t="array" ref="J121">IF(I121="","",IFERROR(VALUE(TRIM(MID(SUBSTITUTE(INDEX(Wishlist!$A:$Z,ROW()-0,'List Setup'!$G$2),CHAR(10),REPT(" ",100)),((SEARCH(CHAR(10)&amp;I121&amp;CHAR(10),H121)-LEN(SUBSTITUTE(LEFT(H121,SEARCH(CHAR(10)&amp;I121&amp;CHAR(10),H121)),CHAR(10),"")))-1)*100+1,100))),""))</f>
        <v/>
      </c>
      <c r="K121" s="80" t="str">
        <f t="array" ref="K121">IF(A121="","",IF(ISNUMBER(SEARCH("Land",LEFT(IFERROR(INDEX(Wishlist!$A:$Z,ROW()-0,'List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21" s="80" t="str">
        <f t="shared" si="3"/>
        <v/>
      </c>
      <c r="M121" s="80" t="str">
        <f>IF(A121="","",IF(AND(E121="Y",B121='Use at Shop'!$B$4),K121*10000000000+(MAX(0,MIN(26,CODE(MID(UPPER(A121)&amp;"    ",1,1))-64))*19683+MAX(0,MIN(26,CODE(MID(UPPER(A121)&amp;"    ",2,1))-64))*729+MAX(0,MIN(26,CODE(MID(UPPER(A121)&amp;"    ",3,1))-64))*27+MAX(0,MIN(26,CODE(MID(UPPER(A121)&amp;"    ",4,1))-64))*1)*10000+ROW(),""))</f>
        <v/>
      </c>
      <c r="N121" s="80" t="str">
        <f t="shared" si="4"/>
        <v/>
      </c>
      <c r="O121" s="80" t="str">
        <f t="array" ref="O121">IF(A121="","",IFERROR(INDEX(Wishlist!$A:$Z,ROW()-0,'List Setup'!$J$2)&amp;"",""))</f>
        <v/>
      </c>
      <c r="P121" s="2"/>
      <c r="Q121" s="80" t="str">
        <f>IF(A121="","",'List Setup'!$A$2)</f>
        <v/>
      </c>
      <c r="R121" s="80" t="str">
        <f t="array" ref="R121">IF(A121="","",IFERROR(OR(INDEX(Binders!$J$6:$J$30,MATCH(Q121,Binders!$I$6:$I$30,0))=TRUE(),UPPER(INDEX(Binders!$J$6:$J$30,MATCH(Q121,Binders!$I$6:$I$30,0))&amp;"")="TRUE"),FALSE()))</f>
        <v/>
      </c>
    </row>
    <row r="122" ht="15.75" customHeight="1">
      <c r="A122" s="80" t="str">
        <f t="array" ref="A122">IF(INDEX(Wishlist!$A:$Z,ROW()-0,'List Setup'!$D$2)="","",INDEX(Wishlist!$A:$Z,ROW()-0,'List Setup'!$D$2))</f>
        <v/>
      </c>
      <c r="B122" s="80" t="str">
        <f t="array" ref="B122">IF(A122="","",IFERROR(INDEX('Binder Setup'!$B$2:$B$401,MIN(IF(ISNUMBER(SEARCH(CHAR(10)&amp;'Binder Setup'!$B$2:$B$401&amp;CHAR(10),$H122)),'List Setup'!$Q$2:$Q$401,999),IF(ISNUMBER(SEARCH(CHAR(10)&amp;'Set Aliases'!$A$2:$A$501&amp;CHAR(10),$H122)),'Set Aliases'!$C$2:$C$501,999))),"(none)"))</f>
        <v/>
      </c>
      <c r="C122" s="80" t="str">
        <f t="shared" si="1"/>
        <v/>
      </c>
      <c r="D122" s="80" t="str">
        <f t="array" ref="D122">IF(A122="","",IF(ISLOGICAL(INDEX(Wishlist!$A:$Z,ROW()-0,'List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22" s="80" t="str">
        <f t="shared" si="2"/>
        <v/>
      </c>
      <c r="F122" s="80" t="str">
        <f t="array" ref="F122">IF(A122="","",IF(ISNUMBER(J122),J122,IF(ISNUMBER(INDEX(Wishlist!$A:$Z,ROW()-0,'List Setup'!$F$2)),INDEX(Wishlist!$A:$Z,ROW()-0,'List Setup'!$F$2),0)))</f>
        <v/>
      </c>
      <c r="G122" s="80" t="str">
        <f t="array" ref="G122">IF(A122="","",A122&amp;IF(N(INDEX(Wishlist!$A:$Z,ROW()-0,'List Setup'!$C$2))&gt;1," (x"&amp;INDEX(Wishlist!$A:$Z,ROW()-0,'List Setup'!$C$2)&amp;")","")&amp;IF(COUNTIF(Binders!$J$6:$J$30,TRUE())&gt;1," ["&amp;Q122&amp;"]",""))</f>
        <v/>
      </c>
      <c r="H122" s="80" t="str">
        <f t="array" ref="H122">IF(A122="","",CHAR(10)&amp;INDEX(Wishlist!$A:$Z,ROW()-0,'List Setup'!$E$2)&amp;CHAR(10))</f>
        <v/>
      </c>
      <c r="I122" s="80" t="str">
        <f t="array" ref="I122">IF(OR(B122="",B122="(none)"),"",IF(ISNUMBER(SEARCH(CHAR(10)&amp;B122&amp;CHAR(10),H122)),B122,IFERROR(INDEX('Set Aliases'!$A$2:$A$501,MATCH(1,('Set Aliases'!$B$2:$B$501=B122)*ISNUMBER(SEARCH(CHAR(10)&amp;'Set Aliases'!$A$2:$A$501&amp;CHAR(10),H122)),0)),"")))</f>
        <v/>
      </c>
      <c r="J122" s="80" t="str">
        <f t="array" ref="J122">IF(I122="","",IFERROR(VALUE(TRIM(MID(SUBSTITUTE(INDEX(Wishlist!$A:$Z,ROW()-0,'List Setup'!$G$2),CHAR(10),REPT(" ",100)),((SEARCH(CHAR(10)&amp;I122&amp;CHAR(10),H122)-LEN(SUBSTITUTE(LEFT(H122,SEARCH(CHAR(10)&amp;I122&amp;CHAR(10),H122)),CHAR(10),"")))-1)*100+1,100))),""))</f>
        <v/>
      </c>
      <c r="K122" s="80" t="str">
        <f t="array" ref="K122">IF(A122="","",IF(ISNUMBER(SEARCH("Land",LEFT(IFERROR(INDEX(Wishlist!$A:$Z,ROW()-0,'List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22" s="80" t="str">
        <f t="shared" si="3"/>
        <v/>
      </c>
      <c r="M122" s="80" t="str">
        <f>IF(A122="","",IF(AND(E122="Y",B122='Use at Shop'!$B$4),K122*10000000000+(MAX(0,MIN(26,CODE(MID(UPPER(A122)&amp;"    ",1,1))-64))*19683+MAX(0,MIN(26,CODE(MID(UPPER(A122)&amp;"    ",2,1))-64))*729+MAX(0,MIN(26,CODE(MID(UPPER(A122)&amp;"    ",3,1))-64))*27+MAX(0,MIN(26,CODE(MID(UPPER(A122)&amp;"    ",4,1))-64))*1)*10000+ROW(),""))</f>
        <v/>
      </c>
      <c r="N122" s="80" t="str">
        <f t="shared" si="4"/>
        <v/>
      </c>
      <c r="O122" s="80" t="str">
        <f t="array" ref="O122">IF(A122="","",IFERROR(INDEX(Wishlist!$A:$Z,ROW()-0,'List Setup'!$J$2)&amp;"",""))</f>
        <v/>
      </c>
      <c r="P122" s="2"/>
      <c r="Q122" s="80" t="str">
        <f>IF(A122="","",'List Setup'!$A$2)</f>
        <v/>
      </c>
      <c r="R122" s="80" t="str">
        <f t="array" ref="R122">IF(A122="","",IFERROR(OR(INDEX(Binders!$J$6:$J$30,MATCH(Q122,Binders!$I$6:$I$30,0))=TRUE(),UPPER(INDEX(Binders!$J$6:$J$30,MATCH(Q122,Binders!$I$6:$I$30,0))&amp;"")="TRUE"),FALSE()))</f>
        <v/>
      </c>
    </row>
    <row r="123" ht="15.75" customHeight="1">
      <c r="A123" s="80" t="str">
        <f t="array" ref="A123">IF(INDEX(Wishlist!$A:$Z,ROW()-0,'List Setup'!$D$2)="","",INDEX(Wishlist!$A:$Z,ROW()-0,'List Setup'!$D$2))</f>
        <v/>
      </c>
      <c r="B123" s="80" t="str">
        <f t="array" ref="B123">IF(A123="","",IFERROR(INDEX('Binder Setup'!$B$2:$B$401,MIN(IF(ISNUMBER(SEARCH(CHAR(10)&amp;'Binder Setup'!$B$2:$B$401&amp;CHAR(10),$H123)),'List Setup'!$Q$2:$Q$401,999),IF(ISNUMBER(SEARCH(CHAR(10)&amp;'Set Aliases'!$A$2:$A$501&amp;CHAR(10),$H123)),'Set Aliases'!$C$2:$C$501,999))),"(none)"))</f>
        <v/>
      </c>
      <c r="C123" s="80" t="str">
        <f t="shared" si="1"/>
        <v/>
      </c>
      <c r="D123" s="80" t="str">
        <f t="array" ref="D123">IF(A123="","",IF(ISLOGICAL(INDEX(Wishlist!$A:$Z,ROW()-0,'List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23" s="80" t="str">
        <f t="shared" si="2"/>
        <v/>
      </c>
      <c r="F123" s="80" t="str">
        <f t="array" ref="F123">IF(A123="","",IF(ISNUMBER(J123),J123,IF(ISNUMBER(INDEX(Wishlist!$A:$Z,ROW()-0,'List Setup'!$F$2)),INDEX(Wishlist!$A:$Z,ROW()-0,'List Setup'!$F$2),0)))</f>
        <v/>
      </c>
      <c r="G123" s="80" t="str">
        <f t="array" ref="G123">IF(A123="","",A123&amp;IF(N(INDEX(Wishlist!$A:$Z,ROW()-0,'List Setup'!$C$2))&gt;1," (x"&amp;INDEX(Wishlist!$A:$Z,ROW()-0,'List Setup'!$C$2)&amp;")","")&amp;IF(COUNTIF(Binders!$J$6:$J$30,TRUE())&gt;1," ["&amp;Q123&amp;"]",""))</f>
        <v/>
      </c>
      <c r="H123" s="80" t="str">
        <f t="array" ref="H123">IF(A123="","",CHAR(10)&amp;INDEX(Wishlist!$A:$Z,ROW()-0,'List Setup'!$E$2)&amp;CHAR(10))</f>
        <v/>
      </c>
      <c r="I123" s="80" t="str">
        <f t="array" ref="I123">IF(OR(B123="",B123="(none)"),"",IF(ISNUMBER(SEARCH(CHAR(10)&amp;B123&amp;CHAR(10),H123)),B123,IFERROR(INDEX('Set Aliases'!$A$2:$A$501,MATCH(1,('Set Aliases'!$B$2:$B$501=B123)*ISNUMBER(SEARCH(CHAR(10)&amp;'Set Aliases'!$A$2:$A$501&amp;CHAR(10),H123)),0)),"")))</f>
        <v/>
      </c>
      <c r="J123" s="80" t="str">
        <f t="array" ref="J123">IF(I123="","",IFERROR(VALUE(TRIM(MID(SUBSTITUTE(INDEX(Wishlist!$A:$Z,ROW()-0,'List Setup'!$G$2),CHAR(10),REPT(" ",100)),((SEARCH(CHAR(10)&amp;I123&amp;CHAR(10),H123)-LEN(SUBSTITUTE(LEFT(H123,SEARCH(CHAR(10)&amp;I123&amp;CHAR(10),H123)),CHAR(10),"")))-1)*100+1,100))),""))</f>
        <v/>
      </c>
      <c r="K123" s="80" t="str">
        <f t="array" ref="K123">IF(A123="","",IF(ISNUMBER(SEARCH("Land",LEFT(IFERROR(INDEX(Wishlist!$A:$Z,ROW()-0,'List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23" s="80" t="str">
        <f t="shared" si="3"/>
        <v/>
      </c>
      <c r="M123" s="80" t="str">
        <f>IF(A123="","",IF(AND(E123="Y",B123='Use at Shop'!$B$4),K123*10000000000+(MAX(0,MIN(26,CODE(MID(UPPER(A123)&amp;"    ",1,1))-64))*19683+MAX(0,MIN(26,CODE(MID(UPPER(A123)&amp;"    ",2,1))-64))*729+MAX(0,MIN(26,CODE(MID(UPPER(A123)&amp;"    ",3,1))-64))*27+MAX(0,MIN(26,CODE(MID(UPPER(A123)&amp;"    ",4,1))-64))*1)*10000+ROW(),""))</f>
        <v/>
      </c>
      <c r="N123" s="80" t="str">
        <f t="shared" si="4"/>
        <v/>
      </c>
      <c r="O123" s="80" t="str">
        <f t="array" ref="O123">IF(A123="","",IFERROR(INDEX(Wishlist!$A:$Z,ROW()-0,'List Setup'!$J$2)&amp;"",""))</f>
        <v/>
      </c>
      <c r="P123" s="2"/>
      <c r="Q123" s="80" t="str">
        <f>IF(A123="","",'List Setup'!$A$2)</f>
        <v/>
      </c>
      <c r="R123" s="80" t="str">
        <f t="array" ref="R123">IF(A123="","",IFERROR(OR(INDEX(Binders!$J$6:$J$30,MATCH(Q123,Binders!$I$6:$I$30,0))=TRUE(),UPPER(INDEX(Binders!$J$6:$J$30,MATCH(Q123,Binders!$I$6:$I$30,0))&amp;"")="TRUE"),FALSE()))</f>
        <v/>
      </c>
    </row>
    <row r="124" ht="15.75" customHeight="1">
      <c r="A124" s="80" t="str">
        <f t="array" ref="A124">IF(INDEX(Wishlist!$A:$Z,ROW()-0,'List Setup'!$D$2)="","",INDEX(Wishlist!$A:$Z,ROW()-0,'List Setup'!$D$2))</f>
        <v/>
      </c>
      <c r="B124" s="80" t="str">
        <f t="array" ref="B124">IF(A124="","",IFERROR(INDEX('Binder Setup'!$B$2:$B$401,MIN(IF(ISNUMBER(SEARCH(CHAR(10)&amp;'Binder Setup'!$B$2:$B$401&amp;CHAR(10),$H124)),'List Setup'!$Q$2:$Q$401,999),IF(ISNUMBER(SEARCH(CHAR(10)&amp;'Set Aliases'!$A$2:$A$501&amp;CHAR(10),$H124)),'Set Aliases'!$C$2:$C$501,999))),"(none)"))</f>
        <v/>
      </c>
      <c r="C124" s="80" t="str">
        <f t="shared" si="1"/>
        <v/>
      </c>
      <c r="D124" s="80" t="str">
        <f t="array" ref="D124">IF(A124="","",IF(ISLOGICAL(INDEX(Wishlist!$A:$Z,ROW()-0,'List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24" s="80" t="str">
        <f t="shared" si="2"/>
        <v/>
      </c>
      <c r="F124" s="80" t="str">
        <f t="array" ref="F124">IF(A124="","",IF(ISNUMBER(J124),J124,IF(ISNUMBER(INDEX(Wishlist!$A:$Z,ROW()-0,'List Setup'!$F$2)),INDEX(Wishlist!$A:$Z,ROW()-0,'List Setup'!$F$2),0)))</f>
        <v/>
      </c>
      <c r="G124" s="80" t="str">
        <f t="array" ref="G124">IF(A124="","",A124&amp;IF(N(INDEX(Wishlist!$A:$Z,ROW()-0,'List Setup'!$C$2))&gt;1," (x"&amp;INDEX(Wishlist!$A:$Z,ROW()-0,'List Setup'!$C$2)&amp;")","")&amp;IF(COUNTIF(Binders!$J$6:$J$30,TRUE())&gt;1," ["&amp;Q124&amp;"]",""))</f>
        <v/>
      </c>
      <c r="H124" s="80" t="str">
        <f t="array" ref="H124">IF(A124="","",CHAR(10)&amp;INDEX(Wishlist!$A:$Z,ROW()-0,'List Setup'!$E$2)&amp;CHAR(10))</f>
        <v/>
      </c>
      <c r="I124" s="80" t="str">
        <f t="array" ref="I124">IF(OR(B124="",B124="(none)"),"",IF(ISNUMBER(SEARCH(CHAR(10)&amp;B124&amp;CHAR(10),H124)),B124,IFERROR(INDEX('Set Aliases'!$A$2:$A$501,MATCH(1,('Set Aliases'!$B$2:$B$501=B124)*ISNUMBER(SEARCH(CHAR(10)&amp;'Set Aliases'!$A$2:$A$501&amp;CHAR(10),H124)),0)),"")))</f>
        <v/>
      </c>
      <c r="J124" s="80" t="str">
        <f t="array" ref="J124">IF(I124="","",IFERROR(VALUE(TRIM(MID(SUBSTITUTE(INDEX(Wishlist!$A:$Z,ROW()-0,'List Setup'!$G$2),CHAR(10),REPT(" ",100)),((SEARCH(CHAR(10)&amp;I124&amp;CHAR(10),H124)-LEN(SUBSTITUTE(LEFT(H124,SEARCH(CHAR(10)&amp;I124&amp;CHAR(10),H124)),CHAR(10),"")))-1)*100+1,100))),""))</f>
        <v/>
      </c>
      <c r="K124" s="80" t="str">
        <f t="array" ref="K124">IF(A124="","",IF(ISNUMBER(SEARCH("Land",LEFT(IFERROR(INDEX(Wishlist!$A:$Z,ROW()-0,'List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24" s="80" t="str">
        <f t="shared" si="3"/>
        <v/>
      </c>
      <c r="M124" s="80" t="str">
        <f>IF(A124="","",IF(AND(E124="Y",B124='Use at Shop'!$B$4),K124*10000000000+(MAX(0,MIN(26,CODE(MID(UPPER(A124)&amp;"    ",1,1))-64))*19683+MAX(0,MIN(26,CODE(MID(UPPER(A124)&amp;"    ",2,1))-64))*729+MAX(0,MIN(26,CODE(MID(UPPER(A124)&amp;"    ",3,1))-64))*27+MAX(0,MIN(26,CODE(MID(UPPER(A124)&amp;"    ",4,1))-64))*1)*10000+ROW(),""))</f>
        <v/>
      </c>
      <c r="N124" s="80" t="str">
        <f t="shared" si="4"/>
        <v/>
      </c>
      <c r="O124" s="80" t="str">
        <f t="array" ref="O124">IF(A124="","",IFERROR(INDEX(Wishlist!$A:$Z,ROW()-0,'List Setup'!$J$2)&amp;"",""))</f>
        <v/>
      </c>
      <c r="P124" s="2"/>
      <c r="Q124" s="80" t="str">
        <f>IF(A124="","",'List Setup'!$A$2)</f>
        <v/>
      </c>
      <c r="R124" s="80" t="str">
        <f t="array" ref="R124">IF(A124="","",IFERROR(OR(INDEX(Binders!$J$6:$J$30,MATCH(Q124,Binders!$I$6:$I$30,0))=TRUE(),UPPER(INDEX(Binders!$J$6:$J$30,MATCH(Q124,Binders!$I$6:$I$30,0))&amp;"")="TRUE"),FALSE()))</f>
        <v/>
      </c>
    </row>
    <row r="125" ht="15.75" customHeight="1">
      <c r="A125" s="80" t="str">
        <f t="array" ref="A125">IF(INDEX(Wishlist!$A:$Z,ROW()-0,'List Setup'!$D$2)="","",INDEX(Wishlist!$A:$Z,ROW()-0,'List Setup'!$D$2))</f>
        <v/>
      </c>
      <c r="B125" s="80" t="str">
        <f t="array" ref="B125">IF(A125="","",IFERROR(INDEX('Binder Setup'!$B$2:$B$401,MIN(IF(ISNUMBER(SEARCH(CHAR(10)&amp;'Binder Setup'!$B$2:$B$401&amp;CHAR(10),$H125)),'List Setup'!$Q$2:$Q$401,999),IF(ISNUMBER(SEARCH(CHAR(10)&amp;'Set Aliases'!$A$2:$A$501&amp;CHAR(10),$H125)),'Set Aliases'!$C$2:$C$501,999))),"(none)"))</f>
        <v/>
      </c>
      <c r="C125" s="80" t="str">
        <f t="shared" si="1"/>
        <v/>
      </c>
      <c r="D125" s="80" t="str">
        <f t="array" ref="D125">IF(A125="","",IF(ISLOGICAL(INDEX(Wishlist!$A:$Z,ROW()-0,'List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25" s="80" t="str">
        <f t="shared" si="2"/>
        <v/>
      </c>
      <c r="F125" s="80" t="str">
        <f t="array" ref="F125">IF(A125="","",IF(ISNUMBER(J125),J125,IF(ISNUMBER(INDEX(Wishlist!$A:$Z,ROW()-0,'List Setup'!$F$2)),INDEX(Wishlist!$A:$Z,ROW()-0,'List Setup'!$F$2),0)))</f>
        <v/>
      </c>
      <c r="G125" s="80" t="str">
        <f t="array" ref="G125">IF(A125="","",A125&amp;IF(N(INDEX(Wishlist!$A:$Z,ROW()-0,'List Setup'!$C$2))&gt;1," (x"&amp;INDEX(Wishlist!$A:$Z,ROW()-0,'List Setup'!$C$2)&amp;")","")&amp;IF(COUNTIF(Binders!$J$6:$J$30,TRUE())&gt;1," ["&amp;Q125&amp;"]",""))</f>
        <v/>
      </c>
      <c r="H125" s="80" t="str">
        <f t="array" ref="H125">IF(A125="","",CHAR(10)&amp;INDEX(Wishlist!$A:$Z,ROW()-0,'List Setup'!$E$2)&amp;CHAR(10))</f>
        <v/>
      </c>
      <c r="I125" s="80" t="str">
        <f t="array" ref="I125">IF(OR(B125="",B125="(none)"),"",IF(ISNUMBER(SEARCH(CHAR(10)&amp;B125&amp;CHAR(10),H125)),B125,IFERROR(INDEX('Set Aliases'!$A$2:$A$501,MATCH(1,('Set Aliases'!$B$2:$B$501=B125)*ISNUMBER(SEARCH(CHAR(10)&amp;'Set Aliases'!$A$2:$A$501&amp;CHAR(10),H125)),0)),"")))</f>
        <v/>
      </c>
      <c r="J125" s="80" t="str">
        <f t="array" ref="J125">IF(I125="","",IFERROR(VALUE(TRIM(MID(SUBSTITUTE(INDEX(Wishlist!$A:$Z,ROW()-0,'List Setup'!$G$2),CHAR(10),REPT(" ",100)),((SEARCH(CHAR(10)&amp;I125&amp;CHAR(10),H125)-LEN(SUBSTITUTE(LEFT(H125,SEARCH(CHAR(10)&amp;I125&amp;CHAR(10),H125)),CHAR(10),"")))-1)*100+1,100))),""))</f>
        <v/>
      </c>
      <c r="K125" s="80" t="str">
        <f t="array" ref="K125">IF(A125="","",IF(ISNUMBER(SEARCH("Land",LEFT(IFERROR(INDEX(Wishlist!$A:$Z,ROW()-0,'List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25" s="80" t="str">
        <f t="shared" si="3"/>
        <v/>
      </c>
      <c r="M125" s="80" t="str">
        <f>IF(A125="","",IF(AND(E125="Y",B125='Use at Shop'!$B$4),K125*10000000000+(MAX(0,MIN(26,CODE(MID(UPPER(A125)&amp;"    ",1,1))-64))*19683+MAX(0,MIN(26,CODE(MID(UPPER(A125)&amp;"    ",2,1))-64))*729+MAX(0,MIN(26,CODE(MID(UPPER(A125)&amp;"    ",3,1))-64))*27+MAX(0,MIN(26,CODE(MID(UPPER(A125)&amp;"    ",4,1))-64))*1)*10000+ROW(),""))</f>
        <v/>
      </c>
      <c r="N125" s="80" t="str">
        <f t="shared" si="4"/>
        <v/>
      </c>
      <c r="O125" s="80" t="str">
        <f t="array" ref="O125">IF(A125="","",IFERROR(INDEX(Wishlist!$A:$Z,ROW()-0,'List Setup'!$J$2)&amp;"",""))</f>
        <v/>
      </c>
      <c r="P125" s="2"/>
      <c r="Q125" s="80" t="str">
        <f>IF(A125="","",'List Setup'!$A$2)</f>
        <v/>
      </c>
      <c r="R125" s="80" t="str">
        <f t="array" ref="R125">IF(A125="","",IFERROR(OR(INDEX(Binders!$J$6:$J$30,MATCH(Q125,Binders!$I$6:$I$30,0))=TRUE(),UPPER(INDEX(Binders!$J$6:$J$30,MATCH(Q125,Binders!$I$6:$I$30,0))&amp;"")="TRUE"),FALSE()))</f>
        <v/>
      </c>
    </row>
    <row r="126" ht="15.75" customHeight="1">
      <c r="A126" s="80" t="str">
        <f t="array" ref="A126">IF(INDEX(Wishlist!$A:$Z,ROW()-0,'List Setup'!$D$2)="","",INDEX(Wishlist!$A:$Z,ROW()-0,'List Setup'!$D$2))</f>
        <v/>
      </c>
      <c r="B126" s="80" t="str">
        <f t="array" ref="B126">IF(A126="","",IFERROR(INDEX('Binder Setup'!$B$2:$B$401,MIN(IF(ISNUMBER(SEARCH(CHAR(10)&amp;'Binder Setup'!$B$2:$B$401&amp;CHAR(10),$H126)),'List Setup'!$Q$2:$Q$401,999),IF(ISNUMBER(SEARCH(CHAR(10)&amp;'Set Aliases'!$A$2:$A$501&amp;CHAR(10),$H126)),'Set Aliases'!$C$2:$C$501,999))),"(none)"))</f>
        <v/>
      </c>
      <c r="C126" s="80" t="str">
        <f t="shared" si="1"/>
        <v/>
      </c>
      <c r="D126" s="80" t="str">
        <f t="array" ref="D126">IF(A126="","",IF(ISLOGICAL(INDEX(Wishlist!$A:$Z,ROW()-0,'List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26" s="80" t="str">
        <f t="shared" si="2"/>
        <v/>
      </c>
      <c r="F126" s="80" t="str">
        <f t="array" ref="F126">IF(A126="","",IF(ISNUMBER(J126),J126,IF(ISNUMBER(INDEX(Wishlist!$A:$Z,ROW()-0,'List Setup'!$F$2)),INDEX(Wishlist!$A:$Z,ROW()-0,'List Setup'!$F$2),0)))</f>
        <v/>
      </c>
      <c r="G126" s="80" t="str">
        <f t="array" ref="G126">IF(A126="","",A126&amp;IF(N(INDEX(Wishlist!$A:$Z,ROW()-0,'List Setup'!$C$2))&gt;1," (x"&amp;INDEX(Wishlist!$A:$Z,ROW()-0,'List Setup'!$C$2)&amp;")","")&amp;IF(COUNTIF(Binders!$J$6:$J$30,TRUE())&gt;1," ["&amp;Q126&amp;"]",""))</f>
        <v/>
      </c>
      <c r="H126" s="80" t="str">
        <f t="array" ref="H126">IF(A126="","",CHAR(10)&amp;INDEX(Wishlist!$A:$Z,ROW()-0,'List Setup'!$E$2)&amp;CHAR(10))</f>
        <v/>
      </c>
      <c r="I126" s="80" t="str">
        <f t="array" ref="I126">IF(OR(B126="",B126="(none)"),"",IF(ISNUMBER(SEARCH(CHAR(10)&amp;B126&amp;CHAR(10),H126)),B126,IFERROR(INDEX('Set Aliases'!$A$2:$A$501,MATCH(1,('Set Aliases'!$B$2:$B$501=B126)*ISNUMBER(SEARCH(CHAR(10)&amp;'Set Aliases'!$A$2:$A$501&amp;CHAR(10),H126)),0)),"")))</f>
        <v/>
      </c>
      <c r="J126" s="80" t="str">
        <f t="array" ref="J126">IF(I126="","",IFERROR(VALUE(TRIM(MID(SUBSTITUTE(INDEX(Wishlist!$A:$Z,ROW()-0,'List Setup'!$G$2),CHAR(10),REPT(" ",100)),((SEARCH(CHAR(10)&amp;I126&amp;CHAR(10),H126)-LEN(SUBSTITUTE(LEFT(H126,SEARCH(CHAR(10)&amp;I126&amp;CHAR(10),H126)),CHAR(10),"")))-1)*100+1,100))),""))</f>
        <v/>
      </c>
      <c r="K126" s="80" t="str">
        <f t="array" ref="K126">IF(A126="","",IF(ISNUMBER(SEARCH("Land",LEFT(IFERROR(INDEX(Wishlist!$A:$Z,ROW()-0,'List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26" s="80" t="str">
        <f t="shared" si="3"/>
        <v/>
      </c>
      <c r="M126" s="80" t="str">
        <f>IF(A126="","",IF(AND(E126="Y",B126='Use at Shop'!$B$4),K126*10000000000+(MAX(0,MIN(26,CODE(MID(UPPER(A126)&amp;"    ",1,1))-64))*19683+MAX(0,MIN(26,CODE(MID(UPPER(A126)&amp;"    ",2,1))-64))*729+MAX(0,MIN(26,CODE(MID(UPPER(A126)&amp;"    ",3,1))-64))*27+MAX(0,MIN(26,CODE(MID(UPPER(A126)&amp;"    ",4,1))-64))*1)*10000+ROW(),""))</f>
        <v/>
      </c>
      <c r="N126" s="80" t="str">
        <f t="shared" si="4"/>
        <v/>
      </c>
      <c r="O126" s="80" t="str">
        <f t="array" ref="O126">IF(A126="","",IFERROR(INDEX(Wishlist!$A:$Z,ROW()-0,'List Setup'!$J$2)&amp;"",""))</f>
        <v/>
      </c>
      <c r="P126" s="2"/>
      <c r="Q126" s="80" t="str">
        <f>IF(A126="","",'List Setup'!$A$2)</f>
        <v/>
      </c>
      <c r="R126" s="80" t="str">
        <f t="array" ref="R126">IF(A126="","",IFERROR(OR(INDEX(Binders!$J$6:$J$30,MATCH(Q126,Binders!$I$6:$I$30,0))=TRUE(),UPPER(INDEX(Binders!$J$6:$J$30,MATCH(Q126,Binders!$I$6:$I$30,0))&amp;"")="TRUE"),FALSE()))</f>
        <v/>
      </c>
    </row>
    <row r="127" ht="15.75" customHeight="1">
      <c r="A127" s="80" t="str">
        <f t="array" ref="A127">IF(INDEX(Wishlist!$A:$Z,ROW()-0,'List Setup'!$D$2)="","",INDEX(Wishlist!$A:$Z,ROW()-0,'List Setup'!$D$2))</f>
        <v/>
      </c>
      <c r="B127" s="80" t="str">
        <f t="array" ref="B127">IF(A127="","",IFERROR(INDEX('Binder Setup'!$B$2:$B$401,MIN(IF(ISNUMBER(SEARCH(CHAR(10)&amp;'Binder Setup'!$B$2:$B$401&amp;CHAR(10),$H127)),'List Setup'!$Q$2:$Q$401,999),IF(ISNUMBER(SEARCH(CHAR(10)&amp;'Set Aliases'!$A$2:$A$501&amp;CHAR(10),$H127)),'Set Aliases'!$C$2:$C$501,999))),"(none)"))</f>
        <v/>
      </c>
      <c r="C127" s="80" t="str">
        <f t="shared" si="1"/>
        <v/>
      </c>
      <c r="D127" s="80" t="str">
        <f t="array" ref="D127">IF(A127="","",IF(ISLOGICAL(INDEX(Wishlist!$A:$Z,ROW()-0,'List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27" s="80" t="str">
        <f t="shared" si="2"/>
        <v/>
      </c>
      <c r="F127" s="80" t="str">
        <f t="array" ref="F127">IF(A127="","",IF(ISNUMBER(J127),J127,IF(ISNUMBER(INDEX(Wishlist!$A:$Z,ROW()-0,'List Setup'!$F$2)),INDEX(Wishlist!$A:$Z,ROW()-0,'List Setup'!$F$2),0)))</f>
        <v/>
      </c>
      <c r="G127" s="80" t="str">
        <f t="array" ref="G127">IF(A127="","",A127&amp;IF(N(INDEX(Wishlist!$A:$Z,ROW()-0,'List Setup'!$C$2))&gt;1," (x"&amp;INDEX(Wishlist!$A:$Z,ROW()-0,'List Setup'!$C$2)&amp;")","")&amp;IF(COUNTIF(Binders!$J$6:$J$30,TRUE())&gt;1," ["&amp;Q127&amp;"]",""))</f>
        <v/>
      </c>
      <c r="H127" s="80" t="str">
        <f t="array" ref="H127">IF(A127="","",CHAR(10)&amp;INDEX(Wishlist!$A:$Z,ROW()-0,'List Setup'!$E$2)&amp;CHAR(10))</f>
        <v/>
      </c>
      <c r="I127" s="80" t="str">
        <f t="array" ref="I127">IF(OR(B127="",B127="(none)"),"",IF(ISNUMBER(SEARCH(CHAR(10)&amp;B127&amp;CHAR(10),H127)),B127,IFERROR(INDEX('Set Aliases'!$A$2:$A$501,MATCH(1,('Set Aliases'!$B$2:$B$501=B127)*ISNUMBER(SEARCH(CHAR(10)&amp;'Set Aliases'!$A$2:$A$501&amp;CHAR(10),H127)),0)),"")))</f>
        <v/>
      </c>
      <c r="J127" s="80" t="str">
        <f t="array" ref="J127">IF(I127="","",IFERROR(VALUE(TRIM(MID(SUBSTITUTE(INDEX(Wishlist!$A:$Z,ROW()-0,'List Setup'!$G$2),CHAR(10),REPT(" ",100)),((SEARCH(CHAR(10)&amp;I127&amp;CHAR(10),H127)-LEN(SUBSTITUTE(LEFT(H127,SEARCH(CHAR(10)&amp;I127&amp;CHAR(10),H127)),CHAR(10),"")))-1)*100+1,100))),""))</f>
        <v/>
      </c>
      <c r="K127" s="80" t="str">
        <f t="array" ref="K127">IF(A127="","",IF(ISNUMBER(SEARCH("Land",LEFT(IFERROR(INDEX(Wishlist!$A:$Z,ROW()-0,'List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27" s="80" t="str">
        <f t="shared" si="3"/>
        <v/>
      </c>
      <c r="M127" s="80" t="str">
        <f>IF(A127="","",IF(AND(E127="Y",B127='Use at Shop'!$B$4),K127*10000000000+(MAX(0,MIN(26,CODE(MID(UPPER(A127)&amp;"    ",1,1))-64))*19683+MAX(0,MIN(26,CODE(MID(UPPER(A127)&amp;"    ",2,1))-64))*729+MAX(0,MIN(26,CODE(MID(UPPER(A127)&amp;"    ",3,1))-64))*27+MAX(0,MIN(26,CODE(MID(UPPER(A127)&amp;"    ",4,1))-64))*1)*10000+ROW(),""))</f>
        <v/>
      </c>
      <c r="N127" s="80" t="str">
        <f t="shared" si="4"/>
        <v/>
      </c>
      <c r="O127" s="80" t="str">
        <f t="array" ref="O127">IF(A127="","",IFERROR(INDEX(Wishlist!$A:$Z,ROW()-0,'List Setup'!$J$2)&amp;"",""))</f>
        <v/>
      </c>
      <c r="P127" s="2"/>
      <c r="Q127" s="80" t="str">
        <f>IF(A127="","",'List Setup'!$A$2)</f>
        <v/>
      </c>
      <c r="R127" s="80" t="str">
        <f t="array" ref="R127">IF(A127="","",IFERROR(OR(INDEX(Binders!$J$6:$J$30,MATCH(Q127,Binders!$I$6:$I$30,0))=TRUE(),UPPER(INDEX(Binders!$J$6:$J$30,MATCH(Q127,Binders!$I$6:$I$30,0))&amp;"")="TRUE"),FALSE()))</f>
        <v/>
      </c>
    </row>
    <row r="128" ht="15.75" customHeight="1">
      <c r="A128" s="80" t="str">
        <f t="array" ref="A128">IF(INDEX(Wishlist!$A:$Z,ROW()-0,'List Setup'!$D$2)="","",INDEX(Wishlist!$A:$Z,ROW()-0,'List Setup'!$D$2))</f>
        <v/>
      </c>
      <c r="B128" s="80" t="str">
        <f t="array" ref="B128">IF(A128="","",IFERROR(INDEX('Binder Setup'!$B$2:$B$401,MIN(IF(ISNUMBER(SEARCH(CHAR(10)&amp;'Binder Setup'!$B$2:$B$401&amp;CHAR(10),$H128)),'List Setup'!$Q$2:$Q$401,999),IF(ISNUMBER(SEARCH(CHAR(10)&amp;'Set Aliases'!$A$2:$A$501&amp;CHAR(10),$H128)),'Set Aliases'!$C$2:$C$501,999))),"(none)"))</f>
        <v/>
      </c>
      <c r="C128" s="80" t="str">
        <f t="shared" si="1"/>
        <v/>
      </c>
      <c r="D128" s="80" t="str">
        <f t="array" ref="D128">IF(A128="","",IF(ISLOGICAL(INDEX(Wishlist!$A:$Z,ROW()-0,'List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28" s="80" t="str">
        <f t="shared" si="2"/>
        <v/>
      </c>
      <c r="F128" s="80" t="str">
        <f t="array" ref="F128">IF(A128="","",IF(ISNUMBER(J128),J128,IF(ISNUMBER(INDEX(Wishlist!$A:$Z,ROW()-0,'List Setup'!$F$2)),INDEX(Wishlist!$A:$Z,ROW()-0,'List Setup'!$F$2),0)))</f>
        <v/>
      </c>
      <c r="G128" s="80" t="str">
        <f t="array" ref="G128">IF(A128="","",A128&amp;IF(N(INDEX(Wishlist!$A:$Z,ROW()-0,'List Setup'!$C$2))&gt;1," (x"&amp;INDEX(Wishlist!$A:$Z,ROW()-0,'List Setup'!$C$2)&amp;")","")&amp;IF(COUNTIF(Binders!$J$6:$J$30,TRUE())&gt;1," ["&amp;Q128&amp;"]",""))</f>
        <v/>
      </c>
      <c r="H128" s="80" t="str">
        <f t="array" ref="H128">IF(A128="","",CHAR(10)&amp;INDEX(Wishlist!$A:$Z,ROW()-0,'List Setup'!$E$2)&amp;CHAR(10))</f>
        <v/>
      </c>
      <c r="I128" s="80" t="str">
        <f t="array" ref="I128">IF(OR(B128="",B128="(none)"),"",IF(ISNUMBER(SEARCH(CHAR(10)&amp;B128&amp;CHAR(10),H128)),B128,IFERROR(INDEX('Set Aliases'!$A$2:$A$501,MATCH(1,('Set Aliases'!$B$2:$B$501=B128)*ISNUMBER(SEARCH(CHAR(10)&amp;'Set Aliases'!$A$2:$A$501&amp;CHAR(10),H128)),0)),"")))</f>
        <v/>
      </c>
      <c r="J128" s="80" t="str">
        <f t="array" ref="J128">IF(I128="","",IFERROR(VALUE(TRIM(MID(SUBSTITUTE(INDEX(Wishlist!$A:$Z,ROW()-0,'List Setup'!$G$2),CHAR(10),REPT(" ",100)),((SEARCH(CHAR(10)&amp;I128&amp;CHAR(10),H128)-LEN(SUBSTITUTE(LEFT(H128,SEARCH(CHAR(10)&amp;I128&amp;CHAR(10),H128)),CHAR(10),"")))-1)*100+1,100))),""))</f>
        <v/>
      </c>
      <c r="K128" s="80" t="str">
        <f t="array" ref="K128">IF(A128="","",IF(ISNUMBER(SEARCH("Land",LEFT(IFERROR(INDEX(Wishlist!$A:$Z,ROW()-0,'List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28" s="80" t="str">
        <f t="shared" si="3"/>
        <v/>
      </c>
      <c r="M128" s="80" t="str">
        <f>IF(A128="","",IF(AND(E128="Y",B128='Use at Shop'!$B$4),K128*10000000000+(MAX(0,MIN(26,CODE(MID(UPPER(A128)&amp;"    ",1,1))-64))*19683+MAX(0,MIN(26,CODE(MID(UPPER(A128)&amp;"    ",2,1))-64))*729+MAX(0,MIN(26,CODE(MID(UPPER(A128)&amp;"    ",3,1))-64))*27+MAX(0,MIN(26,CODE(MID(UPPER(A128)&amp;"    ",4,1))-64))*1)*10000+ROW(),""))</f>
        <v/>
      </c>
      <c r="N128" s="80" t="str">
        <f t="shared" si="4"/>
        <v/>
      </c>
      <c r="O128" s="80" t="str">
        <f t="array" ref="O128">IF(A128="","",IFERROR(INDEX(Wishlist!$A:$Z,ROW()-0,'List Setup'!$J$2)&amp;"",""))</f>
        <v/>
      </c>
      <c r="P128" s="2"/>
      <c r="Q128" s="80" t="str">
        <f>IF(A128="","",'List Setup'!$A$2)</f>
        <v/>
      </c>
      <c r="R128" s="80" t="str">
        <f t="array" ref="R128">IF(A128="","",IFERROR(OR(INDEX(Binders!$J$6:$J$30,MATCH(Q128,Binders!$I$6:$I$30,0))=TRUE(),UPPER(INDEX(Binders!$J$6:$J$30,MATCH(Q128,Binders!$I$6:$I$30,0))&amp;"")="TRUE"),FALSE()))</f>
        <v/>
      </c>
    </row>
    <row r="129" ht="15.75" customHeight="1">
      <c r="A129" s="80" t="str">
        <f t="array" ref="A129">IF(INDEX(Wishlist!$A:$Z,ROW()-0,'List Setup'!$D$2)="","",INDEX(Wishlist!$A:$Z,ROW()-0,'List Setup'!$D$2))</f>
        <v/>
      </c>
      <c r="B129" s="80" t="str">
        <f t="array" ref="B129">IF(A129="","",IFERROR(INDEX('Binder Setup'!$B$2:$B$401,MIN(IF(ISNUMBER(SEARCH(CHAR(10)&amp;'Binder Setup'!$B$2:$B$401&amp;CHAR(10),$H129)),'List Setup'!$Q$2:$Q$401,999),IF(ISNUMBER(SEARCH(CHAR(10)&amp;'Set Aliases'!$A$2:$A$501&amp;CHAR(10),$H129)),'Set Aliases'!$C$2:$C$501,999))),"(none)"))</f>
        <v/>
      </c>
      <c r="C129" s="80" t="str">
        <f t="shared" si="1"/>
        <v/>
      </c>
      <c r="D129" s="80" t="str">
        <f t="array" ref="D129">IF(A129="","",IF(ISLOGICAL(INDEX(Wishlist!$A:$Z,ROW()-0,'List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29" s="80" t="str">
        <f t="shared" si="2"/>
        <v/>
      </c>
      <c r="F129" s="80" t="str">
        <f t="array" ref="F129">IF(A129="","",IF(ISNUMBER(J129),J129,IF(ISNUMBER(INDEX(Wishlist!$A:$Z,ROW()-0,'List Setup'!$F$2)),INDEX(Wishlist!$A:$Z,ROW()-0,'List Setup'!$F$2),0)))</f>
        <v/>
      </c>
      <c r="G129" s="80" t="str">
        <f t="array" ref="G129">IF(A129="","",A129&amp;IF(N(INDEX(Wishlist!$A:$Z,ROW()-0,'List Setup'!$C$2))&gt;1," (x"&amp;INDEX(Wishlist!$A:$Z,ROW()-0,'List Setup'!$C$2)&amp;")","")&amp;IF(COUNTIF(Binders!$J$6:$J$30,TRUE())&gt;1," ["&amp;Q129&amp;"]",""))</f>
        <v/>
      </c>
      <c r="H129" s="80" t="str">
        <f t="array" ref="H129">IF(A129="","",CHAR(10)&amp;INDEX(Wishlist!$A:$Z,ROW()-0,'List Setup'!$E$2)&amp;CHAR(10))</f>
        <v/>
      </c>
      <c r="I129" s="80" t="str">
        <f t="array" ref="I129">IF(OR(B129="",B129="(none)"),"",IF(ISNUMBER(SEARCH(CHAR(10)&amp;B129&amp;CHAR(10),H129)),B129,IFERROR(INDEX('Set Aliases'!$A$2:$A$501,MATCH(1,('Set Aliases'!$B$2:$B$501=B129)*ISNUMBER(SEARCH(CHAR(10)&amp;'Set Aliases'!$A$2:$A$501&amp;CHAR(10),H129)),0)),"")))</f>
        <v/>
      </c>
      <c r="J129" s="80" t="str">
        <f t="array" ref="J129">IF(I129="","",IFERROR(VALUE(TRIM(MID(SUBSTITUTE(INDEX(Wishlist!$A:$Z,ROW()-0,'List Setup'!$G$2),CHAR(10),REPT(" ",100)),((SEARCH(CHAR(10)&amp;I129&amp;CHAR(10),H129)-LEN(SUBSTITUTE(LEFT(H129,SEARCH(CHAR(10)&amp;I129&amp;CHAR(10),H129)),CHAR(10),"")))-1)*100+1,100))),""))</f>
        <v/>
      </c>
      <c r="K129" s="80" t="str">
        <f t="array" ref="K129">IF(A129="","",IF(ISNUMBER(SEARCH("Land",LEFT(IFERROR(INDEX(Wishlist!$A:$Z,ROW()-0,'List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29" s="80" t="str">
        <f t="shared" si="3"/>
        <v/>
      </c>
      <c r="M129" s="80" t="str">
        <f>IF(A129="","",IF(AND(E129="Y",B129='Use at Shop'!$B$4),K129*10000000000+(MAX(0,MIN(26,CODE(MID(UPPER(A129)&amp;"    ",1,1))-64))*19683+MAX(0,MIN(26,CODE(MID(UPPER(A129)&amp;"    ",2,1))-64))*729+MAX(0,MIN(26,CODE(MID(UPPER(A129)&amp;"    ",3,1))-64))*27+MAX(0,MIN(26,CODE(MID(UPPER(A129)&amp;"    ",4,1))-64))*1)*10000+ROW(),""))</f>
        <v/>
      </c>
      <c r="N129" s="80" t="str">
        <f t="shared" si="4"/>
        <v/>
      </c>
      <c r="O129" s="80" t="str">
        <f t="array" ref="O129">IF(A129="","",IFERROR(INDEX(Wishlist!$A:$Z,ROW()-0,'List Setup'!$J$2)&amp;"",""))</f>
        <v/>
      </c>
      <c r="P129" s="2"/>
      <c r="Q129" s="80" t="str">
        <f>IF(A129="","",'List Setup'!$A$2)</f>
        <v/>
      </c>
      <c r="R129" s="80" t="str">
        <f t="array" ref="R129">IF(A129="","",IFERROR(OR(INDEX(Binders!$J$6:$J$30,MATCH(Q129,Binders!$I$6:$I$30,0))=TRUE(),UPPER(INDEX(Binders!$J$6:$J$30,MATCH(Q129,Binders!$I$6:$I$30,0))&amp;"")="TRUE"),FALSE()))</f>
        <v/>
      </c>
    </row>
    <row r="130" ht="15.75" customHeight="1">
      <c r="A130" s="80" t="str">
        <f t="array" ref="A130">IF(INDEX(Wishlist!$A:$Z,ROW()-0,'List Setup'!$D$2)="","",INDEX(Wishlist!$A:$Z,ROW()-0,'List Setup'!$D$2))</f>
        <v/>
      </c>
      <c r="B130" s="80" t="str">
        <f t="array" ref="B130">IF(A130="","",IFERROR(INDEX('Binder Setup'!$B$2:$B$401,MIN(IF(ISNUMBER(SEARCH(CHAR(10)&amp;'Binder Setup'!$B$2:$B$401&amp;CHAR(10),$H130)),'List Setup'!$Q$2:$Q$401,999),IF(ISNUMBER(SEARCH(CHAR(10)&amp;'Set Aliases'!$A$2:$A$501&amp;CHAR(10),$H130)),'Set Aliases'!$C$2:$C$501,999))),"(none)"))</f>
        <v/>
      </c>
      <c r="C130" s="80" t="str">
        <f t="shared" si="1"/>
        <v/>
      </c>
      <c r="D130" s="80" t="str">
        <f t="array" ref="D130">IF(A130="","",IF(ISLOGICAL(INDEX(Wishlist!$A:$Z,ROW()-0,'List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30" s="80" t="str">
        <f t="shared" si="2"/>
        <v/>
      </c>
      <c r="F130" s="80" t="str">
        <f t="array" ref="F130">IF(A130="","",IF(ISNUMBER(J130),J130,IF(ISNUMBER(INDEX(Wishlist!$A:$Z,ROW()-0,'List Setup'!$F$2)),INDEX(Wishlist!$A:$Z,ROW()-0,'List Setup'!$F$2),0)))</f>
        <v/>
      </c>
      <c r="G130" s="80" t="str">
        <f t="array" ref="G130">IF(A130="","",A130&amp;IF(N(INDEX(Wishlist!$A:$Z,ROW()-0,'List Setup'!$C$2))&gt;1," (x"&amp;INDEX(Wishlist!$A:$Z,ROW()-0,'List Setup'!$C$2)&amp;")","")&amp;IF(COUNTIF(Binders!$J$6:$J$30,TRUE())&gt;1," ["&amp;Q130&amp;"]",""))</f>
        <v/>
      </c>
      <c r="H130" s="80" t="str">
        <f t="array" ref="H130">IF(A130="","",CHAR(10)&amp;INDEX(Wishlist!$A:$Z,ROW()-0,'List Setup'!$E$2)&amp;CHAR(10))</f>
        <v/>
      </c>
      <c r="I130" s="80" t="str">
        <f t="array" ref="I130">IF(OR(B130="",B130="(none)"),"",IF(ISNUMBER(SEARCH(CHAR(10)&amp;B130&amp;CHAR(10),H130)),B130,IFERROR(INDEX('Set Aliases'!$A$2:$A$501,MATCH(1,('Set Aliases'!$B$2:$B$501=B130)*ISNUMBER(SEARCH(CHAR(10)&amp;'Set Aliases'!$A$2:$A$501&amp;CHAR(10),H130)),0)),"")))</f>
        <v/>
      </c>
      <c r="J130" s="80" t="str">
        <f t="array" ref="J130">IF(I130="","",IFERROR(VALUE(TRIM(MID(SUBSTITUTE(INDEX(Wishlist!$A:$Z,ROW()-0,'List Setup'!$G$2),CHAR(10),REPT(" ",100)),((SEARCH(CHAR(10)&amp;I130&amp;CHAR(10),H130)-LEN(SUBSTITUTE(LEFT(H130,SEARCH(CHAR(10)&amp;I130&amp;CHAR(10),H130)),CHAR(10),"")))-1)*100+1,100))),""))</f>
        <v/>
      </c>
      <c r="K130" s="80" t="str">
        <f t="array" ref="K130">IF(A130="","",IF(ISNUMBER(SEARCH("Land",LEFT(IFERROR(INDEX(Wishlist!$A:$Z,ROW()-0,'List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30" s="80" t="str">
        <f t="shared" si="3"/>
        <v/>
      </c>
      <c r="M130" s="80" t="str">
        <f>IF(A130="","",IF(AND(E130="Y",B130='Use at Shop'!$B$4),K130*10000000000+(MAX(0,MIN(26,CODE(MID(UPPER(A130)&amp;"    ",1,1))-64))*19683+MAX(0,MIN(26,CODE(MID(UPPER(A130)&amp;"    ",2,1))-64))*729+MAX(0,MIN(26,CODE(MID(UPPER(A130)&amp;"    ",3,1))-64))*27+MAX(0,MIN(26,CODE(MID(UPPER(A130)&amp;"    ",4,1))-64))*1)*10000+ROW(),""))</f>
        <v/>
      </c>
      <c r="N130" s="80" t="str">
        <f t="shared" si="4"/>
        <v/>
      </c>
      <c r="O130" s="80" t="str">
        <f t="array" ref="O130">IF(A130="","",IFERROR(INDEX(Wishlist!$A:$Z,ROW()-0,'List Setup'!$J$2)&amp;"",""))</f>
        <v/>
      </c>
      <c r="P130" s="2"/>
      <c r="Q130" s="80" t="str">
        <f>IF(A130="","",'List Setup'!$A$2)</f>
        <v/>
      </c>
      <c r="R130" s="80" t="str">
        <f t="array" ref="R130">IF(A130="","",IFERROR(OR(INDEX(Binders!$J$6:$J$30,MATCH(Q130,Binders!$I$6:$I$30,0))=TRUE(),UPPER(INDEX(Binders!$J$6:$J$30,MATCH(Q130,Binders!$I$6:$I$30,0))&amp;"")="TRUE"),FALSE()))</f>
        <v/>
      </c>
    </row>
    <row r="131" ht="15.75" customHeight="1">
      <c r="A131" s="80" t="str">
        <f t="array" ref="A131">IF(INDEX(Wishlist!$A:$Z,ROW()-0,'List Setup'!$D$2)="","",INDEX(Wishlist!$A:$Z,ROW()-0,'List Setup'!$D$2))</f>
        <v/>
      </c>
      <c r="B131" s="80" t="str">
        <f t="array" ref="B131">IF(A131="","",IFERROR(INDEX('Binder Setup'!$B$2:$B$401,MIN(IF(ISNUMBER(SEARCH(CHAR(10)&amp;'Binder Setup'!$B$2:$B$401&amp;CHAR(10),$H131)),'List Setup'!$Q$2:$Q$401,999),IF(ISNUMBER(SEARCH(CHAR(10)&amp;'Set Aliases'!$A$2:$A$501&amp;CHAR(10),$H131)),'Set Aliases'!$C$2:$C$501,999))),"(none)"))</f>
        <v/>
      </c>
      <c r="C131" s="80" t="str">
        <f t="shared" si="1"/>
        <v/>
      </c>
      <c r="D131" s="80" t="str">
        <f t="array" ref="D131">IF(A131="","",IF(ISLOGICAL(INDEX(Wishlist!$A:$Z,ROW()-0,'List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31" s="80" t="str">
        <f t="shared" si="2"/>
        <v/>
      </c>
      <c r="F131" s="80" t="str">
        <f t="array" ref="F131">IF(A131="","",IF(ISNUMBER(J131),J131,IF(ISNUMBER(INDEX(Wishlist!$A:$Z,ROW()-0,'List Setup'!$F$2)),INDEX(Wishlist!$A:$Z,ROW()-0,'List Setup'!$F$2),0)))</f>
        <v/>
      </c>
      <c r="G131" s="80" t="str">
        <f t="array" ref="G131">IF(A131="","",A131&amp;IF(N(INDEX(Wishlist!$A:$Z,ROW()-0,'List Setup'!$C$2))&gt;1," (x"&amp;INDEX(Wishlist!$A:$Z,ROW()-0,'List Setup'!$C$2)&amp;")","")&amp;IF(COUNTIF(Binders!$J$6:$J$30,TRUE())&gt;1," ["&amp;Q131&amp;"]",""))</f>
        <v/>
      </c>
      <c r="H131" s="80" t="str">
        <f t="array" ref="H131">IF(A131="","",CHAR(10)&amp;INDEX(Wishlist!$A:$Z,ROW()-0,'List Setup'!$E$2)&amp;CHAR(10))</f>
        <v/>
      </c>
      <c r="I131" s="80" t="str">
        <f t="array" ref="I131">IF(OR(B131="",B131="(none)"),"",IF(ISNUMBER(SEARCH(CHAR(10)&amp;B131&amp;CHAR(10),H131)),B131,IFERROR(INDEX('Set Aliases'!$A$2:$A$501,MATCH(1,('Set Aliases'!$B$2:$B$501=B131)*ISNUMBER(SEARCH(CHAR(10)&amp;'Set Aliases'!$A$2:$A$501&amp;CHAR(10),H131)),0)),"")))</f>
        <v/>
      </c>
      <c r="J131" s="80" t="str">
        <f t="array" ref="J131">IF(I131="","",IFERROR(VALUE(TRIM(MID(SUBSTITUTE(INDEX(Wishlist!$A:$Z,ROW()-0,'List Setup'!$G$2),CHAR(10),REPT(" ",100)),((SEARCH(CHAR(10)&amp;I131&amp;CHAR(10),H131)-LEN(SUBSTITUTE(LEFT(H131,SEARCH(CHAR(10)&amp;I131&amp;CHAR(10),H131)),CHAR(10),"")))-1)*100+1,100))),""))</f>
        <v/>
      </c>
      <c r="K131" s="80" t="str">
        <f t="array" ref="K131">IF(A131="","",IF(ISNUMBER(SEARCH("Land",LEFT(IFERROR(INDEX(Wishlist!$A:$Z,ROW()-0,'List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31" s="80" t="str">
        <f t="shared" si="3"/>
        <v/>
      </c>
      <c r="M131" s="80" t="str">
        <f>IF(A131="","",IF(AND(E131="Y",B131='Use at Shop'!$B$4),K131*10000000000+(MAX(0,MIN(26,CODE(MID(UPPER(A131)&amp;"    ",1,1))-64))*19683+MAX(0,MIN(26,CODE(MID(UPPER(A131)&amp;"    ",2,1))-64))*729+MAX(0,MIN(26,CODE(MID(UPPER(A131)&amp;"    ",3,1))-64))*27+MAX(0,MIN(26,CODE(MID(UPPER(A131)&amp;"    ",4,1))-64))*1)*10000+ROW(),""))</f>
        <v/>
      </c>
      <c r="N131" s="80" t="str">
        <f t="shared" si="4"/>
        <v/>
      </c>
      <c r="O131" s="80" t="str">
        <f t="array" ref="O131">IF(A131="","",IFERROR(INDEX(Wishlist!$A:$Z,ROW()-0,'List Setup'!$J$2)&amp;"",""))</f>
        <v/>
      </c>
      <c r="P131" s="2"/>
      <c r="Q131" s="80" t="str">
        <f>IF(A131="","",'List Setup'!$A$2)</f>
        <v/>
      </c>
      <c r="R131" s="80" t="str">
        <f t="array" ref="R131">IF(A131="","",IFERROR(OR(INDEX(Binders!$J$6:$J$30,MATCH(Q131,Binders!$I$6:$I$30,0))=TRUE(),UPPER(INDEX(Binders!$J$6:$J$30,MATCH(Q131,Binders!$I$6:$I$30,0))&amp;"")="TRUE"),FALSE()))</f>
        <v/>
      </c>
    </row>
    <row r="132" ht="15.75" customHeight="1">
      <c r="A132" s="80" t="str">
        <f t="array" ref="A132">IF(INDEX(Wishlist!$A:$Z,ROW()-0,'List Setup'!$D$2)="","",INDEX(Wishlist!$A:$Z,ROW()-0,'List Setup'!$D$2))</f>
        <v/>
      </c>
      <c r="B132" s="80" t="str">
        <f t="array" ref="B132">IF(A132="","",IFERROR(INDEX('Binder Setup'!$B$2:$B$401,MIN(IF(ISNUMBER(SEARCH(CHAR(10)&amp;'Binder Setup'!$B$2:$B$401&amp;CHAR(10),$H132)),'List Setup'!$Q$2:$Q$401,999),IF(ISNUMBER(SEARCH(CHAR(10)&amp;'Set Aliases'!$A$2:$A$501&amp;CHAR(10),$H132)),'Set Aliases'!$C$2:$C$501,999))),"(none)"))</f>
        <v/>
      </c>
      <c r="C132" s="80" t="str">
        <f t="shared" si="1"/>
        <v/>
      </c>
      <c r="D132" s="80" t="str">
        <f t="array" ref="D132">IF(A132="","",IF(ISLOGICAL(INDEX(Wishlist!$A:$Z,ROW()-0,'List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32" s="80" t="str">
        <f t="shared" si="2"/>
        <v/>
      </c>
      <c r="F132" s="80" t="str">
        <f t="array" ref="F132">IF(A132="","",IF(ISNUMBER(J132),J132,IF(ISNUMBER(INDEX(Wishlist!$A:$Z,ROW()-0,'List Setup'!$F$2)),INDEX(Wishlist!$A:$Z,ROW()-0,'List Setup'!$F$2),0)))</f>
        <v/>
      </c>
      <c r="G132" s="80" t="str">
        <f t="array" ref="G132">IF(A132="","",A132&amp;IF(N(INDEX(Wishlist!$A:$Z,ROW()-0,'List Setup'!$C$2))&gt;1," (x"&amp;INDEX(Wishlist!$A:$Z,ROW()-0,'List Setup'!$C$2)&amp;")","")&amp;IF(COUNTIF(Binders!$J$6:$J$30,TRUE())&gt;1," ["&amp;Q132&amp;"]",""))</f>
        <v/>
      </c>
      <c r="H132" s="80" t="str">
        <f t="array" ref="H132">IF(A132="","",CHAR(10)&amp;INDEX(Wishlist!$A:$Z,ROW()-0,'List Setup'!$E$2)&amp;CHAR(10))</f>
        <v/>
      </c>
      <c r="I132" s="80" t="str">
        <f t="array" ref="I132">IF(OR(B132="",B132="(none)"),"",IF(ISNUMBER(SEARCH(CHAR(10)&amp;B132&amp;CHAR(10),H132)),B132,IFERROR(INDEX('Set Aliases'!$A$2:$A$501,MATCH(1,('Set Aliases'!$B$2:$B$501=B132)*ISNUMBER(SEARCH(CHAR(10)&amp;'Set Aliases'!$A$2:$A$501&amp;CHAR(10),H132)),0)),"")))</f>
        <v/>
      </c>
      <c r="J132" s="80" t="str">
        <f t="array" ref="J132">IF(I132="","",IFERROR(VALUE(TRIM(MID(SUBSTITUTE(INDEX(Wishlist!$A:$Z,ROW()-0,'List Setup'!$G$2),CHAR(10),REPT(" ",100)),((SEARCH(CHAR(10)&amp;I132&amp;CHAR(10),H132)-LEN(SUBSTITUTE(LEFT(H132,SEARCH(CHAR(10)&amp;I132&amp;CHAR(10),H132)),CHAR(10),"")))-1)*100+1,100))),""))</f>
        <v/>
      </c>
      <c r="K132" s="80" t="str">
        <f t="array" ref="K132">IF(A132="","",IF(ISNUMBER(SEARCH("Land",LEFT(IFERROR(INDEX(Wishlist!$A:$Z,ROW()-0,'List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32" s="80" t="str">
        <f t="shared" si="3"/>
        <v/>
      </c>
      <c r="M132" s="80" t="str">
        <f>IF(A132="","",IF(AND(E132="Y",B132='Use at Shop'!$B$4),K132*10000000000+(MAX(0,MIN(26,CODE(MID(UPPER(A132)&amp;"    ",1,1))-64))*19683+MAX(0,MIN(26,CODE(MID(UPPER(A132)&amp;"    ",2,1))-64))*729+MAX(0,MIN(26,CODE(MID(UPPER(A132)&amp;"    ",3,1))-64))*27+MAX(0,MIN(26,CODE(MID(UPPER(A132)&amp;"    ",4,1))-64))*1)*10000+ROW(),""))</f>
        <v/>
      </c>
      <c r="N132" s="80" t="str">
        <f t="shared" si="4"/>
        <v/>
      </c>
      <c r="O132" s="80" t="str">
        <f t="array" ref="O132">IF(A132="","",IFERROR(INDEX(Wishlist!$A:$Z,ROW()-0,'List Setup'!$J$2)&amp;"",""))</f>
        <v/>
      </c>
      <c r="P132" s="2"/>
      <c r="Q132" s="80" t="str">
        <f>IF(A132="","",'List Setup'!$A$2)</f>
        <v/>
      </c>
      <c r="R132" s="80" t="str">
        <f t="array" ref="R132">IF(A132="","",IFERROR(OR(INDEX(Binders!$J$6:$J$30,MATCH(Q132,Binders!$I$6:$I$30,0))=TRUE(),UPPER(INDEX(Binders!$J$6:$J$30,MATCH(Q132,Binders!$I$6:$I$30,0))&amp;"")="TRUE"),FALSE()))</f>
        <v/>
      </c>
    </row>
    <row r="133" ht="15.75" customHeight="1">
      <c r="A133" s="80" t="str">
        <f t="array" ref="A133">IF(INDEX(Wishlist!$A:$Z,ROW()-0,'List Setup'!$D$2)="","",INDEX(Wishlist!$A:$Z,ROW()-0,'List Setup'!$D$2))</f>
        <v/>
      </c>
      <c r="B133" s="80" t="str">
        <f t="array" ref="B133">IF(A133="","",IFERROR(INDEX('Binder Setup'!$B$2:$B$401,MIN(IF(ISNUMBER(SEARCH(CHAR(10)&amp;'Binder Setup'!$B$2:$B$401&amp;CHAR(10),$H133)),'List Setup'!$Q$2:$Q$401,999),IF(ISNUMBER(SEARCH(CHAR(10)&amp;'Set Aliases'!$A$2:$A$501&amp;CHAR(10),$H133)),'Set Aliases'!$C$2:$C$501,999))),"(none)"))</f>
        <v/>
      </c>
      <c r="C133" s="80" t="str">
        <f t="shared" si="1"/>
        <v/>
      </c>
      <c r="D133" s="80" t="str">
        <f t="array" ref="D133">IF(A133="","",IF(ISLOGICAL(INDEX(Wishlist!$A:$Z,ROW()-0,'List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33" s="80" t="str">
        <f t="shared" si="2"/>
        <v/>
      </c>
      <c r="F133" s="80" t="str">
        <f t="array" ref="F133">IF(A133="","",IF(ISNUMBER(J133),J133,IF(ISNUMBER(INDEX(Wishlist!$A:$Z,ROW()-0,'List Setup'!$F$2)),INDEX(Wishlist!$A:$Z,ROW()-0,'List Setup'!$F$2),0)))</f>
        <v/>
      </c>
      <c r="G133" s="80" t="str">
        <f t="array" ref="G133">IF(A133="","",A133&amp;IF(N(INDEX(Wishlist!$A:$Z,ROW()-0,'List Setup'!$C$2))&gt;1," (x"&amp;INDEX(Wishlist!$A:$Z,ROW()-0,'List Setup'!$C$2)&amp;")","")&amp;IF(COUNTIF(Binders!$J$6:$J$30,TRUE())&gt;1," ["&amp;Q133&amp;"]",""))</f>
        <v/>
      </c>
      <c r="H133" s="80" t="str">
        <f t="array" ref="H133">IF(A133="","",CHAR(10)&amp;INDEX(Wishlist!$A:$Z,ROW()-0,'List Setup'!$E$2)&amp;CHAR(10))</f>
        <v/>
      </c>
      <c r="I133" s="80" t="str">
        <f t="array" ref="I133">IF(OR(B133="",B133="(none)"),"",IF(ISNUMBER(SEARCH(CHAR(10)&amp;B133&amp;CHAR(10),H133)),B133,IFERROR(INDEX('Set Aliases'!$A$2:$A$501,MATCH(1,('Set Aliases'!$B$2:$B$501=B133)*ISNUMBER(SEARCH(CHAR(10)&amp;'Set Aliases'!$A$2:$A$501&amp;CHAR(10),H133)),0)),"")))</f>
        <v/>
      </c>
      <c r="J133" s="80" t="str">
        <f t="array" ref="J133">IF(I133="","",IFERROR(VALUE(TRIM(MID(SUBSTITUTE(INDEX(Wishlist!$A:$Z,ROW()-0,'List Setup'!$G$2),CHAR(10),REPT(" ",100)),((SEARCH(CHAR(10)&amp;I133&amp;CHAR(10),H133)-LEN(SUBSTITUTE(LEFT(H133,SEARCH(CHAR(10)&amp;I133&amp;CHAR(10),H133)),CHAR(10),"")))-1)*100+1,100))),""))</f>
        <v/>
      </c>
      <c r="K133" s="80" t="str">
        <f t="array" ref="K133">IF(A133="","",IF(ISNUMBER(SEARCH("Land",LEFT(IFERROR(INDEX(Wishlist!$A:$Z,ROW()-0,'List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33" s="80" t="str">
        <f t="shared" si="3"/>
        <v/>
      </c>
      <c r="M133" s="80" t="str">
        <f>IF(A133="","",IF(AND(E133="Y",B133='Use at Shop'!$B$4),K133*10000000000+(MAX(0,MIN(26,CODE(MID(UPPER(A133)&amp;"    ",1,1))-64))*19683+MAX(0,MIN(26,CODE(MID(UPPER(A133)&amp;"    ",2,1))-64))*729+MAX(0,MIN(26,CODE(MID(UPPER(A133)&amp;"    ",3,1))-64))*27+MAX(0,MIN(26,CODE(MID(UPPER(A133)&amp;"    ",4,1))-64))*1)*10000+ROW(),""))</f>
        <v/>
      </c>
      <c r="N133" s="80" t="str">
        <f t="shared" si="4"/>
        <v/>
      </c>
      <c r="O133" s="80" t="str">
        <f t="array" ref="O133">IF(A133="","",IFERROR(INDEX(Wishlist!$A:$Z,ROW()-0,'List Setup'!$J$2)&amp;"",""))</f>
        <v/>
      </c>
      <c r="P133" s="2"/>
      <c r="Q133" s="80" t="str">
        <f>IF(A133="","",'List Setup'!$A$2)</f>
        <v/>
      </c>
      <c r="R133" s="80" t="str">
        <f t="array" ref="R133">IF(A133="","",IFERROR(OR(INDEX(Binders!$J$6:$J$30,MATCH(Q133,Binders!$I$6:$I$30,0))=TRUE(),UPPER(INDEX(Binders!$J$6:$J$30,MATCH(Q133,Binders!$I$6:$I$30,0))&amp;"")="TRUE"),FALSE()))</f>
        <v/>
      </c>
    </row>
    <row r="134" ht="15.75" customHeight="1">
      <c r="A134" s="80" t="str">
        <f t="array" ref="A134">IF(INDEX(Wishlist!$A:$Z,ROW()-0,'List Setup'!$D$2)="","",INDEX(Wishlist!$A:$Z,ROW()-0,'List Setup'!$D$2))</f>
        <v/>
      </c>
      <c r="B134" s="80" t="str">
        <f t="array" ref="B134">IF(A134="","",IFERROR(INDEX('Binder Setup'!$B$2:$B$401,MIN(IF(ISNUMBER(SEARCH(CHAR(10)&amp;'Binder Setup'!$B$2:$B$401&amp;CHAR(10),$H134)),'List Setup'!$Q$2:$Q$401,999),IF(ISNUMBER(SEARCH(CHAR(10)&amp;'Set Aliases'!$A$2:$A$501&amp;CHAR(10),$H134)),'Set Aliases'!$C$2:$C$501,999))),"(none)"))</f>
        <v/>
      </c>
      <c r="C134" s="80" t="str">
        <f t="shared" si="1"/>
        <v/>
      </c>
      <c r="D134" s="80" t="str">
        <f t="array" ref="D134">IF(A134="","",IF(ISLOGICAL(INDEX(Wishlist!$A:$Z,ROW()-0,'List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34" s="80" t="str">
        <f t="shared" si="2"/>
        <v/>
      </c>
      <c r="F134" s="80" t="str">
        <f t="array" ref="F134">IF(A134="","",IF(ISNUMBER(J134),J134,IF(ISNUMBER(INDEX(Wishlist!$A:$Z,ROW()-0,'List Setup'!$F$2)),INDEX(Wishlist!$A:$Z,ROW()-0,'List Setup'!$F$2),0)))</f>
        <v/>
      </c>
      <c r="G134" s="80" t="str">
        <f t="array" ref="G134">IF(A134="","",A134&amp;IF(N(INDEX(Wishlist!$A:$Z,ROW()-0,'List Setup'!$C$2))&gt;1," (x"&amp;INDEX(Wishlist!$A:$Z,ROW()-0,'List Setup'!$C$2)&amp;")","")&amp;IF(COUNTIF(Binders!$J$6:$J$30,TRUE())&gt;1," ["&amp;Q134&amp;"]",""))</f>
        <v/>
      </c>
      <c r="H134" s="80" t="str">
        <f t="array" ref="H134">IF(A134="","",CHAR(10)&amp;INDEX(Wishlist!$A:$Z,ROW()-0,'List Setup'!$E$2)&amp;CHAR(10))</f>
        <v/>
      </c>
      <c r="I134" s="80" t="str">
        <f t="array" ref="I134">IF(OR(B134="",B134="(none)"),"",IF(ISNUMBER(SEARCH(CHAR(10)&amp;B134&amp;CHAR(10),H134)),B134,IFERROR(INDEX('Set Aliases'!$A$2:$A$501,MATCH(1,('Set Aliases'!$B$2:$B$501=B134)*ISNUMBER(SEARCH(CHAR(10)&amp;'Set Aliases'!$A$2:$A$501&amp;CHAR(10),H134)),0)),"")))</f>
        <v/>
      </c>
      <c r="J134" s="80" t="str">
        <f t="array" ref="J134">IF(I134="","",IFERROR(VALUE(TRIM(MID(SUBSTITUTE(INDEX(Wishlist!$A:$Z,ROW()-0,'List Setup'!$G$2),CHAR(10),REPT(" ",100)),((SEARCH(CHAR(10)&amp;I134&amp;CHAR(10),H134)-LEN(SUBSTITUTE(LEFT(H134,SEARCH(CHAR(10)&amp;I134&amp;CHAR(10),H134)),CHAR(10),"")))-1)*100+1,100))),""))</f>
        <v/>
      </c>
      <c r="K134" s="80" t="str">
        <f t="array" ref="K134">IF(A134="","",IF(ISNUMBER(SEARCH("Land",LEFT(IFERROR(INDEX(Wishlist!$A:$Z,ROW()-0,'List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34" s="80" t="str">
        <f t="shared" si="3"/>
        <v/>
      </c>
      <c r="M134" s="80" t="str">
        <f>IF(A134="","",IF(AND(E134="Y",B134='Use at Shop'!$B$4),K134*10000000000+(MAX(0,MIN(26,CODE(MID(UPPER(A134)&amp;"    ",1,1))-64))*19683+MAX(0,MIN(26,CODE(MID(UPPER(A134)&amp;"    ",2,1))-64))*729+MAX(0,MIN(26,CODE(MID(UPPER(A134)&amp;"    ",3,1))-64))*27+MAX(0,MIN(26,CODE(MID(UPPER(A134)&amp;"    ",4,1))-64))*1)*10000+ROW(),""))</f>
        <v/>
      </c>
      <c r="N134" s="80" t="str">
        <f t="shared" si="4"/>
        <v/>
      </c>
      <c r="O134" s="80" t="str">
        <f t="array" ref="O134">IF(A134="","",IFERROR(INDEX(Wishlist!$A:$Z,ROW()-0,'List Setup'!$J$2)&amp;"",""))</f>
        <v/>
      </c>
      <c r="P134" s="2"/>
      <c r="Q134" s="80" t="str">
        <f>IF(A134="","",'List Setup'!$A$2)</f>
        <v/>
      </c>
      <c r="R134" s="80" t="str">
        <f t="array" ref="R134">IF(A134="","",IFERROR(OR(INDEX(Binders!$J$6:$J$30,MATCH(Q134,Binders!$I$6:$I$30,0))=TRUE(),UPPER(INDEX(Binders!$J$6:$J$30,MATCH(Q134,Binders!$I$6:$I$30,0))&amp;"")="TRUE"),FALSE()))</f>
        <v/>
      </c>
    </row>
    <row r="135" ht="15.75" customHeight="1">
      <c r="A135" s="80" t="str">
        <f t="array" ref="A135">IF(INDEX(Wishlist!$A:$Z,ROW()-0,'List Setup'!$D$2)="","",INDEX(Wishlist!$A:$Z,ROW()-0,'List Setup'!$D$2))</f>
        <v/>
      </c>
      <c r="B135" s="80" t="str">
        <f t="array" ref="B135">IF(A135="","",IFERROR(INDEX('Binder Setup'!$B$2:$B$401,MIN(IF(ISNUMBER(SEARCH(CHAR(10)&amp;'Binder Setup'!$B$2:$B$401&amp;CHAR(10),$H135)),'List Setup'!$Q$2:$Q$401,999),IF(ISNUMBER(SEARCH(CHAR(10)&amp;'Set Aliases'!$A$2:$A$501&amp;CHAR(10),$H135)),'Set Aliases'!$C$2:$C$501,999))),"(none)"))</f>
        <v/>
      </c>
      <c r="C135" s="80" t="str">
        <f t="shared" si="1"/>
        <v/>
      </c>
      <c r="D135" s="80" t="str">
        <f t="array" ref="D135">IF(A135="","",IF(ISLOGICAL(INDEX(Wishlist!$A:$Z,ROW()-0,'List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35" s="80" t="str">
        <f t="shared" si="2"/>
        <v/>
      </c>
      <c r="F135" s="80" t="str">
        <f t="array" ref="F135">IF(A135="","",IF(ISNUMBER(J135),J135,IF(ISNUMBER(INDEX(Wishlist!$A:$Z,ROW()-0,'List Setup'!$F$2)),INDEX(Wishlist!$A:$Z,ROW()-0,'List Setup'!$F$2),0)))</f>
        <v/>
      </c>
      <c r="G135" s="80" t="str">
        <f t="array" ref="G135">IF(A135="","",A135&amp;IF(N(INDEX(Wishlist!$A:$Z,ROW()-0,'List Setup'!$C$2))&gt;1," (x"&amp;INDEX(Wishlist!$A:$Z,ROW()-0,'List Setup'!$C$2)&amp;")","")&amp;IF(COUNTIF(Binders!$J$6:$J$30,TRUE())&gt;1," ["&amp;Q135&amp;"]",""))</f>
        <v/>
      </c>
      <c r="H135" s="80" t="str">
        <f t="array" ref="H135">IF(A135="","",CHAR(10)&amp;INDEX(Wishlist!$A:$Z,ROW()-0,'List Setup'!$E$2)&amp;CHAR(10))</f>
        <v/>
      </c>
      <c r="I135" s="80" t="str">
        <f t="array" ref="I135">IF(OR(B135="",B135="(none)"),"",IF(ISNUMBER(SEARCH(CHAR(10)&amp;B135&amp;CHAR(10),H135)),B135,IFERROR(INDEX('Set Aliases'!$A$2:$A$501,MATCH(1,('Set Aliases'!$B$2:$B$501=B135)*ISNUMBER(SEARCH(CHAR(10)&amp;'Set Aliases'!$A$2:$A$501&amp;CHAR(10),H135)),0)),"")))</f>
        <v/>
      </c>
      <c r="J135" s="80" t="str">
        <f t="array" ref="J135">IF(I135="","",IFERROR(VALUE(TRIM(MID(SUBSTITUTE(INDEX(Wishlist!$A:$Z,ROW()-0,'List Setup'!$G$2),CHAR(10),REPT(" ",100)),((SEARCH(CHAR(10)&amp;I135&amp;CHAR(10),H135)-LEN(SUBSTITUTE(LEFT(H135,SEARCH(CHAR(10)&amp;I135&amp;CHAR(10),H135)),CHAR(10),"")))-1)*100+1,100))),""))</f>
        <v/>
      </c>
      <c r="K135" s="80" t="str">
        <f t="array" ref="K135">IF(A135="","",IF(ISNUMBER(SEARCH("Land",LEFT(IFERROR(INDEX(Wishlist!$A:$Z,ROW()-0,'List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35" s="80" t="str">
        <f t="shared" si="3"/>
        <v/>
      </c>
      <c r="M135" s="80" t="str">
        <f>IF(A135="","",IF(AND(E135="Y",B135='Use at Shop'!$B$4),K135*10000000000+(MAX(0,MIN(26,CODE(MID(UPPER(A135)&amp;"    ",1,1))-64))*19683+MAX(0,MIN(26,CODE(MID(UPPER(A135)&amp;"    ",2,1))-64))*729+MAX(0,MIN(26,CODE(MID(UPPER(A135)&amp;"    ",3,1))-64))*27+MAX(0,MIN(26,CODE(MID(UPPER(A135)&amp;"    ",4,1))-64))*1)*10000+ROW(),""))</f>
        <v/>
      </c>
      <c r="N135" s="80" t="str">
        <f t="shared" si="4"/>
        <v/>
      </c>
      <c r="O135" s="80" t="str">
        <f t="array" ref="O135">IF(A135="","",IFERROR(INDEX(Wishlist!$A:$Z,ROW()-0,'List Setup'!$J$2)&amp;"",""))</f>
        <v/>
      </c>
      <c r="P135" s="2"/>
      <c r="Q135" s="80" t="str">
        <f>IF(A135="","",'List Setup'!$A$2)</f>
        <v/>
      </c>
      <c r="R135" s="80" t="str">
        <f t="array" ref="R135">IF(A135="","",IFERROR(OR(INDEX(Binders!$J$6:$J$30,MATCH(Q135,Binders!$I$6:$I$30,0))=TRUE(),UPPER(INDEX(Binders!$J$6:$J$30,MATCH(Q135,Binders!$I$6:$I$30,0))&amp;"")="TRUE"),FALSE()))</f>
        <v/>
      </c>
    </row>
    <row r="136" ht="15.75" customHeight="1">
      <c r="A136" s="80" t="str">
        <f t="array" ref="A136">IF(INDEX(Wishlist!$A:$Z,ROW()-0,'List Setup'!$D$2)="","",INDEX(Wishlist!$A:$Z,ROW()-0,'List Setup'!$D$2))</f>
        <v/>
      </c>
      <c r="B136" s="80" t="str">
        <f t="array" ref="B136">IF(A136="","",IFERROR(INDEX('Binder Setup'!$B$2:$B$401,MIN(IF(ISNUMBER(SEARCH(CHAR(10)&amp;'Binder Setup'!$B$2:$B$401&amp;CHAR(10),$H136)),'List Setup'!$Q$2:$Q$401,999),IF(ISNUMBER(SEARCH(CHAR(10)&amp;'Set Aliases'!$A$2:$A$501&amp;CHAR(10),$H136)),'Set Aliases'!$C$2:$C$501,999))),"(none)"))</f>
        <v/>
      </c>
      <c r="C136" s="80" t="str">
        <f t="shared" si="1"/>
        <v/>
      </c>
      <c r="D136" s="80" t="str">
        <f t="array" ref="D136">IF(A136="","",IF(ISLOGICAL(INDEX(Wishlist!$A:$Z,ROW()-0,'List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36" s="80" t="str">
        <f t="shared" si="2"/>
        <v/>
      </c>
      <c r="F136" s="80" t="str">
        <f t="array" ref="F136">IF(A136="","",IF(ISNUMBER(J136),J136,IF(ISNUMBER(INDEX(Wishlist!$A:$Z,ROW()-0,'List Setup'!$F$2)),INDEX(Wishlist!$A:$Z,ROW()-0,'List Setup'!$F$2),0)))</f>
        <v/>
      </c>
      <c r="G136" s="80" t="str">
        <f t="array" ref="G136">IF(A136="","",A136&amp;IF(N(INDEX(Wishlist!$A:$Z,ROW()-0,'List Setup'!$C$2))&gt;1," (x"&amp;INDEX(Wishlist!$A:$Z,ROW()-0,'List Setup'!$C$2)&amp;")","")&amp;IF(COUNTIF(Binders!$J$6:$J$30,TRUE())&gt;1," ["&amp;Q136&amp;"]",""))</f>
        <v/>
      </c>
      <c r="H136" s="80" t="str">
        <f t="array" ref="H136">IF(A136="","",CHAR(10)&amp;INDEX(Wishlist!$A:$Z,ROW()-0,'List Setup'!$E$2)&amp;CHAR(10))</f>
        <v/>
      </c>
      <c r="I136" s="80" t="str">
        <f t="array" ref="I136">IF(OR(B136="",B136="(none)"),"",IF(ISNUMBER(SEARCH(CHAR(10)&amp;B136&amp;CHAR(10),H136)),B136,IFERROR(INDEX('Set Aliases'!$A$2:$A$501,MATCH(1,('Set Aliases'!$B$2:$B$501=B136)*ISNUMBER(SEARCH(CHAR(10)&amp;'Set Aliases'!$A$2:$A$501&amp;CHAR(10),H136)),0)),"")))</f>
        <v/>
      </c>
      <c r="J136" s="80" t="str">
        <f t="array" ref="J136">IF(I136="","",IFERROR(VALUE(TRIM(MID(SUBSTITUTE(INDEX(Wishlist!$A:$Z,ROW()-0,'List Setup'!$G$2),CHAR(10),REPT(" ",100)),((SEARCH(CHAR(10)&amp;I136&amp;CHAR(10),H136)-LEN(SUBSTITUTE(LEFT(H136,SEARCH(CHAR(10)&amp;I136&amp;CHAR(10),H136)),CHAR(10),"")))-1)*100+1,100))),""))</f>
        <v/>
      </c>
      <c r="K136" s="80" t="str">
        <f t="array" ref="K136">IF(A136="","",IF(ISNUMBER(SEARCH("Land",LEFT(IFERROR(INDEX(Wishlist!$A:$Z,ROW()-0,'List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36" s="80" t="str">
        <f t="shared" si="3"/>
        <v/>
      </c>
      <c r="M136" s="80" t="str">
        <f>IF(A136="","",IF(AND(E136="Y",B136='Use at Shop'!$B$4),K136*10000000000+(MAX(0,MIN(26,CODE(MID(UPPER(A136)&amp;"    ",1,1))-64))*19683+MAX(0,MIN(26,CODE(MID(UPPER(A136)&amp;"    ",2,1))-64))*729+MAX(0,MIN(26,CODE(MID(UPPER(A136)&amp;"    ",3,1))-64))*27+MAX(0,MIN(26,CODE(MID(UPPER(A136)&amp;"    ",4,1))-64))*1)*10000+ROW(),""))</f>
        <v/>
      </c>
      <c r="N136" s="80" t="str">
        <f t="shared" si="4"/>
        <v/>
      </c>
      <c r="O136" s="80" t="str">
        <f t="array" ref="O136">IF(A136="","",IFERROR(INDEX(Wishlist!$A:$Z,ROW()-0,'List Setup'!$J$2)&amp;"",""))</f>
        <v/>
      </c>
      <c r="P136" s="2"/>
      <c r="Q136" s="80" t="str">
        <f>IF(A136="","",'List Setup'!$A$2)</f>
        <v/>
      </c>
      <c r="R136" s="80" t="str">
        <f t="array" ref="R136">IF(A136="","",IFERROR(OR(INDEX(Binders!$J$6:$J$30,MATCH(Q136,Binders!$I$6:$I$30,0))=TRUE(),UPPER(INDEX(Binders!$J$6:$J$30,MATCH(Q136,Binders!$I$6:$I$30,0))&amp;"")="TRUE"),FALSE()))</f>
        <v/>
      </c>
    </row>
    <row r="137" ht="15.75" customHeight="1">
      <c r="A137" s="80" t="str">
        <f t="array" ref="A137">IF(INDEX(Wishlist!$A:$Z,ROW()-0,'List Setup'!$D$2)="","",INDEX(Wishlist!$A:$Z,ROW()-0,'List Setup'!$D$2))</f>
        <v/>
      </c>
      <c r="B137" s="80" t="str">
        <f t="array" ref="B137">IF(A137="","",IFERROR(INDEX('Binder Setup'!$B$2:$B$401,MIN(IF(ISNUMBER(SEARCH(CHAR(10)&amp;'Binder Setup'!$B$2:$B$401&amp;CHAR(10),$H137)),'List Setup'!$Q$2:$Q$401,999),IF(ISNUMBER(SEARCH(CHAR(10)&amp;'Set Aliases'!$A$2:$A$501&amp;CHAR(10),$H137)),'Set Aliases'!$C$2:$C$501,999))),"(none)"))</f>
        <v/>
      </c>
      <c r="C137" s="80" t="str">
        <f t="shared" si="1"/>
        <v/>
      </c>
      <c r="D137" s="80" t="str">
        <f t="array" ref="D137">IF(A137="","",IF(ISLOGICAL(INDEX(Wishlist!$A:$Z,ROW()-0,'List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37" s="80" t="str">
        <f t="shared" si="2"/>
        <v/>
      </c>
      <c r="F137" s="80" t="str">
        <f t="array" ref="F137">IF(A137="","",IF(ISNUMBER(J137),J137,IF(ISNUMBER(INDEX(Wishlist!$A:$Z,ROW()-0,'List Setup'!$F$2)),INDEX(Wishlist!$A:$Z,ROW()-0,'List Setup'!$F$2),0)))</f>
        <v/>
      </c>
      <c r="G137" s="80" t="str">
        <f t="array" ref="G137">IF(A137="","",A137&amp;IF(N(INDEX(Wishlist!$A:$Z,ROW()-0,'List Setup'!$C$2))&gt;1," (x"&amp;INDEX(Wishlist!$A:$Z,ROW()-0,'List Setup'!$C$2)&amp;")","")&amp;IF(COUNTIF(Binders!$J$6:$J$30,TRUE())&gt;1," ["&amp;Q137&amp;"]",""))</f>
        <v/>
      </c>
      <c r="H137" s="80" t="str">
        <f t="array" ref="H137">IF(A137="","",CHAR(10)&amp;INDEX(Wishlist!$A:$Z,ROW()-0,'List Setup'!$E$2)&amp;CHAR(10))</f>
        <v/>
      </c>
      <c r="I137" s="80" t="str">
        <f t="array" ref="I137">IF(OR(B137="",B137="(none)"),"",IF(ISNUMBER(SEARCH(CHAR(10)&amp;B137&amp;CHAR(10),H137)),B137,IFERROR(INDEX('Set Aliases'!$A$2:$A$501,MATCH(1,('Set Aliases'!$B$2:$B$501=B137)*ISNUMBER(SEARCH(CHAR(10)&amp;'Set Aliases'!$A$2:$A$501&amp;CHAR(10),H137)),0)),"")))</f>
        <v/>
      </c>
      <c r="J137" s="80" t="str">
        <f t="array" ref="J137">IF(I137="","",IFERROR(VALUE(TRIM(MID(SUBSTITUTE(INDEX(Wishlist!$A:$Z,ROW()-0,'List Setup'!$G$2),CHAR(10),REPT(" ",100)),((SEARCH(CHAR(10)&amp;I137&amp;CHAR(10),H137)-LEN(SUBSTITUTE(LEFT(H137,SEARCH(CHAR(10)&amp;I137&amp;CHAR(10),H137)),CHAR(10),"")))-1)*100+1,100))),""))</f>
        <v/>
      </c>
      <c r="K137" s="80" t="str">
        <f t="array" ref="K137">IF(A137="","",IF(ISNUMBER(SEARCH("Land",LEFT(IFERROR(INDEX(Wishlist!$A:$Z,ROW()-0,'List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37" s="80" t="str">
        <f t="shared" si="3"/>
        <v/>
      </c>
      <c r="M137" s="80" t="str">
        <f>IF(A137="","",IF(AND(E137="Y",B137='Use at Shop'!$B$4),K137*10000000000+(MAX(0,MIN(26,CODE(MID(UPPER(A137)&amp;"    ",1,1))-64))*19683+MAX(0,MIN(26,CODE(MID(UPPER(A137)&amp;"    ",2,1))-64))*729+MAX(0,MIN(26,CODE(MID(UPPER(A137)&amp;"    ",3,1))-64))*27+MAX(0,MIN(26,CODE(MID(UPPER(A137)&amp;"    ",4,1))-64))*1)*10000+ROW(),""))</f>
        <v/>
      </c>
      <c r="N137" s="80" t="str">
        <f t="shared" si="4"/>
        <v/>
      </c>
      <c r="O137" s="80" t="str">
        <f t="array" ref="O137">IF(A137="","",IFERROR(INDEX(Wishlist!$A:$Z,ROW()-0,'List Setup'!$J$2)&amp;"",""))</f>
        <v/>
      </c>
      <c r="P137" s="2"/>
      <c r="Q137" s="80" t="str">
        <f>IF(A137="","",'List Setup'!$A$2)</f>
        <v/>
      </c>
      <c r="R137" s="80" t="str">
        <f t="array" ref="R137">IF(A137="","",IFERROR(OR(INDEX(Binders!$J$6:$J$30,MATCH(Q137,Binders!$I$6:$I$30,0))=TRUE(),UPPER(INDEX(Binders!$J$6:$J$30,MATCH(Q137,Binders!$I$6:$I$30,0))&amp;"")="TRUE"),FALSE()))</f>
        <v/>
      </c>
    </row>
    <row r="138" ht="15.75" customHeight="1">
      <c r="A138" s="80" t="str">
        <f t="array" ref="A138">IF(INDEX(Wishlist!$A:$Z,ROW()-0,'List Setup'!$D$2)="","",INDEX(Wishlist!$A:$Z,ROW()-0,'List Setup'!$D$2))</f>
        <v/>
      </c>
      <c r="B138" s="80" t="str">
        <f t="array" ref="B138">IF(A138="","",IFERROR(INDEX('Binder Setup'!$B$2:$B$401,MIN(IF(ISNUMBER(SEARCH(CHAR(10)&amp;'Binder Setup'!$B$2:$B$401&amp;CHAR(10),$H138)),'List Setup'!$Q$2:$Q$401,999),IF(ISNUMBER(SEARCH(CHAR(10)&amp;'Set Aliases'!$A$2:$A$501&amp;CHAR(10),$H138)),'Set Aliases'!$C$2:$C$501,999))),"(none)"))</f>
        <v/>
      </c>
      <c r="C138" s="80" t="str">
        <f t="shared" si="1"/>
        <v/>
      </c>
      <c r="D138" s="80" t="str">
        <f t="array" ref="D138">IF(A138="","",IF(ISLOGICAL(INDEX(Wishlist!$A:$Z,ROW()-0,'List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38" s="80" t="str">
        <f t="shared" si="2"/>
        <v/>
      </c>
      <c r="F138" s="80" t="str">
        <f t="array" ref="F138">IF(A138="","",IF(ISNUMBER(J138),J138,IF(ISNUMBER(INDEX(Wishlist!$A:$Z,ROW()-0,'List Setup'!$F$2)),INDEX(Wishlist!$A:$Z,ROW()-0,'List Setup'!$F$2),0)))</f>
        <v/>
      </c>
      <c r="G138" s="80" t="str">
        <f t="array" ref="G138">IF(A138="","",A138&amp;IF(N(INDEX(Wishlist!$A:$Z,ROW()-0,'List Setup'!$C$2))&gt;1," (x"&amp;INDEX(Wishlist!$A:$Z,ROW()-0,'List Setup'!$C$2)&amp;")","")&amp;IF(COUNTIF(Binders!$J$6:$J$30,TRUE())&gt;1," ["&amp;Q138&amp;"]",""))</f>
        <v/>
      </c>
      <c r="H138" s="80" t="str">
        <f t="array" ref="H138">IF(A138="","",CHAR(10)&amp;INDEX(Wishlist!$A:$Z,ROW()-0,'List Setup'!$E$2)&amp;CHAR(10))</f>
        <v/>
      </c>
      <c r="I138" s="80" t="str">
        <f t="array" ref="I138">IF(OR(B138="",B138="(none)"),"",IF(ISNUMBER(SEARCH(CHAR(10)&amp;B138&amp;CHAR(10),H138)),B138,IFERROR(INDEX('Set Aliases'!$A$2:$A$501,MATCH(1,('Set Aliases'!$B$2:$B$501=B138)*ISNUMBER(SEARCH(CHAR(10)&amp;'Set Aliases'!$A$2:$A$501&amp;CHAR(10),H138)),0)),"")))</f>
        <v/>
      </c>
      <c r="J138" s="80" t="str">
        <f t="array" ref="J138">IF(I138="","",IFERROR(VALUE(TRIM(MID(SUBSTITUTE(INDEX(Wishlist!$A:$Z,ROW()-0,'List Setup'!$G$2),CHAR(10),REPT(" ",100)),((SEARCH(CHAR(10)&amp;I138&amp;CHAR(10),H138)-LEN(SUBSTITUTE(LEFT(H138,SEARCH(CHAR(10)&amp;I138&amp;CHAR(10),H138)),CHAR(10),"")))-1)*100+1,100))),""))</f>
        <v/>
      </c>
      <c r="K138" s="80" t="str">
        <f t="array" ref="K138">IF(A138="","",IF(ISNUMBER(SEARCH("Land",LEFT(IFERROR(INDEX(Wishlist!$A:$Z,ROW()-0,'List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38" s="80" t="str">
        <f t="shared" si="3"/>
        <v/>
      </c>
      <c r="M138" s="80" t="str">
        <f>IF(A138="","",IF(AND(E138="Y",B138='Use at Shop'!$B$4),K138*10000000000+(MAX(0,MIN(26,CODE(MID(UPPER(A138)&amp;"    ",1,1))-64))*19683+MAX(0,MIN(26,CODE(MID(UPPER(A138)&amp;"    ",2,1))-64))*729+MAX(0,MIN(26,CODE(MID(UPPER(A138)&amp;"    ",3,1))-64))*27+MAX(0,MIN(26,CODE(MID(UPPER(A138)&amp;"    ",4,1))-64))*1)*10000+ROW(),""))</f>
        <v/>
      </c>
      <c r="N138" s="80" t="str">
        <f t="shared" si="4"/>
        <v/>
      </c>
      <c r="O138" s="80" t="str">
        <f t="array" ref="O138">IF(A138="","",IFERROR(INDEX(Wishlist!$A:$Z,ROW()-0,'List Setup'!$J$2)&amp;"",""))</f>
        <v/>
      </c>
      <c r="P138" s="2"/>
      <c r="Q138" s="80" t="str">
        <f>IF(A138="","",'List Setup'!$A$2)</f>
        <v/>
      </c>
      <c r="R138" s="80" t="str">
        <f t="array" ref="R138">IF(A138="","",IFERROR(OR(INDEX(Binders!$J$6:$J$30,MATCH(Q138,Binders!$I$6:$I$30,0))=TRUE(),UPPER(INDEX(Binders!$J$6:$J$30,MATCH(Q138,Binders!$I$6:$I$30,0))&amp;"")="TRUE"),FALSE()))</f>
        <v/>
      </c>
    </row>
    <row r="139" ht="15.75" customHeight="1">
      <c r="A139" s="80" t="str">
        <f t="array" ref="A139">IF(INDEX(Wishlist!$A:$Z,ROW()-0,'List Setup'!$D$2)="","",INDEX(Wishlist!$A:$Z,ROW()-0,'List Setup'!$D$2))</f>
        <v/>
      </c>
      <c r="B139" s="80" t="str">
        <f t="array" ref="B139">IF(A139="","",IFERROR(INDEX('Binder Setup'!$B$2:$B$401,MIN(IF(ISNUMBER(SEARCH(CHAR(10)&amp;'Binder Setup'!$B$2:$B$401&amp;CHAR(10),$H139)),'List Setup'!$Q$2:$Q$401,999),IF(ISNUMBER(SEARCH(CHAR(10)&amp;'Set Aliases'!$A$2:$A$501&amp;CHAR(10),$H139)),'Set Aliases'!$C$2:$C$501,999))),"(none)"))</f>
        <v/>
      </c>
      <c r="C139" s="80" t="str">
        <f t="shared" si="1"/>
        <v/>
      </c>
      <c r="D139" s="80" t="str">
        <f t="array" ref="D139">IF(A139="","",IF(ISLOGICAL(INDEX(Wishlist!$A:$Z,ROW()-0,'List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39" s="80" t="str">
        <f t="shared" si="2"/>
        <v/>
      </c>
      <c r="F139" s="80" t="str">
        <f t="array" ref="F139">IF(A139="","",IF(ISNUMBER(J139),J139,IF(ISNUMBER(INDEX(Wishlist!$A:$Z,ROW()-0,'List Setup'!$F$2)),INDEX(Wishlist!$A:$Z,ROW()-0,'List Setup'!$F$2),0)))</f>
        <v/>
      </c>
      <c r="G139" s="80" t="str">
        <f t="array" ref="G139">IF(A139="","",A139&amp;IF(N(INDEX(Wishlist!$A:$Z,ROW()-0,'List Setup'!$C$2))&gt;1," (x"&amp;INDEX(Wishlist!$A:$Z,ROW()-0,'List Setup'!$C$2)&amp;")","")&amp;IF(COUNTIF(Binders!$J$6:$J$30,TRUE())&gt;1," ["&amp;Q139&amp;"]",""))</f>
        <v/>
      </c>
      <c r="H139" s="80" t="str">
        <f t="array" ref="H139">IF(A139="","",CHAR(10)&amp;INDEX(Wishlist!$A:$Z,ROW()-0,'List Setup'!$E$2)&amp;CHAR(10))</f>
        <v/>
      </c>
      <c r="I139" s="80" t="str">
        <f t="array" ref="I139">IF(OR(B139="",B139="(none)"),"",IF(ISNUMBER(SEARCH(CHAR(10)&amp;B139&amp;CHAR(10),H139)),B139,IFERROR(INDEX('Set Aliases'!$A$2:$A$501,MATCH(1,('Set Aliases'!$B$2:$B$501=B139)*ISNUMBER(SEARCH(CHAR(10)&amp;'Set Aliases'!$A$2:$A$501&amp;CHAR(10),H139)),0)),"")))</f>
        <v/>
      </c>
      <c r="J139" s="80" t="str">
        <f t="array" ref="J139">IF(I139="","",IFERROR(VALUE(TRIM(MID(SUBSTITUTE(INDEX(Wishlist!$A:$Z,ROW()-0,'List Setup'!$G$2),CHAR(10),REPT(" ",100)),((SEARCH(CHAR(10)&amp;I139&amp;CHAR(10),H139)-LEN(SUBSTITUTE(LEFT(H139,SEARCH(CHAR(10)&amp;I139&amp;CHAR(10),H139)),CHAR(10),"")))-1)*100+1,100))),""))</f>
        <v/>
      </c>
      <c r="K139" s="80" t="str">
        <f t="array" ref="K139">IF(A139="","",IF(ISNUMBER(SEARCH("Land",LEFT(IFERROR(INDEX(Wishlist!$A:$Z,ROW()-0,'List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39" s="80" t="str">
        <f t="shared" si="3"/>
        <v/>
      </c>
      <c r="M139" s="80" t="str">
        <f>IF(A139="","",IF(AND(E139="Y",B139='Use at Shop'!$B$4),K139*10000000000+(MAX(0,MIN(26,CODE(MID(UPPER(A139)&amp;"    ",1,1))-64))*19683+MAX(0,MIN(26,CODE(MID(UPPER(A139)&amp;"    ",2,1))-64))*729+MAX(0,MIN(26,CODE(MID(UPPER(A139)&amp;"    ",3,1))-64))*27+MAX(0,MIN(26,CODE(MID(UPPER(A139)&amp;"    ",4,1))-64))*1)*10000+ROW(),""))</f>
        <v/>
      </c>
      <c r="N139" s="80" t="str">
        <f t="shared" si="4"/>
        <v/>
      </c>
      <c r="O139" s="80" t="str">
        <f t="array" ref="O139">IF(A139="","",IFERROR(INDEX(Wishlist!$A:$Z,ROW()-0,'List Setup'!$J$2)&amp;"",""))</f>
        <v/>
      </c>
      <c r="P139" s="2"/>
      <c r="Q139" s="80" t="str">
        <f>IF(A139="","",'List Setup'!$A$2)</f>
        <v/>
      </c>
      <c r="R139" s="80" t="str">
        <f t="array" ref="R139">IF(A139="","",IFERROR(OR(INDEX(Binders!$J$6:$J$30,MATCH(Q139,Binders!$I$6:$I$30,0))=TRUE(),UPPER(INDEX(Binders!$J$6:$J$30,MATCH(Q139,Binders!$I$6:$I$30,0))&amp;"")="TRUE"),FALSE()))</f>
        <v/>
      </c>
    </row>
    <row r="140" ht="15.75" customHeight="1">
      <c r="A140" s="80" t="str">
        <f t="array" ref="A140">IF(INDEX(Wishlist!$A:$Z,ROW()-0,'List Setup'!$D$2)="","",INDEX(Wishlist!$A:$Z,ROW()-0,'List Setup'!$D$2))</f>
        <v/>
      </c>
      <c r="B140" s="80" t="str">
        <f t="array" ref="B140">IF(A140="","",IFERROR(INDEX('Binder Setup'!$B$2:$B$401,MIN(IF(ISNUMBER(SEARCH(CHAR(10)&amp;'Binder Setup'!$B$2:$B$401&amp;CHAR(10),$H140)),'List Setup'!$Q$2:$Q$401,999),IF(ISNUMBER(SEARCH(CHAR(10)&amp;'Set Aliases'!$A$2:$A$501&amp;CHAR(10),$H140)),'Set Aliases'!$C$2:$C$501,999))),"(none)"))</f>
        <v/>
      </c>
      <c r="C140" s="80" t="str">
        <f t="shared" si="1"/>
        <v/>
      </c>
      <c r="D140" s="80" t="str">
        <f t="array" ref="D140">IF(A140="","",IF(ISLOGICAL(INDEX(Wishlist!$A:$Z,ROW()-0,'List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40" s="80" t="str">
        <f t="shared" si="2"/>
        <v/>
      </c>
      <c r="F140" s="80" t="str">
        <f t="array" ref="F140">IF(A140="","",IF(ISNUMBER(J140),J140,IF(ISNUMBER(INDEX(Wishlist!$A:$Z,ROW()-0,'List Setup'!$F$2)),INDEX(Wishlist!$A:$Z,ROW()-0,'List Setup'!$F$2),0)))</f>
        <v/>
      </c>
      <c r="G140" s="80" t="str">
        <f t="array" ref="G140">IF(A140="","",A140&amp;IF(N(INDEX(Wishlist!$A:$Z,ROW()-0,'List Setup'!$C$2))&gt;1," (x"&amp;INDEX(Wishlist!$A:$Z,ROW()-0,'List Setup'!$C$2)&amp;")","")&amp;IF(COUNTIF(Binders!$J$6:$J$30,TRUE())&gt;1," ["&amp;Q140&amp;"]",""))</f>
        <v/>
      </c>
      <c r="H140" s="80" t="str">
        <f t="array" ref="H140">IF(A140="","",CHAR(10)&amp;INDEX(Wishlist!$A:$Z,ROW()-0,'List Setup'!$E$2)&amp;CHAR(10))</f>
        <v/>
      </c>
      <c r="I140" s="80" t="str">
        <f t="array" ref="I140">IF(OR(B140="",B140="(none)"),"",IF(ISNUMBER(SEARCH(CHAR(10)&amp;B140&amp;CHAR(10),H140)),B140,IFERROR(INDEX('Set Aliases'!$A$2:$A$501,MATCH(1,('Set Aliases'!$B$2:$B$501=B140)*ISNUMBER(SEARCH(CHAR(10)&amp;'Set Aliases'!$A$2:$A$501&amp;CHAR(10),H140)),0)),"")))</f>
        <v/>
      </c>
      <c r="J140" s="80" t="str">
        <f t="array" ref="J140">IF(I140="","",IFERROR(VALUE(TRIM(MID(SUBSTITUTE(INDEX(Wishlist!$A:$Z,ROW()-0,'List Setup'!$G$2),CHAR(10),REPT(" ",100)),((SEARCH(CHAR(10)&amp;I140&amp;CHAR(10),H140)-LEN(SUBSTITUTE(LEFT(H140,SEARCH(CHAR(10)&amp;I140&amp;CHAR(10),H140)),CHAR(10),"")))-1)*100+1,100))),""))</f>
        <v/>
      </c>
      <c r="K140" s="80" t="str">
        <f t="array" ref="K140">IF(A140="","",IF(ISNUMBER(SEARCH("Land",LEFT(IFERROR(INDEX(Wishlist!$A:$Z,ROW()-0,'List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40" s="80" t="str">
        <f t="shared" si="3"/>
        <v/>
      </c>
      <c r="M140" s="80" t="str">
        <f>IF(A140="","",IF(AND(E140="Y",B140='Use at Shop'!$B$4),K140*10000000000+(MAX(0,MIN(26,CODE(MID(UPPER(A140)&amp;"    ",1,1))-64))*19683+MAX(0,MIN(26,CODE(MID(UPPER(A140)&amp;"    ",2,1))-64))*729+MAX(0,MIN(26,CODE(MID(UPPER(A140)&amp;"    ",3,1))-64))*27+MAX(0,MIN(26,CODE(MID(UPPER(A140)&amp;"    ",4,1))-64))*1)*10000+ROW(),""))</f>
        <v/>
      </c>
      <c r="N140" s="80" t="str">
        <f t="shared" si="4"/>
        <v/>
      </c>
      <c r="O140" s="80" t="str">
        <f t="array" ref="O140">IF(A140="","",IFERROR(INDEX(Wishlist!$A:$Z,ROW()-0,'List Setup'!$J$2)&amp;"",""))</f>
        <v/>
      </c>
      <c r="P140" s="2"/>
      <c r="Q140" s="80" t="str">
        <f>IF(A140="","",'List Setup'!$A$2)</f>
        <v/>
      </c>
      <c r="R140" s="80" t="str">
        <f t="array" ref="R140">IF(A140="","",IFERROR(OR(INDEX(Binders!$J$6:$J$30,MATCH(Q140,Binders!$I$6:$I$30,0))=TRUE(),UPPER(INDEX(Binders!$J$6:$J$30,MATCH(Q140,Binders!$I$6:$I$30,0))&amp;"")="TRUE"),FALSE()))</f>
        <v/>
      </c>
    </row>
    <row r="141" ht="15.75" customHeight="1">
      <c r="A141" s="80" t="str">
        <f t="array" ref="A141">IF(INDEX(Wishlist!$A:$Z,ROW()-0,'List Setup'!$D$2)="","",INDEX(Wishlist!$A:$Z,ROW()-0,'List Setup'!$D$2))</f>
        <v/>
      </c>
      <c r="B141" s="80" t="str">
        <f t="array" ref="B141">IF(A141="","",IFERROR(INDEX('Binder Setup'!$B$2:$B$401,MIN(IF(ISNUMBER(SEARCH(CHAR(10)&amp;'Binder Setup'!$B$2:$B$401&amp;CHAR(10),$H141)),'List Setup'!$Q$2:$Q$401,999),IF(ISNUMBER(SEARCH(CHAR(10)&amp;'Set Aliases'!$A$2:$A$501&amp;CHAR(10),$H141)),'Set Aliases'!$C$2:$C$501,999))),"(none)"))</f>
        <v/>
      </c>
      <c r="C141" s="80" t="str">
        <f t="shared" si="1"/>
        <v/>
      </c>
      <c r="D141" s="80" t="str">
        <f t="array" ref="D141">IF(A141="","",IF(ISLOGICAL(INDEX(Wishlist!$A:$Z,ROW()-0,'List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41" s="80" t="str">
        <f t="shared" si="2"/>
        <v/>
      </c>
      <c r="F141" s="80" t="str">
        <f t="array" ref="F141">IF(A141="","",IF(ISNUMBER(J141),J141,IF(ISNUMBER(INDEX(Wishlist!$A:$Z,ROW()-0,'List Setup'!$F$2)),INDEX(Wishlist!$A:$Z,ROW()-0,'List Setup'!$F$2),0)))</f>
        <v/>
      </c>
      <c r="G141" s="80" t="str">
        <f t="array" ref="G141">IF(A141="","",A141&amp;IF(N(INDEX(Wishlist!$A:$Z,ROW()-0,'List Setup'!$C$2))&gt;1," (x"&amp;INDEX(Wishlist!$A:$Z,ROW()-0,'List Setup'!$C$2)&amp;")","")&amp;IF(COUNTIF(Binders!$J$6:$J$30,TRUE())&gt;1," ["&amp;Q141&amp;"]",""))</f>
        <v/>
      </c>
      <c r="H141" s="80" t="str">
        <f t="array" ref="H141">IF(A141="","",CHAR(10)&amp;INDEX(Wishlist!$A:$Z,ROW()-0,'List Setup'!$E$2)&amp;CHAR(10))</f>
        <v/>
      </c>
      <c r="I141" s="80" t="str">
        <f t="array" ref="I141">IF(OR(B141="",B141="(none)"),"",IF(ISNUMBER(SEARCH(CHAR(10)&amp;B141&amp;CHAR(10),H141)),B141,IFERROR(INDEX('Set Aliases'!$A$2:$A$501,MATCH(1,('Set Aliases'!$B$2:$B$501=B141)*ISNUMBER(SEARCH(CHAR(10)&amp;'Set Aliases'!$A$2:$A$501&amp;CHAR(10),H141)),0)),"")))</f>
        <v/>
      </c>
      <c r="J141" s="80" t="str">
        <f t="array" ref="J141">IF(I141="","",IFERROR(VALUE(TRIM(MID(SUBSTITUTE(INDEX(Wishlist!$A:$Z,ROW()-0,'List Setup'!$G$2),CHAR(10),REPT(" ",100)),((SEARCH(CHAR(10)&amp;I141&amp;CHAR(10),H141)-LEN(SUBSTITUTE(LEFT(H141,SEARCH(CHAR(10)&amp;I141&amp;CHAR(10),H141)),CHAR(10),"")))-1)*100+1,100))),""))</f>
        <v/>
      </c>
      <c r="K141" s="80" t="str">
        <f t="array" ref="K141">IF(A141="","",IF(ISNUMBER(SEARCH("Land",LEFT(IFERROR(INDEX(Wishlist!$A:$Z,ROW()-0,'List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41" s="80" t="str">
        <f t="shared" si="3"/>
        <v/>
      </c>
      <c r="M141" s="80" t="str">
        <f>IF(A141="","",IF(AND(E141="Y",B141='Use at Shop'!$B$4),K141*10000000000+(MAX(0,MIN(26,CODE(MID(UPPER(A141)&amp;"    ",1,1))-64))*19683+MAX(0,MIN(26,CODE(MID(UPPER(A141)&amp;"    ",2,1))-64))*729+MAX(0,MIN(26,CODE(MID(UPPER(A141)&amp;"    ",3,1))-64))*27+MAX(0,MIN(26,CODE(MID(UPPER(A141)&amp;"    ",4,1))-64))*1)*10000+ROW(),""))</f>
        <v/>
      </c>
      <c r="N141" s="80" t="str">
        <f t="shared" si="4"/>
        <v/>
      </c>
      <c r="O141" s="80" t="str">
        <f t="array" ref="O141">IF(A141="","",IFERROR(INDEX(Wishlist!$A:$Z,ROW()-0,'List Setup'!$J$2)&amp;"",""))</f>
        <v/>
      </c>
      <c r="P141" s="2"/>
      <c r="Q141" s="80" t="str">
        <f>IF(A141="","",'List Setup'!$A$2)</f>
        <v/>
      </c>
      <c r="R141" s="80" t="str">
        <f t="array" ref="R141">IF(A141="","",IFERROR(OR(INDEX(Binders!$J$6:$J$30,MATCH(Q141,Binders!$I$6:$I$30,0))=TRUE(),UPPER(INDEX(Binders!$J$6:$J$30,MATCH(Q141,Binders!$I$6:$I$30,0))&amp;"")="TRUE"),FALSE()))</f>
        <v/>
      </c>
    </row>
    <row r="142" ht="15.75" customHeight="1">
      <c r="A142" s="80" t="str">
        <f t="array" ref="A142">IF(INDEX(Wishlist!$A:$Z,ROW()-0,'List Setup'!$D$2)="","",INDEX(Wishlist!$A:$Z,ROW()-0,'List Setup'!$D$2))</f>
        <v/>
      </c>
      <c r="B142" s="80" t="str">
        <f t="array" ref="B142">IF(A142="","",IFERROR(INDEX('Binder Setup'!$B$2:$B$401,MIN(IF(ISNUMBER(SEARCH(CHAR(10)&amp;'Binder Setup'!$B$2:$B$401&amp;CHAR(10),$H142)),'List Setup'!$Q$2:$Q$401,999),IF(ISNUMBER(SEARCH(CHAR(10)&amp;'Set Aliases'!$A$2:$A$501&amp;CHAR(10),$H142)),'Set Aliases'!$C$2:$C$501,999))),"(none)"))</f>
        <v/>
      </c>
      <c r="C142" s="80" t="str">
        <f t="shared" si="1"/>
        <v/>
      </c>
      <c r="D142" s="80" t="str">
        <f t="array" ref="D142">IF(A142="","",IF(ISLOGICAL(INDEX(Wishlist!$A:$Z,ROW()-0,'List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42" s="80" t="str">
        <f t="shared" si="2"/>
        <v/>
      </c>
      <c r="F142" s="80" t="str">
        <f t="array" ref="F142">IF(A142="","",IF(ISNUMBER(J142),J142,IF(ISNUMBER(INDEX(Wishlist!$A:$Z,ROW()-0,'List Setup'!$F$2)),INDEX(Wishlist!$A:$Z,ROW()-0,'List Setup'!$F$2),0)))</f>
        <v/>
      </c>
      <c r="G142" s="80" t="str">
        <f t="array" ref="G142">IF(A142="","",A142&amp;IF(N(INDEX(Wishlist!$A:$Z,ROW()-0,'List Setup'!$C$2))&gt;1," (x"&amp;INDEX(Wishlist!$A:$Z,ROW()-0,'List Setup'!$C$2)&amp;")","")&amp;IF(COUNTIF(Binders!$J$6:$J$30,TRUE())&gt;1," ["&amp;Q142&amp;"]",""))</f>
        <v/>
      </c>
      <c r="H142" s="80" t="str">
        <f t="array" ref="H142">IF(A142="","",CHAR(10)&amp;INDEX(Wishlist!$A:$Z,ROW()-0,'List Setup'!$E$2)&amp;CHAR(10))</f>
        <v/>
      </c>
      <c r="I142" s="80" t="str">
        <f t="array" ref="I142">IF(OR(B142="",B142="(none)"),"",IF(ISNUMBER(SEARCH(CHAR(10)&amp;B142&amp;CHAR(10),H142)),B142,IFERROR(INDEX('Set Aliases'!$A$2:$A$501,MATCH(1,('Set Aliases'!$B$2:$B$501=B142)*ISNUMBER(SEARCH(CHAR(10)&amp;'Set Aliases'!$A$2:$A$501&amp;CHAR(10),H142)),0)),"")))</f>
        <v/>
      </c>
      <c r="J142" s="80" t="str">
        <f t="array" ref="J142">IF(I142="","",IFERROR(VALUE(TRIM(MID(SUBSTITUTE(INDEX(Wishlist!$A:$Z,ROW()-0,'List Setup'!$G$2),CHAR(10),REPT(" ",100)),((SEARCH(CHAR(10)&amp;I142&amp;CHAR(10),H142)-LEN(SUBSTITUTE(LEFT(H142,SEARCH(CHAR(10)&amp;I142&amp;CHAR(10),H142)),CHAR(10),"")))-1)*100+1,100))),""))</f>
        <v/>
      </c>
      <c r="K142" s="80" t="str">
        <f t="array" ref="K142">IF(A142="","",IF(ISNUMBER(SEARCH("Land",LEFT(IFERROR(INDEX(Wishlist!$A:$Z,ROW()-0,'List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42" s="80" t="str">
        <f t="shared" si="3"/>
        <v/>
      </c>
      <c r="M142" s="80" t="str">
        <f>IF(A142="","",IF(AND(E142="Y",B142='Use at Shop'!$B$4),K142*10000000000+(MAX(0,MIN(26,CODE(MID(UPPER(A142)&amp;"    ",1,1))-64))*19683+MAX(0,MIN(26,CODE(MID(UPPER(A142)&amp;"    ",2,1))-64))*729+MAX(0,MIN(26,CODE(MID(UPPER(A142)&amp;"    ",3,1))-64))*27+MAX(0,MIN(26,CODE(MID(UPPER(A142)&amp;"    ",4,1))-64))*1)*10000+ROW(),""))</f>
        <v/>
      </c>
      <c r="N142" s="80" t="str">
        <f t="shared" si="4"/>
        <v/>
      </c>
      <c r="O142" s="80" t="str">
        <f t="array" ref="O142">IF(A142="","",IFERROR(INDEX(Wishlist!$A:$Z,ROW()-0,'List Setup'!$J$2)&amp;"",""))</f>
        <v/>
      </c>
      <c r="P142" s="2"/>
      <c r="Q142" s="80" t="str">
        <f>IF(A142="","",'List Setup'!$A$2)</f>
        <v/>
      </c>
      <c r="R142" s="80" t="str">
        <f t="array" ref="R142">IF(A142="","",IFERROR(OR(INDEX(Binders!$J$6:$J$30,MATCH(Q142,Binders!$I$6:$I$30,0))=TRUE(),UPPER(INDEX(Binders!$J$6:$J$30,MATCH(Q142,Binders!$I$6:$I$30,0))&amp;"")="TRUE"),FALSE()))</f>
        <v/>
      </c>
    </row>
    <row r="143" ht="15.75" customHeight="1">
      <c r="A143" s="80" t="str">
        <f t="array" ref="A143">IF(INDEX(Wishlist!$A:$Z,ROW()-0,'List Setup'!$D$2)="","",INDEX(Wishlist!$A:$Z,ROW()-0,'List Setup'!$D$2))</f>
        <v/>
      </c>
      <c r="B143" s="80" t="str">
        <f t="array" ref="B143">IF(A143="","",IFERROR(INDEX('Binder Setup'!$B$2:$B$401,MIN(IF(ISNUMBER(SEARCH(CHAR(10)&amp;'Binder Setup'!$B$2:$B$401&amp;CHAR(10),$H143)),'List Setup'!$Q$2:$Q$401,999),IF(ISNUMBER(SEARCH(CHAR(10)&amp;'Set Aliases'!$A$2:$A$501&amp;CHAR(10),$H143)),'Set Aliases'!$C$2:$C$501,999))),"(none)"))</f>
        <v/>
      </c>
      <c r="C143" s="80" t="str">
        <f t="shared" si="1"/>
        <v/>
      </c>
      <c r="D143" s="80" t="str">
        <f t="array" ref="D143">IF(A143="","",IF(ISLOGICAL(INDEX(Wishlist!$A:$Z,ROW()-0,'List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43" s="80" t="str">
        <f t="shared" si="2"/>
        <v/>
      </c>
      <c r="F143" s="80" t="str">
        <f t="array" ref="F143">IF(A143="","",IF(ISNUMBER(J143),J143,IF(ISNUMBER(INDEX(Wishlist!$A:$Z,ROW()-0,'List Setup'!$F$2)),INDEX(Wishlist!$A:$Z,ROW()-0,'List Setup'!$F$2),0)))</f>
        <v/>
      </c>
      <c r="G143" s="80" t="str">
        <f t="array" ref="G143">IF(A143="","",A143&amp;IF(N(INDEX(Wishlist!$A:$Z,ROW()-0,'List Setup'!$C$2))&gt;1," (x"&amp;INDEX(Wishlist!$A:$Z,ROW()-0,'List Setup'!$C$2)&amp;")","")&amp;IF(COUNTIF(Binders!$J$6:$J$30,TRUE())&gt;1," ["&amp;Q143&amp;"]",""))</f>
        <v/>
      </c>
      <c r="H143" s="80" t="str">
        <f t="array" ref="H143">IF(A143="","",CHAR(10)&amp;INDEX(Wishlist!$A:$Z,ROW()-0,'List Setup'!$E$2)&amp;CHAR(10))</f>
        <v/>
      </c>
      <c r="I143" s="80" t="str">
        <f t="array" ref="I143">IF(OR(B143="",B143="(none)"),"",IF(ISNUMBER(SEARCH(CHAR(10)&amp;B143&amp;CHAR(10),H143)),B143,IFERROR(INDEX('Set Aliases'!$A$2:$A$501,MATCH(1,('Set Aliases'!$B$2:$B$501=B143)*ISNUMBER(SEARCH(CHAR(10)&amp;'Set Aliases'!$A$2:$A$501&amp;CHAR(10),H143)),0)),"")))</f>
        <v/>
      </c>
      <c r="J143" s="80" t="str">
        <f t="array" ref="J143">IF(I143="","",IFERROR(VALUE(TRIM(MID(SUBSTITUTE(INDEX(Wishlist!$A:$Z,ROW()-0,'List Setup'!$G$2),CHAR(10),REPT(" ",100)),((SEARCH(CHAR(10)&amp;I143&amp;CHAR(10),H143)-LEN(SUBSTITUTE(LEFT(H143,SEARCH(CHAR(10)&amp;I143&amp;CHAR(10),H143)),CHAR(10),"")))-1)*100+1,100))),""))</f>
        <v/>
      </c>
      <c r="K143" s="80" t="str">
        <f t="array" ref="K143">IF(A143="","",IF(ISNUMBER(SEARCH("Land",LEFT(IFERROR(INDEX(Wishlist!$A:$Z,ROW()-0,'List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43" s="80" t="str">
        <f t="shared" si="3"/>
        <v/>
      </c>
      <c r="M143" s="80" t="str">
        <f>IF(A143="","",IF(AND(E143="Y",B143='Use at Shop'!$B$4),K143*10000000000+(MAX(0,MIN(26,CODE(MID(UPPER(A143)&amp;"    ",1,1))-64))*19683+MAX(0,MIN(26,CODE(MID(UPPER(A143)&amp;"    ",2,1))-64))*729+MAX(0,MIN(26,CODE(MID(UPPER(A143)&amp;"    ",3,1))-64))*27+MAX(0,MIN(26,CODE(MID(UPPER(A143)&amp;"    ",4,1))-64))*1)*10000+ROW(),""))</f>
        <v/>
      </c>
      <c r="N143" s="80" t="str">
        <f t="shared" si="4"/>
        <v/>
      </c>
      <c r="O143" s="80" t="str">
        <f t="array" ref="O143">IF(A143="","",IFERROR(INDEX(Wishlist!$A:$Z,ROW()-0,'List Setup'!$J$2)&amp;"",""))</f>
        <v/>
      </c>
      <c r="P143" s="2"/>
      <c r="Q143" s="80" t="str">
        <f>IF(A143="","",'List Setup'!$A$2)</f>
        <v/>
      </c>
      <c r="R143" s="80" t="str">
        <f t="array" ref="R143">IF(A143="","",IFERROR(OR(INDEX(Binders!$J$6:$J$30,MATCH(Q143,Binders!$I$6:$I$30,0))=TRUE(),UPPER(INDEX(Binders!$J$6:$J$30,MATCH(Q143,Binders!$I$6:$I$30,0))&amp;"")="TRUE"),FALSE()))</f>
        <v/>
      </c>
    </row>
    <row r="144" ht="15.75" customHeight="1">
      <c r="A144" s="80" t="str">
        <f t="array" ref="A144">IF(INDEX(Wishlist!$A:$Z,ROW()-0,'List Setup'!$D$2)="","",INDEX(Wishlist!$A:$Z,ROW()-0,'List Setup'!$D$2))</f>
        <v/>
      </c>
      <c r="B144" s="80" t="str">
        <f t="array" ref="B144">IF(A144="","",IFERROR(INDEX('Binder Setup'!$B$2:$B$401,MIN(IF(ISNUMBER(SEARCH(CHAR(10)&amp;'Binder Setup'!$B$2:$B$401&amp;CHAR(10),$H144)),'List Setup'!$Q$2:$Q$401,999),IF(ISNUMBER(SEARCH(CHAR(10)&amp;'Set Aliases'!$A$2:$A$501&amp;CHAR(10),$H144)),'Set Aliases'!$C$2:$C$501,999))),"(none)"))</f>
        <v/>
      </c>
      <c r="C144" s="80" t="str">
        <f t="shared" si="1"/>
        <v/>
      </c>
      <c r="D144" s="80" t="str">
        <f t="array" ref="D144">IF(A144="","",IF(ISLOGICAL(INDEX(Wishlist!$A:$Z,ROW()-0,'List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44" s="80" t="str">
        <f t="shared" si="2"/>
        <v/>
      </c>
      <c r="F144" s="80" t="str">
        <f t="array" ref="F144">IF(A144="","",IF(ISNUMBER(J144),J144,IF(ISNUMBER(INDEX(Wishlist!$A:$Z,ROW()-0,'List Setup'!$F$2)),INDEX(Wishlist!$A:$Z,ROW()-0,'List Setup'!$F$2),0)))</f>
        <v/>
      </c>
      <c r="G144" s="80" t="str">
        <f t="array" ref="G144">IF(A144="","",A144&amp;IF(N(INDEX(Wishlist!$A:$Z,ROW()-0,'List Setup'!$C$2))&gt;1," (x"&amp;INDEX(Wishlist!$A:$Z,ROW()-0,'List Setup'!$C$2)&amp;")","")&amp;IF(COUNTIF(Binders!$J$6:$J$30,TRUE())&gt;1," ["&amp;Q144&amp;"]",""))</f>
        <v/>
      </c>
      <c r="H144" s="80" t="str">
        <f t="array" ref="H144">IF(A144="","",CHAR(10)&amp;INDEX(Wishlist!$A:$Z,ROW()-0,'List Setup'!$E$2)&amp;CHAR(10))</f>
        <v/>
      </c>
      <c r="I144" s="80" t="str">
        <f t="array" ref="I144">IF(OR(B144="",B144="(none)"),"",IF(ISNUMBER(SEARCH(CHAR(10)&amp;B144&amp;CHAR(10),H144)),B144,IFERROR(INDEX('Set Aliases'!$A$2:$A$501,MATCH(1,('Set Aliases'!$B$2:$B$501=B144)*ISNUMBER(SEARCH(CHAR(10)&amp;'Set Aliases'!$A$2:$A$501&amp;CHAR(10),H144)),0)),"")))</f>
        <v/>
      </c>
      <c r="J144" s="80" t="str">
        <f t="array" ref="J144">IF(I144="","",IFERROR(VALUE(TRIM(MID(SUBSTITUTE(INDEX(Wishlist!$A:$Z,ROW()-0,'List Setup'!$G$2),CHAR(10),REPT(" ",100)),((SEARCH(CHAR(10)&amp;I144&amp;CHAR(10),H144)-LEN(SUBSTITUTE(LEFT(H144,SEARCH(CHAR(10)&amp;I144&amp;CHAR(10),H144)),CHAR(10),"")))-1)*100+1,100))),""))</f>
        <v/>
      </c>
      <c r="K144" s="80" t="str">
        <f t="array" ref="K144">IF(A144="","",IF(ISNUMBER(SEARCH("Land",LEFT(IFERROR(INDEX(Wishlist!$A:$Z,ROW()-0,'List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44" s="80" t="str">
        <f t="shared" si="3"/>
        <v/>
      </c>
      <c r="M144" s="80" t="str">
        <f>IF(A144="","",IF(AND(E144="Y",B144='Use at Shop'!$B$4),K144*10000000000+(MAX(0,MIN(26,CODE(MID(UPPER(A144)&amp;"    ",1,1))-64))*19683+MAX(0,MIN(26,CODE(MID(UPPER(A144)&amp;"    ",2,1))-64))*729+MAX(0,MIN(26,CODE(MID(UPPER(A144)&amp;"    ",3,1))-64))*27+MAX(0,MIN(26,CODE(MID(UPPER(A144)&amp;"    ",4,1))-64))*1)*10000+ROW(),""))</f>
        <v/>
      </c>
      <c r="N144" s="80" t="str">
        <f t="shared" si="4"/>
        <v/>
      </c>
      <c r="O144" s="80" t="str">
        <f t="array" ref="O144">IF(A144="","",IFERROR(INDEX(Wishlist!$A:$Z,ROW()-0,'List Setup'!$J$2)&amp;"",""))</f>
        <v/>
      </c>
      <c r="P144" s="2"/>
      <c r="Q144" s="80" t="str">
        <f>IF(A144="","",'List Setup'!$A$2)</f>
        <v/>
      </c>
      <c r="R144" s="80" t="str">
        <f t="array" ref="R144">IF(A144="","",IFERROR(OR(INDEX(Binders!$J$6:$J$30,MATCH(Q144,Binders!$I$6:$I$30,0))=TRUE(),UPPER(INDEX(Binders!$J$6:$J$30,MATCH(Q144,Binders!$I$6:$I$30,0))&amp;"")="TRUE"),FALSE()))</f>
        <v/>
      </c>
    </row>
    <row r="145" ht="15.75" customHeight="1">
      <c r="A145" s="80" t="str">
        <f t="array" ref="A145">IF(INDEX(Wishlist!$A:$Z,ROW()-0,'List Setup'!$D$2)="","",INDEX(Wishlist!$A:$Z,ROW()-0,'List Setup'!$D$2))</f>
        <v/>
      </c>
      <c r="B145" s="80" t="str">
        <f t="array" ref="B145">IF(A145="","",IFERROR(INDEX('Binder Setup'!$B$2:$B$401,MIN(IF(ISNUMBER(SEARCH(CHAR(10)&amp;'Binder Setup'!$B$2:$B$401&amp;CHAR(10),$H145)),'List Setup'!$Q$2:$Q$401,999),IF(ISNUMBER(SEARCH(CHAR(10)&amp;'Set Aliases'!$A$2:$A$501&amp;CHAR(10),$H145)),'Set Aliases'!$C$2:$C$501,999))),"(none)"))</f>
        <v/>
      </c>
      <c r="C145" s="80" t="str">
        <f t="shared" si="1"/>
        <v/>
      </c>
      <c r="D145" s="80" t="str">
        <f t="array" ref="D145">IF(A145="","",IF(ISLOGICAL(INDEX(Wishlist!$A:$Z,ROW()-0,'List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45" s="80" t="str">
        <f t="shared" si="2"/>
        <v/>
      </c>
      <c r="F145" s="80" t="str">
        <f t="array" ref="F145">IF(A145="","",IF(ISNUMBER(J145),J145,IF(ISNUMBER(INDEX(Wishlist!$A:$Z,ROW()-0,'List Setup'!$F$2)),INDEX(Wishlist!$A:$Z,ROW()-0,'List Setup'!$F$2),0)))</f>
        <v/>
      </c>
      <c r="G145" s="80" t="str">
        <f t="array" ref="G145">IF(A145="","",A145&amp;IF(N(INDEX(Wishlist!$A:$Z,ROW()-0,'List Setup'!$C$2))&gt;1," (x"&amp;INDEX(Wishlist!$A:$Z,ROW()-0,'List Setup'!$C$2)&amp;")","")&amp;IF(COUNTIF(Binders!$J$6:$J$30,TRUE())&gt;1," ["&amp;Q145&amp;"]",""))</f>
        <v/>
      </c>
      <c r="H145" s="80" t="str">
        <f t="array" ref="H145">IF(A145="","",CHAR(10)&amp;INDEX(Wishlist!$A:$Z,ROW()-0,'List Setup'!$E$2)&amp;CHAR(10))</f>
        <v/>
      </c>
      <c r="I145" s="80" t="str">
        <f t="array" ref="I145">IF(OR(B145="",B145="(none)"),"",IF(ISNUMBER(SEARCH(CHAR(10)&amp;B145&amp;CHAR(10),H145)),B145,IFERROR(INDEX('Set Aliases'!$A$2:$A$501,MATCH(1,('Set Aliases'!$B$2:$B$501=B145)*ISNUMBER(SEARCH(CHAR(10)&amp;'Set Aliases'!$A$2:$A$501&amp;CHAR(10),H145)),0)),"")))</f>
        <v/>
      </c>
      <c r="J145" s="80" t="str">
        <f t="array" ref="J145">IF(I145="","",IFERROR(VALUE(TRIM(MID(SUBSTITUTE(INDEX(Wishlist!$A:$Z,ROW()-0,'List Setup'!$G$2),CHAR(10),REPT(" ",100)),((SEARCH(CHAR(10)&amp;I145&amp;CHAR(10),H145)-LEN(SUBSTITUTE(LEFT(H145,SEARCH(CHAR(10)&amp;I145&amp;CHAR(10),H145)),CHAR(10),"")))-1)*100+1,100))),""))</f>
        <v/>
      </c>
      <c r="K145" s="80" t="str">
        <f t="array" ref="K145">IF(A145="","",IF(ISNUMBER(SEARCH("Land",LEFT(IFERROR(INDEX(Wishlist!$A:$Z,ROW()-0,'List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45" s="80" t="str">
        <f t="shared" si="3"/>
        <v/>
      </c>
      <c r="M145" s="80" t="str">
        <f>IF(A145="","",IF(AND(E145="Y",B145='Use at Shop'!$B$4),K145*10000000000+(MAX(0,MIN(26,CODE(MID(UPPER(A145)&amp;"    ",1,1))-64))*19683+MAX(0,MIN(26,CODE(MID(UPPER(A145)&amp;"    ",2,1))-64))*729+MAX(0,MIN(26,CODE(MID(UPPER(A145)&amp;"    ",3,1))-64))*27+MAX(0,MIN(26,CODE(MID(UPPER(A145)&amp;"    ",4,1))-64))*1)*10000+ROW(),""))</f>
        <v/>
      </c>
      <c r="N145" s="80" t="str">
        <f t="shared" si="4"/>
        <v/>
      </c>
      <c r="O145" s="80" t="str">
        <f t="array" ref="O145">IF(A145="","",IFERROR(INDEX(Wishlist!$A:$Z,ROW()-0,'List Setup'!$J$2)&amp;"",""))</f>
        <v/>
      </c>
      <c r="P145" s="2"/>
      <c r="Q145" s="80" t="str">
        <f>IF(A145="","",'List Setup'!$A$2)</f>
        <v/>
      </c>
      <c r="R145" s="80" t="str">
        <f t="array" ref="R145">IF(A145="","",IFERROR(OR(INDEX(Binders!$J$6:$J$30,MATCH(Q145,Binders!$I$6:$I$30,0))=TRUE(),UPPER(INDEX(Binders!$J$6:$J$30,MATCH(Q145,Binders!$I$6:$I$30,0))&amp;"")="TRUE"),FALSE()))</f>
        <v/>
      </c>
    </row>
    <row r="146" ht="15.75" customHeight="1">
      <c r="A146" s="80" t="str">
        <f t="array" ref="A146">IF(INDEX(Wishlist!$A:$Z,ROW()-0,'List Setup'!$D$2)="","",INDEX(Wishlist!$A:$Z,ROW()-0,'List Setup'!$D$2))</f>
        <v/>
      </c>
      <c r="B146" s="80" t="str">
        <f t="array" ref="B146">IF(A146="","",IFERROR(INDEX('Binder Setup'!$B$2:$B$401,MIN(IF(ISNUMBER(SEARCH(CHAR(10)&amp;'Binder Setup'!$B$2:$B$401&amp;CHAR(10),$H146)),'List Setup'!$Q$2:$Q$401,999),IF(ISNUMBER(SEARCH(CHAR(10)&amp;'Set Aliases'!$A$2:$A$501&amp;CHAR(10),$H146)),'Set Aliases'!$C$2:$C$501,999))),"(none)"))</f>
        <v/>
      </c>
      <c r="C146" s="80" t="str">
        <f t="shared" si="1"/>
        <v/>
      </c>
      <c r="D146" s="80" t="str">
        <f t="array" ref="D146">IF(A146="","",IF(ISLOGICAL(INDEX(Wishlist!$A:$Z,ROW()-0,'List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46" s="80" t="str">
        <f t="shared" si="2"/>
        <v/>
      </c>
      <c r="F146" s="80" t="str">
        <f t="array" ref="F146">IF(A146="","",IF(ISNUMBER(J146),J146,IF(ISNUMBER(INDEX(Wishlist!$A:$Z,ROW()-0,'List Setup'!$F$2)),INDEX(Wishlist!$A:$Z,ROW()-0,'List Setup'!$F$2),0)))</f>
        <v/>
      </c>
      <c r="G146" s="80" t="str">
        <f t="array" ref="G146">IF(A146="","",A146&amp;IF(N(INDEX(Wishlist!$A:$Z,ROW()-0,'List Setup'!$C$2))&gt;1," (x"&amp;INDEX(Wishlist!$A:$Z,ROW()-0,'List Setup'!$C$2)&amp;")","")&amp;IF(COUNTIF(Binders!$J$6:$J$30,TRUE())&gt;1," ["&amp;Q146&amp;"]",""))</f>
        <v/>
      </c>
      <c r="H146" s="80" t="str">
        <f t="array" ref="H146">IF(A146="","",CHAR(10)&amp;INDEX(Wishlist!$A:$Z,ROW()-0,'List Setup'!$E$2)&amp;CHAR(10))</f>
        <v/>
      </c>
      <c r="I146" s="80" t="str">
        <f t="array" ref="I146">IF(OR(B146="",B146="(none)"),"",IF(ISNUMBER(SEARCH(CHAR(10)&amp;B146&amp;CHAR(10),H146)),B146,IFERROR(INDEX('Set Aliases'!$A$2:$A$501,MATCH(1,('Set Aliases'!$B$2:$B$501=B146)*ISNUMBER(SEARCH(CHAR(10)&amp;'Set Aliases'!$A$2:$A$501&amp;CHAR(10),H146)),0)),"")))</f>
        <v/>
      </c>
      <c r="J146" s="80" t="str">
        <f t="array" ref="J146">IF(I146="","",IFERROR(VALUE(TRIM(MID(SUBSTITUTE(INDEX(Wishlist!$A:$Z,ROW()-0,'List Setup'!$G$2),CHAR(10),REPT(" ",100)),((SEARCH(CHAR(10)&amp;I146&amp;CHAR(10),H146)-LEN(SUBSTITUTE(LEFT(H146,SEARCH(CHAR(10)&amp;I146&amp;CHAR(10),H146)),CHAR(10),"")))-1)*100+1,100))),""))</f>
        <v/>
      </c>
      <c r="K146" s="80" t="str">
        <f t="array" ref="K146">IF(A146="","",IF(ISNUMBER(SEARCH("Land",LEFT(IFERROR(INDEX(Wishlist!$A:$Z,ROW()-0,'List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46" s="80" t="str">
        <f t="shared" si="3"/>
        <v/>
      </c>
      <c r="M146" s="80" t="str">
        <f>IF(A146="","",IF(AND(E146="Y",B146='Use at Shop'!$B$4),K146*10000000000+(MAX(0,MIN(26,CODE(MID(UPPER(A146)&amp;"    ",1,1))-64))*19683+MAX(0,MIN(26,CODE(MID(UPPER(A146)&amp;"    ",2,1))-64))*729+MAX(0,MIN(26,CODE(MID(UPPER(A146)&amp;"    ",3,1))-64))*27+MAX(0,MIN(26,CODE(MID(UPPER(A146)&amp;"    ",4,1))-64))*1)*10000+ROW(),""))</f>
        <v/>
      </c>
      <c r="N146" s="80" t="str">
        <f t="shared" si="4"/>
        <v/>
      </c>
      <c r="O146" s="80" t="str">
        <f t="array" ref="O146">IF(A146="","",IFERROR(INDEX(Wishlist!$A:$Z,ROW()-0,'List Setup'!$J$2)&amp;"",""))</f>
        <v/>
      </c>
      <c r="P146" s="2"/>
      <c r="Q146" s="80" t="str">
        <f>IF(A146="","",'List Setup'!$A$2)</f>
        <v/>
      </c>
      <c r="R146" s="80" t="str">
        <f t="array" ref="R146">IF(A146="","",IFERROR(OR(INDEX(Binders!$J$6:$J$30,MATCH(Q146,Binders!$I$6:$I$30,0))=TRUE(),UPPER(INDEX(Binders!$J$6:$J$30,MATCH(Q146,Binders!$I$6:$I$30,0))&amp;"")="TRUE"),FALSE()))</f>
        <v/>
      </c>
    </row>
    <row r="147" ht="15.75" customHeight="1">
      <c r="A147" s="80" t="str">
        <f t="array" ref="A147">IF(INDEX(Wishlist!$A:$Z,ROW()-0,'List Setup'!$D$2)="","",INDEX(Wishlist!$A:$Z,ROW()-0,'List Setup'!$D$2))</f>
        <v/>
      </c>
      <c r="B147" s="80" t="str">
        <f t="array" ref="B147">IF(A147="","",IFERROR(INDEX('Binder Setup'!$B$2:$B$401,MIN(IF(ISNUMBER(SEARCH(CHAR(10)&amp;'Binder Setup'!$B$2:$B$401&amp;CHAR(10),$H147)),'List Setup'!$Q$2:$Q$401,999),IF(ISNUMBER(SEARCH(CHAR(10)&amp;'Set Aliases'!$A$2:$A$501&amp;CHAR(10),$H147)),'Set Aliases'!$C$2:$C$501,999))),"(none)"))</f>
        <v/>
      </c>
      <c r="C147" s="80" t="str">
        <f t="shared" si="1"/>
        <v/>
      </c>
      <c r="D147" s="80" t="str">
        <f t="array" ref="D147">IF(A147="","",IF(ISLOGICAL(INDEX(Wishlist!$A:$Z,ROW()-0,'List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47" s="80" t="str">
        <f t="shared" si="2"/>
        <v/>
      </c>
      <c r="F147" s="80" t="str">
        <f t="array" ref="F147">IF(A147="","",IF(ISNUMBER(J147),J147,IF(ISNUMBER(INDEX(Wishlist!$A:$Z,ROW()-0,'List Setup'!$F$2)),INDEX(Wishlist!$A:$Z,ROW()-0,'List Setup'!$F$2),0)))</f>
        <v/>
      </c>
      <c r="G147" s="80" t="str">
        <f t="array" ref="G147">IF(A147="","",A147&amp;IF(N(INDEX(Wishlist!$A:$Z,ROW()-0,'List Setup'!$C$2))&gt;1," (x"&amp;INDEX(Wishlist!$A:$Z,ROW()-0,'List Setup'!$C$2)&amp;")","")&amp;IF(COUNTIF(Binders!$J$6:$J$30,TRUE())&gt;1," ["&amp;Q147&amp;"]",""))</f>
        <v/>
      </c>
      <c r="H147" s="80" t="str">
        <f t="array" ref="H147">IF(A147="","",CHAR(10)&amp;INDEX(Wishlist!$A:$Z,ROW()-0,'List Setup'!$E$2)&amp;CHAR(10))</f>
        <v/>
      </c>
      <c r="I147" s="80" t="str">
        <f t="array" ref="I147">IF(OR(B147="",B147="(none)"),"",IF(ISNUMBER(SEARCH(CHAR(10)&amp;B147&amp;CHAR(10),H147)),B147,IFERROR(INDEX('Set Aliases'!$A$2:$A$501,MATCH(1,('Set Aliases'!$B$2:$B$501=B147)*ISNUMBER(SEARCH(CHAR(10)&amp;'Set Aliases'!$A$2:$A$501&amp;CHAR(10),H147)),0)),"")))</f>
        <v/>
      </c>
      <c r="J147" s="80" t="str">
        <f t="array" ref="J147">IF(I147="","",IFERROR(VALUE(TRIM(MID(SUBSTITUTE(INDEX(Wishlist!$A:$Z,ROW()-0,'List Setup'!$G$2),CHAR(10),REPT(" ",100)),((SEARCH(CHAR(10)&amp;I147&amp;CHAR(10),H147)-LEN(SUBSTITUTE(LEFT(H147,SEARCH(CHAR(10)&amp;I147&amp;CHAR(10),H147)),CHAR(10),"")))-1)*100+1,100))),""))</f>
        <v/>
      </c>
      <c r="K147" s="80" t="str">
        <f t="array" ref="K147">IF(A147="","",IF(ISNUMBER(SEARCH("Land",LEFT(IFERROR(INDEX(Wishlist!$A:$Z,ROW()-0,'List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47" s="80" t="str">
        <f t="shared" si="3"/>
        <v/>
      </c>
      <c r="M147" s="80" t="str">
        <f>IF(A147="","",IF(AND(E147="Y",B147='Use at Shop'!$B$4),K147*10000000000+(MAX(0,MIN(26,CODE(MID(UPPER(A147)&amp;"    ",1,1))-64))*19683+MAX(0,MIN(26,CODE(MID(UPPER(A147)&amp;"    ",2,1))-64))*729+MAX(0,MIN(26,CODE(MID(UPPER(A147)&amp;"    ",3,1))-64))*27+MAX(0,MIN(26,CODE(MID(UPPER(A147)&amp;"    ",4,1))-64))*1)*10000+ROW(),""))</f>
        <v/>
      </c>
      <c r="N147" s="80" t="str">
        <f t="shared" si="4"/>
        <v/>
      </c>
      <c r="O147" s="80" t="str">
        <f t="array" ref="O147">IF(A147="","",IFERROR(INDEX(Wishlist!$A:$Z,ROW()-0,'List Setup'!$J$2)&amp;"",""))</f>
        <v/>
      </c>
      <c r="P147" s="2"/>
      <c r="Q147" s="80" t="str">
        <f>IF(A147="","",'List Setup'!$A$2)</f>
        <v/>
      </c>
      <c r="R147" s="80" t="str">
        <f t="array" ref="R147">IF(A147="","",IFERROR(OR(INDEX(Binders!$J$6:$J$30,MATCH(Q147,Binders!$I$6:$I$30,0))=TRUE(),UPPER(INDEX(Binders!$J$6:$J$30,MATCH(Q147,Binders!$I$6:$I$30,0))&amp;"")="TRUE"),FALSE()))</f>
        <v/>
      </c>
    </row>
    <row r="148" ht="15.75" customHeight="1">
      <c r="A148" s="80" t="str">
        <f t="array" ref="A148">IF(INDEX(Wishlist!$A:$Z,ROW()-0,'List Setup'!$D$2)="","",INDEX(Wishlist!$A:$Z,ROW()-0,'List Setup'!$D$2))</f>
        <v/>
      </c>
      <c r="B148" s="80" t="str">
        <f t="array" ref="B148">IF(A148="","",IFERROR(INDEX('Binder Setup'!$B$2:$B$401,MIN(IF(ISNUMBER(SEARCH(CHAR(10)&amp;'Binder Setup'!$B$2:$B$401&amp;CHAR(10),$H148)),'List Setup'!$Q$2:$Q$401,999),IF(ISNUMBER(SEARCH(CHAR(10)&amp;'Set Aliases'!$A$2:$A$501&amp;CHAR(10),$H148)),'Set Aliases'!$C$2:$C$501,999))),"(none)"))</f>
        <v/>
      </c>
      <c r="C148" s="80" t="str">
        <f t="shared" si="1"/>
        <v/>
      </c>
      <c r="D148" s="80" t="str">
        <f t="array" ref="D148">IF(A148="","",IF(ISLOGICAL(INDEX(Wishlist!$A:$Z,ROW()-0,'List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48" s="80" t="str">
        <f t="shared" si="2"/>
        <v/>
      </c>
      <c r="F148" s="80" t="str">
        <f t="array" ref="F148">IF(A148="","",IF(ISNUMBER(J148),J148,IF(ISNUMBER(INDEX(Wishlist!$A:$Z,ROW()-0,'List Setup'!$F$2)),INDEX(Wishlist!$A:$Z,ROW()-0,'List Setup'!$F$2),0)))</f>
        <v/>
      </c>
      <c r="G148" s="80" t="str">
        <f t="array" ref="G148">IF(A148="","",A148&amp;IF(N(INDEX(Wishlist!$A:$Z,ROW()-0,'List Setup'!$C$2))&gt;1," (x"&amp;INDEX(Wishlist!$A:$Z,ROW()-0,'List Setup'!$C$2)&amp;")","")&amp;IF(COUNTIF(Binders!$J$6:$J$30,TRUE())&gt;1," ["&amp;Q148&amp;"]",""))</f>
        <v/>
      </c>
      <c r="H148" s="80" t="str">
        <f t="array" ref="H148">IF(A148="","",CHAR(10)&amp;INDEX(Wishlist!$A:$Z,ROW()-0,'List Setup'!$E$2)&amp;CHAR(10))</f>
        <v/>
      </c>
      <c r="I148" s="80" t="str">
        <f t="array" ref="I148">IF(OR(B148="",B148="(none)"),"",IF(ISNUMBER(SEARCH(CHAR(10)&amp;B148&amp;CHAR(10),H148)),B148,IFERROR(INDEX('Set Aliases'!$A$2:$A$501,MATCH(1,('Set Aliases'!$B$2:$B$501=B148)*ISNUMBER(SEARCH(CHAR(10)&amp;'Set Aliases'!$A$2:$A$501&amp;CHAR(10),H148)),0)),"")))</f>
        <v/>
      </c>
      <c r="J148" s="80" t="str">
        <f t="array" ref="J148">IF(I148="","",IFERROR(VALUE(TRIM(MID(SUBSTITUTE(INDEX(Wishlist!$A:$Z,ROW()-0,'List Setup'!$G$2),CHAR(10),REPT(" ",100)),((SEARCH(CHAR(10)&amp;I148&amp;CHAR(10),H148)-LEN(SUBSTITUTE(LEFT(H148,SEARCH(CHAR(10)&amp;I148&amp;CHAR(10),H148)),CHAR(10),"")))-1)*100+1,100))),""))</f>
        <v/>
      </c>
      <c r="K148" s="80" t="str">
        <f t="array" ref="K148">IF(A148="","",IF(ISNUMBER(SEARCH("Land",LEFT(IFERROR(INDEX(Wishlist!$A:$Z,ROW()-0,'List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48" s="80" t="str">
        <f t="shared" si="3"/>
        <v/>
      </c>
      <c r="M148" s="80" t="str">
        <f>IF(A148="","",IF(AND(E148="Y",B148='Use at Shop'!$B$4),K148*10000000000+(MAX(0,MIN(26,CODE(MID(UPPER(A148)&amp;"    ",1,1))-64))*19683+MAX(0,MIN(26,CODE(MID(UPPER(A148)&amp;"    ",2,1))-64))*729+MAX(0,MIN(26,CODE(MID(UPPER(A148)&amp;"    ",3,1))-64))*27+MAX(0,MIN(26,CODE(MID(UPPER(A148)&amp;"    ",4,1))-64))*1)*10000+ROW(),""))</f>
        <v/>
      </c>
      <c r="N148" s="80" t="str">
        <f t="shared" si="4"/>
        <v/>
      </c>
      <c r="O148" s="80" t="str">
        <f t="array" ref="O148">IF(A148="","",IFERROR(INDEX(Wishlist!$A:$Z,ROW()-0,'List Setup'!$J$2)&amp;"",""))</f>
        <v/>
      </c>
      <c r="P148" s="2"/>
      <c r="Q148" s="80" t="str">
        <f>IF(A148="","",'List Setup'!$A$2)</f>
        <v/>
      </c>
      <c r="R148" s="80" t="str">
        <f t="array" ref="R148">IF(A148="","",IFERROR(OR(INDEX(Binders!$J$6:$J$30,MATCH(Q148,Binders!$I$6:$I$30,0))=TRUE(),UPPER(INDEX(Binders!$J$6:$J$30,MATCH(Q148,Binders!$I$6:$I$30,0))&amp;"")="TRUE"),FALSE()))</f>
        <v/>
      </c>
    </row>
    <row r="149" ht="15.75" customHeight="1">
      <c r="A149" s="80" t="str">
        <f t="array" ref="A149">IF(INDEX(Wishlist!$A:$Z,ROW()-0,'List Setup'!$D$2)="","",INDEX(Wishlist!$A:$Z,ROW()-0,'List Setup'!$D$2))</f>
        <v/>
      </c>
      <c r="B149" s="80" t="str">
        <f t="array" ref="B149">IF(A149="","",IFERROR(INDEX('Binder Setup'!$B$2:$B$401,MIN(IF(ISNUMBER(SEARCH(CHAR(10)&amp;'Binder Setup'!$B$2:$B$401&amp;CHAR(10),$H149)),'List Setup'!$Q$2:$Q$401,999),IF(ISNUMBER(SEARCH(CHAR(10)&amp;'Set Aliases'!$A$2:$A$501&amp;CHAR(10),$H149)),'Set Aliases'!$C$2:$C$501,999))),"(none)"))</f>
        <v/>
      </c>
      <c r="C149" s="80" t="str">
        <f t="shared" si="1"/>
        <v/>
      </c>
      <c r="D149" s="80" t="str">
        <f t="array" ref="D149">IF(A149="","",IF(ISLOGICAL(INDEX(Wishlist!$A:$Z,ROW()-0,'List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49" s="80" t="str">
        <f t="shared" si="2"/>
        <v/>
      </c>
      <c r="F149" s="80" t="str">
        <f t="array" ref="F149">IF(A149="","",IF(ISNUMBER(J149),J149,IF(ISNUMBER(INDEX(Wishlist!$A:$Z,ROW()-0,'List Setup'!$F$2)),INDEX(Wishlist!$A:$Z,ROW()-0,'List Setup'!$F$2),0)))</f>
        <v/>
      </c>
      <c r="G149" s="80" t="str">
        <f t="array" ref="G149">IF(A149="","",A149&amp;IF(N(INDEX(Wishlist!$A:$Z,ROW()-0,'List Setup'!$C$2))&gt;1," (x"&amp;INDEX(Wishlist!$A:$Z,ROW()-0,'List Setup'!$C$2)&amp;")","")&amp;IF(COUNTIF(Binders!$J$6:$J$30,TRUE())&gt;1," ["&amp;Q149&amp;"]",""))</f>
        <v/>
      </c>
      <c r="H149" s="80" t="str">
        <f t="array" ref="H149">IF(A149="","",CHAR(10)&amp;INDEX(Wishlist!$A:$Z,ROW()-0,'List Setup'!$E$2)&amp;CHAR(10))</f>
        <v/>
      </c>
      <c r="I149" s="80" t="str">
        <f t="array" ref="I149">IF(OR(B149="",B149="(none)"),"",IF(ISNUMBER(SEARCH(CHAR(10)&amp;B149&amp;CHAR(10),H149)),B149,IFERROR(INDEX('Set Aliases'!$A$2:$A$501,MATCH(1,('Set Aliases'!$B$2:$B$501=B149)*ISNUMBER(SEARCH(CHAR(10)&amp;'Set Aliases'!$A$2:$A$501&amp;CHAR(10),H149)),0)),"")))</f>
        <v/>
      </c>
      <c r="J149" s="80" t="str">
        <f t="array" ref="J149">IF(I149="","",IFERROR(VALUE(TRIM(MID(SUBSTITUTE(INDEX(Wishlist!$A:$Z,ROW()-0,'List Setup'!$G$2),CHAR(10),REPT(" ",100)),((SEARCH(CHAR(10)&amp;I149&amp;CHAR(10),H149)-LEN(SUBSTITUTE(LEFT(H149,SEARCH(CHAR(10)&amp;I149&amp;CHAR(10),H149)),CHAR(10),"")))-1)*100+1,100))),""))</f>
        <v/>
      </c>
      <c r="K149" s="80" t="str">
        <f t="array" ref="K149">IF(A149="","",IF(ISNUMBER(SEARCH("Land",LEFT(IFERROR(INDEX(Wishlist!$A:$Z,ROW()-0,'List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49" s="80" t="str">
        <f t="shared" si="3"/>
        <v/>
      </c>
      <c r="M149" s="80" t="str">
        <f>IF(A149="","",IF(AND(E149="Y",B149='Use at Shop'!$B$4),K149*10000000000+(MAX(0,MIN(26,CODE(MID(UPPER(A149)&amp;"    ",1,1))-64))*19683+MAX(0,MIN(26,CODE(MID(UPPER(A149)&amp;"    ",2,1))-64))*729+MAX(0,MIN(26,CODE(MID(UPPER(A149)&amp;"    ",3,1))-64))*27+MAX(0,MIN(26,CODE(MID(UPPER(A149)&amp;"    ",4,1))-64))*1)*10000+ROW(),""))</f>
        <v/>
      </c>
      <c r="N149" s="80" t="str">
        <f t="shared" si="4"/>
        <v/>
      </c>
      <c r="O149" s="80" t="str">
        <f t="array" ref="O149">IF(A149="","",IFERROR(INDEX(Wishlist!$A:$Z,ROW()-0,'List Setup'!$J$2)&amp;"",""))</f>
        <v/>
      </c>
      <c r="P149" s="2"/>
      <c r="Q149" s="80" t="str">
        <f>IF(A149="","",'List Setup'!$A$2)</f>
        <v/>
      </c>
      <c r="R149" s="80" t="str">
        <f t="array" ref="R149">IF(A149="","",IFERROR(OR(INDEX(Binders!$J$6:$J$30,MATCH(Q149,Binders!$I$6:$I$30,0))=TRUE(),UPPER(INDEX(Binders!$J$6:$J$30,MATCH(Q149,Binders!$I$6:$I$30,0))&amp;"")="TRUE"),FALSE()))</f>
        <v/>
      </c>
    </row>
    <row r="150" ht="15.75" customHeight="1">
      <c r="A150" s="80" t="str">
        <f t="array" ref="A150">IF(INDEX(Wishlist!$A:$Z,ROW()-0,'List Setup'!$D$2)="","",INDEX(Wishlist!$A:$Z,ROW()-0,'List Setup'!$D$2))</f>
        <v/>
      </c>
      <c r="B150" s="80" t="str">
        <f t="array" ref="B150">IF(A150="","",IFERROR(INDEX('Binder Setup'!$B$2:$B$401,MIN(IF(ISNUMBER(SEARCH(CHAR(10)&amp;'Binder Setup'!$B$2:$B$401&amp;CHAR(10),$H150)),'List Setup'!$Q$2:$Q$401,999),IF(ISNUMBER(SEARCH(CHAR(10)&amp;'Set Aliases'!$A$2:$A$501&amp;CHAR(10),$H150)),'Set Aliases'!$C$2:$C$501,999))),"(none)"))</f>
        <v/>
      </c>
      <c r="C150" s="80" t="str">
        <f t="shared" si="1"/>
        <v/>
      </c>
      <c r="D150" s="80" t="str">
        <f t="array" ref="D150">IF(A150="","",IF(ISLOGICAL(INDEX(Wishlist!$A:$Z,ROW()-0,'List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50" s="80" t="str">
        <f t="shared" si="2"/>
        <v/>
      </c>
      <c r="F150" s="80" t="str">
        <f t="array" ref="F150">IF(A150="","",IF(ISNUMBER(J150),J150,IF(ISNUMBER(INDEX(Wishlist!$A:$Z,ROW()-0,'List Setup'!$F$2)),INDEX(Wishlist!$A:$Z,ROW()-0,'List Setup'!$F$2),0)))</f>
        <v/>
      </c>
      <c r="G150" s="80" t="str">
        <f t="array" ref="G150">IF(A150="","",A150&amp;IF(N(INDEX(Wishlist!$A:$Z,ROW()-0,'List Setup'!$C$2))&gt;1," (x"&amp;INDEX(Wishlist!$A:$Z,ROW()-0,'List Setup'!$C$2)&amp;")","")&amp;IF(COUNTIF(Binders!$J$6:$J$30,TRUE())&gt;1," ["&amp;Q150&amp;"]",""))</f>
        <v/>
      </c>
      <c r="H150" s="80" t="str">
        <f t="array" ref="H150">IF(A150="","",CHAR(10)&amp;INDEX(Wishlist!$A:$Z,ROW()-0,'List Setup'!$E$2)&amp;CHAR(10))</f>
        <v/>
      </c>
      <c r="I150" s="80" t="str">
        <f t="array" ref="I150">IF(OR(B150="",B150="(none)"),"",IF(ISNUMBER(SEARCH(CHAR(10)&amp;B150&amp;CHAR(10),H150)),B150,IFERROR(INDEX('Set Aliases'!$A$2:$A$501,MATCH(1,('Set Aliases'!$B$2:$B$501=B150)*ISNUMBER(SEARCH(CHAR(10)&amp;'Set Aliases'!$A$2:$A$501&amp;CHAR(10),H150)),0)),"")))</f>
        <v/>
      </c>
      <c r="J150" s="80" t="str">
        <f t="array" ref="J150">IF(I150="","",IFERROR(VALUE(TRIM(MID(SUBSTITUTE(INDEX(Wishlist!$A:$Z,ROW()-0,'List Setup'!$G$2),CHAR(10),REPT(" ",100)),((SEARCH(CHAR(10)&amp;I150&amp;CHAR(10),H150)-LEN(SUBSTITUTE(LEFT(H150,SEARCH(CHAR(10)&amp;I150&amp;CHAR(10),H150)),CHAR(10),"")))-1)*100+1,100))),""))</f>
        <v/>
      </c>
      <c r="K150" s="80" t="str">
        <f t="array" ref="K150">IF(A150="","",IF(ISNUMBER(SEARCH("Land",LEFT(IFERROR(INDEX(Wishlist!$A:$Z,ROW()-0,'List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50" s="80" t="str">
        <f t="shared" si="3"/>
        <v/>
      </c>
      <c r="M150" s="80" t="str">
        <f>IF(A150="","",IF(AND(E150="Y",B150='Use at Shop'!$B$4),K150*10000000000+(MAX(0,MIN(26,CODE(MID(UPPER(A150)&amp;"    ",1,1))-64))*19683+MAX(0,MIN(26,CODE(MID(UPPER(A150)&amp;"    ",2,1))-64))*729+MAX(0,MIN(26,CODE(MID(UPPER(A150)&amp;"    ",3,1))-64))*27+MAX(0,MIN(26,CODE(MID(UPPER(A150)&amp;"    ",4,1))-64))*1)*10000+ROW(),""))</f>
        <v/>
      </c>
      <c r="N150" s="80" t="str">
        <f t="shared" si="4"/>
        <v/>
      </c>
      <c r="O150" s="80" t="str">
        <f t="array" ref="O150">IF(A150="","",IFERROR(INDEX(Wishlist!$A:$Z,ROW()-0,'List Setup'!$J$2)&amp;"",""))</f>
        <v/>
      </c>
      <c r="P150" s="2"/>
      <c r="Q150" s="80" t="str">
        <f>IF(A150="","",'List Setup'!$A$2)</f>
        <v/>
      </c>
      <c r="R150" s="80" t="str">
        <f t="array" ref="R150">IF(A150="","",IFERROR(OR(INDEX(Binders!$J$6:$J$30,MATCH(Q150,Binders!$I$6:$I$30,0))=TRUE(),UPPER(INDEX(Binders!$J$6:$J$30,MATCH(Q150,Binders!$I$6:$I$30,0))&amp;"")="TRUE"),FALSE()))</f>
        <v/>
      </c>
    </row>
    <row r="151" ht="15.75" customHeight="1">
      <c r="A151" s="80" t="str">
        <f t="array" ref="A151">IF(INDEX(Wishlist!$A:$Z,ROW()-0,'List Setup'!$D$2)="","",INDEX(Wishlist!$A:$Z,ROW()-0,'List Setup'!$D$2))</f>
        <v/>
      </c>
      <c r="B151" s="80" t="str">
        <f t="array" ref="B151">IF(A151="","",IFERROR(INDEX('Binder Setup'!$B$2:$B$401,MIN(IF(ISNUMBER(SEARCH(CHAR(10)&amp;'Binder Setup'!$B$2:$B$401&amp;CHAR(10),$H151)),'List Setup'!$Q$2:$Q$401,999),IF(ISNUMBER(SEARCH(CHAR(10)&amp;'Set Aliases'!$A$2:$A$501&amp;CHAR(10),$H151)),'Set Aliases'!$C$2:$C$501,999))),"(none)"))</f>
        <v/>
      </c>
      <c r="C151" s="80" t="str">
        <f t="shared" si="1"/>
        <v/>
      </c>
      <c r="D151" s="80" t="str">
        <f t="array" ref="D151">IF(A151="","",IF(ISLOGICAL(INDEX(Wishlist!$A:$Z,ROW()-0,'List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51" s="80" t="str">
        <f t="shared" si="2"/>
        <v/>
      </c>
      <c r="F151" s="80" t="str">
        <f t="array" ref="F151">IF(A151="","",IF(ISNUMBER(J151),J151,IF(ISNUMBER(INDEX(Wishlist!$A:$Z,ROW()-0,'List Setup'!$F$2)),INDEX(Wishlist!$A:$Z,ROW()-0,'List Setup'!$F$2),0)))</f>
        <v/>
      </c>
      <c r="G151" s="80" t="str">
        <f t="array" ref="G151">IF(A151="","",A151&amp;IF(N(INDEX(Wishlist!$A:$Z,ROW()-0,'List Setup'!$C$2))&gt;1," (x"&amp;INDEX(Wishlist!$A:$Z,ROW()-0,'List Setup'!$C$2)&amp;")","")&amp;IF(COUNTIF(Binders!$J$6:$J$30,TRUE())&gt;1," ["&amp;Q151&amp;"]",""))</f>
        <v/>
      </c>
      <c r="H151" s="80" t="str">
        <f t="array" ref="H151">IF(A151="","",CHAR(10)&amp;INDEX(Wishlist!$A:$Z,ROW()-0,'List Setup'!$E$2)&amp;CHAR(10))</f>
        <v/>
      </c>
      <c r="I151" s="80" t="str">
        <f t="array" ref="I151">IF(OR(B151="",B151="(none)"),"",IF(ISNUMBER(SEARCH(CHAR(10)&amp;B151&amp;CHAR(10),H151)),B151,IFERROR(INDEX('Set Aliases'!$A$2:$A$501,MATCH(1,('Set Aliases'!$B$2:$B$501=B151)*ISNUMBER(SEARCH(CHAR(10)&amp;'Set Aliases'!$A$2:$A$501&amp;CHAR(10),H151)),0)),"")))</f>
        <v/>
      </c>
      <c r="J151" s="80" t="str">
        <f t="array" ref="J151">IF(I151="","",IFERROR(VALUE(TRIM(MID(SUBSTITUTE(INDEX(Wishlist!$A:$Z,ROW()-0,'List Setup'!$G$2),CHAR(10),REPT(" ",100)),((SEARCH(CHAR(10)&amp;I151&amp;CHAR(10),H151)-LEN(SUBSTITUTE(LEFT(H151,SEARCH(CHAR(10)&amp;I151&amp;CHAR(10),H151)),CHAR(10),"")))-1)*100+1,100))),""))</f>
        <v/>
      </c>
      <c r="K151" s="80" t="str">
        <f t="array" ref="K151">IF(A151="","",IF(ISNUMBER(SEARCH("Land",LEFT(IFERROR(INDEX(Wishlist!$A:$Z,ROW()-0,'List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51" s="80" t="str">
        <f t="shared" si="3"/>
        <v/>
      </c>
      <c r="M151" s="80" t="str">
        <f>IF(A151="","",IF(AND(E151="Y",B151='Use at Shop'!$B$4),K151*10000000000+(MAX(0,MIN(26,CODE(MID(UPPER(A151)&amp;"    ",1,1))-64))*19683+MAX(0,MIN(26,CODE(MID(UPPER(A151)&amp;"    ",2,1))-64))*729+MAX(0,MIN(26,CODE(MID(UPPER(A151)&amp;"    ",3,1))-64))*27+MAX(0,MIN(26,CODE(MID(UPPER(A151)&amp;"    ",4,1))-64))*1)*10000+ROW(),""))</f>
        <v/>
      </c>
      <c r="N151" s="80" t="str">
        <f t="shared" si="4"/>
        <v/>
      </c>
      <c r="O151" s="80" t="str">
        <f t="array" ref="O151">IF(A151="","",IFERROR(INDEX(Wishlist!$A:$Z,ROW()-0,'List Setup'!$J$2)&amp;"",""))</f>
        <v/>
      </c>
      <c r="P151" s="2"/>
      <c r="Q151" s="80" t="str">
        <f>IF(A151="","",'List Setup'!$A$2)</f>
        <v/>
      </c>
      <c r="R151" s="80" t="str">
        <f t="array" ref="R151">IF(A151="","",IFERROR(OR(INDEX(Binders!$J$6:$J$30,MATCH(Q151,Binders!$I$6:$I$30,0))=TRUE(),UPPER(INDEX(Binders!$J$6:$J$30,MATCH(Q151,Binders!$I$6:$I$30,0))&amp;"")="TRUE"),FALSE()))</f>
        <v/>
      </c>
    </row>
    <row r="152" ht="15.75" customHeight="1">
      <c r="A152" s="80" t="str">
        <f t="array" ref="A152">IF(INDEX(Wishlist!$A:$Z,ROW()-0,'List Setup'!$D$2)="","",INDEX(Wishlist!$A:$Z,ROW()-0,'List Setup'!$D$2))</f>
        <v/>
      </c>
      <c r="B152" s="80" t="str">
        <f t="array" ref="B152">IF(A152="","",IFERROR(INDEX('Binder Setup'!$B$2:$B$401,MIN(IF(ISNUMBER(SEARCH(CHAR(10)&amp;'Binder Setup'!$B$2:$B$401&amp;CHAR(10),$H152)),'List Setup'!$Q$2:$Q$401,999),IF(ISNUMBER(SEARCH(CHAR(10)&amp;'Set Aliases'!$A$2:$A$501&amp;CHAR(10),$H152)),'Set Aliases'!$C$2:$C$501,999))),"(none)"))</f>
        <v/>
      </c>
      <c r="C152" s="80" t="str">
        <f t="shared" si="1"/>
        <v/>
      </c>
      <c r="D152" s="80" t="str">
        <f t="array" ref="D152">IF(A152="","",IF(ISLOGICAL(INDEX(Wishlist!$A:$Z,ROW()-0,'List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52" s="80" t="str">
        <f t="shared" si="2"/>
        <v/>
      </c>
      <c r="F152" s="80" t="str">
        <f t="array" ref="F152">IF(A152="","",IF(ISNUMBER(J152),J152,IF(ISNUMBER(INDEX(Wishlist!$A:$Z,ROW()-0,'List Setup'!$F$2)),INDEX(Wishlist!$A:$Z,ROW()-0,'List Setup'!$F$2),0)))</f>
        <v/>
      </c>
      <c r="G152" s="80" t="str">
        <f t="array" ref="G152">IF(A152="","",A152&amp;IF(N(INDEX(Wishlist!$A:$Z,ROW()-0,'List Setup'!$C$2))&gt;1," (x"&amp;INDEX(Wishlist!$A:$Z,ROW()-0,'List Setup'!$C$2)&amp;")","")&amp;IF(COUNTIF(Binders!$J$6:$J$30,TRUE())&gt;1," ["&amp;Q152&amp;"]",""))</f>
        <v/>
      </c>
      <c r="H152" s="80" t="str">
        <f t="array" ref="H152">IF(A152="","",CHAR(10)&amp;INDEX(Wishlist!$A:$Z,ROW()-0,'List Setup'!$E$2)&amp;CHAR(10))</f>
        <v/>
      </c>
      <c r="I152" s="80" t="str">
        <f t="array" ref="I152">IF(OR(B152="",B152="(none)"),"",IF(ISNUMBER(SEARCH(CHAR(10)&amp;B152&amp;CHAR(10),H152)),B152,IFERROR(INDEX('Set Aliases'!$A$2:$A$501,MATCH(1,('Set Aliases'!$B$2:$B$501=B152)*ISNUMBER(SEARCH(CHAR(10)&amp;'Set Aliases'!$A$2:$A$501&amp;CHAR(10),H152)),0)),"")))</f>
        <v/>
      </c>
      <c r="J152" s="80" t="str">
        <f t="array" ref="J152">IF(I152="","",IFERROR(VALUE(TRIM(MID(SUBSTITUTE(INDEX(Wishlist!$A:$Z,ROW()-0,'List Setup'!$G$2),CHAR(10),REPT(" ",100)),((SEARCH(CHAR(10)&amp;I152&amp;CHAR(10),H152)-LEN(SUBSTITUTE(LEFT(H152,SEARCH(CHAR(10)&amp;I152&amp;CHAR(10),H152)),CHAR(10),"")))-1)*100+1,100))),""))</f>
        <v/>
      </c>
      <c r="K152" s="80" t="str">
        <f t="array" ref="K152">IF(A152="","",IF(ISNUMBER(SEARCH("Land",LEFT(IFERROR(INDEX(Wishlist!$A:$Z,ROW()-0,'List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52" s="80" t="str">
        <f t="shared" si="3"/>
        <v/>
      </c>
      <c r="M152" s="80" t="str">
        <f>IF(A152="","",IF(AND(E152="Y",B152='Use at Shop'!$B$4),K152*10000000000+(MAX(0,MIN(26,CODE(MID(UPPER(A152)&amp;"    ",1,1))-64))*19683+MAX(0,MIN(26,CODE(MID(UPPER(A152)&amp;"    ",2,1))-64))*729+MAX(0,MIN(26,CODE(MID(UPPER(A152)&amp;"    ",3,1))-64))*27+MAX(0,MIN(26,CODE(MID(UPPER(A152)&amp;"    ",4,1))-64))*1)*10000+ROW(),""))</f>
        <v/>
      </c>
      <c r="N152" s="80" t="str">
        <f t="shared" si="4"/>
        <v/>
      </c>
      <c r="O152" s="80" t="str">
        <f t="array" ref="O152">IF(A152="","",IFERROR(INDEX(Wishlist!$A:$Z,ROW()-0,'List Setup'!$J$2)&amp;"",""))</f>
        <v/>
      </c>
      <c r="P152" s="2"/>
      <c r="Q152" s="80" t="str">
        <f>IF(A152="","",'List Setup'!$A$2)</f>
        <v/>
      </c>
      <c r="R152" s="80" t="str">
        <f t="array" ref="R152">IF(A152="","",IFERROR(OR(INDEX(Binders!$J$6:$J$30,MATCH(Q152,Binders!$I$6:$I$30,0))=TRUE(),UPPER(INDEX(Binders!$J$6:$J$30,MATCH(Q152,Binders!$I$6:$I$30,0))&amp;"")="TRUE"),FALSE()))</f>
        <v/>
      </c>
    </row>
    <row r="153" ht="15.75" customHeight="1">
      <c r="A153" s="80" t="str">
        <f t="array" ref="A153">IF(INDEX(Wishlist!$A:$Z,ROW()-0,'List Setup'!$D$2)="","",INDEX(Wishlist!$A:$Z,ROW()-0,'List Setup'!$D$2))</f>
        <v/>
      </c>
      <c r="B153" s="80" t="str">
        <f t="array" ref="B153">IF(A153="","",IFERROR(INDEX('Binder Setup'!$B$2:$B$401,MIN(IF(ISNUMBER(SEARCH(CHAR(10)&amp;'Binder Setup'!$B$2:$B$401&amp;CHAR(10),$H153)),'List Setup'!$Q$2:$Q$401,999),IF(ISNUMBER(SEARCH(CHAR(10)&amp;'Set Aliases'!$A$2:$A$501&amp;CHAR(10),$H153)),'Set Aliases'!$C$2:$C$501,999))),"(none)"))</f>
        <v/>
      </c>
      <c r="C153" s="80" t="str">
        <f t="shared" si="1"/>
        <v/>
      </c>
      <c r="D153" s="80" t="str">
        <f t="array" ref="D153">IF(A153="","",IF(ISLOGICAL(INDEX(Wishlist!$A:$Z,ROW()-0,'List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53" s="80" t="str">
        <f t="shared" si="2"/>
        <v/>
      </c>
      <c r="F153" s="80" t="str">
        <f t="array" ref="F153">IF(A153="","",IF(ISNUMBER(J153),J153,IF(ISNUMBER(INDEX(Wishlist!$A:$Z,ROW()-0,'List Setup'!$F$2)),INDEX(Wishlist!$A:$Z,ROW()-0,'List Setup'!$F$2),0)))</f>
        <v/>
      </c>
      <c r="G153" s="80" t="str">
        <f t="array" ref="G153">IF(A153="","",A153&amp;IF(N(INDEX(Wishlist!$A:$Z,ROW()-0,'List Setup'!$C$2))&gt;1," (x"&amp;INDEX(Wishlist!$A:$Z,ROW()-0,'List Setup'!$C$2)&amp;")","")&amp;IF(COUNTIF(Binders!$J$6:$J$30,TRUE())&gt;1," ["&amp;Q153&amp;"]",""))</f>
        <v/>
      </c>
      <c r="H153" s="80" t="str">
        <f t="array" ref="H153">IF(A153="","",CHAR(10)&amp;INDEX(Wishlist!$A:$Z,ROW()-0,'List Setup'!$E$2)&amp;CHAR(10))</f>
        <v/>
      </c>
      <c r="I153" s="80" t="str">
        <f t="array" ref="I153">IF(OR(B153="",B153="(none)"),"",IF(ISNUMBER(SEARCH(CHAR(10)&amp;B153&amp;CHAR(10),H153)),B153,IFERROR(INDEX('Set Aliases'!$A$2:$A$501,MATCH(1,('Set Aliases'!$B$2:$B$501=B153)*ISNUMBER(SEARCH(CHAR(10)&amp;'Set Aliases'!$A$2:$A$501&amp;CHAR(10),H153)),0)),"")))</f>
        <v/>
      </c>
      <c r="J153" s="80" t="str">
        <f t="array" ref="J153">IF(I153="","",IFERROR(VALUE(TRIM(MID(SUBSTITUTE(INDEX(Wishlist!$A:$Z,ROW()-0,'List Setup'!$G$2),CHAR(10),REPT(" ",100)),((SEARCH(CHAR(10)&amp;I153&amp;CHAR(10),H153)-LEN(SUBSTITUTE(LEFT(H153,SEARCH(CHAR(10)&amp;I153&amp;CHAR(10),H153)),CHAR(10),"")))-1)*100+1,100))),""))</f>
        <v/>
      </c>
      <c r="K153" s="80" t="str">
        <f t="array" ref="K153">IF(A153="","",IF(ISNUMBER(SEARCH("Land",LEFT(IFERROR(INDEX(Wishlist!$A:$Z,ROW()-0,'List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53" s="80" t="str">
        <f t="shared" si="3"/>
        <v/>
      </c>
      <c r="M153" s="80" t="str">
        <f>IF(A153="","",IF(AND(E153="Y",B153='Use at Shop'!$B$4),K153*10000000000+(MAX(0,MIN(26,CODE(MID(UPPER(A153)&amp;"    ",1,1))-64))*19683+MAX(0,MIN(26,CODE(MID(UPPER(A153)&amp;"    ",2,1))-64))*729+MAX(0,MIN(26,CODE(MID(UPPER(A153)&amp;"    ",3,1))-64))*27+MAX(0,MIN(26,CODE(MID(UPPER(A153)&amp;"    ",4,1))-64))*1)*10000+ROW(),""))</f>
        <v/>
      </c>
      <c r="N153" s="80" t="str">
        <f t="shared" si="4"/>
        <v/>
      </c>
      <c r="O153" s="80" t="str">
        <f t="array" ref="O153">IF(A153="","",IFERROR(INDEX(Wishlist!$A:$Z,ROW()-0,'List Setup'!$J$2)&amp;"",""))</f>
        <v/>
      </c>
      <c r="P153" s="2"/>
      <c r="Q153" s="80" t="str">
        <f>IF(A153="","",'List Setup'!$A$2)</f>
        <v/>
      </c>
      <c r="R153" s="80" t="str">
        <f t="array" ref="R153">IF(A153="","",IFERROR(OR(INDEX(Binders!$J$6:$J$30,MATCH(Q153,Binders!$I$6:$I$30,0))=TRUE(),UPPER(INDEX(Binders!$J$6:$J$30,MATCH(Q153,Binders!$I$6:$I$30,0))&amp;"")="TRUE"),FALSE()))</f>
        <v/>
      </c>
    </row>
    <row r="154" ht="15.75" customHeight="1">
      <c r="A154" s="80" t="str">
        <f t="array" ref="A154">IF(INDEX(Wishlist!$A:$Z,ROW()-0,'List Setup'!$D$2)="","",INDEX(Wishlist!$A:$Z,ROW()-0,'List Setup'!$D$2))</f>
        <v/>
      </c>
      <c r="B154" s="80" t="str">
        <f t="array" ref="B154">IF(A154="","",IFERROR(INDEX('Binder Setup'!$B$2:$B$401,MIN(IF(ISNUMBER(SEARCH(CHAR(10)&amp;'Binder Setup'!$B$2:$B$401&amp;CHAR(10),$H154)),'List Setup'!$Q$2:$Q$401,999),IF(ISNUMBER(SEARCH(CHAR(10)&amp;'Set Aliases'!$A$2:$A$501&amp;CHAR(10),$H154)),'Set Aliases'!$C$2:$C$501,999))),"(none)"))</f>
        <v/>
      </c>
      <c r="C154" s="80" t="str">
        <f t="shared" si="1"/>
        <v/>
      </c>
      <c r="D154" s="80" t="str">
        <f t="array" ref="D154">IF(A154="","",IF(ISLOGICAL(INDEX(Wishlist!$A:$Z,ROW()-0,'List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54" s="80" t="str">
        <f t="shared" si="2"/>
        <v/>
      </c>
      <c r="F154" s="80" t="str">
        <f t="array" ref="F154">IF(A154="","",IF(ISNUMBER(J154),J154,IF(ISNUMBER(INDEX(Wishlist!$A:$Z,ROW()-0,'List Setup'!$F$2)),INDEX(Wishlist!$A:$Z,ROW()-0,'List Setup'!$F$2),0)))</f>
        <v/>
      </c>
      <c r="G154" s="80" t="str">
        <f t="array" ref="G154">IF(A154="","",A154&amp;IF(N(INDEX(Wishlist!$A:$Z,ROW()-0,'List Setup'!$C$2))&gt;1," (x"&amp;INDEX(Wishlist!$A:$Z,ROW()-0,'List Setup'!$C$2)&amp;")","")&amp;IF(COUNTIF(Binders!$J$6:$J$30,TRUE())&gt;1," ["&amp;Q154&amp;"]",""))</f>
        <v/>
      </c>
      <c r="H154" s="80" t="str">
        <f t="array" ref="H154">IF(A154="","",CHAR(10)&amp;INDEX(Wishlist!$A:$Z,ROW()-0,'List Setup'!$E$2)&amp;CHAR(10))</f>
        <v/>
      </c>
      <c r="I154" s="80" t="str">
        <f t="array" ref="I154">IF(OR(B154="",B154="(none)"),"",IF(ISNUMBER(SEARCH(CHAR(10)&amp;B154&amp;CHAR(10),H154)),B154,IFERROR(INDEX('Set Aliases'!$A$2:$A$501,MATCH(1,('Set Aliases'!$B$2:$B$501=B154)*ISNUMBER(SEARCH(CHAR(10)&amp;'Set Aliases'!$A$2:$A$501&amp;CHAR(10),H154)),0)),"")))</f>
        <v/>
      </c>
      <c r="J154" s="80" t="str">
        <f t="array" ref="J154">IF(I154="","",IFERROR(VALUE(TRIM(MID(SUBSTITUTE(INDEX(Wishlist!$A:$Z,ROW()-0,'List Setup'!$G$2),CHAR(10),REPT(" ",100)),((SEARCH(CHAR(10)&amp;I154&amp;CHAR(10),H154)-LEN(SUBSTITUTE(LEFT(H154,SEARCH(CHAR(10)&amp;I154&amp;CHAR(10),H154)),CHAR(10),"")))-1)*100+1,100))),""))</f>
        <v/>
      </c>
      <c r="K154" s="80" t="str">
        <f t="array" ref="K154">IF(A154="","",IF(ISNUMBER(SEARCH("Land",LEFT(IFERROR(INDEX(Wishlist!$A:$Z,ROW()-0,'List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54" s="80" t="str">
        <f t="shared" si="3"/>
        <v/>
      </c>
      <c r="M154" s="80" t="str">
        <f>IF(A154="","",IF(AND(E154="Y",B154='Use at Shop'!$B$4),K154*10000000000+(MAX(0,MIN(26,CODE(MID(UPPER(A154)&amp;"    ",1,1))-64))*19683+MAX(0,MIN(26,CODE(MID(UPPER(A154)&amp;"    ",2,1))-64))*729+MAX(0,MIN(26,CODE(MID(UPPER(A154)&amp;"    ",3,1))-64))*27+MAX(0,MIN(26,CODE(MID(UPPER(A154)&amp;"    ",4,1))-64))*1)*10000+ROW(),""))</f>
        <v/>
      </c>
      <c r="N154" s="80" t="str">
        <f t="shared" si="4"/>
        <v/>
      </c>
      <c r="O154" s="80" t="str">
        <f t="array" ref="O154">IF(A154="","",IFERROR(INDEX(Wishlist!$A:$Z,ROW()-0,'List Setup'!$J$2)&amp;"",""))</f>
        <v/>
      </c>
      <c r="P154" s="2"/>
      <c r="Q154" s="80" t="str">
        <f>IF(A154="","",'List Setup'!$A$2)</f>
        <v/>
      </c>
      <c r="R154" s="80" t="str">
        <f t="array" ref="R154">IF(A154="","",IFERROR(OR(INDEX(Binders!$J$6:$J$30,MATCH(Q154,Binders!$I$6:$I$30,0))=TRUE(),UPPER(INDEX(Binders!$J$6:$J$30,MATCH(Q154,Binders!$I$6:$I$30,0))&amp;"")="TRUE"),FALSE()))</f>
        <v/>
      </c>
    </row>
    <row r="155" ht="15.75" customHeight="1">
      <c r="A155" s="80" t="str">
        <f t="array" ref="A155">IF(INDEX(Wishlist!$A:$Z,ROW()-0,'List Setup'!$D$2)="","",INDEX(Wishlist!$A:$Z,ROW()-0,'List Setup'!$D$2))</f>
        <v/>
      </c>
      <c r="B155" s="80" t="str">
        <f t="array" ref="B155">IF(A155="","",IFERROR(INDEX('Binder Setup'!$B$2:$B$401,MIN(IF(ISNUMBER(SEARCH(CHAR(10)&amp;'Binder Setup'!$B$2:$B$401&amp;CHAR(10),$H155)),'List Setup'!$Q$2:$Q$401,999),IF(ISNUMBER(SEARCH(CHAR(10)&amp;'Set Aliases'!$A$2:$A$501&amp;CHAR(10),$H155)),'Set Aliases'!$C$2:$C$501,999))),"(none)"))</f>
        <v/>
      </c>
      <c r="C155" s="80" t="str">
        <f t="shared" si="1"/>
        <v/>
      </c>
      <c r="D155" s="80" t="str">
        <f t="array" ref="D155">IF(A155="","",IF(ISLOGICAL(INDEX(Wishlist!$A:$Z,ROW()-0,'List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55" s="80" t="str">
        <f t="shared" si="2"/>
        <v/>
      </c>
      <c r="F155" s="80" t="str">
        <f t="array" ref="F155">IF(A155="","",IF(ISNUMBER(J155),J155,IF(ISNUMBER(INDEX(Wishlist!$A:$Z,ROW()-0,'List Setup'!$F$2)),INDEX(Wishlist!$A:$Z,ROW()-0,'List Setup'!$F$2),0)))</f>
        <v/>
      </c>
      <c r="G155" s="80" t="str">
        <f t="array" ref="G155">IF(A155="","",A155&amp;IF(N(INDEX(Wishlist!$A:$Z,ROW()-0,'List Setup'!$C$2))&gt;1," (x"&amp;INDEX(Wishlist!$A:$Z,ROW()-0,'List Setup'!$C$2)&amp;")","")&amp;IF(COUNTIF(Binders!$J$6:$J$30,TRUE())&gt;1," ["&amp;Q155&amp;"]",""))</f>
        <v/>
      </c>
      <c r="H155" s="80" t="str">
        <f t="array" ref="H155">IF(A155="","",CHAR(10)&amp;INDEX(Wishlist!$A:$Z,ROW()-0,'List Setup'!$E$2)&amp;CHAR(10))</f>
        <v/>
      </c>
      <c r="I155" s="80" t="str">
        <f t="array" ref="I155">IF(OR(B155="",B155="(none)"),"",IF(ISNUMBER(SEARCH(CHAR(10)&amp;B155&amp;CHAR(10),H155)),B155,IFERROR(INDEX('Set Aliases'!$A$2:$A$501,MATCH(1,('Set Aliases'!$B$2:$B$501=B155)*ISNUMBER(SEARCH(CHAR(10)&amp;'Set Aliases'!$A$2:$A$501&amp;CHAR(10),H155)),0)),"")))</f>
        <v/>
      </c>
      <c r="J155" s="80" t="str">
        <f t="array" ref="J155">IF(I155="","",IFERROR(VALUE(TRIM(MID(SUBSTITUTE(INDEX(Wishlist!$A:$Z,ROW()-0,'List Setup'!$G$2),CHAR(10),REPT(" ",100)),((SEARCH(CHAR(10)&amp;I155&amp;CHAR(10),H155)-LEN(SUBSTITUTE(LEFT(H155,SEARCH(CHAR(10)&amp;I155&amp;CHAR(10),H155)),CHAR(10),"")))-1)*100+1,100))),""))</f>
        <v/>
      </c>
      <c r="K155" s="80" t="str">
        <f t="array" ref="K155">IF(A155="","",IF(ISNUMBER(SEARCH("Land",LEFT(IFERROR(INDEX(Wishlist!$A:$Z,ROW()-0,'List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55" s="80" t="str">
        <f t="shared" si="3"/>
        <v/>
      </c>
      <c r="M155" s="80" t="str">
        <f>IF(A155="","",IF(AND(E155="Y",B155='Use at Shop'!$B$4),K155*10000000000+(MAX(0,MIN(26,CODE(MID(UPPER(A155)&amp;"    ",1,1))-64))*19683+MAX(0,MIN(26,CODE(MID(UPPER(A155)&amp;"    ",2,1))-64))*729+MAX(0,MIN(26,CODE(MID(UPPER(A155)&amp;"    ",3,1))-64))*27+MAX(0,MIN(26,CODE(MID(UPPER(A155)&amp;"    ",4,1))-64))*1)*10000+ROW(),""))</f>
        <v/>
      </c>
      <c r="N155" s="80" t="str">
        <f t="shared" si="4"/>
        <v/>
      </c>
      <c r="O155" s="80" t="str">
        <f t="array" ref="O155">IF(A155="","",IFERROR(INDEX(Wishlist!$A:$Z,ROW()-0,'List Setup'!$J$2)&amp;"",""))</f>
        <v/>
      </c>
      <c r="P155" s="2"/>
      <c r="Q155" s="80" t="str">
        <f>IF(A155="","",'List Setup'!$A$2)</f>
        <v/>
      </c>
      <c r="R155" s="80" t="str">
        <f t="array" ref="R155">IF(A155="","",IFERROR(OR(INDEX(Binders!$J$6:$J$30,MATCH(Q155,Binders!$I$6:$I$30,0))=TRUE(),UPPER(INDEX(Binders!$J$6:$J$30,MATCH(Q155,Binders!$I$6:$I$30,0))&amp;"")="TRUE"),FALSE()))</f>
        <v/>
      </c>
    </row>
    <row r="156" ht="15.75" customHeight="1">
      <c r="A156" s="80" t="str">
        <f t="array" ref="A156">IF(INDEX(Wishlist!$A:$Z,ROW()-0,'List Setup'!$D$2)="","",INDEX(Wishlist!$A:$Z,ROW()-0,'List Setup'!$D$2))</f>
        <v/>
      </c>
      <c r="B156" s="80" t="str">
        <f t="array" ref="B156">IF(A156="","",IFERROR(INDEX('Binder Setup'!$B$2:$B$401,MIN(IF(ISNUMBER(SEARCH(CHAR(10)&amp;'Binder Setup'!$B$2:$B$401&amp;CHAR(10),$H156)),'List Setup'!$Q$2:$Q$401,999),IF(ISNUMBER(SEARCH(CHAR(10)&amp;'Set Aliases'!$A$2:$A$501&amp;CHAR(10),$H156)),'Set Aliases'!$C$2:$C$501,999))),"(none)"))</f>
        <v/>
      </c>
      <c r="C156" s="80" t="str">
        <f t="shared" si="1"/>
        <v/>
      </c>
      <c r="D156" s="80" t="str">
        <f t="array" ref="D156">IF(A156="","",IF(ISLOGICAL(INDEX(Wishlist!$A:$Z,ROW()-0,'List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56" s="80" t="str">
        <f t="shared" si="2"/>
        <v/>
      </c>
      <c r="F156" s="80" t="str">
        <f t="array" ref="F156">IF(A156="","",IF(ISNUMBER(J156),J156,IF(ISNUMBER(INDEX(Wishlist!$A:$Z,ROW()-0,'List Setup'!$F$2)),INDEX(Wishlist!$A:$Z,ROW()-0,'List Setup'!$F$2),0)))</f>
        <v/>
      </c>
      <c r="G156" s="80" t="str">
        <f t="array" ref="G156">IF(A156="","",A156&amp;IF(N(INDEX(Wishlist!$A:$Z,ROW()-0,'List Setup'!$C$2))&gt;1," (x"&amp;INDEX(Wishlist!$A:$Z,ROW()-0,'List Setup'!$C$2)&amp;")","")&amp;IF(COUNTIF(Binders!$J$6:$J$30,TRUE())&gt;1," ["&amp;Q156&amp;"]",""))</f>
        <v/>
      </c>
      <c r="H156" s="80" t="str">
        <f t="array" ref="H156">IF(A156="","",CHAR(10)&amp;INDEX(Wishlist!$A:$Z,ROW()-0,'List Setup'!$E$2)&amp;CHAR(10))</f>
        <v/>
      </c>
      <c r="I156" s="80" t="str">
        <f t="array" ref="I156">IF(OR(B156="",B156="(none)"),"",IF(ISNUMBER(SEARCH(CHAR(10)&amp;B156&amp;CHAR(10),H156)),B156,IFERROR(INDEX('Set Aliases'!$A$2:$A$501,MATCH(1,('Set Aliases'!$B$2:$B$501=B156)*ISNUMBER(SEARCH(CHAR(10)&amp;'Set Aliases'!$A$2:$A$501&amp;CHAR(10),H156)),0)),"")))</f>
        <v/>
      </c>
      <c r="J156" s="80" t="str">
        <f t="array" ref="J156">IF(I156="","",IFERROR(VALUE(TRIM(MID(SUBSTITUTE(INDEX(Wishlist!$A:$Z,ROW()-0,'List Setup'!$G$2),CHAR(10),REPT(" ",100)),((SEARCH(CHAR(10)&amp;I156&amp;CHAR(10),H156)-LEN(SUBSTITUTE(LEFT(H156,SEARCH(CHAR(10)&amp;I156&amp;CHAR(10),H156)),CHAR(10),"")))-1)*100+1,100))),""))</f>
        <v/>
      </c>
      <c r="K156" s="80" t="str">
        <f t="array" ref="K156">IF(A156="","",IF(ISNUMBER(SEARCH("Land",LEFT(IFERROR(INDEX(Wishlist!$A:$Z,ROW()-0,'List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56" s="80" t="str">
        <f t="shared" si="3"/>
        <v/>
      </c>
      <c r="M156" s="80" t="str">
        <f>IF(A156="","",IF(AND(E156="Y",B156='Use at Shop'!$B$4),K156*10000000000+(MAX(0,MIN(26,CODE(MID(UPPER(A156)&amp;"    ",1,1))-64))*19683+MAX(0,MIN(26,CODE(MID(UPPER(A156)&amp;"    ",2,1))-64))*729+MAX(0,MIN(26,CODE(MID(UPPER(A156)&amp;"    ",3,1))-64))*27+MAX(0,MIN(26,CODE(MID(UPPER(A156)&amp;"    ",4,1))-64))*1)*10000+ROW(),""))</f>
        <v/>
      </c>
      <c r="N156" s="80" t="str">
        <f t="shared" si="4"/>
        <v/>
      </c>
      <c r="O156" s="80" t="str">
        <f t="array" ref="O156">IF(A156="","",IFERROR(INDEX(Wishlist!$A:$Z,ROW()-0,'List Setup'!$J$2)&amp;"",""))</f>
        <v/>
      </c>
      <c r="P156" s="2"/>
      <c r="Q156" s="80" t="str">
        <f>IF(A156="","",'List Setup'!$A$2)</f>
        <v/>
      </c>
      <c r="R156" s="80" t="str">
        <f t="array" ref="R156">IF(A156="","",IFERROR(OR(INDEX(Binders!$J$6:$J$30,MATCH(Q156,Binders!$I$6:$I$30,0))=TRUE(),UPPER(INDEX(Binders!$J$6:$J$30,MATCH(Q156,Binders!$I$6:$I$30,0))&amp;"")="TRUE"),FALSE()))</f>
        <v/>
      </c>
    </row>
    <row r="157" ht="15.75" customHeight="1">
      <c r="A157" s="80" t="str">
        <f t="array" ref="A157">IF(INDEX(Wishlist!$A:$Z,ROW()-0,'List Setup'!$D$2)="","",INDEX(Wishlist!$A:$Z,ROW()-0,'List Setup'!$D$2))</f>
        <v/>
      </c>
      <c r="B157" s="80" t="str">
        <f t="array" ref="B157">IF(A157="","",IFERROR(INDEX('Binder Setup'!$B$2:$B$401,MIN(IF(ISNUMBER(SEARCH(CHAR(10)&amp;'Binder Setup'!$B$2:$B$401&amp;CHAR(10),$H157)),'List Setup'!$Q$2:$Q$401,999),IF(ISNUMBER(SEARCH(CHAR(10)&amp;'Set Aliases'!$A$2:$A$501&amp;CHAR(10),$H157)),'Set Aliases'!$C$2:$C$501,999))),"(none)"))</f>
        <v/>
      </c>
      <c r="C157" s="80" t="str">
        <f t="shared" si="1"/>
        <v/>
      </c>
      <c r="D157" s="80" t="str">
        <f t="array" ref="D157">IF(A157="","",IF(ISLOGICAL(INDEX(Wishlist!$A:$Z,ROW()-0,'List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57" s="80" t="str">
        <f t="shared" si="2"/>
        <v/>
      </c>
      <c r="F157" s="80" t="str">
        <f t="array" ref="F157">IF(A157="","",IF(ISNUMBER(J157),J157,IF(ISNUMBER(INDEX(Wishlist!$A:$Z,ROW()-0,'List Setup'!$F$2)),INDEX(Wishlist!$A:$Z,ROW()-0,'List Setup'!$F$2),0)))</f>
        <v/>
      </c>
      <c r="G157" s="80" t="str">
        <f t="array" ref="G157">IF(A157="","",A157&amp;IF(N(INDEX(Wishlist!$A:$Z,ROW()-0,'List Setup'!$C$2))&gt;1," (x"&amp;INDEX(Wishlist!$A:$Z,ROW()-0,'List Setup'!$C$2)&amp;")","")&amp;IF(COUNTIF(Binders!$J$6:$J$30,TRUE())&gt;1," ["&amp;Q157&amp;"]",""))</f>
        <v/>
      </c>
      <c r="H157" s="80" t="str">
        <f t="array" ref="H157">IF(A157="","",CHAR(10)&amp;INDEX(Wishlist!$A:$Z,ROW()-0,'List Setup'!$E$2)&amp;CHAR(10))</f>
        <v/>
      </c>
      <c r="I157" s="80" t="str">
        <f t="array" ref="I157">IF(OR(B157="",B157="(none)"),"",IF(ISNUMBER(SEARCH(CHAR(10)&amp;B157&amp;CHAR(10),H157)),B157,IFERROR(INDEX('Set Aliases'!$A$2:$A$501,MATCH(1,('Set Aliases'!$B$2:$B$501=B157)*ISNUMBER(SEARCH(CHAR(10)&amp;'Set Aliases'!$A$2:$A$501&amp;CHAR(10),H157)),0)),"")))</f>
        <v/>
      </c>
      <c r="J157" s="80" t="str">
        <f t="array" ref="J157">IF(I157="","",IFERROR(VALUE(TRIM(MID(SUBSTITUTE(INDEX(Wishlist!$A:$Z,ROW()-0,'List Setup'!$G$2),CHAR(10),REPT(" ",100)),((SEARCH(CHAR(10)&amp;I157&amp;CHAR(10),H157)-LEN(SUBSTITUTE(LEFT(H157,SEARCH(CHAR(10)&amp;I157&amp;CHAR(10),H157)),CHAR(10),"")))-1)*100+1,100))),""))</f>
        <v/>
      </c>
      <c r="K157" s="80" t="str">
        <f t="array" ref="K157">IF(A157="","",IF(ISNUMBER(SEARCH("Land",LEFT(IFERROR(INDEX(Wishlist!$A:$Z,ROW()-0,'List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57" s="80" t="str">
        <f t="shared" si="3"/>
        <v/>
      </c>
      <c r="M157" s="80" t="str">
        <f>IF(A157="","",IF(AND(E157="Y",B157='Use at Shop'!$B$4),K157*10000000000+(MAX(0,MIN(26,CODE(MID(UPPER(A157)&amp;"    ",1,1))-64))*19683+MAX(0,MIN(26,CODE(MID(UPPER(A157)&amp;"    ",2,1))-64))*729+MAX(0,MIN(26,CODE(MID(UPPER(A157)&amp;"    ",3,1))-64))*27+MAX(0,MIN(26,CODE(MID(UPPER(A157)&amp;"    ",4,1))-64))*1)*10000+ROW(),""))</f>
        <v/>
      </c>
      <c r="N157" s="80" t="str">
        <f t="shared" si="4"/>
        <v/>
      </c>
      <c r="O157" s="80" t="str">
        <f t="array" ref="O157">IF(A157="","",IFERROR(INDEX(Wishlist!$A:$Z,ROW()-0,'List Setup'!$J$2)&amp;"",""))</f>
        <v/>
      </c>
      <c r="P157" s="2"/>
      <c r="Q157" s="80" t="str">
        <f>IF(A157="","",'List Setup'!$A$2)</f>
        <v/>
      </c>
      <c r="R157" s="80" t="str">
        <f t="array" ref="R157">IF(A157="","",IFERROR(OR(INDEX(Binders!$J$6:$J$30,MATCH(Q157,Binders!$I$6:$I$30,0))=TRUE(),UPPER(INDEX(Binders!$J$6:$J$30,MATCH(Q157,Binders!$I$6:$I$30,0))&amp;"")="TRUE"),FALSE()))</f>
        <v/>
      </c>
    </row>
    <row r="158" ht="15.75" customHeight="1">
      <c r="A158" s="80" t="str">
        <f t="array" ref="A158">IF(INDEX(Wishlist!$A:$Z,ROW()-0,'List Setup'!$D$2)="","",INDEX(Wishlist!$A:$Z,ROW()-0,'List Setup'!$D$2))</f>
        <v/>
      </c>
      <c r="B158" s="80" t="str">
        <f t="array" ref="B158">IF(A158="","",IFERROR(INDEX('Binder Setup'!$B$2:$B$401,MIN(IF(ISNUMBER(SEARCH(CHAR(10)&amp;'Binder Setup'!$B$2:$B$401&amp;CHAR(10),$H158)),'List Setup'!$Q$2:$Q$401,999),IF(ISNUMBER(SEARCH(CHAR(10)&amp;'Set Aliases'!$A$2:$A$501&amp;CHAR(10),$H158)),'Set Aliases'!$C$2:$C$501,999))),"(none)"))</f>
        <v/>
      </c>
      <c r="C158" s="80" t="str">
        <f t="shared" si="1"/>
        <v/>
      </c>
      <c r="D158" s="80" t="str">
        <f t="array" ref="D158">IF(A158="","",IF(ISLOGICAL(INDEX(Wishlist!$A:$Z,ROW()-0,'List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58" s="80" t="str">
        <f t="shared" si="2"/>
        <v/>
      </c>
      <c r="F158" s="80" t="str">
        <f t="array" ref="F158">IF(A158="","",IF(ISNUMBER(J158),J158,IF(ISNUMBER(INDEX(Wishlist!$A:$Z,ROW()-0,'List Setup'!$F$2)),INDEX(Wishlist!$A:$Z,ROW()-0,'List Setup'!$F$2),0)))</f>
        <v/>
      </c>
      <c r="G158" s="80" t="str">
        <f t="array" ref="G158">IF(A158="","",A158&amp;IF(N(INDEX(Wishlist!$A:$Z,ROW()-0,'List Setup'!$C$2))&gt;1," (x"&amp;INDEX(Wishlist!$A:$Z,ROW()-0,'List Setup'!$C$2)&amp;")","")&amp;IF(COUNTIF(Binders!$J$6:$J$30,TRUE())&gt;1," ["&amp;Q158&amp;"]",""))</f>
        <v/>
      </c>
      <c r="H158" s="80" t="str">
        <f t="array" ref="H158">IF(A158="","",CHAR(10)&amp;INDEX(Wishlist!$A:$Z,ROW()-0,'List Setup'!$E$2)&amp;CHAR(10))</f>
        <v/>
      </c>
      <c r="I158" s="80" t="str">
        <f t="array" ref="I158">IF(OR(B158="",B158="(none)"),"",IF(ISNUMBER(SEARCH(CHAR(10)&amp;B158&amp;CHAR(10),H158)),B158,IFERROR(INDEX('Set Aliases'!$A$2:$A$501,MATCH(1,('Set Aliases'!$B$2:$B$501=B158)*ISNUMBER(SEARCH(CHAR(10)&amp;'Set Aliases'!$A$2:$A$501&amp;CHAR(10),H158)),0)),"")))</f>
        <v/>
      </c>
      <c r="J158" s="80" t="str">
        <f t="array" ref="J158">IF(I158="","",IFERROR(VALUE(TRIM(MID(SUBSTITUTE(INDEX(Wishlist!$A:$Z,ROW()-0,'List Setup'!$G$2),CHAR(10),REPT(" ",100)),((SEARCH(CHAR(10)&amp;I158&amp;CHAR(10),H158)-LEN(SUBSTITUTE(LEFT(H158,SEARCH(CHAR(10)&amp;I158&amp;CHAR(10),H158)),CHAR(10),"")))-1)*100+1,100))),""))</f>
        <v/>
      </c>
      <c r="K158" s="80" t="str">
        <f t="array" ref="K158">IF(A158="","",IF(ISNUMBER(SEARCH("Land",LEFT(IFERROR(INDEX(Wishlist!$A:$Z,ROW()-0,'List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58" s="80" t="str">
        <f t="shared" si="3"/>
        <v/>
      </c>
      <c r="M158" s="80" t="str">
        <f>IF(A158="","",IF(AND(E158="Y",B158='Use at Shop'!$B$4),K158*10000000000+(MAX(0,MIN(26,CODE(MID(UPPER(A158)&amp;"    ",1,1))-64))*19683+MAX(0,MIN(26,CODE(MID(UPPER(A158)&amp;"    ",2,1))-64))*729+MAX(0,MIN(26,CODE(MID(UPPER(A158)&amp;"    ",3,1))-64))*27+MAX(0,MIN(26,CODE(MID(UPPER(A158)&amp;"    ",4,1))-64))*1)*10000+ROW(),""))</f>
        <v/>
      </c>
      <c r="N158" s="80" t="str">
        <f t="shared" si="4"/>
        <v/>
      </c>
      <c r="O158" s="80" t="str">
        <f t="array" ref="O158">IF(A158="","",IFERROR(INDEX(Wishlist!$A:$Z,ROW()-0,'List Setup'!$J$2)&amp;"",""))</f>
        <v/>
      </c>
      <c r="P158" s="2"/>
      <c r="Q158" s="80" t="str">
        <f>IF(A158="","",'List Setup'!$A$2)</f>
        <v/>
      </c>
      <c r="R158" s="80" t="str">
        <f t="array" ref="R158">IF(A158="","",IFERROR(OR(INDEX(Binders!$J$6:$J$30,MATCH(Q158,Binders!$I$6:$I$30,0))=TRUE(),UPPER(INDEX(Binders!$J$6:$J$30,MATCH(Q158,Binders!$I$6:$I$30,0))&amp;"")="TRUE"),FALSE()))</f>
        <v/>
      </c>
    </row>
    <row r="159" ht="15.75" customHeight="1">
      <c r="A159" s="80" t="str">
        <f t="array" ref="A159">IF(INDEX(Wishlist!$A:$Z,ROW()-0,'List Setup'!$D$2)="","",INDEX(Wishlist!$A:$Z,ROW()-0,'List Setup'!$D$2))</f>
        <v/>
      </c>
      <c r="B159" s="80" t="str">
        <f t="array" ref="B159">IF(A159="","",IFERROR(INDEX('Binder Setup'!$B$2:$B$401,MIN(IF(ISNUMBER(SEARCH(CHAR(10)&amp;'Binder Setup'!$B$2:$B$401&amp;CHAR(10),$H159)),'List Setup'!$Q$2:$Q$401,999),IF(ISNUMBER(SEARCH(CHAR(10)&amp;'Set Aliases'!$A$2:$A$501&amp;CHAR(10),$H159)),'Set Aliases'!$C$2:$C$501,999))),"(none)"))</f>
        <v/>
      </c>
      <c r="C159" s="80" t="str">
        <f t="shared" si="1"/>
        <v/>
      </c>
      <c r="D159" s="80" t="str">
        <f t="array" ref="D159">IF(A159="","",IF(ISLOGICAL(INDEX(Wishlist!$A:$Z,ROW()-0,'List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59" s="80" t="str">
        <f t="shared" si="2"/>
        <v/>
      </c>
      <c r="F159" s="80" t="str">
        <f t="array" ref="F159">IF(A159="","",IF(ISNUMBER(J159),J159,IF(ISNUMBER(INDEX(Wishlist!$A:$Z,ROW()-0,'List Setup'!$F$2)),INDEX(Wishlist!$A:$Z,ROW()-0,'List Setup'!$F$2),0)))</f>
        <v/>
      </c>
      <c r="G159" s="80" t="str">
        <f t="array" ref="G159">IF(A159="","",A159&amp;IF(N(INDEX(Wishlist!$A:$Z,ROW()-0,'List Setup'!$C$2))&gt;1," (x"&amp;INDEX(Wishlist!$A:$Z,ROW()-0,'List Setup'!$C$2)&amp;")","")&amp;IF(COUNTIF(Binders!$J$6:$J$30,TRUE())&gt;1," ["&amp;Q159&amp;"]",""))</f>
        <v/>
      </c>
      <c r="H159" s="80" t="str">
        <f t="array" ref="H159">IF(A159="","",CHAR(10)&amp;INDEX(Wishlist!$A:$Z,ROW()-0,'List Setup'!$E$2)&amp;CHAR(10))</f>
        <v/>
      </c>
      <c r="I159" s="80" t="str">
        <f t="array" ref="I159">IF(OR(B159="",B159="(none)"),"",IF(ISNUMBER(SEARCH(CHAR(10)&amp;B159&amp;CHAR(10),H159)),B159,IFERROR(INDEX('Set Aliases'!$A$2:$A$501,MATCH(1,('Set Aliases'!$B$2:$B$501=B159)*ISNUMBER(SEARCH(CHAR(10)&amp;'Set Aliases'!$A$2:$A$501&amp;CHAR(10),H159)),0)),"")))</f>
        <v/>
      </c>
      <c r="J159" s="80" t="str">
        <f t="array" ref="J159">IF(I159="","",IFERROR(VALUE(TRIM(MID(SUBSTITUTE(INDEX(Wishlist!$A:$Z,ROW()-0,'List Setup'!$G$2),CHAR(10),REPT(" ",100)),((SEARCH(CHAR(10)&amp;I159&amp;CHAR(10),H159)-LEN(SUBSTITUTE(LEFT(H159,SEARCH(CHAR(10)&amp;I159&amp;CHAR(10),H159)),CHAR(10),"")))-1)*100+1,100))),""))</f>
        <v/>
      </c>
      <c r="K159" s="80" t="str">
        <f t="array" ref="K159">IF(A159="","",IF(ISNUMBER(SEARCH("Land",LEFT(IFERROR(INDEX(Wishlist!$A:$Z,ROW()-0,'List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59" s="80" t="str">
        <f t="shared" si="3"/>
        <v/>
      </c>
      <c r="M159" s="80" t="str">
        <f>IF(A159="","",IF(AND(E159="Y",B159='Use at Shop'!$B$4),K159*10000000000+(MAX(0,MIN(26,CODE(MID(UPPER(A159)&amp;"    ",1,1))-64))*19683+MAX(0,MIN(26,CODE(MID(UPPER(A159)&amp;"    ",2,1))-64))*729+MAX(0,MIN(26,CODE(MID(UPPER(A159)&amp;"    ",3,1))-64))*27+MAX(0,MIN(26,CODE(MID(UPPER(A159)&amp;"    ",4,1))-64))*1)*10000+ROW(),""))</f>
        <v/>
      </c>
      <c r="N159" s="80" t="str">
        <f t="shared" si="4"/>
        <v/>
      </c>
      <c r="O159" s="80" t="str">
        <f t="array" ref="O159">IF(A159="","",IFERROR(INDEX(Wishlist!$A:$Z,ROW()-0,'List Setup'!$J$2)&amp;"",""))</f>
        <v/>
      </c>
      <c r="P159" s="2"/>
      <c r="Q159" s="80" t="str">
        <f>IF(A159="","",'List Setup'!$A$2)</f>
        <v/>
      </c>
      <c r="R159" s="80" t="str">
        <f t="array" ref="R159">IF(A159="","",IFERROR(OR(INDEX(Binders!$J$6:$J$30,MATCH(Q159,Binders!$I$6:$I$30,0))=TRUE(),UPPER(INDEX(Binders!$J$6:$J$30,MATCH(Q159,Binders!$I$6:$I$30,0))&amp;"")="TRUE"),FALSE()))</f>
        <v/>
      </c>
    </row>
    <row r="160" ht="15.75" customHeight="1">
      <c r="A160" s="80" t="str">
        <f t="array" ref="A160">IF(INDEX(Wishlist!$A:$Z,ROW()-0,'List Setup'!$D$2)="","",INDEX(Wishlist!$A:$Z,ROW()-0,'List Setup'!$D$2))</f>
        <v/>
      </c>
      <c r="B160" s="80" t="str">
        <f t="array" ref="B160">IF(A160="","",IFERROR(INDEX('Binder Setup'!$B$2:$B$401,MIN(IF(ISNUMBER(SEARCH(CHAR(10)&amp;'Binder Setup'!$B$2:$B$401&amp;CHAR(10),$H160)),'List Setup'!$Q$2:$Q$401,999),IF(ISNUMBER(SEARCH(CHAR(10)&amp;'Set Aliases'!$A$2:$A$501&amp;CHAR(10),$H160)),'Set Aliases'!$C$2:$C$501,999))),"(none)"))</f>
        <v/>
      </c>
      <c r="C160" s="80" t="str">
        <f t="shared" si="1"/>
        <v/>
      </c>
      <c r="D160" s="80" t="str">
        <f t="array" ref="D160">IF(A160="","",IF(ISLOGICAL(INDEX(Wishlist!$A:$Z,ROW()-0,'List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60" s="80" t="str">
        <f t="shared" si="2"/>
        <v/>
      </c>
      <c r="F160" s="80" t="str">
        <f t="array" ref="F160">IF(A160="","",IF(ISNUMBER(J160),J160,IF(ISNUMBER(INDEX(Wishlist!$A:$Z,ROW()-0,'List Setup'!$F$2)),INDEX(Wishlist!$A:$Z,ROW()-0,'List Setup'!$F$2),0)))</f>
        <v/>
      </c>
      <c r="G160" s="80" t="str">
        <f t="array" ref="G160">IF(A160="","",A160&amp;IF(N(INDEX(Wishlist!$A:$Z,ROW()-0,'List Setup'!$C$2))&gt;1," (x"&amp;INDEX(Wishlist!$A:$Z,ROW()-0,'List Setup'!$C$2)&amp;")","")&amp;IF(COUNTIF(Binders!$J$6:$J$30,TRUE())&gt;1," ["&amp;Q160&amp;"]",""))</f>
        <v/>
      </c>
      <c r="H160" s="80" t="str">
        <f t="array" ref="H160">IF(A160="","",CHAR(10)&amp;INDEX(Wishlist!$A:$Z,ROW()-0,'List Setup'!$E$2)&amp;CHAR(10))</f>
        <v/>
      </c>
      <c r="I160" s="80" t="str">
        <f t="array" ref="I160">IF(OR(B160="",B160="(none)"),"",IF(ISNUMBER(SEARCH(CHAR(10)&amp;B160&amp;CHAR(10),H160)),B160,IFERROR(INDEX('Set Aliases'!$A$2:$A$501,MATCH(1,('Set Aliases'!$B$2:$B$501=B160)*ISNUMBER(SEARCH(CHAR(10)&amp;'Set Aliases'!$A$2:$A$501&amp;CHAR(10),H160)),0)),"")))</f>
        <v/>
      </c>
      <c r="J160" s="80" t="str">
        <f t="array" ref="J160">IF(I160="","",IFERROR(VALUE(TRIM(MID(SUBSTITUTE(INDEX(Wishlist!$A:$Z,ROW()-0,'List Setup'!$G$2),CHAR(10),REPT(" ",100)),((SEARCH(CHAR(10)&amp;I160&amp;CHAR(10),H160)-LEN(SUBSTITUTE(LEFT(H160,SEARCH(CHAR(10)&amp;I160&amp;CHAR(10),H160)),CHAR(10),"")))-1)*100+1,100))),""))</f>
        <v/>
      </c>
      <c r="K160" s="80" t="str">
        <f t="array" ref="K160">IF(A160="","",IF(ISNUMBER(SEARCH("Land",LEFT(IFERROR(INDEX(Wishlist!$A:$Z,ROW()-0,'List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60" s="80" t="str">
        <f t="shared" si="3"/>
        <v/>
      </c>
      <c r="M160" s="80" t="str">
        <f>IF(A160="","",IF(AND(E160="Y",B160='Use at Shop'!$B$4),K160*10000000000+(MAX(0,MIN(26,CODE(MID(UPPER(A160)&amp;"    ",1,1))-64))*19683+MAX(0,MIN(26,CODE(MID(UPPER(A160)&amp;"    ",2,1))-64))*729+MAX(0,MIN(26,CODE(MID(UPPER(A160)&amp;"    ",3,1))-64))*27+MAX(0,MIN(26,CODE(MID(UPPER(A160)&amp;"    ",4,1))-64))*1)*10000+ROW(),""))</f>
        <v/>
      </c>
      <c r="N160" s="80" t="str">
        <f t="shared" si="4"/>
        <v/>
      </c>
      <c r="O160" s="80" t="str">
        <f t="array" ref="O160">IF(A160="","",IFERROR(INDEX(Wishlist!$A:$Z,ROW()-0,'List Setup'!$J$2)&amp;"",""))</f>
        <v/>
      </c>
      <c r="P160" s="2"/>
      <c r="Q160" s="80" t="str">
        <f>IF(A160="","",'List Setup'!$A$2)</f>
        <v/>
      </c>
      <c r="R160" s="80" t="str">
        <f t="array" ref="R160">IF(A160="","",IFERROR(OR(INDEX(Binders!$J$6:$J$30,MATCH(Q160,Binders!$I$6:$I$30,0))=TRUE(),UPPER(INDEX(Binders!$J$6:$J$30,MATCH(Q160,Binders!$I$6:$I$30,0))&amp;"")="TRUE"),FALSE()))</f>
        <v/>
      </c>
    </row>
    <row r="161" ht="15.75" customHeight="1">
      <c r="A161" s="80" t="str">
        <f t="array" ref="A161">IF(INDEX(Wishlist!$A:$Z,ROW()-0,'List Setup'!$D$2)="","",INDEX(Wishlist!$A:$Z,ROW()-0,'List Setup'!$D$2))</f>
        <v/>
      </c>
      <c r="B161" s="80" t="str">
        <f t="array" ref="B161">IF(A161="","",IFERROR(INDEX('Binder Setup'!$B$2:$B$401,MIN(IF(ISNUMBER(SEARCH(CHAR(10)&amp;'Binder Setup'!$B$2:$B$401&amp;CHAR(10),$H161)),'List Setup'!$Q$2:$Q$401,999),IF(ISNUMBER(SEARCH(CHAR(10)&amp;'Set Aliases'!$A$2:$A$501&amp;CHAR(10),$H161)),'Set Aliases'!$C$2:$C$501,999))),"(none)"))</f>
        <v/>
      </c>
      <c r="C161" s="80" t="str">
        <f t="shared" si="1"/>
        <v/>
      </c>
      <c r="D161" s="80" t="str">
        <f t="array" ref="D161">IF(A161="","",IF(ISLOGICAL(INDEX(Wishlist!$A:$Z,ROW()-0,'List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61" s="80" t="str">
        <f t="shared" si="2"/>
        <v/>
      </c>
      <c r="F161" s="80" t="str">
        <f t="array" ref="F161">IF(A161="","",IF(ISNUMBER(J161),J161,IF(ISNUMBER(INDEX(Wishlist!$A:$Z,ROW()-0,'List Setup'!$F$2)),INDEX(Wishlist!$A:$Z,ROW()-0,'List Setup'!$F$2),0)))</f>
        <v/>
      </c>
      <c r="G161" s="80" t="str">
        <f t="array" ref="G161">IF(A161="","",A161&amp;IF(N(INDEX(Wishlist!$A:$Z,ROW()-0,'List Setup'!$C$2))&gt;1," (x"&amp;INDEX(Wishlist!$A:$Z,ROW()-0,'List Setup'!$C$2)&amp;")","")&amp;IF(COUNTIF(Binders!$J$6:$J$30,TRUE())&gt;1," ["&amp;Q161&amp;"]",""))</f>
        <v/>
      </c>
      <c r="H161" s="80" t="str">
        <f t="array" ref="H161">IF(A161="","",CHAR(10)&amp;INDEX(Wishlist!$A:$Z,ROW()-0,'List Setup'!$E$2)&amp;CHAR(10))</f>
        <v/>
      </c>
      <c r="I161" s="80" t="str">
        <f t="array" ref="I161">IF(OR(B161="",B161="(none)"),"",IF(ISNUMBER(SEARCH(CHAR(10)&amp;B161&amp;CHAR(10),H161)),B161,IFERROR(INDEX('Set Aliases'!$A$2:$A$501,MATCH(1,('Set Aliases'!$B$2:$B$501=B161)*ISNUMBER(SEARCH(CHAR(10)&amp;'Set Aliases'!$A$2:$A$501&amp;CHAR(10),H161)),0)),"")))</f>
        <v/>
      </c>
      <c r="J161" s="80" t="str">
        <f t="array" ref="J161">IF(I161="","",IFERROR(VALUE(TRIM(MID(SUBSTITUTE(INDEX(Wishlist!$A:$Z,ROW()-0,'List Setup'!$G$2),CHAR(10),REPT(" ",100)),((SEARCH(CHAR(10)&amp;I161&amp;CHAR(10),H161)-LEN(SUBSTITUTE(LEFT(H161,SEARCH(CHAR(10)&amp;I161&amp;CHAR(10),H161)),CHAR(10),"")))-1)*100+1,100))),""))</f>
        <v/>
      </c>
      <c r="K161" s="80" t="str">
        <f t="array" ref="K161">IF(A161="","",IF(ISNUMBER(SEARCH("Land",LEFT(IFERROR(INDEX(Wishlist!$A:$Z,ROW()-0,'List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61" s="80" t="str">
        <f t="shared" si="3"/>
        <v/>
      </c>
      <c r="M161" s="80" t="str">
        <f>IF(A161="","",IF(AND(E161="Y",B161='Use at Shop'!$B$4),K161*10000000000+(MAX(0,MIN(26,CODE(MID(UPPER(A161)&amp;"    ",1,1))-64))*19683+MAX(0,MIN(26,CODE(MID(UPPER(A161)&amp;"    ",2,1))-64))*729+MAX(0,MIN(26,CODE(MID(UPPER(A161)&amp;"    ",3,1))-64))*27+MAX(0,MIN(26,CODE(MID(UPPER(A161)&amp;"    ",4,1))-64))*1)*10000+ROW(),""))</f>
        <v/>
      </c>
      <c r="N161" s="80" t="str">
        <f t="shared" si="4"/>
        <v/>
      </c>
      <c r="O161" s="80" t="str">
        <f t="array" ref="O161">IF(A161="","",IFERROR(INDEX(Wishlist!$A:$Z,ROW()-0,'List Setup'!$J$2)&amp;"",""))</f>
        <v/>
      </c>
      <c r="P161" s="2"/>
      <c r="Q161" s="80" t="str">
        <f>IF(A161="","",'List Setup'!$A$2)</f>
        <v/>
      </c>
      <c r="R161" s="80" t="str">
        <f t="array" ref="R161">IF(A161="","",IFERROR(OR(INDEX(Binders!$J$6:$J$30,MATCH(Q161,Binders!$I$6:$I$30,0))=TRUE(),UPPER(INDEX(Binders!$J$6:$J$30,MATCH(Q161,Binders!$I$6:$I$30,0))&amp;"")="TRUE"),FALSE()))</f>
        <v/>
      </c>
    </row>
    <row r="162" ht="15.75" customHeight="1">
      <c r="A162" s="80" t="str">
        <f t="array" ref="A162">IF(INDEX(Wishlist!$A:$Z,ROW()-0,'List Setup'!$D$2)="","",INDEX(Wishlist!$A:$Z,ROW()-0,'List Setup'!$D$2))</f>
        <v/>
      </c>
      <c r="B162" s="80" t="str">
        <f t="array" ref="B162">IF(A162="","",IFERROR(INDEX('Binder Setup'!$B$2:$B$401,MIN(IF(ISNUMBER(SEARCH(CHAR(10)&amp;'Binder Setup'!$B$2:$B$401&amp;CHAR(10),$H162)),'List Setup'!$Q$2:$Q$401,999),IF(ISNUMBER(SEARCH(CHAR(10)&amp;'Set Aliases'!$A$2:$A$501&amp;CHAR(10),$H162)),'Set Aliases'!$C$2:$C$501,999))),"(none)"))</f>
        <v/>
      </c>
      <c r="C162" s="80" t="str">
        <f t="shared" si="1"/>
        <v/>
      </c>
      <c r="D162" s="80" t="str">
        <f t="array" ref="D162">IF(A162="","",IF(ISLOGICAL(INDEX(Wishlist!$A:$Z,ROW()-0,'List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62" s="80" t="str">
        <f t="shared" si="2"/>
        <v/>
      </c>
      <c r="F162" s="80" t="str">
        <f t="array" ref="F162">IF(A162="","",IF(ISNUMBER(J162),J162,IF(ISNUMBER(INDEX(Wishlist!$A:$Z,ROW()-0,'List Setup'!$F$2)),INDEX(Wishlist!$A:$Z,ROW()-0,'List Setup'!$F$2),0)))</f>
        <v/>
      </c>
      <c r="G162" s="80" t="str">
        <f t="array" ref="G162">IF(A162="","",A162&amp;IF(N(INDEX(Wishlist!$A:$Z,ROW()-0,'List Setup'!$C$2))&gt;1," (x"&amp;INDEX(Wishlist!$A:$Z,ROW()-0,'List Setup'!$C$2)&amp;")","")&amp;IF(COUNTIF(Binders!$J$6:$J$30,TRUE())&gt;1," ["&amp;Q162&amp;"]",""))</f>
        <v/>
      </c>
      <c r="H162" s="80" t="str">
        <f t="array" ref="H162">IF(A162="","",CHAR(10)&amp;INDEX(Wishlist!$A:$Z,ROW()-0,'List Setup'!$E$2)&amp;CHAR(10))</f>
        <v/>
      </c>
      <c r="I162" s="80" t="str">
        <f t="array" ref="I162">IF(OR(B162="",B162="(none)"),"",IF(ISNUMBER(SEARCH(CHAR(10)&amp;B162&amp;CHAR(10),H162)),B162,IFERROR(INDEX('Set Aliases'!$A$2:$A$501,MATCH(1,('Set Aliases'!$B$2:$B$501=B162)*ISNUMBER(SEARCH(CHAR(10)&amp;'Set Aliases'!$A$2:$A$501&amp;CHAR(10),H162)),0)),"")))</f>
        <v/>
      </c>
      <c r="J162" s="80" t="str">
        <f t="array" ref="J162">IF(I162="","",IFERROR(VALUE(TRIM(MID(SUBSTITUTE(INDEX(Wishlist!$A:$Z,ROW()-0,'List Setup'!$G$2),CHAR(10),REPT(" ",100)),((SEARCH(CHAR(10)&amp;I162&amp;CHAR(10),H162)-LEN(SUBSTITUTE(LEFT(H162,SEARCH(CHAR(10)&amp;I162&amp;CHAR(10),H162)),CHAR(10),"")))-1)*100+1,100))),""))</f>
        <v/>
      </c>
      <c r="K162" s="80" t="str">
        <f t="array" ref="K162">IF(A162="","",IF(ISNUMBER(SEARCH("Land",LEFT(IFERROR(INDEX(Wishlist!$A:$Z,ROW()-0,'List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62" s="80" t="str">
        <f t="shared" si="3"/>
        <v/>
      </c>
      <c r="M162" s="80" t="str">
        <f>IF(A162="","",IF(AND(E162="Y",B162='Use at Shop'!$B$4),K162*10000000000+(MAX(0,MIN(26,CODE(MID(UPPER(A162)&amp;"    ",1,1))-64))*19683+MAX(0,MIN(26,CODE(MID(UPPER(A162)&amp;"    ",2,1))-64))*729+MAX(0,MIN(26,CODE(MID(UPPER(A162)&amp;"    ",3,1))-64))*27+MAX(0,MIN(26,CODE(MID(UPPER(A162)&amp;"    ",4,1))-64))*1)*10000+ROW(),""))</f>
        <v/>
      </c>
      <c r="N162" s="80" t="str">
        <f t="shared" si="4"/>
        <v/>
      </c>
      <c r="O162" s="80" t="str">
        <f t="array" ref="O162">IF(A162="","",IFERROR(INDEX(Wishlist!$A:$Z,ROW()-0,'List Setup'!$J$2)&amp;"",""))</f>
        <v/>
      </c>
      <c r="P162" s="2"/>
      <c r="Q162" s="80" t="str">
        <f>IF(A162="","",'List Setup'!$A$2)</f>
        <v/>
      </c>
      <c r="R162" s="80" t="str">
        <f t="array" ref="R162">IF(A162="","",IFERROR(OR(INDEX(Binders!$J$6:$J$30,MATCH(Q162,Binders!$I$6:$I$30,0))=TRUE(),UPPER(INDEX(Binders!$J$6:$J$30,MATCH(Q162,Binders!$I$6:$I$30,0))&amp;"")="TRUE"),FALSE()))</f>
        <v/>
      </c>
    </row>
    <row r="163" ht="15.75" customHeight="1">
      <c r="A163" s="80" t="str">
        <f t="array" ref="A163">IF(INDEX(Wishlist!$A:$Z,ROW()-0,'List Setup'!$D$2)="","",INDEX(Wishlist!$A:$Z,ROW()-0,'List Setup'!$D$2))</f>
        <v/>
      </c>
      <c r="B163" s="80" t="str">
        <f t="array" ref="B163">IF(A163="","",IFERROR(INDEX('Binder Setup'!$B$2:$B$401,MIN(IF(ISNUMBER(SEARCH(CHAR(10)&amp;'Binder Setup'!$B$2:$B$401&amp;CHAR(10),$H163)),'List Setup'!$Q$2:$Q$401,999),IF(ISNUMBER(SEARCH(CHAR(10)&amp;'Set Aliases'!$A$2:$A$501&amp;CHAR(10),$H163)),'Set Aliases'!$C$2:$C$501,999))),"(none)"))</f>
        <v/>
      </c>
      <c r="C163" s="80" t="str">
        <f t="shared" si="1"/>
        <v/>
      </c>
      <c r="D163" s="80" t="str">
        <f t="array" ref="D163">IF(A163="","",IF(ISLOGICAL(INDEX(Wishlist!$A:$Z,ROW()-0,'List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63" s="80" t="str">
        <f t="shared" si="2"/>
        <v/>
      </c>
      <c r="F163" s="80" t="str">
        <f t="array" ref="F163">IF(A163="","",IF(ISNUMBER(J163),J163,IF(ISNUMBER(INDEX(Wishlist!$A:$Z,ROW()-0,'List Setup'!$F$2)),INDEX(Wishlist!$A:$Z,ROW()-0,'List Setup'!$F$2),0)))</f>
        <v/>
      </c>
      <c r="G163" s="80" t="str">
        <f t="array" ref="G163">IF(A163="","",A163&amp;IF(N(INDEX(Wishlist!$A:$Z,ROW()-0,'List Setup'!$C$2))&gt;1," (x"&amp;INDEX(Wishlist!$A:$Z,ROW()-0,'List Setup'!$C$2)&amp;")","")&amp;IF(COUNTIF(Binders!$J$6:$J$30,TRUE())&gt;1," ["&amp;Q163&amp;"]",""))</f>
        <v/>
      </c>
      <c r="H163" s="80" t="str">
        <f t="array" ref="H163">IF(A163="","",CHAR(10)&amp;INDEX(Wishlist!$A:$Z,ROW()-0,'List Setup'!$E$2)&amp;CHAR(10))</f>
        <v/>
      </c>
      <c r="I163" s="80" t="str">
        <f t="array" ref="I163">IF(OR(B163="",B163="(none)"),"",IF(ISNUMBER(SEARCH(CHAR(10)&amp;B163&amp;CHAR(10),H163)),B163,IFERROR(INDEX('Set Aliases'!$A$2:$A$501,MATCH(1,('Set Aliases'!$B$2:$B$501=B163)*ISNUMBER(SEARCH(CHAR(10)&amp;'Set Aliases'!$A$2:$A$501&amp;CHAR(10),H163)),0)),"")))</f>
        <v/>
      </c>
      <c r="J163" s="80" t="str">
        <f t="array" ref="J163">IF(I163="","",IFERROR(VALUE(TRIM(MID(SUBSTITUTE(INDEX(Wishlist!$A:$Z,ROW()-0,'List Setup'!$G$2),CHAR(10),REPT(" ",100)),((SEARCH(CHAR(10)&amp;I163&amp;CHAR(10),H163)-LEN(SUBSTITUTE(LEFT(H163,SEARCH(CHAR(10)&amp;I163&amp;CHAR(10),H163)),CHAR(10),"")))-1)*100+1,100))),""))</f>
        <v/>
      </c>
      <c r="K163" s="80" t="str">
        <f t="array" ref="K163">IF(A163="","",IF(ISNUMBER(SEARCH("Land",LEFT(IFERROR(INDEX(Wishlist!$A:$Z,ROW()-0,'List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63" s="80" t="str">
        <f t="shared" si="3"/>
        <v/>
      </c>
      <c r="M163" s="80" t="str">
        <f>IF(A163="","",IF(AND(E163="Y",B163='Use at Shop'!$B$4),K163*10000000000+(MAX(0,MIN(26,CODE(MID(UPPER(A163)&amp;"    ",1,1))-64))*19683+MAX(0,MIN(26,CODE(MID(UPPER(A163)&amp;"    ",2,1))-64))*729+MAX(0,MIN(26,CODE(MID(UPPER(A163)&amp;"    ",3,1))-64))*27+MAX(0,MIN(26,CODE(MID(UPPER(A163)&amp;"    ",4,1))-64))*1)*10000+ROW(),""))</f>
        <v/>
      </c>
      <c r="N163" s="80" t="str">
        <f t="shared" si="4"/>
        <v/>
      </c>
      <c r="O163" s="80" t="str">
        <f t="array" ref="O163">IF(A163="","",IFERROR(INDEX(Wishlist!$A:$Z,ROW()-0,'List Setup'!$J$2)&amp;"",""))</f>
        <v/>
      </c>
      <c r="P163" s="2"/>
      <c r="Q163" s="80" t="str">
        <f>IF(A163="","",'List Setup'!$A$2)</f>
        <v/>
      </c>
      <c r="R163" s="80" t="str">
        <f t="array" ref="R163">IF(A163="","",IFERROR(OR(INDEX(Binders!$J$6:$J$30,MATCH(Q163,Binders!$I$6:$I$30,0))=TRUE(),UPPER(INDEX(Binders!$J$6:$J$30,MATCH(Q163,Binders!$I$6:$I$30,0))&amp;"")="TRUE"),FALSE()))</f>
        <v/>
      </c>
    </row>
    <row r="164" ht="15.75" customHeight="1">
      <c r="A164" s="80" t="str">
        <f t="array" ref="A164">IF(INDEX(Wishlist!$A:$Z,ROW()-0,'List Setup'!$D$2)="","",INDEX(Wishlist!$A:$Z,ROW()-0,'List Setup'!$D$2))</f>
        <v/>
      </c>
      <c r="B164" s="80" t="str">
        <f t="array" ref="B164">IF(A164="","",IFERROR(INDEX('Binder Setup'!$B$2:$B$401,MIN(IF(ISNUMBER(SEARCH(CHAR(10)&amp;'Binder Setup'!$B$2:$B$401&amp;CHAR(10),$H164)),'List Setup'!$Q$2:$Q$401,999),IF(ISNUMBER(SEARCH(CHAR(10)&amp;'Set Aliases'!$A$2:$A$501&amp;CHAR(10),$H164)),'Set Aliases'!$C$2:$C$501,999))),"(none)"))</f>
        <v/>
      </c>
      <c r="C164" s="80" t="str">
        <f t="shared" si="1"/>
        <v/>
      </c>
      <c r="D164" s="80" t="str">
        <f t="array" ref="D164">IF(A164="","",IF(ISLOGICAL(INDEX(Wishlist!$A:$Z,ROW()-0,'List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64" s="80" t="str">
        <f t="shared" si="2"/>
        <v/>
      </c>
      <c r="F164" s="80" t="str">
        <f t="array" ref="F164">IF(A164="","",IF(ISNUMBER(J164),J164,IF(ISNUMBER(INDEX(Wishlist!$A:$Z,ROW()-0,'List Setup'!$F$2)),INDEX(Wishlist!$A:$Z,ROW()-0,'List Setup'!$F$2),0)))</f>
        <v/>
      </c>
      <c r="G164" s="80" t="str">
        <f t="array" ref="G164">IF(A164="","",A164&amp;IF(N(INDEX(Wishlist!$A:$Z,ROW()-0,'List Setup'!$C$2))&gt;1," (x"&amp;INDEX(Wishlist!$A:$Z,ROW()-0,'List Setup'!$C$2)&amp;")","")&amp;IF(COUNTIF(Binders!$J$6:$J$30,TRUE())&gt;1," ["&amp;Q164&amp;"]",""))</f>
        <v/>
      </c>
      <c r="H164" s="80" t="str">
        <f t="array" ref="H164">IF(A164="","",CHAR(10)&amp;INDEX(Wishlist!$A:$Z,ROW()-0,'List Setup'!$E$2)&amp;CHAR(10))</f>
        <v/>
      </c>
      <c r="I164" s="80" t="str">
        <f t="array" ref="I164">IF(OR(B164="",B164="(none)"),"",IF(ISNUMBER(SEARCH(CHAR(10)&amp;B164&amp;CHAR(10),H164)),B164,IFERROR(INDEX('Set Aliases'!$A$2:$A$501,MATCH(1,('Set Aliases'!$B$2:$B$501=B164)*ISNUMBER(SEARCH(CHAR(10)&amp;'Set Aliases'!$A$2:$A$501&amp;CHAR(10),H164)),0)),"")))</f>
        <v/>
      </c>
      <c r="J164" s="80" t="str">
        <f t="array" ref="J164">IF(I164="","",IFERROR(VALUE(TRIM(MID(SUBSTITUTE(INDEX(Wishlist!$A:$Z,ROW()-0,'List Setup'!$G$2),CHAR(10),REPT(" ",100)),((SEARCH(CHAR(10)&amp;I164&amp;CHAR(10),H164)-LEN(SUBSTITUTE(LEFT(H164,SEARCH(CHAR(10)&amp;I164&amp;CHAR(10),H164)),CHAR(10),"")))-1)*100+1,100))),""))</f>
        <v/>
      </c>
      <c r="K164" s="80" t="str">
        <f t="array" ref="K164">IF(A164="","",IF(ISNUMBER(SEARCH("Land",LEFT(IFERROR(INDEX(Wishlist!$A:$Z,ROW()-0,'List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64" s="80" t="str">
        <f t="shared" si="3"/>
        <v/>
      </c>
      <c r="M164" s="80" t="str">
        <f>IF(A164="","",IF(AND(E164="Y",B164='Use at Shop'!$B$4),K164*10000000000+(MAX(0,MIN(26,CODE(MID(UPPER(A164)&amp;"    ",1,1))-64))*19683+MAX(0,MIN(26,CODE(MID(UPPER(A164)&amp;"    ",2,1))-64))*729+MAX(0,MIN(26,CODE(MID(UPPER(A164)&amp;"    ",3,1))-64))*27+MAX(0,MIN(26,CODE(MID(UPPER(A164)&amp;"    ",4,1))-64))*1)*10000+ROW(),""))</f>
        <v/>
      </c>
      <c r="N164" s="80" t="str">
        <f t="shared" si="4"/>
        <v/>
      </c>
      <c r="O164" s="80" t="str">
        <f t="array" ref="O164">IF(A164="","",IFERROR(INDEX(Wishlist!$A:$Z,ROW()-0,'List Setup'!$J$2)&amp;"",""))</f>
        <v/>
      </c>
      <c r="P164" s="2"/>
      <c r="Q164" s="80" t="str">
        <f>IF(A164="","",'List Setup'!$A$2)</f>
        <v/>
      </c>
      <c r="R164" s="80" t="str">
        <f t="array" ref="R164">IF(A164="","",IFERROR(OR(INDEX(Binders!$J$6:$J$30,MATCH(Q164,Binders!$I$6:$I$30,0))=TRUE(),UPPER(INDEX(Binders!$J$6:$J$30,MATCH(Q164,Binders!$I$6:$I$30,0))&amp;"")="TRUE"),FALSE()))</f>
        <v/>
      </c>
    </row>
    <row r="165" ht="15.75" customHeight="1">
      <c r="A165" s="80" t="str">
        <f t="array" ref="A165">IF(INDEX(Wishlist!$A:$Z,ROW()-0,'List Setup'!$D$2)="","",INDEX(Wishlist!$A:$Z,ROW()-0,'List Setup'!$D$2))</f>
        <v/>
      </c>
      <c r="B165" s="80" t="str">
        <f t="array" ref="B165">IF(A165="","",IFERROR(INDEX('Binder Setup'!$B$2:$B$401,MIN(IF(ISNUMBER(SEARCH(CHAR(10)&amp;'Binder Setup'!$B$2:$B$401&amp;CHAR(10),$H165)),'List Setup'!$Q$2:$Q$401,999),IF(ISNUMBER(SEARCH(CHAR(10)&amp;'Set Aliases'!$A$2:$A$501&amp;CHAR(10),$H165)),'Set Aliases'!$C$2:$C$501,999))),"(none)"))</f>
        <v/>
      </c>
      <c r="C165" s="80" t="str">
        <f t="shared" si="1"/>
        <v/>
      </c>
      <c r="D165" s="80" t="str">
        <f t="array" ref="D165">IF(A165="","",IF(ISLOGICAL(INDEX(Wishlist!$A:$Z,ROW()-0,'List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65" s="80" t="str">
        <f t="shared" si="2"/>
        <v/>
      </c>
      <c r="F165" s="80" t="str">
        <f t="array" ref="F165">IF(A165="","",IF(ISNUMBER(J165),J165,IF(ISNUMBER(INDEX(Wishlist!$A:$Z,ROW()-0,'List Setup'!$F$2)),INDEX(Wishlist!$A:$Z,ROW()-0,'List Setup'!$F$2),0)))</f>
        <v/>
      </c>
      <c r="G165" s="80" t="str">
        <f t="array" ref="G165">IF(A165="","",A165&amp;IF(N(INDEX(Wishlist!$A:$Z,ROW()-0,'List Setup'!$C$2))&gt;1," (x"&amp;INDEX(Wishlist!$A:$Z,ROW()-0,'List Setup'!$C$2)&amp;")","")&amp;IF(COUNTIF(Binders!$J$6:$J$30,TRUE())&gt;1," ["&amp;Q165&amp;"]",""))</f>
        <v/>
      </c>
      <c r="H165" s="80" t="str">
        <f t="array" ref="H165">IF(A165="","",CHAR(10)&amp;INDEX(Wishlist!$A:$Z,ROW()-0,'List Setup'!$E$2)&amp;CHAR(10))</f>
        <v/>
      </c>
      <c r="I165" s="80" t="str">
        <f t="array" ref="I165">IF(OR(B165="",B165="(none)"),"",IF(ISNUMBER(SEARCH(CHAR(10)&amp;B165&amp;CHAR(10),H165)),B165,IFERROR(INDEX('Set Aliases'!$A$2:$A$501,MATCH(1,('Set Aliases'!$B$2:$B$501=B165)*ISNUMBER(SEARCH(CHAR(10)&amp;'Set Aliases'!$A$2:$A$501&amp;CHAR(10),H165)),0)),"")))</f>
        <v/>
      </c>
      <c r="J165" s="80" t="str">
        <f t="array" ref="J165">IF(I165="","",IFERROR(VALUE(TRIM(MID(SUBSTITUTE(INDEX(Wishlist!$A:$Z,ROW()-0,'List Setup'!$G$2),CHAR(10),REPT(" ",100)),((SEARCH(CHAR(10)&amp;I165&amp;CHAR(10),H165)-LEN(SUBSTITUTE(LEFT(H165,SEARCH(CHAR(10)&amp;I165&amp;CHAR(10),H165)),CHAR(10),"")))-1)*100+1,100))),""))</f>
        <v/>
      </c>
      <c r="K165" s="80" t="str">
        <f t="array" ref="K165">IF(A165="","",IF(ISNUMBER(SEARCH("Land",LEFT(IFERROR(INDEX(Wishlist!$A:$Z,ROW()-0,'List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65" s="80" t="str">
        <f t="shared" si="3"/>
        <v/>
      </c>
      <c r="M165" s="80" t="str">
        <f>IF(A165="","",IF(AND(E165="Y",B165='Use at Shop'!$B$4),K165*10000000000+(MAX(0,MIN(26,CODE(MID(UPPER(A165)&amp;"    ",1,1))-64))*19683+MAX(0,MIN(26,CODE(MID(UPPER(A165)&amp;"    ",2,1))-64))*729+MAX(0,MIN(26,CODE(MID(UPPER(A165)&amp;"    ",3,1))-64))*27+MAX(0,MIN(26,CODE(MID(UPPER(A165)&amp;"    ",4,1))-64))*1)*10000+ROW(),""))</f>
        <v/>
      </c>
      <c r="N165" s="80" t="str">
        <f t="shared" si="4"/>
        <v/>
      </c>
      <c r="O165" s="80" t="str">
        <f t="array" ref="O165">IF(A165="","",IFERROR(INDEX(Wishlist!$A:$Z,ROW()-0,'List Setup'!$J$2)&amp;"",""))</f>
        <v/>
      </c>
      <c r="P165" s="2"/>
      <c r="Q165" s="80" t="str">
        <f>IF(A165="","",'List Setup'!$A$2)</f>
        <v/>
      </c>
      <c r="R165" s="80" t="str">
        <f t="array" ref="R165">IF(A165="","",IFERROR(OR(INDEX(Binders!$J$6:$J$30,MATCH(Q165,Binders!$I$6:$I$30,0))=TRUE(),UPPER(INDEX(Binders!$J$6:$J$30,MATCH(Q165,Binders!$I$6:$I$30,0))&amp;"")="TRUE"),FALSE()))</f>
        <v/>
      </c>
    </row>
    <row r="166" ht="15.75" customHeight="1">
      <c r="A166" s="80" t="str">
        <f t="array" ref="A166">IF(INDEX(Wishlist!$A:$Z,ROW()-0,'List Setup'!$D$2)="","",INDEX(Wishlist!$A:$Z,ROW()-0,'List Setup'!$D$2))</f>
        <v/>
      </c>
      <c r="B166" s="80" t="str">
        <f t="array" ref="B166">IF(A166="","",IFERROR(INDEX('Binder Setup'!$B$2:$B$401,MIN(IF(ISNUMBER(SEARCH(CHAR(10)&amp;'Binder Setup'!$B$2:$B$401&amp;CHAR(10),$H166)),'List Setup'!$Q$2:$Q$401,999),IF(ISNUMBER(SEARCH(CHAR(10)&amp;'Set Aliases'!$A$2:$A$501&amp;CHAR(10),$H166)),'Set Aliases'!$C$2:$C$501,999))),"(none)"))</f>
        <v/>
      </c>
      <c r="C166" s="80" t="str">
        <f t="shared" si="1"/>
        <v/>
      </c>
      <c r="D166" s="80" t="str">
        <f t="array" ref="D166">IF(A166="","",IF(ISLOGICAL(INDEX(Wishlist!$A:$Z,ROW()-0,'List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66" s="80" t="str">
        <f t="shared" si="2"/>
        <v/>
      </c>
      <c r="F166" s="80" t="str">
        <f t="array" ref="F166">IF(A166="","",IF(ISNUMBER(J166),J166,IF(ISNUMBER(INDEX(Wishlist!$A:$Z,ROW()-0,'List Setup'!$F$2)),INDEX(Wishlist!$A:$Z,ROW()-0,'List Setup'!$F$2),0)))</f>
        <v/>
      </c>
      <c r="G166" s="80" t="str">
        <f t="array" ref="G166">IF(A166="","",A166&amp;IF(N(INDEX(Wishlist!$A:$Z,ROW()-0,'List Setup'!$C$2))&gt;1," (x"&amp;INDEX(Wishlist!$A:$Z,ROW()-0,'List Setup'!$C$2)&amp;")","")&amp;IF(COUNTIF(Binders!$J$6:$J$30,TRUE())&gt;1," ["&amp;Q166&amp;"]",""))</f>
        <v/>
      </c>
      <c r="H166" s="80" t="str">
        <f t="array" ref="H166">IF(A166="","",CHAR(10)&amp;INDEX(Wishlist!$A:$Z,ROW()-0,'List Setup'!$E$2)&amp;CHAR(10))</f>
        <v/>
      </c>
      <c r="I166" s="80" t="str">
        <f t="array" ref="I166">IF(OR(B166="",B166="(none)"),"",IF(ISNUMBER(SEARCH(CHAR(10)&amp;B166&amp;CHAR(10),H166)),B166,IFERROR(INDEX('Set Aliases'!$A$2:$A$501,MATCH(1,('Set Aliases'!$B$2:$B$501=B166)*ISNUMBER(SEARCH(CHAR(10)&amp;'Set Aliases'!$A$2:$A$501&amp;CHAR(10),H166)),0)),"")))</f>
        <v/>
      </c>
      <c r="J166" s="80" t="str">
        <f t="array" ref="J166">IF(I166="","",IFERROR(VALUE(TRIM(MID(SUBSTITUTE(INDEX(Wishlist!$A:$Z,ROW()-0,'List Setup'!$G$2),CHAR(10),REPT(" ",100)),((SEARCH(CHAR(10)&amp;I166&amp;CHAR(10),H166)-LEN(SUBSTITUTE(LEFT(H166,SEARCH(CHAR(10)&amp;I166&amp;CHAR(10),H166)),CHAR(10),"")))-1)*100+1,100))),""))</f>
        <v/>
      </c>
      <c r="K166" s="80" t="str">
        <f t="array" ref="K166">IF(A166="","",IF(ISNUMBER(SEARCH("Land",LEFT(IFERROR(INDEX(Wishlist!$A:$Z,ROW()-0,'List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66" s="80" t="str">
        <f t="shared" si="3"/>
        <v/>
      </c>
      <c r="M166" s="80" t="str">
        <f>IF(A166="","",IF(AND(E166="Y",B166='Use at Shop'!$B$4),K166*10000000000+(MAX(0,MIN(26,CODE(MID(UPPER(A166)&amp;"    ",1,1))-64))*19683+MAX(0,MIN(26,CODE(MID(UPPER(A166)&amp;"    ",2,1))-64))*729+MAX(0,MIN(26,CODE(MID(UPPER(A166)&amp;"    ",3,1))-64))*27+MAX(0,MIN(26,CODE(MID(UPPER(A166)&amp;"    ",4,1))-64))*1)*10000+ROW(),""))</f>
        <v/>
      </c>
      <c r="N166" s="80" t="str">
        <f t="shared" si="4"/>
        <v/>
      </c>
      <c r="O166" s="80" t="str">
        <f t="array" ref="O166">IF(A166="","",IFERROR(INDEX(Wishlist!$A:$Z,ROW()-0,'List Setup'!$J$2)&amp;"",""))</f>
        <v/>
      </c>
      <c r="P166" s="2"/>
      <c r="Q166" s="80" t="str">
        <f>IF(A166="","",'List Setup'!$A$2)</f>
        <v/>
      </c>
      <c r="R166" s="80" t="str">
        <f t="array" ref="R166">IF(A166="","",IFERROR(OR(INDEX(Binders!$J$6:$J$30,MATCH(Q166,Binders!$I$6:$I$30,0))=TRUE(),UPPER(INDEX(Binders!$J$6:$J$30,MATCH(Q166,Binders!$I$6:$I$30,0))&amp;"")="TRUE"),FALSE()))</f>
        <v/>
      </c>
    </row>
    <row r="167" ht="15.75" customHeight="1">
      <c r="A167" s="80" t="str">
        <f t="array" ref="A167">IF(INDEX(Wishlist!$A:$Z,ROW()-0,'List Setup'!$D$2)="","",INDEX(Wishlist!$A:$Z,ROW()-0,'List Setup'!$D$2))</f>
        <v/>
      </c>
      <c r="B167" s="80" t="str">
        <f t="array" ref="B167">IF(A167="","",IFERROR(INDEX('Binder Setup'!$B$2:$B$401,MIN(IF(ISNUMBER(SEARCH(CHAR(10)&amp;'Binder Setup'!$B$2:$B$401&amp;CHAR(10),$H167)),'List Setup'!$Q$2:$Q$401,999),IF(ISNUMBER(SEARCH(CHAR(10)&amp;'Set Aliases'!$A$2:$A$501&amp;CHAR(10),$H167)),'Set Aliases'!$C$2:$C$501,999))),"(none)"))</f>
        <v/>
      </c>
      <c r="C167" s="80" t="str">
        <f t="shared" si="1"/>
        <v/>
      </c>
      <c r="D167" s="80" t="str">
        <f t="array" ref="D167">IF(A167="","",IF(ISLOGICAL(INDEX(Wishlist!$A:$Z,ROW()-0,'List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67" s="80" t="str">
        <f t="shared" si="2"/>
        <v/>
      </c>
      <c r="F167" s="80" t="str">
        <f t="array" ref="F167">IF(A167="","",IF(ISNUMBER(J167),J167,IF(ISNUMBER(INDEX(Wishlist!$A:$Z,ROW()-0,'List Setup'!$F$2)),INDEX(Wishlist!$A:$Z,ROW()-0,'List Setup'!$F$2),0)))</f>
        <v/>
      </c>
      <c r="G167" s="80" t="str">
        <f t="array" ref="G167">IF(A167="","",A167&amp;IF(N(INDEX(Wishlist!$A:$Z,ROW()-0,'List Setup'!$C$2))&gt;1," (x"&amp;INDEX(Wishlist!$A:$Z,ROW()-0,'List Setup'!$C$2)&amp;")","")&amp;IF(COUNTIF(Binders!$J$6:$J$30,TRUE())&gt;1," ["&amp;Q167&amp;"]",""))</f>
        <v/>
      </c>
      <c r="H167" s="80" t="str">
        <f t="array" ref="H167">IF(A167="","",CHAR(10)&amp;INDEX(Wishlist!$A:$Z,ROW()-0,'List Setup'!$E$2)&amp;CHAR(10))</f>
        <v/>
      </c>
      <c r="I167" s="80" t="str">
        <f t="array" ref="I167">IF(OR(B167="",B167="(none)"),"",IF(ISNUMBER(SEARCH(CHAR(10)&amp;B167&amp;CHAR(10),H167)),B167,IFERROR(INDEX('Set Aliases'!$A$2:$A$501,MATCH(1,('Set Aliases'!$B$2:$B$501=B167)*ISNUMBER(SEARCH(CHAR(10)&amp;'Set Aliases'!$A$2:$A$501&amp;CHAR(10),H167)),0)),"")))</f>
        <v/>
      </c>
      <c r="J167" s="80" t="str">
        <f t="array" ref="J167">IF(I167="","",IFERROR(VALUE(TRIM(MID(SUBSTITUTE(INDEX(Wishlist!$A:$Z,ROW()-0,'List Setup'!$G$2),CHAR(10),REPT(" ",100)),((SEARCH(CHAR(10)&amp;I167&amp;CHAR(10),H167)-LEN(SUBSTITUTE(LEFT(H167,SEARCH(CHAR(10)&amp;I167&amp;CHAR(10),H167)),CHAR(10),"")))-1)*100+1,100))),""))</f>
        <v/>
      </c>
      <c r="K167" s="80" t="str">
        <f t="array" ref="K167">IF(A167="","",IF(ISNUMBER(SEARCH("Land",LEFT(IFERROR(INDEX(Wishlist!$A:$Z,ROW()-0,'List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67" s="80" t="str">
        <f t="shared" si="3"/>
        <v/>
      </c>
      <c r="M167" s="80" t="str">
        <f>IF(A167="","",IF(AND(E167="Y",B167='Use at Shop'!$B$4),K167*10000000000+(MAX(0,MIN(26,CODE(MID(UPPER(A167)&amp;"    ",1,1))-64))*19683+MAX(0,MIN(26,CODE(MID(UPPER(A167)&amp;"    ",2,1))-64))*729+MAX(0,MIN(26,CODE(MID(UPPER(A167)&amp;"    ",3,1))-64))*27+MAX(0,MIN(26,CODE(MID(UPPER(A167)&amp;"    ",4,1))-64))*1)*10000+ROW(),""))</f>
        <v/>
      </c>
      <c r="N167" s="80" t="str">
        <f t="shared" si="4"/>
        <v/>
      </c>
      <c r="O167" s="80" t="str">
        <f t="array" ref="O167">IF(A167="","",IFERROR(INDEX(Wishlist!$A:$Z,ROW()-0,'List Setup'!$J$2)&amp;"",""))</f>
        <v/>
      </c>
      <c r="P167" s="2"/>
      <c r="Q167" s="80" t="str">
        <f>IF(A167="","",'List Setup'!$A$2)</f>
        <v/>
      </c>
      <c r="R167" s="80" t="str">
        <f t="array" ref="R167">IF(A167="","",IFERROR(OR(INDEX(Binders!$J$6:$J$30,MATCH(Q167,Binders!$I$6:$I$30,0))=TRUE(),UPPER(INDEX(Binders!$J$6:$J$30,MATCH(Q167,Binders!$I$6:$I$30,0))&amp;"")="TRUE"),FALSE()))</f>
        <v/>
      </c>
    </row>
    <row r="168" ht="15.75" customHeight="1">
      <c r="A168" s="80" t="str">
        <f t="array" ref="A168">IF(INDEX(Wishlist!$A:$Z,ROW()-0,'List Setup'!$D$2)="","",INDEX(Wishlist!$A:$Z,ROW()-0,'List Setup'!$D$2))</f>
        <v/>
      </c>
      <c r="B168" s="80" t="str">
        <f t="array" ref="B168">IF(A168="","",IFERROR(INDEX('Binder Setup'!$B$2:$B$401,MIN(IF(ISNUMBER(SEARCH(CHAR(10)&amp;'Binder Setup'!$B$2:$B$401&amp;CHAR(10),$H168)),'List Setup'!$Q$2:$Q$401,999),IF(ISNUMBER(SEARCH(CHAR(10)&amp;'Set Aliases'!$A$2:$A$501&amp;CHAR(10),$H168)),'Set Aliases'!$C$2:$C$501,999))),"(none)"))</f>
        <v/>
      </c>
      <c r="C168" s="80" t="str">
        <f t="shared" si="1"/>
        <v/>
      </c>
      <c r="D168" s="80" t="str">
        <f t="array" ref="D168">IF(A168="","",IF(ISLOGICAL(INDEX(Wishlist!$A:$Z,ROW()-0,'List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68" s="80" t="str">
        <f t="shared" si="2"/>
        <v/>
      </c>
      <c r="F168" s="80" t="str">
        <f t="array" ref="F168">IF(A168="","",IF(ISNUMBER(J168),J168,IF(ISNUMBER(INDEX(Wishlist!$A:$Z,ROW()-0,'List Setup'!$F$2)),INDEX(Wishlist!$A:$Z,ROW()-0,'List Setup'!$F$2),0)))</f>
        <v/>
      </c>
      <c r="G168" s="80" t="str">
        <f t="array" ref="G168">IF(A168="","",A168&amp;IF(N(INDEX(Wishlist!$A:$Z,ROW()-0,'List Setup'!$C$2))&gt;1," (x"&amp;INDEX(Wishlist!$A:$Z,ROW()-0,'List Setup'!$C$2)&amp;")","")&amp;IF(COUNTIF(Binders!$J$6:$J$30,TRUE())&gt;1," ["&amp;Q168&amp;"]",""))</f>
        <v/>
      </c>
      <c r="H168" s="80" t="str">
        <f t="array" ref="H168">IF(A168="","",CHAR(10)&amp;INDEX(Wishlist!$A:$Z,ROW()-0,'List Setup'!$E$2)&amp;CHAR(10))</f>
        <v/>
      </c>
      <c r="I168" s="80" t="str">
        <f t="array" ref="I168">IF(OR(B168="",B168="(none)"),"",IF(ISNUMBER(SEARCH(CHAR(10)&amp;B168&amp;CHAR(10),H168)),B168,IFERROR(INDEX('Set Aliases'!$A$2:$A$501,MATCH(1,('Set Aliases'!$B$2:$B$501=B168)*ISNUMBER(SEARCH(CHAR(10)&amp;'Set Aliases'!$A$2:$A$501&amp;CHAR(10),H168)),0)),"")))</f>
        <v/>
      </c>
      <c r="J168" s="80" t="str">
        <f t="array" ref="J168">IF(I168="","",IFERROR(VALUE(TRIM(MID(SUBSTITUTE(INDEX(Wishlist!$A:$Z,ROW()-0,'List Setup'!$G$2),CHAR(10),REPT(" ",100)),((SEARCH(CHAR(10)&amp;I168&amp;CHAR(10),H168)-LEN(SUBSTITUTE(LEFT(H168,SEARCH(CHAR(10)&amp;I168&amp;CHAR(10),H168)),CHAR(10),"")))-1)*100+1,100))),""))</f>
        <v/>
      </c>
      <c r="K168" s="80" t="str">
        <f t="array" ref="K168">IF(A168="","",IF(ISNUMBER(SEARCH("Land",LEFT(IFERROR(INDEX(Wishlist!$A:$Z,ROW()-0,'List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68" s="80" t="str">
        <f t="shared" si="3"/>
        <v/>
      </c>
      <c r="M168" s="80" t="str">
        <f>IF(A168="","",IF(AND(E168="Y",B168='Use at Shop'!$B$4),K168*10000000000+(MAX(0,MIN(26,CODE(MID(UPPER(A168)&amp;"    ",1,1))-64))*19683+MAX(0,MIN(26,CODE(MID(UPPER(A168)&amp;"    ",2,1))-64))*729+MAX(0,MIN(26,CODE(MID(UPPER(A168)&amp;"    ",3,1))-64))*27+MAX(0,MIN(26,CODE(MID(UPPER(A168)&amp;"    ",4,1))-64))*1)*10000+ROW(),""))</f>
        <v/>
      </c>
      <c r="N168" s="80" t="str">
        <f t="shared" si="4"/>
        <v/>
      </c>
      <c r="O168" s="80" t="str">
        <f t="array" ref="O168">IF(A168="","",IFERROR(INDEX(Wishlist!$A:$Z,ROW()-0,'List Setup'!$J$2)&amp;"",""))</f>
        <v/>
      </c>
      <c r="P168" s="2"/>
      <c r="Q168" s="80" t="str">
        <f>IF(A168="","",'List Setup'!$A$2)</f>
        <v/>
      </c>
      <c r="R168" s="80" t="str">
        <f t="array" ref="R168">IF(A168="","",IFERROR(OR(INDEX(Binders!$J$6:$J$30,MATCH(Q168,Binders!$I$6:$I$30,0))=TRUE(),UPPER(INDEX(Binders!$J$6:$J$30,MATCH(Q168,Binders!$I$6:$I$30,0))&amp;"")="TRUE"),FALSE()))</f>
        <v/>
      </c>
    </row>
    <row r="169" ht="15.75" customHeight="1">
      <c r="A169" s="80" t="str">
        <f t="array" ref="A169">IF(INDEX(Wishlist!$A:$Z,ROW()-0,'List Setup'!$D$2)="","",INDEX(Wishlist!$A:$Z,ROW()-0,'List Setup'!$D$2))</f>
        <v/>
      </c>
      <c r="B169" s="80" t="str">
        <f t="array" ref="B169">IF(A169="","",IFERROR(INDEX('Binder Setup'!$B$2:$B$401,MIN(IF(ISNUMBER(SEARCH(CHAR(10)&amp;'Binder Setup'!$B$2:$B$401&amp;CHAR(10),$H169)),'List Setup'!$Q$2:$Q$401,999),IF(ISNUMBER(SEARCH(CHAR(10)&amp;'Set Aliases'!$A$2:$A$501&amp;CHAR(10),$H169)),'Set Aliases'!$C$2:$C$501,999))),"(none)"))</f>
        <v/>
      </c>
      <c r="C169" s="80" t="str">
        <f t="shared" si="1"/>
        <v/>
      </c>
      <c r="D169" s="80" t="str">
        <f t="array" ref="D169">IF(A169="","",IF(ISLOGICAL(INDEX(Wishlist!$A:$Z,ROW()-0,'List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69" s="80" t="str">
        <f t="shared" si="2"/>
        <v/>
      </c>
      <c r="F169" s="80" t="str">
        <f t="array" ref="F169">IF(A169="","",IF(ISNUMBER(J169),J169,IF(ISNUMBER(INDEX(Wishlist!$A:$Z,ROW()-0,'List Setup'!$F$2)),INDEX(Wishlist!$A:$Z,ROW()-0,'List Setup'!$F$2),0)))</f>
        <v/>
      </c>
      <c r="G169" s="80" t="str">
        <f t="array" ref="G169">IF(A169="","",A169&amp;IF(N(INDEX(Wishlist!$A:$Z,ROW()-0,'List Setup'!$C$2))&gt;1," (x"&amp;INDEX(Wishlist!$A:$Z,ROW()-0,'List Setup'!$C$2)&amp;")","")&amp;IF(COUNTIF(Binders!$J$6:$J$30,TRUE())&gt;1," ["&amp;Q169&amp;"]",""))</f>
        <v/>
      </c>
      <c r="H169" s="80" t="str">
        <f t="array" ref="H169">IF(A169="","",CHAR(10)&amp;INDEX(Wishlist!$A:$Z,ROW()-0,'List Setup'!$E$2)&amp;CHAR(10))</f>
        <v/>
      </c>
      <c r="I169" s="80" t="str">
        <f t="array" ref="I169">IF(OR(B169="",B169="(none)"),"",IF(ISNUMBER(SEARCH(CHAR(10)&amp;B169&amp;CHAR(10),H169)),B169,IFERROR(INDEX('Set Aliases'!$A$2:$A$501,MATCH(1,('Set Aliases'!$B$2:$B$501=B169)*ISNUMBER(SEARCH(CHAR(10)&amp;'Set Aliases'!$A$2:$A$501&amp;CHAR(10),H169)),0)),"")))</f>
        <v/>
      </c>
      <c r="J169" s="80" t="str">
        <f t="array" ref="J169">IF(I169="","",IFERROR(VALUE(TRIM(MID(SUBSTITUTE(INDEX(Wishlist!$A:$Z,ROW()-0,'List Setup'!$G$2),CHAR(10),REPT(" ",100)),((SEARCH(CHAR(10)&amp;I169&amp;CHAR(10),H169)-LEN(SUBSTITUTE(LEFT(H169,SEARCH(CHAR(10)&amp;I169&amp;CHAR(10),H169)),CHAR(10),"")))-1)*100+1,100))),""))</f>
        <v/>
      </c>
      <c r="K169" s="80" t="str">
        <f t="array" ref="K169">IF(A169="","",IF(ISNUMBER(SEARCH("Land",LEFT(IFERROR(INDEX(Wishlist!$A:$Z,ROW()-0,'List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69" s="80" t="str">
        <f t="shared" si="3"/>
        <v/>
      </c>
      <c r="M169" s="80" t="str">
        <f>IF(A169="","",IF(AND(E169="Y",B169='Use at Shop'!$B$4),K169*10000000000+(MAX(0,MIN(26,CODE(MID(UPPER(A169)&amp;"    ",1,1))-64))*19683+MAX(0,MIN(26,CODE(MID(UPPER(A169)&amp;"    ",2,1))-64))*729+MAX(0,MIN(26,CODE(MID(UPPER(A169)&amp;"    ",3,1))-64))*27+MAX(0,MIN(26,CODE(MID(UPPER(A169)&amp;"    ",4,1))-64))*1)*10000+ROW(),""))</f>
        <v/>
      </c>
      <c r="N169" s="80" t="str">
        <f t="shared" si="4"/>
        <v/>
      </c>
      <c r="O169" s="80" t="str">
        <f t="array" ref="O169">IF(A169="","",IFERROR(INDEX(Wishlist!$A:$Z,ROW()-0,'List Setup'!$J$2)&amp;"",""))</f>
        <v/>
      </c>
      <c r="P169" s="2"/>
      <c r="Q169" s="80" t="str">
        <f>IF(A169="","",'List Setup'!$A$2)</f>
        <v/>
      </c>
      <c r="R169" s="80" t="str">
        <f t="array" ref="R169">IF(A169="","",IFERROR(OR(INDEX(Binders!$J$6:$J$30,MATCH(Q169,Binders!$I$6:$I$30,0))=TRUE(),UPPER(INDEX(Binders!$J$6:$J$30,MATCH(Q169,Binders!$I$6:$I$30,0))&amp;"")="TRUE"),FALSE()))</f>
        <v/>
      </c>
    </row>
    <row r="170" ht="15.75" customHeight="1">
      <c r="A170" s="80" t="str">
        <f t="array" ref="A170">IF(INDEX(Wishlist!$A:$Z,ROW()-0,'List Setup'!$D$2)="","",INDEX(Wishlist!$A:$Z,ROW()-0,'List Setup'!$D$2))</f>
        <v/>
      </c>
      <c r="B170" s="80" t="str">
        <f t="array" ref="B170">IF(A170="","",IFERROR(INDEX('Binder Setup'!$B$2:$B$401,MIN(IF(ISNUMBER(SEARCH(CHAR(10)&amp;'Binder Setup'!$B$2:$B$401&amp;CHAR(10),$H170)),'List Setup'!$Q$2:$Q$401,999),IF(ISNUMBER(SEARCH(CHAR(10)&amp;'Set Aliases'!$A$2:$A$501&amp;CHAR(10),$H170)),'Set Aliases'!$C$2:$C$501,999))),"(none)"))</f>
        <v/>
      </c>
      <c r="C170" s="80" t="str">
        <f t="shared" si="1"/>
        <v/>
      </c>
      <c r="D170" s="80" t="str">
        <f t="array" ref="D170">IF(A170="","",IF(ISLOGICAL(INDEX(Wishlist!$A:$Z,ROW()-0,'List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70" s="80" t="str">
        <f t="shared" si="2"/>
        <v/>
      </c>
      <c r="F170" s="80" t="str">
        <f t="array" ref="F170">IF(A170="","",IF(ISNUMBER(J170),J170,IF(ISNUMBER(INDEX(Wishlist!$A:$Z,ROW()-0,'List Setup'!$F$2)),INDEX(Wishlist!$A:$Z,ROW()-0,'List Setup'!$F$2),0)))</f>
        <v/>
      </c>
      <c r="G170" s="80" t="str">
        <f t="array" ref="G170">IF(A170="","",A170&amp;IF(N(INDEX(Wishlist!$A:$Z,ROW()-0,'List Setup'!$C$2))&gt;1," (x"&amp;INDEX(Wishlist!$A:$Z,ROW()-0,'List Setup'!$C$2)&amp;")","")&amp;IF(COUNTIF(Binders!$J$6:$J$30,TRUE())&gt;1," ["&amp;Q170&amp;"]",""))</f>
        <v/>
      </c>
      <c r="H170" s="80" t="str">
        <f t="array" ref="H170">IF(A170="","",CHAR(10)&amp;INDEX(Wishlist!$A:$Z,ROW()-0,'List Setup'!$E$2)&amp;CHAR(10))</f>
        <v/>
      </c>
      <c r="I170" s="80" t="str">
        <f t="array" ref="I170">IF(OR(B170="",B170="(none)"),"",IF(ISNUMBER(SEARCH(CHAR(10)&amp;B170&amp;CHAR(10),H170)),B170,IFERROR(INDEX('Set Aliases'!$A$2:$A$501,MATCH(1,('Set Aliases'!$B$2:$B$501=B170)*ISNUMBER(SEARCH(CHAR(10)&amp;'Set Aliases'!$A$2:$A$501&amp;CHAR(10),H170)),0)),"")))</f>
        <v/>
      </c>
      <c r="J170" s="80" t="str">
        <f t="array" ref="J170">IF(I170="","",IFERROR(VALUE(TRIM(MID(SUBSTITUTE(INDEX(Wishlist!$A:$Z,ROW()-0,'List Setup'!$G$2),CHAR(10),REPT(" ",100)),((SEARCH(CHAR(10)&amp;I170&amp;CHAR(10),H170)-LEN(SUBSTITUTE(LEFT(H170,SEARCH(CHAR(10)&amp;I170&amp;CHAR(10),H170)),CHAR(10),"")))-1)*100+1,100))),""))</f>
        <v/>
      </c>
      <c r="K170" s="80" t="str">
        <f t="array" ref="K170">IF(A170="","",IF(ISNUMBER(SEARCH("Land",LEFT(IFERROR(INDEX(Wishlist!$A:$Z,ROW()-0,'List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70" s="80" t="str">
        <f t="shared" si="3"/>
        <v/>
      </c>
      <c r="M170" s="80" t="str">
        <f>IF(A170="","",IF(AND(E170="Y",B170='Use at Shop'!$B$4),K170*10000000000+(MAX(0,MIN(26,CODE(MID(UPPER(A170)&amp;"    ",1,1))-64))*19683+MAX(0,MIN(26,CODE(MID(UPPER(A170)&amp;"    ",2,1))-64))*729+MAX(0,MIN(26,CODE(MID(UPPER(A170)&amp;"    ",3,1))-64))*27+MAX(0,MIN(26,CODE(MID(UPPER(A170)&amp;"    ",4,1))-64))*1)*10000+ROW(),""))</f>
        <v/>
      </c>
      <c r="N170" s="80" t="str">
        <f t="shared" si="4"/>
        <v/>
      </c>
      <c r="O170" s="80" t="str">
        <f t="array" ref="O170">IF(A170="","",IFERROR(INDEX(Wishlist!$A:$Z,ROW()-0,'List Setup'!$J$2)&amp;"",""))</f>
        <v/>
      </c>
      <c r="P170" s="2"/>
      <c r="Q170" s="80" t="str">
        <f>IF(A170="","",'List Setup'!$A$2)</f>
        <v/>
      </c>
      <c r="R170" s="80" t="str">
        <f t="array" ref="R170">IF(A170="","",IFERROR(OR(INDEX(Binders!$J$6:$J$30,MATCH(Q170,Binders!$I$6:$I$30,0))=TRUE(),UPPER(INDEX(Binders!$J$6:$J$30,MATCH(Q170,Binders!$I$6:$I$30,0))&amp;"")="TRUE"),FALSE()))</f>
        <v/>
      </c>
    </row>
    <row r="171" ht="15.75" customHeight="1">
      <c r="A171" s="80" t="str">
        <f t="array" ref="A171">IF(INDEX(Wishlist!$A:$Z,ROW()-0,'List Setup'!$D$2)="","",INDEX(Wishlist!$A:$Z,ROW()-0,'List Setup'!$D$2))</f>
        <v/>
      </c>
      <c r="B171" s="80" t="str">
        <f t="array" ref="B171">IF(A171="","",IFERROR(INDEX('Binder Setup'!$B$2:$B$401,MIN(IF(ISNUMBER(SEARCH(CHAR(10)&amp;'Binder Setup'!$B$2:$B$401&amp;CHAR(10),$H171)),'List Setup'!$Q$2:$Q$401,999),IF(ISNUMBER(SEARCH(CHAR(10)&amp;'Set Aliases'!$A$2:$A$501&amp;CHAR(10),$H171)),'Set Aliases'!$C$2:$C$501,999))),"(none)"))</f>
        <v/>
      </c>
      <c r="C171" s="80" t="str">
        <f t="shared" si="1"/>
        <v/>
      </c>
      <c r="D171" s="80" t="str">
        <f t="array" ref="D171">IF(A171="","",IF(ISLOGICAL(INDEX(Wishlist!$A:$Z,ROW()-0,'List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71" s="80" t="str">
        <f t="shared" si="2"/>
        <v/>
      </c>
      <c r="F171" s="80" t="str">
        <f t="array" ref="F171">IF(A171="","",IF(ISNUMBER(J171),J171,IF(ISNUMBER(INDEX(Wishlist!$A:$Z,ROW()-0,'List Setup'!$F$2)),INDEX(Wishlist!$A:$Z,ROW()-0,'List Setup'!$F$2),0)))</f>
        <v/>
      </c>
      <c r="G171" s="80" t="str">
        <f t="array" ref="G171">IF(A171="","",A171&amp;IF(N(INDEX(Wishlist!$A:$Z,ROW()-0,'List Setup'!$C$2))&gt;1," (x"&amp;INDEX(Wishlist!$A:$Z,ROW()-0,'List Setup'!$C$2)&amp;")","")&amp;IF(COUNTIF(Binders!$J$6:$J$30,TRUE())&gt;1," ["&amp;Q171&amp;"]",""))</f>
        <v/>
      </c>
      <c r="H171" s="80" t="str">
        <f t="array" ref="H171">IF(A171="","",CHAR(10)&amp;INDEX(Wishlist!$A:$Z,ROW()-0,'List Setup'!$E$2)&amp;CHAR(10))</f>
        <v/>
      </c>
      <c r="I171" s="80" t="str">
        <f t="array" ref="I171">IF(OR(B171="",B171="(none)"),"",IF(ISNUMBER(SEARCH(CHAR(10)&amp;B171&amp;CHAR(10),H171)),B171,IFERROR(INDEX('Set Aliases'!$A$2:$A$501,MATCH(1,('Set Aliases'!$B$2:$B$501=B171)*ISNUMBER(SEARCH(CHAR(10)&amp;'Set Aliases'!$A$2:$A$501&amp;CHAR(10),H171)),0)),"")))</f>
        <v/>
      </c>
      <c r="J171" s="80" t="str">
        <f t="array" ref="J171">IF(I171="","",IFERROR(VALUE(TRIM(MID(SUBSTITUTE(INDEX(Wishlist!$A:$Z,ROW()-0,'List Setup'!$G$2),CHAR(10),REPT(" ",100)),((SEARCH(CHAR(10)&amp;I171&amp;CHAR(10),H171)-LEN(SUBSTITUTE(LEFT(H171,SEARCH(CHAR(10)&amp;I171&amp;CHAR(10),H171)),CHAR(10),"")))-1)*100+1,100))),""))</f>
        <v/>
      </c>
      <c r="K171" s="80" t="str">
        <f t="array" ref="K171">IF(A171="","",IF(ISNUMBER(SEARCH("Land",LEFT(IFERROR(INDEX(Wishlist!$A:$Z,ROW()-0,'List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71" s="80" t="str">
        <f t="shared" si="3"/>
        <v/>
      </c>
      <c r="M171" s="80" t="str">
        <f>IF(A171="","",IF(AND(E171="Y",B171='Use at Shop'!$B$4),K171*10000000000+(MAX(0,MIN(26,CODE(MID(UPPER(A171)&amp;"    ",1,1))-64))*19683+MAX(0,MIN(26,CODE(MID(UPPER(A171)&amp;"    ",2,1))-64))*729+MAX(0,MIN(26,CODE(MID(UPPER(A171)&amp;"    ",3,1))-64))*27+MAX(0,MIN(26,CODE(MID(UPPER(A171)&amp;"    ",4,1))-64))*1)*10000+ROW(),""))</f>
        <v/>
      </c>
      <c r="N171" s="80" t="str">
        <f t="shared" si="4"/>
        <v/>
      </c>
      <c r="O171" s="80" t="str">
        <f t="array" ref="O171">IF(A171="","",IFERROR(INDEX(Wishlist!$A:$Z,ROW()-0,'List Setup'!$J$2)&amp;"",""))</f>
        <v/>
      </c>
      <c r="P171" s="2"/>
      <c r="Q171" s="80" t="str">
        <f>IF(A171="","",'List Setup'!$A$2)</f>
        <v/>
      </c>
      <c r="R171" s="80" t="str">
        <f t="array" ref="R171">IF(A171="","",IFERROR(OR(INDEX(Binders!$J$6:$J$30,MATCH(Q171,Binders!$I$6:$I$30,0))=TRUE(),UPPER(INDEX(Binders!$J$6:$J$30,MATCH(Q171,Binders!$I$6:$I$30,0))&amp;"")="TRUE"),FALSE()))</f>
        <v/>
      </c>
    </row>
    <row r="172" ht="15.75" customHeight="1">
      <c r="A172" s="80" t="str">
        <f t="array" ref="A172">IF(INDEX(Wishlist!$A:$Z,ROW()-0,'List Setup'!$D$2)="","",INDEX(Wishlist!$A:$Z,ROW()-0,'List Setup'!$D$2))</f>
        <v/>
      </c>
      <c r="B172" s="80" t="str">
        <f t="array" ref="B172">IF(A172="","",IFERROR(INDEX('Binder Setup'!$B$2:$B$401,MIN(IF(ISNUMBER(SEARCH(CHAR(10)&amp;'Binder Setup'!$B$2:$B$401&amp;CHAR(10),$H172)),'List Setup'!$Q$2:$Q$401,999),IF(ISNUMBER(SEARCH(CHAR(10)&amp;'Set Aliases'!$A$2:$A$501&amp;CHAR(10),$H172)),'Set Aliases'!$C$2:$C$501,999))),"(none)"))</f>
        <v/>
      </c>
      <c r="C172" s="80" t="str">
        <f t="shared" si="1"/>
        <v/>
      </c>
      <c r="D172" s="80" t="str">
        <f t="array" ref="D172">IF(A172="","",IF(ISLOGICAL(INDEX(Wishlist!$A:$Z,ROW()-0,'List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72" s="80" t="str">
        <f t="shared" si="2"/>
        <v/>
      </c>
      <c r="F172" s="80" t="str">
        <f t="array" ref="F172">IF(A172="","",IF(ISNUMBER(J172),J172,IF(ISNUMBER(INDEX(Wishlist!$A:$Z,ROW()-0,'List Setup'!$F$2)),INDEX(Wishlist!$A:$Z,ROW()-0,'List Setup'!$F$2),0)))</f>
        <v/>
      </c>
      <c r="G172" s="80" t="str">
        <f t="array" ref="G172">IF(A172="","",A172&amp;IF(N(INDEX(Wishlist!$A:$Z,ROW()-0,'List Setup'!$C$2))&gt;1," (x"&amp;INDEX(Wishlist!$A:$Z,ROW()-0,'List Setup'!$C$2)&amp;")","")&amp;IF(COUNTIF(Binders!$J$6:$J$30,TRUE())&gt;1," ["&amp;Q172&amp;"]",""))</f>
        <v/>
      </c>
      <c r="H172" s="80" t="str">
        <f t="array" ref="H172">IF(A172="","",CHAR(10)&amp;INDEX(Wishlist!$A:$Z,ROW()-0,'List Setup'!$E$2)&amp;CHAR(10))</f>
        <v/>
      </c>
      <c r="I172" s="80" t="str">
        <f t="array" ref="I172">IF(OR(B172="",B172="(none)"),"",IF(ISNUMBER(SEARCH(CHAR(10)&amp;B172&amp;CHAR(10),H172)),B172,IFERROR(INDEX('Set Aliases'!$A$2:$A$501,MATCH(1,('Set Aliases'!$B$2:$B$501=B172)*ISNUMBER(SEARCH(CHAR(10)&amp;'Set Aliases'!$A$2:$A$501&amp;CHAR(10),H172)),0)),"")))</f>
        <v/>
      </c>
      <c r="J172" s="80" t="str">
        <f t="array" ref="J172">IF(I172="","",IFERROR(VALUE(TRIM(MID(SUBSTITUTE(INDEX(Wishlist!$A:$Z,ROW()-0,'List Setup'!$G$2),CHAR(10),REPT(" ",100)),((SEARCH(CHAR(10)&amp;I172&amp;CHAR(10),H172)-LEN(SUBSTITUTE(LEFT(H172,SEARCH(CHAR(10)&amp;I172&amp;CHAR(10),H172)),CHAR(10),"")))-1)*100+1,100))),""))</f>
        <v/>
      </c>
      <c r="K172" s="80" t="str">
        <f t="array" ref="K172">IF(A172="","",IF(ISNUMBER(SEARCH("Land",LEFT(IFERROR(INDEX(Wishlist!$A:$Z,ROW()-0,'List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72" s="80" t="str">
        <f t="shared" si="3"/>
        <v/>
      </c>
      <c r="M172" s="80" t="str">
        <f>IF(A172="","",IF(AND(E172="Y",B172='Use at Shop'!$B$4),K172*10000000000+(MAX(0,MIN(26,CODE(MID(UPPER(A172)&amp;"    ",1,1))-64))*19683+MAX(0,MIN(26,CODE(MID(UPPER(A172)&amp;"    ",2,1))-64))*729+MAX(0,MIN(26,CODE(MID(UPPER(A172)&amp;"    ",3,1))-64))*27+MAX(0,MIN(26,CODE(MID(UPPER(A172)&amp;"    ",4,1))-64))*1)*10000+ROW(),""))</f>
        <v/>
      </c>
      <c r="N172" s="80" t="str">
        <f t="shared" si="4"/>
        <v/>
      </c>
      <c r="O172" s="80" t="str">
        <f t="array" ref="O172">IF(A172="","",IFERROR(INDEX(Wishlist!$A:$Z,ROW()-0,'List Setup'!$J$2)&amp;"",""))</f>
        <v/>
      </c>
      <c r="P172" s="2"/>
      <c r="Q172" s="80" t="str">
        <f>IF(A172="","",'List Setup'!$A$2)</f>
        <v/>
      </c>
      <c r="R172" s="80" t="str">
        <f t="array" ref="R172">IF(A172="","",IFERROR(OR(INDEX(Binders!$J$6:$J$30,MATCH(Q172,Binders!$I$6:$I$30,0))=TRUE(),UPPER(INDEX(Binders!$J$6:$J$30,MATCH(Q172,Binders!$I$6:$I$30,0))&amp;"")="TRUE"),FALSE()))</f>
        <v/>
      </c>
    </row>
    <row r="173" ht="15.75" customHeight="1">
      <c r="A173" s="80" t="str">
        <f t="array" ref="A173">IF(INDEX(Wishlist!$A:$Z,ROW()-0,'List Setup'!$D$2)="","",INDEX(Wishlist!$A:$Z,ROW()-0,'List Setup'!$D$2))</f>
        <v/>
      </c>
      <c r="B173" s="80" t="str">
        <f t="array" ref="B173">IF(A173="","",IFERROR(INDEX('Binder Setup'!$B$2:$B$401,MIN(IF(ISNUMBER(SEARCH(CHAR(10)&amp;'Binder Setup'!$B$2:$B$401&amp;CHAR(10),$H173)),'List Setup'!$Q$2:$Q$401,999),IF(ISNUMBER(SEARCH(CHAR(10)&amp;'Set Aliases'!$A$2:$A$501&amp;CHAR(10),$H173)),'Set Aliases'!$C$2:$C$501,999))),"(none)"))</f>
        <v/>
      </c>
      <c r="C173" s="80" t="str">
        <f t="shared" si="1"/>
        <v/>
      </c>
      <c r="D173" s="80" t="str">
        <f t="array" ref="D173">IF(A173="","",IF(ISLOGICAL(INDEX(Wishlist!$A:$Z,ROW()-0,'List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73" s="80" t="str">
        <f t="shared" si="2"/>
        <v/>
      </c>
      <c r="F173" s="80" t="str">
        <f t="array" ref="F173">IF(A173="","",IF(ISNUMBER(J173),J173,IF(ISNUMBER(INDEX(Wishlist!$A:$Z,ROW()-0,'List Setup'!$F$2)),INDEX(Wishlist!$A:$Z,ROW()-0,'List Setup'!$F$2),0)))</f>
        <v/>
      </c>
      <c r="G173" s="80" t="str">
        <f t="array" ref="G173">IF(A173="","",A173&amp;IF(N(INDEX(Wishlist!$A:$Z,ROW()-0,'List Setup'!$C$2))&gt;1," (x"&amp;INDEX(Wishlist!$A:$Z,ROW()-0,'List Setup'!$C$2)&amp;")","")&amp;IF(COUNTIF(Binders!$J$6:$J$30,TRUE())&gt;1," ["&amp;Q173&amp;"]",""))</f>
        <v/>
      </c>
      <c r="H173" s="80" t="str">
        <f t="array" ref="H173">IF(A173="","",CHAR(10)&amp;INDEX(Wishlist!$A:$Z,ROW()-0,'List Setup'!$E$2)&amp;CHAR(10))</f>
        <v/>
      </c>
      <c r="I173" s="80" t="str">
        <f t="array" ref="I173">IF(OR(B173="",B173="(none)"),"",IF(ISNUMBER(SEARCH(CHAR(10)&amp;B173&amp;CHAR(10),H173)),B173,IFERROR(INDEX('Set Aliases'!$A$2:$A$501,MATCH(1,('Set Aliases'!$B$2:$B$501=B173)*ISNUMBER(SEARCH(CHAR(10)&amp;'Set Aliases'!$A$2:$A$501&amp;CHAR(10),H173)),0)),"")))</f>
        <v/>
      </c>
      <c r="J173" s="80" t="str">
        <f t="array" ref="J173">IF(I173="","",IFERROR(VALUE(TRIM(MID(SUBSTITUTE(INDEX(Wishlist!$A:$Z,ROW()-0,'List Setup'!$G$2),CHAR(10),REPT(" ",100)),((SEARCH(CHAR(10)&amp;I173&amp;CHAR(10),H173)-LEN(SUBSTITUTE(LEFT(H173,SEARCH(CHAR(10)&amp;I173&amp;CHAR(10),H173)),CHAR(10),"")))-1)*100+1,100))),""))</f>
        <v/>
      </c>
      <c r="K173" s="80" t="str">
        <f t="array" ref="K173">IF(A173="","",IF(ISNUMBER(SEARCH("Land",LEFT(IFERROR(INDEX(Wishlist!$A:$Z,ROW()-0,'List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73" s="80" t="str">
        <f t="shared" si="3"/>
        <v/>
      </c>
      <c r="M173" s="80" t="str">
        <f>IF(A173="","",IF(AND(E173="Y",B173='Use at Shop'!$B$4),K173*10000000000+(MAX(0,MIN(26,CODE(MID(UPPER(A173)&amp;"    ",1,1))-64))*19683+MAX(0,MIN(26,CODE(MID(UPPER(A173)&amp;"    ",2,1))-64))*729+MAX(0,MIN(26,CODE(MID(UPPER(A173)&amp;"    ",3,1))-64))*27+MAX(0,MIN(26,CODE(MID(UPPER(A173)&amp;"    ",4,1))-64))*1)*10000+ROW(),""))</f>
        <v/>
      </c>
      <c r="N173" s="80" t="str">
        <f t="shared" si="4"/>
        <v/>
      </c>
      <c r="O173" s="80" t="str">
        <f t="array" ref="O173">IF(A173="","",IFERROR(INDEX(Wishlist!$A:$Z,ROW()-0,'List Setup'!$J$2)&amp;"",""))</f>
        <v/>
      </c>
      <c r="P173" s="2"/>
      <c r="Q173" s="80" t="str">
        <f>IF(A173="","",'List Setup'!$A$2)</f>
        <v/>
      </c>
      <c r="R173" s="80" t="str">
        <f t="array" ref="R173">IF(A173="","",IFERROR(OR(INDEX(Binders!$J$6:$J$30,MATCH(Q173,Binders!$I$6:$I$30,0))=TRUE(),UPPER(INDEX(Binders!$J$6:$J$30,MATCH(Q173,Binders!$I$6:$I$30,0))&amp;"")="TRUE"),FALSE()))</f>
        <v/>
      </c>
    </row>
    <row r="174" ht="15.75" customHeight="1">
      <c r="A174" s="80" t="str">
        <f t="array" ref="A174">IF(INDEX(Wishlist!$A:$Z,ROW()-0,'List Setup'!$D$2)="","",INDEX(Wishlist!$A:$Z,ROW()-0,'List Setup'!$D$2))</f>
        <v/>
      </c>
      <c r="B174" s="80" t="str">
        <f t="array" ref="B174">IF(A174="","",IFERROR(INDEX('Binder Setup'!$B$2:$B$401,MIN(IF(ISNUMBER(SEARCH(CHAR(10)&amp;'Binder Setup'!$B$2:$B$401&amp;CHAR(10),$H174)),'List Setup'!$Q$2:$Q$401,999),IF(ISNUMBER(SEARCH(CHAR(10)&amp;'Set Aliases'!$A$2:$A$501&amp;CHAR(10),$H174)),'Set Aliases'!$C$2:$C$501,999))),"(none)"))</f>
        <v/>
      </c>
      <c r="C174" s="80" t="str">
        <f t="shared" si="1"/>
        <v/>
      </c>
      <c r="D174" s="80" t="str">
        <f t="array" ref="D174">IF(A174="","",IF(ISLOGICAL(INDEX(Wishlist!$A:$Z,ROW()-0,'List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74" s="80" t="str">
        <f t="shared" si="2"/>
        <v/>
      </c>
      <c r="F174" s="80" t="str">
        <f t="array" ref="F174">IF(A174="","",IF(ISNUMBER(J174),J174,IF(ISNUMBER(INDEX(Wishlist!$A:$Z,ROW()-0,'List Setup'!$F$2)),INDEX(Wishlist!$A:$Z,ROW()-0,'List Setup'!$F$2),0)))</f>
        <v/>
      </c>
      <c r="G174" s="80" t="str">
        <f t="array" ref="G174">IF(A174="","",A174&amp;IF(N(INDEX(Wishlist!$A:$Z,ROW()-0,'List Setup'!$C$2))&gt;1," (x"&amp;INDEX(Wishlist!$A:$Z,ROW()-0,'List Setup'!$C$2)&amp;")","")&amp;IF(COUNTIF(Binders!$J$6:$J$30,TRUE())&gt;1," ["&amp;Q174&amp;"]",""))</f>
        <v/>
      </c>
      <c r="H174" s="80" t="str">
        <f t="array" ref="H174">IF(A174="","",CHAR(10)&amp;INDEX(Wishlist!$A:$Z,ROW()-0,'List Setup'!$E$2)&amp;CHAR(10))</f>
        <v/>
      </c>
      <c r="I174" s="80" t="str">
        <f t="array" ref="I174">IF(OR(B174="",B174="(none)"),"",IF(ISNUMBER(SEARCH(CHAR(10)&amp;B174&amp;CHAR(10),H174)),B174,IFERROR(INDEX('Set Aliases'!$A$2:$A$501,MATCH(1,('Set Aliases'!$B$2:$B$501=B174)*ISNUMBER(SEARCH(CHAR(10)&amp;'Set Aliases'!$A$2:$A$501&amp;CHAR(10),H174)),0)),"")))</f>
        <v/>
      </c>
      <c r="J174" s="80" t="str">
        <f t="array" ref="J174">IF(I174="","",IFERROR(VALUE(TRIM(MID(SUBSTITUTE(INDEX(Wishlist!$A:$Z,ROW()-0,'List Setup'!$G$2),CHAR(10),REPT(" ",100)),((SEARCH(CHAR(10)&amp;I174&amp;CHAR(10),H174)-LEN(SUBSTITUTE(LEFT(H174,SEARCH(CHAR(10)&amp;I174&amp;CHAR(10),H174)),CHAR(10),"")))-1)*100+1,100))),""))</f>
        <v/>
      </c>
      <c r="K174" s="80" t="str">
        <f t="array" ref="K174">IF(A174="","",IF(ISNUMBER(SEARCH("Land",LEFT(IFERROR(INDEX(Wishlist!$A:$Z,ROW()-0,'List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74" s="80" t="str">
        <f t="shared" si="3"/>
        <v/>
      </c>
      <c r="M174" s="80" t="str">
        <f>IF(A174="","",IF(AND(E174="Y",B174='Use at Shop'!$B$4),K174*10000000000+(MAX(0,MIN(26,CODE(MID(UPPER(A174)&amp;"    ",1,1))-64))*19683+MAX(0,MIN(26,CODE(MID(UPPER(A174)&amp;"    ",2,1))-64))*729+MAX(0,MIN(26,CODE(MID(UPPER(A174)&amp;"    ",3,1))-64))*27+MAX(0,MIN(26,CODE(MID(UPPER(A174)&amp;"    ",4,1))-64))*1)*10000+ROW(),""))</f>
        <v/>
      </c>
      <c r="N174" s="80" t="str">
        <f t="shared" si="4"/>
        <v/>
      </c>
      <c r="O174" s="80" t="str">
        <f t="array" ref="O174">IF(A174="","",IFERROR(INDEX(Wishlist!$A:$Z,ROW()-0,'List Setup'!$J$2)&amp;"",""))</f>
        <v/>
      </c>
      <c r="P174" s="2"/>
      <c r="Q174" s="80" t="str">
        <f>IF(A174="","",'List Setup'!$A$2)</f>
        <v/>
      </c>
      <c r="R174" s="80" t="str">
        <f t="array" ref="R174">IF(A174="","",IFERROR(OR(INDEX(Binders!$J$6:$J$30,MATCH(Q174,Binders!$I$6:$I$30,0))=TRUE(),UPPER(INDEX(Binders!$J$6:$J$30,MATCH(Q174,Binders!$I$6:$I$30,0))&amp;"")="TRUE"),FALSE()))</f>
        <v/>
      </c>
    </row>
    <row r="175" ht="15.75" customHeight="1">
      <c r="A175" s="80" t="str">
        <f t="array" ref="A175">IF(INDEX(Wishlist!$A:$Z,ROW()-0,'List Setup'!$D$2)="","",INDEX(Wishlist!$A:$Z,ROW()-0,'List Setup'!$D$2))</f>
        <v/>
      </c>
      <c r="B175" s="80" t="str">
        <f t="array" ref="B175">IF(A175="","",IFERROR(INDEX('Binder Setup'!$B$2:$B$401,MIN(IF(ISNUMBER(SEARCH(CHAR(10)&amp;'Binder Setup'!$B$2:$B$401&amp;CHAR(10),$H175)),'List Setup'!$Q$2:$Q$401,999),IF(ISNUMBER(SEARCH(CHAR(10)&amp;'Set Aliases'!$A$2:$A$501&amp;CHAR(10),$H175)),'Set Aliases'!$C$2:$C$501,999))),"(none)"))</f>
        <v/>
      </c>
      <c r="C175" s="80" t="str">
        <f t="shared" si="1"/>
        <v/>
      </c>
      <c r="D175" s="80" t="str">
        <f t="array" ref="D175">IF(A175="","",IF(ISLOGICAL(INDEX(Wishlist!$A:$Z,ROW()-0,'List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75" s="80" t="str">
        <f t="shared" si="2"/>
        <v/>
      </c>
      <c r="F175" s="80" t="str">
        <f t="array" ref="F175">IF(A175="","",IF(ISNUMBER(J175),J175,IF(ISNUMBER(INDEX(Wishlist!$A:$Z,ROW()-0,'List Setup'!$F$2)),INDEX(Wishlist!$A:$Z,ROW()-0,'List Setup'!$F$2),0)))</f>
        <v/>
      </c>
      <c r="G175" s="80" t="str">
        <f t="array" ref="G175">IF(A175="","",A175&amp;IF(N(INDEX(Wishlist!$A:$Z,ROW()-0,'List Setup'!$C$2))&gt;1," (x"&amp;INDEX(Wishlist!$A:$Z,ROW()-0,'List Setup'!$C$2)&amp;")","")&amp;IF(COUNTIF(Binders!$J$6:$J$30,TRUE())&gt;1," ["&amp;Q175&amp;"]",""))</f>
        <v/>
      </c>
      <c r="H175" s="80" t="str">
        <f t="array" ref="H175">IF(A175="","",CHAR(10)&amp;INDEX(Wishlist!$A:$Z,ROW()-0,'List Setup'!$E$2)&amp;CHAR(10))</f>
        <v/>
      </c>
      <c r="I175" s="80" t="str">
        <f t="array" ref="I175">IF(OR(B175="",B175="(none)"),"",IF(ISNUMBER(SEARCH(CHAR(10)&amp;B175&amp;CHAR(10),H175)),B175,IFERROR(INDEX('Set Aliases'!$A$2:$A$501,MATCH(1,('Set Aliases'!$B$2:$B$501=B175)*ISNUMBER(SEARCH(CHAR(10)&amp;'Set Aliases'!$A$2:$A$501&amp;CHAR(10),H175)),0)),"")))</f>
        <v/>
      </c>
      <c r="J175" s="80" t="str">
        <f t="array" ref="J175">IF(I175="","",IFERROR(VALUE(TRIM(MID(SUBSTITUTE(INDEX(Wishlist!$A:$Z,ROW()-0,'List Setup'!$G$2),CHAR(10),REPT(" ",100)),((SEARCH(CHAR(10)&amp;I175&amp;CHAR(10),H175)-LEN(SUBSTITUTE(LEFT(H175,SEARCH(CHAR(10)&amp;I175&amp;CHAR(10),H175)),CHAR(10),"")))-1)*100+1,100))),""))</f>
        <v/>
      </c>
      <c r="K175" s="80" t="str">
        <f t="array" ref="K175">IF(A175="","",IF(ISNUMBER(SEARCH("Land",LEFT(IFERROR(INDEX(Wishlist!$A:$Z,ROW()-0,'List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75" s="80" t="str">
        <f t="shared" si="3"/>
        <v/>
      </c>
      <c r="M175" s="80" t="str">
        <f>IF(A175="","",IF(AND(E175="Y",B175='Use at Shop'!$B$4),K175*10000000000+(MAX(0,MIN(26,CODE(MID(UPPER(A175)&amp;"    ",1,1))-64))*19683+MAX(0,MIN(26,CODE(MID(UPPER(A175)&amp;"    ",2,1))-64))*729+MAX(0,MIN(26,CODE(MID(UPPER(A175)&amp;"    ",3,1))-64))*27+MAX(0,MIN(26,CODE(MID(UPPER(A175)&amp;"    ",4,1))-64))*1)*10000+ROW(),""))</f>
        <v/>
      </c>
      <c r="N175" s="80" t="str">
        <f t="shared" si="4"/>
        <v/>
      </c>
      <c r="O175" s="80" t="str">
        <f t="array" ref="O175">IF(A175="","",IFERROR(INDEX(Wishlist!$A:$Z,ROW()-0,'List Setup'!$J$2)&amp;"",""))</f>
        <v/>
      </c>
      <c r="P175" s="2"/>
      <c r="Q175" s="80" t="str">
        <f>IF(A175="","",'List Setup'!$A$2)</f>
        <v/>
      </c>
      <c r="R175" s="80" t="str">
        <f t="array" ref="R175">IF(A175="","",IFERROR(OR(INDEX(Binders!$J$6:$J$30,MATCH(Q175,Binders!$I$6:$I$30,0))=TRUE(),UPPER(INDEX(Binders!$J$6:$J$30,MATCH(Q175,Binders!$I$6:$I$30,0))&amp;"")="TRUE"),FALSE()))</f>
        <v/>
      </c>
    </row>
    <row r="176" ht="15.75" customHeight="1">
      <c r="A176" s="80" t="str">
        <f t="array" ref="A176">IF(INDEX(Wishlist!$A:$Z,ROW()-0,'List Setup'!$D$2)="","",INDEX(Wishlist!$A:$Z,ROW()-0,'List Setup'!$D$2))</f>
        <v/>
      </c>
      <c r="B176" s="80" t="str">
        <f t="array" ref="B176">IF(A176="","",IFERROR(INDEX('Binder Setup'!$B$2:$B$401,MIN(IF(ISNUMBER(SEARCH(CHAR(10)&amp;'Binder Setup'!$B$2:$B$401&amp;CHAR(10),$H176)),'List Setup'!$Q$2:$Q$401,999),IF(ISNUMBER(SEARCH(CHAR(10)&amp;'Set Aliases'!$A$2:$A$501&amp;CHAR(10),$H176)),'Set Aliases'!$C$2:$C$501,999))),"(none)"))</f>
        <v/>
      </c>
      <c r="C176" s="80" t="str">
        <f t="shared" si="1"/>
        <v/>
      </c>
      <c r="D176" s="80" t="str">
        <f t="array" ref="D176">IF(A176="","",IF(ISLOGICAL(INDEX(Wishlist!$A:$Z,ROW()-0,'List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76" s="80" t="str">
        <f t="shared" si="2"/>
        <v/>
      </c>
      <c r="F176" s="80" t="str">
        <f t="array" ref="F176">IF(A176="","",IF(ISNUMBER(J176),J176,IF(ISNUMBER(INDEX(Wishlist!$A:$Z,ROW()-0,'List Setup'!$F$2)),INDEX(Wishlist!$A:$Z,ROW()-0,'List Setup'!$F$2),0)))</f>
        <v/>
      </c>
      <c r="G176" s="80" t="str">
        <f t="array" ref="G176">IF(A176="","",A176&amp;IF(N(INDEX(Wishlist!$A:$Z,ROW()-0,'List Setup'!$C$2))&gt;1," (x"&amp;INDEX(Wishlist!$A:$Z,ROW()-0,'List Setup'!$C$2)&amp;")","")&amp;IF(COUNTIF(Binders!$J$6:$J$30,TRUE())&gt;1," ["&amp;Q176&amp;"]",""))</f>
        <v/>
      </c>
      <c r="H176" s="80" t="str">
        <f t="array" ref="H176">IF(A176="","",CHAR(10)&amp;INDEX(Wishlist!$A:$Z,ROW()-0,'List Setup'!$E$2)&amp;CHAR(10))</f>
        <v/>
      </c>
      <c r="I176" s="80" t="str">
        <f t="array" ref="I176">IF(OR(B176="",B176="(none)"),"",IF(ISNUMBER(SEARCH(CHAR(10)&amp;B176&amp;CHAR(10),H176)),B176,IFERROR(INDEX('Set Aliases'!$A$2:$A$501,MATCH(1,('Set Aliases'!$B$2:$B$501=B176)*ISNUMBER(SEARCH(CHAR(10)&amp;'Set Aliases'!$A$2:$A$501&amp;CHAR(10),H176)),0)),"")))</f>
        <v/>
      </c>
      <c r="J176" s="80" t="str">
        <f t="array" ref="J176">IF(I176="","",IFERROR(VALUE(TRIM(MID(SUBSTITUTE(INDEX(Wishlist!$A:$Z,ROW()-0,'List Setup'!$G$2),CHAR(10),REPT(" ",100)),((SEARCH(CHAR(10)&amp;I176&amp;CHAR(10),H176)-LEN(SUBSTITUTE(LEFT(H176,SEARCH(CHAR(10)&amp;I176&amp;CHAR(10),H176)),CHAR(10),"")))-1)*100+1,100))),""))</f>
        <v/>
      </c>
      <c r="K176" s="80" t="str">
        <f t="array" ref="K176">IF(A176="","",IF(ISNUMBER(SEARCH("Land",LEFT(IFERROR(INDEX(Wishlist!$A:$Z,ROW()-0,'List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76" s="80" t="str">
        <f t="shared" si="3"/>
        <v/>
      </c>
      <c r="M176" s="80" t="str">
        <f>IF(A176="","",IF(AND(E176="Y",B176='Use at Shop'!$B$4),K176*10000000000+(MAX(0,MIN(26,CODE(MID(UPPER(A176)&amp;"    ",1,1))-64))*19683+MAX(0,MIN(26,CODE(MID(UPPER(A176)&amp;"    ",2,1))-64))*729+MAX(0,MIN(26,CODE(MID(UPPER(A176)&amp;"    ",3,1))-64))*27+MAX(0,MIN(26,CODE(MID(UPPER(A176)&amp;"    ",4,1))-64))*1)*10000+ROW(),""))</f>
        <v/>
      </c>
      <c r="N176" s="80" t="str">
        <f t="shared" si="4"/>
        <v/>
      </c>
      <c r="O176" s="80" t="str">
        <f t="array" ref="O176">IF(A176="","",IFERROR(INDEX(Wishlist!$A:$Z,ROW()-0,'List Setup'!$J$2)&amp;"",""))</f>
        <v/>
      </c>
      <c r="P176" s="2"/>
      <c r="Q176" s="80" t="str">
        <f>IF(A176="","",'List Setup'!$A$2)</f>
        <v/>
      </c>
      <c r="R176" s="80" t="str">
        <f t="array" ref="R176">IF(A176="","",IFERROR(OR(INDEX(Binders!$J$6:$J$30,MATCH(Q176,Binders!$I$6:$I$30,0))=TRUE(),UPPER(INDEX(Binders!$J$6:$J$30,MATCH(Q176,Binders!$I$6:$I$30,0))&amp;"")="TRUE"),FALSE()))</f>
        <v/>
      </c>
    </row>
    <row r="177" ht="15.75" customHeight="1">
      <c r="A177" s="80" t="str">
        <f t="array" ref="A177">IF(INDEX(Wishlist!$A:$Z,ROW()-0,'List Setup'!$D$2)="","",INDEX(Wishlist!$A:$Z,ROW()-0,'List Setup'!$D$2))</f>
        <v/>
      </c>
      <c r="B177" s="80" t="str">
        <f t="array" ref="B177">IF(A177="","",IFERROR(INDEX('Binder Setup'!$B$2:$B$401,MIN(IF(ISNUMBER(SEARCH(CHAR(10)&amp;'Binder Setup'!$B$2:$B$401&amp;CHAR(10),$H177)),'List Setup'!$Q$2:$Q$401,999),IF(ISNUMBER(SEARCH(CHAR(10)&amp;'Set Aliases'!$A$2:$A$501&amp;CHAR(10),$H177)),'Set Aliases'!$C$2:$C$501,999))),"(none)"))</f>
        <v/>
      </c>
      <c r="C177" s="80" t="str">
        <f t="shared" si="1"/>
        <v/>
      </c>
      <c r="D177" s="80" t="str">
        <f t="array" ref="D177">IF(A177="","",IF(ISLOGICAL(INDEX(Wishlist!$A:$Z,ROW()-0,'List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77" s="80" t="str">
        <f t="shared" si="2"/>
        <v/>
      </c>
      <c r="F177" s="80" t="str">
        <f t="array" ref="F177">IF(A177="","",IF(ISNUMBER(J177),J177,IF(ISNUMBER(INDEX(Wishlist!$A:$Z,ROW()-0,'List Setup'!$F$2)),INDEX(Wishlist!$A:$Z,ROW()-0,'List Setup'!$F$2),0)))</f>
        <v/>
      </c>
      <c r="G177" s="80" t="str">
        <f t="array" ref="G177">IF(A177="","",A177&amp;IF(N(INDEX(Wishlist!$A:$Z,ROW()-0,'List Setup'!$C$2))&gt;1," (x"&amp;INDEX(Wishlist!$A:$Z,ROW()-0,'List Setup'!$C$2)&amp;")","")&amp;IF(COUNTIF(Binders!$J$6:$J$30,TRUE())&gt;1," ["&amp;Q177&amp;"]",""))</f>
        <v/>
      </c>
      <c r="H177" s="80" t="str">
        <f t="array" ref="H177">IF(A177="","",CHAR(10)&amp;INDEX(Wishlist!$A:$Z,ROW()-0,'List Setup'!$E$2)&amp;CHAR(10))</f>
        <v/>
      </c>
      <c r="I177" s="80" t="str">
        <f t="array" ref="I177">IF(OR(B177="",B177="(none)"),"",IF(ISNUMBER(SEARCH(CHAR(10)&amp;B177&amp;CHAR(10),H177)),B177,IFERROR(INDEX('Set Aliases'!$A$2:$A$501,MATCH(1,('Set Aliases'!$B$2:$B$501=B177)*ISNUMBER(SEARCH(CHAR(10)&amp;'Set Aliases'!$A$2:$A$501&amp;CHAR(10),H177)),0)),"")))</f>
        <v/>
      </c>
      <c r="J177" s="80" t="str">
        <f t="array" ref="J177">IF(I177="","",IFERROR(VALUE(TRIM(MID(SUBSTITUTE(INDEX(Wishlist!$A:$Z,ROW()-0,'List Setup'!$G$2),CHAR(10),REPT(" ",100)),((SEARCH(CHAR(10)&amp;I177&amp;CHAR(10),H177)-LEN(SUBSTITUTE(LEFT(H177,SEARCH(CHAR(10)&amp;I177&amp;CHAR(10),H177)),CHAR(10),"")))-1)*100+1,100))),""))</f>
        <v/>
      </c>
      <c r="K177" s="80" t="str">
        <f t="array" ref="K177">IF(A177="","",IF(ISNUMBER(SEARCH("Land",LEFT(IFERROR(INDEX(Wishlist!$A:$Z,ROW()-0,'List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77" s="80" t="str">
        <f t="shared" si="3"/>
        <v/>
      </c>
      <c r="M177" s="80" t="str">
        <f>IF(A177="","",IF(AND(E177="Y",B177='Use at Shop'!$B$4),K177*10000000000+(MAX(0,MIN(26,CODE(MID(UPPER(A177)&amp;"    ",1,1))-64))*19683+MAX(0,MIN(26,CODE(MID(UPPER(A177)&amp;"    ",2,1))-64))*729+MAX(0,MIN(26,CODE(MID(UPPER(A177)&amp;"    ",3,1))-64))*27+MAX(0,MIN(26,CODE(MID(UPPER(A177)&amp;"    ",4,1))-64))*1)*10000+ROW(),""))</f>
        <v/>
      </c>
      <c r="N177" s="80" t="str">
        <f t="shared" si="4"/>
        <v/>
      </c>
      <c r="O177" s="80" t="str">
        <f t="array" ref="O177">IF(A177="","",IFERROR(INDEX(Wishlist!$A:$Z,ROW()-0,'List Setup'!$J$2)&amp;"",""))</f>
        <v/>
      </c>
      <c r="P177" s="2"/>
      <c r="Q177" s="80" t="str">
        <f>IF(A177="","",'List Setup'!$A$2)</f>
        <v/>
      </c>
      <c r="R177" s="80" t="str">
        <f t="array" ref="R177">IF(A177="","",IFERROR(OR(INDEX(Binders!$J$6:$J$30,MATCH(Q177,Binders!$I$6:$I$30,0))=TRUE(),UPPER(INDEX(Binders!$J$6:$J$30,MATCH(Q177,Binders!$I$6:$I$30,0))&amp;"")="TRUE"),FALSE()))</f>
        <v/>
      </c>
    </row>
    <row r="178" ht="15.75" customHeight="1">
      <c r="A178" s="80" t="str">
        <f t="array" ref="A178">IF(INDEX(Wishlist!$A:$Z,ROW()-0,'List Setup'!$D$2)="","",INDEX(Wishlist!$A:$Z,ROW()-0,'List Setup'!$D$2))</f>
        <v/>
      </c>
      <c r="B178" s="80" t="str">
        <f t="array" ref="B178">IF(A178="","",IFERROR(INDEX('Binder Setup'!$B$2:$B$401,MIN(IF(ISNUMBER(SEARCH(CHAR(10)&amp;'Binder Setup'!$B$2:$B$401&amp;CHAR(10),$H178)),'List Setup'!$Q$2:$Q$401,999),IF(ISNUMBER(SEARCH(CHAR(10)&amp;'Set Aliases'!$A$2:$A$501&amp;CHAR(10),$H178)),'Set Aliases'!$C$2:$C$501,999))),"(none)"))</f>
        <v/>
      </c>
      <c r="C178" s="80" t="str">
        <f t="shared" si="1"/>
        <v/>
      </c>
      <c r="D178" s="80" t="str">
        <f t="array" ref="D178">IF(A178="","",IF(ISLOGICAL(INDEX(Wishlist!$A:$Z,ROW()-0,'List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78" s="80" t="str">
        <f t="shared" si="2"/>
        <v/>
      </c>
      <c r="F178" s="80" t="str">
        <f t="array" ref="F178">IF(A178="","",IF(ISNUMBER(J178),J178,IF(ISNUMBER(INDEX(Wishlist!$A:$Z,ROW()-0,'List Setup'!$F$2)),INDEX(Wishlist!$A:$Z,ROW()-0,'List Setup'!$F$2),0)))</f>
        <v/>
      </c>
      <c r="G178" s="80" t="str">
        <f t="array" ref="G178">IF(A178="","",A178&amp;IF(N(INDEX(Wishlist!$A:$Z,ROW()-0,'List Setup'!$C$2))&gt;1," (x"&amp;INDEX(Wishlist!$A:$Z,ROW()-0,'List Setup'!$C$2)&amp;")","")&amp;IF(COUNTIF(Binders!$J$6:$J$30,TRUE())&gt;1," ["&amp;Q178&amp;"]",""))</f>
        <v/>
      </c>
      <c r="H178" s="80" t="str">
        <f t="array" ref="H178">IF(A178="","",CHAR(10)&amp;INDEX(Wishlist!$A:$Z,ROW()-0,'List Setup'!$E$2)&amp;CHAR(10))</f>
        <v/>
      </c>
      <c r="I178" s="80" t="str">
        <f t="array" ref="I178">IF(OR(B178="",B178="(none)"),"",IF(ISNUMBER(SEARCH(CHAR(10)&amp;B178&amp;CHAR(10),H178)),B178,IFERROR(INDEX('Set Aliases'!$A$2:$A$501,MATCH(1,('Set Aliases'!$B$2:$B$501=B178)*ISNUMBER(SEARCH(CHAR(10)&amp;'Set Aliases'!$A$2:$A$501&amp;CHAR(10),H178)),0)),"")))</f>
        <v/>
      </c>
      <c r="J178" s="80" t="str">
        <f t="array" ref="J178">IF(I178="","",IFERROR(VALUE(TRIM(MID(SUBSTITUTE(INDEX(Wishlist!$A:$Z,ROW()-0,'List Setup'!$G$2),CHAR(10),REPT(" ",100)),((SEARCH(CHAR(10)&amp;I178&amp;CHAR(10),H178)-LEN(SUBSTITUTE(LEFT(H178,SEARCH(CHAR(10)&amp;I178&amp;CHAR(10),H178)),CHAR(10),"")))-1)*100+1,100))),""))</f>
        <v/>
      </c>
      <c r="K178" s="80" t="str">
        <f t="array" ref="K178">IF(A178="","",IF(ISNUMBER(SEARCH("Land",LEFT(IFERROR(INDEX(Wishlist!$A:$Z,ROW()-0,'List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78" s="80" t="str">
        <f t="shared" si="3"/>
        <v/>
      </c>
      <c r="M178" s="80" t="str">
        <f>IF(A178="","",IF(AND(E178="Y",B178='Use at Shop'!$B$4),K178*10000000000+(MAX(0,MIN(26,CODE(MID(UPPER(A178)&amp;"    ",1,1))-64))*19683+MAX(0,MIN(26,CODE(MID(UPPER(A178)&amp;"    ",2,1))-64))*729+MAX(0,MIN(26,CODE(MID(UPPER(A178)&amp;"    ",3,1))-64))*27+MAX(0,MIN(26,CODE(MID(UPPER(A178)&amp;"    ",4,1))-64))*1)*10000+ROW(),""))</f>
        <v/>
      </c>
      <c r="N178" s="80" t="str">
        <f t="shared" si="4"/>
        <v/>
      </c>
      <c r="O178" s="80" t="str">
        <f t="array" ref="O178">IF(A178="","",IFERROR(INDEX(Wishlist!$A:$Z,ROW()-0,'List Setup'!$J$2)&amp;"",""))</f>
        <v/>
      </c>
      <c r="P178" s="2"/>
      <c r="Q178" s="80" t="str">
        <f>IF(A178="","",'List Setup'!$A$2)</f>
        <v/>
      </c>
      <c r="R178" s="80" t="str">
        <f t="array" ref="R178">IF(A178="","",IFERROR(OR(INDEX(Binders!$J$6:$J$30,MATCH(Q178,Binders!$I$6:$I$30,0))=TRUE(),UPPER(INDEX(Binders!$J$6:$J$30,MATCH(Q178,Binders!$I$6:$I$30,0))&amp;"")="TRUE"),FALSE()))</f>
        <v/>
      </c>
    </row>
    <row r="179" ht="15.75" customHeight="1">
      <c r="A179" s="80" t="str">
        <f t="array" ref="A179">IF(INDEX(Wishlist!$A:$Z,ROW()-0,'List Setup'!$D$2)="","",INDEX(Wishlist!$A:$Z,ROW()-0,'List Setup'!$D$2))</f>
        <v/>
      </c>
      <c r="B179" s="80" t="str">
        <f t="array" ref="B179">IF(A179="","",IFERROR(INDEX('Binder Setup'!$B$2:$B$401,MIN(IF(ISNUMBER(SEARCH(CHAR(10)&amp;'Binder Setup'!$B$2:$B$401&amp;CHAR(10),$H179)),'List Setup'!$Q$2:$Q$401,999),IF(ISNUMBER(SEARCH(CHAR(10)&amp;'Set Aliases'!$A$2:$A$501&amp;CHAR(10),$H179)),'Set Aliases'!$C$2:$C$501,999))),"(none)"))</f>
        <v/>
      </c>
      <c r="C179" s="80" t="str">
        <f t="shared" si="1"/>
        <v/>
      </c>
      <c r="D179" s="80" t="str">
        <f t="array" ref="D179">IF(A179="","",IF(ISLOGICAL(INDEX(Wishlist!$A:$Z,ROW()-0,'List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79" s="80" t="str">
        <f t="shared" si="2"/>
        <v/>
      </c>
      <c r="F179" s="80" t="str">
        <f t="array" ref="F179">IF(A179="","",IF(ISNUMBER(J179),J179,IF(ISNUMBER(INDEX(Wishlist!$A:$Z,ROW()-0,'List Setup'!$F$2)),INDEX(Wishlist!$A:$Z,ROW()-0,'List Setup'!$F$2),0)))</f>
        <v/>
      </c>
      <c r="G179" s="80" t="str">
        <f t="array" ref="G179">IF(A179="","",A179&amp;IF(N(INDEX(Wishlist!$A:$Z,ROW()-0,'List Setup'!$C$2))&gt;1," (x"&amp;INDEX(Wishlist!$A:$Z,ROW()-0,'List Setup'!$C$2)&amp;")","")&amp;IF(COUNTIF(Binders!$J$6:$J$30,TRUE())&gt;1," ["&amp;Q179&amp;"]",""))</f>
        <v/>
      </c>
      <c r="H179" s="80" t="str">
        <f t="array" ref="H179">IF(A179="","",CHAR(10)&amp;INDEX(Wishlist!$A:$Z,ROW()-0,'List Setup'!$E$2)&amp;CHAR(10))</f>
        <v/>
      </c>
      <c r="I179" s="80" t="str">
        <f t="array" ref="I179">IF(OR(B179="",B179="(none)"),"",IF(ISNUMBER(SEARCH(CHAR(10)&amp;B179&amp;CHAR(10),H179)),B179,IFERROR(INDEX('Set Aliases'!$A$2:$A$501,MATCH(1,('Set Aliases'!$B$2:$B$501=B179)*ISNUMBER(SEARCH(CHAR(10)&amp;'Set Aliases'!$A$2:$A$501&amp;CHAR(10),H179)),0)),"")))</f>
        <v/>
      </c>
      <c r="J179" s="80" t="str">
        <f t="array" ref="J179">IF(I179="","",IFERROR(VALUE(TRIM(MID(SUBSTITUTE(INDEX(Wishlist!$A:$Z,ROW()-0,'List Setup'!$G$2),CHAR(10),REPT(" ",100)),((SEARCH(CHAR(10)&amp;I179&amp;CHAR(10),H179)-LEN(SUBSTITUTE(LEFT(H179,SEARCH(CHAR(10)&amp;I179&amp;CHAR(10),H179)),CHAR(10),"")))-1)*100+1,100))),""))</f>
        <v/>
      </c>
      <c r="K179" s="80" t="str">
        <f t="array" ref="K179">IF(A179="","",IF(ISNUMBER(SEARCH("Land",LEFT(IFERROR(INDEX(Wishlist!$A:$Z,ROW()-0,'List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79" s="80" t="str">
        <f t="shared" si="3"/>
        <v/>
      </c>
      <c r="M179" s="80" t="str">
        <f>IF(A179="","",IF(AND(E179="Y",B179='Use at Shop'!$B$4),K179*10000000000+(MAX(0,MIN(26,CODE(MID(UPPER(A179)&amp;"    ",1,1))-64))*19683+MAX(0,MIN(26,CODE(MID(UPPER(A179)&amp;"    ",2,1))-64))*729+MAX(0,MIN(26,CODE(MID(UPPER(A179)&amp;"    ",3,1))-64))*27+MAX(0,MIN(26,CODE(MID(UPPER(A179)&amp;"    ",4,1))-64))*1)*10000+ROW(),""))</f>
        <v/>
      </c>
      <c r="N179" s="80" t="str">
        <f t="shared" si="4"/>
        <v/>
      </c>
      <c r="O179" s="80" t="str">
        <f t="array" ref="O179">IF(A179="","",IFERROR(INDEX(Wishlist!$A:$Z,ROW()-0,'List Setup'!$J$2)&amp;"",""))</f>
        <v/>
      </c>
      <c r="P179" s="2"/>
      <c r="Q179" s="80" t="str">
        <f>IF(A179="","",'List Setup'!$A$2)</f>
        <v/>
      </c>
      <c r="R179" s="80" t="str">
        <f t="array" ref="R179">IF(A179="","",IFERROR(OR(INDEX(Binders!$J$6:$J$30,MATCH(Q179,Binders!$I$6:$I$30,0))=TRUE(),UPPER(INDEX(Binders!$J$6:$J$30,MATCH(Q179,Binders!$I$6:$I$30,0))&amp;"")="TRUE"),FALSE()))</f>
        <v/>
      </c>
    </row>
    <row r="180" ht="15.75" customHeight="1">
      <c r="A180" s="80" t="str">
        <f t="array" ref="A180">IF(INDEX(Wishlist!$A:$Z,ROW()-0,'List Setup'!$D$2)="","",INDEX(Wishlist!$A:$Z,ROW()-0,'List Setup'!$D$2))</f>
        <v/>
      </c>
      <c r="B180" s="80" t="str">
        <f t="array" ref="B180">IF(A180="","",IFERROR(INDEX('Binder Setup'!$B$2:$B$401,MIN(IF(ISNUMBER(SEARCH(CHAR(10)&amp;'Binder Setup'!$B$2:$B$401&amp;CHAR(10),$H180)),'List Setup'!$Q$2:$Q$401,999),IF(ISNUMBER(SEARCH(CHAR(10)&amp;'Set Aliases'!$A$2:$A$501&amp;CHAR(10),$H180)),'Set Aliases'!$C$2:$C$501,999))),"(none)"))</f>
        <v/>
      </c>
      <c r="C180" s="80" t="str">
        <f t="shared" si="1"/>
        <v/>
      </c>
      <c r="D180" s="80" t="str">
        <f t="array" ref="D180">IF(A180="","",IF(ISLOGICAL(INDEX(Wishlist!$A:$Z,ROW()-0,'List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80" s="80" t="str">
        <f t="shared" si="2"/>
        <v/>
      </c>
      <c r="F180" s="80" t="str">
        <f t="array" ref="F180">IF(A180="","",IF(ISNUMBER(J180),J180,IF(ISNUMBER(INDEX(Wishlist!$A:$Z,ROW()-0,'List Setup'!$F$2)),INDEX(Wishlist!$A:$Z,ROW()-0,'List Setup'!$F$2),0)))</f>
        <v/>
      </c>
      <c r="G180" s="80" t="str">
        <f t="array" ref="G180">IF(A180="","",A180&amp;IF(N(INDEX(Wishlist!$A:$Z,ROW()-0,'List Setup'!$C$2))&gt;1," (x"&amp;INDEX(Wishlist!$A:$Z,ROW()-0,'List Setup'!$C$2)&amp;")","")&amp;IF(COUNTIF(Binders!$J$6:$J$30,TRUE())&gt;1," ["&amp;Q180&amp;"]",""))</f>
        <v/>
      </c>
      <c r="H180" s="80" t="str">
        <f t="array" ref="H180">IF(A180="","",CHAR(10)&amp;INDEX(Wishlist!$A:$Z,ROW()-0,'List Setup'!$E$2)&amp;CHAR(10))</f>
        <v/>
      </c>
      <c r="I180" s="80" t="str">
        <f t="array" ref="I180">IF(OR(B180="",B180="(none)"),"",IF(ISNUMBER(SEARCH(CHAR(10)&amp;B180&amp;CHAR(10),H180)),B180,IFERROR(INDEX('Set Aliases'!$A$2:$A$501,MATCH(1,('Set Aliases'!$B$2:$B$501=B180)*ISNUMBER(SEARCH(CHAR(10)&amp;'Set Aliases'!$A$2:$A$501&amp;CHAR(10),H180)),0)),"")))</f>
        <v/>
      </c>
      <c r="J180" s="80" t="str">
        <f t="array" ref="J180">IF(I180="","",IFERROR(VALUE(TRIM(MID(SUBSTITUTE(INDEX(Wishlist!$A:$Z,ROW()-0,'List Setup'!$G$2),CHAR(10),REPT(" ",100)),((SEARCH(CHAR(10)&amp;I180&amp;CHAR(10),H180)-LEN(SUBSTITUTE(LEFT(H180,SEARCH(CHAR(10)&amp;I180&amp;CHAR(10),H180)),CHAR(10),"")))-1)*100+1,100))),""))</f>
        <v/>
      </c>
      <c r="K180" s="80" t="str">
        <f t="array" ref="K180">IF(A180="","",IF(ISNUMBER(SEARCH("Land",LEFT(IFERROR(INDEX(Wishlist!$A:$Z,ROW()-0,'List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80" s="80" t="str">
        <f t="shared" si="3"/>
        <v/>
      </c>
      <c r="M180" s="80" t="str">
        <f>IF(A180="","",IF(AND(E180="Y",B180='Use at Shop'!$B$4),K180*10000000000+(MAX(0,MIN(26,CODE(MID(UPPER(A180)&amp;"    ",1,1))-64))*19683+MAX(0,MIN(26,CODE(MID(UPPER(A180)&amp;"    ",2,1))-64))*729+MAX(0,MIN(26,CODE(MID(UPPER(A180)&amp;"    ",3,1))-64))*27+MAX(0,MIN(26,CODE(MID(UPPER(A180)&amp;"    ",4,1))-64))*1)*10000+ROW(),""))</f>
        <v/>
      </c>
      <c r="N180" s="80" t="str">
        <f t="shared" si="4"/>
        <v/>
      </c>
      <c r="O180" s="80" t="str">
        <f t="array" ref="O180">IF(A180="","",IFERROR(INDEX(Wishlist!$A:$Z,ROW()-0,'List Setup'!$J$2)&amp;"",""))</f>
        <v/>
      </c>
      <c r="P180" s="2"/>
      <c r="Q180" s="80" t="str">
        <f>IF(A180="","",'List Setup'!$A$2)</f>
        <v/>
      </c>
      <c r="R180" s="80" t="str">
        <f t="array" ref="R180">IF(A180="","",IFERROR(OR(INDEX(Binders!$J$6:$J$30,MATCH(Q180,Binders!$I$6:$I$30,0))=TRUE(),UPPER(INDEX(Binders!$J$6:$J$30,MATCH(Q180,Binders!$I$6:$I$30,0))&amp;"")="TRUE"),FALSE()))</f>
        <v/>
      </c>
    </row>
    <row r="181" ht="15.75" customHeight="1">
      <c r="A181" s="80" t="str">
        <f t="array" ref="A181">IF(INDEX(Wishlist!$A:$Z,ROW()-0,'List Setup'!$D$2)="","",INDEX(Wishlist!$A:$Z,ROW()-0,'List Setup'!$D$2))</f>
        <v/>
      </c>
      <c r="B181" s="80" t="str">
        <f t="array" ref="B181">IF(A181="","",IFERROR(INDEX('Binder Setup'!$B$2:$B$401,MIN(IF(ISNUMBER(SEARCH(CHAR(10)&amp;'Binder Setup'!$B$2:$B$401&amp;CHAR(10),$H181)),'List Setup'!$Q$2:$Q$401,999),IF(ISNUMBER(SEARCH(CHAR(10)&amp;'Set Aliases'!$A$2:$A$501&amp;CHAR(10),$H181)),'Set Aliases'!$C$2:$C$501,999))),"(none)"))</f>
        <v/>
      </c>
      <c r="C181" s="80" t="str">
        <f t="shared" si="1"/>
        <v/>
      </c>
      <c r="D181" s="80" t="str">
        <f t="array" ref="D181">IF(A181="","",IF(ISLOGICAL(INDEX(Wishlist!$A:$Z,ROW()-0,'List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81" s="80" t="str">
        <f t="shared" si="2"/>
        <v/>
      </c>
      <c r="F181" s="80" t="str">
        <f t="array" ref="F181">IF(A181="","",IF(ISNUMBER(J181),J181,IF(ISNUMBER(INDEX(Wishlist!$A:$Z,ROW()-0,'List Setup'!$F$2)),INDEX(Wishlist!$A:$Z,ROW()-0,'List Setup'!$F$2),0)))</f>
        <v/>
      </c>
      <c r="G181" s="80" t="str">
        <f t="array" ref="G181">IF(A181="","",A181&amp;IF(N(INDEX(Wishlist!$A:$Z,ROW()-0,'List Setup'!$C$2))&gt;1," (x"&amp;INDEX(Wishlist!$A:$Z,ROW()-0,'List Setup'!$C$2)&amp;")","")&amp;IF(COUNTIF(Binders!$J$6:$J$30,TRUE())&gt;1," ["&amp;Q181&amp;"]",""))</f>
        <v/>
      </c>
      <c r="H181" s="80" t="str">
        <f t="array" ref="H181">IF(A181="","",CHAR(10)&amp;INDEX(Wishlist!$A:$Z,ROW()-0,'List Setup'!$E$2)&amp;CHAR(10))</f>
        <v/>
      </c>
      <c r="I181" s="80" t="str">
        <f t="array" ref="I181">IF(OR(B181="",B181="(none)"),"",IF(ISNUMBER(SEARCH(CHAR(10)&amp;B181&amp;CHAR(10),H181)),B181,IFERROR(INDEX('Set Aliases'!$A$2:$A$501,MATCH(1,('Set Aliases'!$B$2:$B$501=B181)*ISNUMBER(SEARCH(CHAR(10)&amp;'Set Aliases'!$A$2:$A$501&amp;CHAR(10),H181)),0)),"")))</f>
        <v/>
      </c>
      <c r="J181" s="80" t="str">
        <f t="array" ref="J181">IF(I181="","",IFERROR(VALUE(TRIM(MID(SUBSTITUTE(INDEX(Wishlist!$A:$Z,ROW()-0,'List Setup'!$G$2),CHAR(10),REPT(" ",100)),((SEARCH(CHAR(10)&amp;I181&amp;CHAR(10),H181)-LEN(SUBSTITUTE(LEFT(H181,SEARCH(CHAR(10)&amp;I181&amp;CHAR(10),H181)),CHAR(10),"")))-1)*100+1,100))),""))</f>
        <v/>
      </c>
      <c r="K181" s="80" t="str">
        <f t="array" ref="K181">IF(A181="","",IF(ISNUMBER(SEARCH("Land",LEFT(IFERROR(INDEX(Wishlist!$A:$Z,ROW()-0,'List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81" s="80" t="str">
        <f t="shared" si="3"/>
        <v/>
      </c>
      <c r="M181" s="80" t="str">
        <f>IF(A181="","",IF(AND(E181="Y",B181='Use at Shop'!$B$4),K181*10000000000+(MAX(0,MIN(26,CODE(MID(UPPER(A181)&amp;"    ",1,1))-64))*19683+MAX(0,MIN(26,CODE(MID(UPPER(A181)&amp;"    ",2,1))-64))*729+MAX(0,MIN(26,CODE(MID(UPPER(A181)&amp;"    ",3,1))-64))*27+MAX(0,MIN(26,CODE(MID(UPPER(A181)&amp;"    ",4,1))-64))*1)*10000+ROW(),""))</f>
        <v/>
      </c>
      <c r="N181" s="80" t="str">
        <f t="shared" si="4"/>
        <v/>
      </c>
      <c r="O181" s="80" t="str">
        <f t="array" ref="O181">IF(A181="","",IFERROR(INDEX(Wishlist!$A:$Z,ROW()-0,'List Setup'!$J$2)&amp;"",""))</f>
        <v/>
      </c>
      <c r="P181" s="2"/>
      <c r="Q181" s="80" t="str">
        <f>IF(A181="","",'List Setup'!$A$2)</f>
        <v/>
      </c>
      <c r="R181" s="80" t="str">
        <f t="array" ref="R181">IF(A181="","",IFERROR(OR(INDEX(Binders!$J$6:$J$30,MATCH(Q181,Binders!$I$6:$I$30,0))=TRUE(),UPPER(INDEX(Binders!$J$6:$J$30,MATCH(Q181,Binders!$I$6:$I$30,0))&amp;"")="TRUE"),FALSE()))</f>
        <v/>
      </c>
    </row>
    <row r="182" ht="15.75" customHeight="1">
      <c r="A182" s="80" t="str">
        <f t="array" ref="A182">IF(INDEX(Wishlist!$A:$Z,ROW()-0,'List Setup'!$D$2)="","",INDEX(Wishlist!$A:$Z,ROW()-0,'List Setup'!$D$2))</f>
        <v/>
      </c>
      <c r="B182" s="80" t="str">
        <f t="array" ref="B182">IF(A182="","",IFERROR(INDEX('Binder Setup'!$B$2:$B$401,MIN(IF(ISNUMBER(SEARCH(CHAR(10)&amp;'Binder Setup'!$B$2:$B$401&amp;CHAR(10),$H182)),'List Setup'!$Q$2:$Q$401,999),IF(ISNUMBER(SEARCH(CHAR(10)&amp;'Set Aliases'!$A$2:$A$501&amp;CHAR(10),$H182)),'Set Aliases'!$C$2:$C$501,999))),"(none)"))</f>
        <v/>
      </c>
      <c r="C182" s="80" t="str">
        <f t="shared" si="1"/>
        <v/>
      </c>
      <c r="D182" s="80" t="str">
        <f t="array" ref="D182">IF(A182="","",IF(ISLOGICAL(INDEX(Wishlist!$A:$Z,ROW()-0,'List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82" s="80" t="str">
        <f t="shared" si="2"/>
        <v/>
      </c>
      <c r="F182" s="80" t="str">
        <f t="array" ref="F182">IF(A182="","",IF(ISNUMBER(J182),J182,IF(ISNUMBER(INDEX(Wishlist!$A:$Z,ROW()-0,'List Setup'!$F$2)),INDEX(Wishlist!$A:$Z,ROW()-0,'List Setup'!$F$2),0)))</f>
        <v/>
      </c>
      <c r="G182" s="80" t="str">
        <f t="array" ref="G182">IF(A182="","",A182&amp;IF(N(INDEX(Wishlist!$A:$Z,ROW()-0,'List Setup'!$C$2))&gt;1," (x"&amp;INDEX(Wishlist!$A:$Z,ROW()-0,'List Setup'!$C$2)&amp;")","")&amp;IF(COUNTIF(Binders!$J$6:$J$30,TRUE())&gt;1," ["&amp;Q182&amp;"]",""))</f>
        <v/>
      </c>
      <c r="H182" s="80" t="str">
        <f t="array" ref="H182">IF(A182="","",CHAR(10)&amp;INDEX(Wishlist!$A:$Z,ROW()-0,'List Setup'!$E$2)&amp;CHAR(10))</f>
        <v/>
      </c>
      <c r="I182" s="80" t="str">
        <f t="array" ref="I182">IF(OR(B182="",B182="(none)"),"",IF(ISNUMBER(SEARCH(CHAR(10)&amp;B182&amp;CHAR(10),H182)),B182,IFERROR(INDEX('Set Aliases'!$A$2:$A$501,MATCH(1,('Set Aliases'!$B$2:$B$501=B182)*ISNUMBER(SEARCH(CHAR(10)&amp;'Set Aliases'!$A$2:$A$501&amp;CHAR(10),H182)),0)),"")))</f>
        <v/>
      </c>
      <c r="J182" s="80" t="str">
        <f t="array" ref="J182">IF(I182="","",IFERROR(VALUE(TRIM(MID(SUBSTITUTE(INDEX(Wishlist!$A:$Z,ROW()-0,'List Setup'!$G$2),CHAR(10),REPT(" ",100)),((SEARCH(CHAR(10)&amp;I182&amp;CHAR(10),H182)-LEN(SUBSTITUTE(LEFT(H182,SEARCH(CHAR(10)&amp;I182&amp;CHAR(10),H182)),CHAR(10),"")))-1)*100+1,100))),""))</f>
        <v/>
      </c>
      <c r="K182" s="80" t="str">
        <f t="array" ref="K182">IF(A182="","",IF(ISNUMBER(SEARCH("Land",LEFT(IFERROR(INDEX(Wishlist!$A:$Z,ROW()-0,'List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82" s="80" t="str">
        <f t="shared" si="3"/>
        <v/>
      </c>
      <c r="M182" s="80" t="str">
        <f>IF(A182="","",IF(AND(E182="Y",B182='Use at Shop'!$B$4),K182*10000000000+(MAX(0,MIN(26,CODE(MID(UPPER(A182)&amp;"    ",1,1))-64))*19683+MAX(0,MIN(26,CODE(MID(UPPER(A182)&amp;"    ",2,1))-64))*729+MAX(0,MIN(26,CODE(MID(UPPER(A182)&amp;"    ",3,1))-64))*27+MAX(0,MIN(26,CODE(MID(UPPER(A182)&amp;"    ",4,1))-64))*1)*10000+ROW(),""))</f>
        <v/>
      </c>
      <c r="N182" s="80" t="str">
        <f t="shared" si="4"/>
        <v/>
      </c>
      <c r="O182" s="80" t="str">
        <f t="array" ref="O182">IF(A182="","",IFERROR(INDEX(Wishlist!$A:$Z,ROW()-0,'List Setup'!$J$2)&amp;"",""))</f>
        <v/>
      </c>
      <c r="P182" s="2"/>
      <c r="Q182" s="80" t="str">
        <f>IF(A182="","",'List Setup'!$A$2)</f>
        <v/>
      </c>
      <c r="R182" s="80" t="str">
        <f t="array" ref="R182">IF(A182="","",IFERROR(OR(INDEX(Binders!$J$6:$J$30,MATCH(Q182,Binders!$I$6:$I$30,0))=TRUE(),UPPER(INDEX(Binders!$J$6:$J$30,MATCH(Q182,Binders!$I$6:$I$30,0))&amp;"")="TRUE"),FALSE()))</f>
        <v/>
      </c>
    </row>
    <row r="183" ht="15.75" customHeight="1">
      <c r="A183" s="80" t="str">
        <f t="array" ref="A183">IF(INDEX(Wishlist!$A:$Z,ROW()-0,'List Setup'!$D$2)="","",INDEX(Wishlist!$A:$Z,ROW()-0,'List Setup'!$D$2))</f>
        <v/>
      </c>
      <c r="B183" s="80" t="str">
        <f t="array" ref="B183">IF(A183="","",IFERROR(INDEX('Binder Setup'!$B$2:$B$401,MIN(IF(ISNUMBER(SEARCH(CHAR(10)&amp;'Binder Setup'!$B$2:$B$401&amp;CHAR(10),$H183)),'List Setup'!$Q$2:$Q$401,999),IF(ISNUMBER(SEARCH(CHAR(10)&amp;'Set Aliases'!$A$2:$A$501&amp;CHAR(10),$H183)),'Set Aliases'!$C$2:$C$501,999))),"(none)"))</f>
        <v/>
      </c>
      <c r="C183" s="80" t="str">
        <f t="shared" si="1"/>
        <v/>
      </c>
      <c r="D183" s="80" t="str">
        <f t="array" ref="D183">IF(A183="","",IF(ISLOGICAL(INDEX(Wishlist!$A:$Z,ROW()-0,'List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83" s="80" t="str">
        <f t="shared" si="2"/>
        <v/>
      </c>
      <c r="F183" s="80" t="str">
        <f t="array" ref="F183">IF(A183="","",IF(ISNUMBER(J183),J183,IF(ISNUMBER(INDEX(Wishlist!$A:$Z,ROW()-0,'List Setup'!$F$2)),INDEX(Wishlist!$A:$Z,ROW()-0,'List Setup'!$F$2),0)))</f>
        <v/>
      </c>
      <c r="G183" s="80" t="str">
        <f t="array" ref="G183">IF(A183="","",A183&amp;IF(N(INDEX(Wishlist!$A:$Z,ROW()-0,'List Setup'!$C$2))&gt;1," (x"&amp;INDEX(Wishlist!$A:$Z,ROW()-0,'List Setup'!$C$2)&amp;")","")&amp;IF(COUNTIF(Binders!$J$6:$J$30,TRUE())&gt;1," ["&amp;Q183&amp;"]",""))</f>
        <v/>
      </c>
      <c r="H183" s="80" t="str">
        <f t="array" ref="H183">IF(A183="","",CHAR(10)&amp;INDEX(Wishlist!$A:$Z,ROW()-0,'List Setup'!$E$2)&amp;CHAR(10))</f>
        <v/>
      </c>
      <c r="I183" s="80" t="str">
        <f t="array" ref="I183">IF(OR(B183="",B183="(none)"),"",IF(ISNUMBER(SEARCH(CHAR(10)&amp;B183&amp;CHAR(10),H183)),B183,IFERROR(INDEX('Set Aliases'!$A$2:$A$501,MATCH(1,('Set Aliases'!$B$2:$B$501=B183)*ISNUMBER(SEARCH(CHAR(10)&amp;'Set Aliases'!$A$2:$A$501&amp;CHAR(10),H183)),0)),"")))</f>
        <v/>
      </c>
      <c r="J183" s="80" t="str">
        <f t="array" ref="J183">IF(I183="","",IFERROR(VALUE(TRIM(MID(SUBSTITUTE(INDEX(Wishlist!$A:$Z,ROW()-0,'List Setup'!$G$2),CHAR(10),REPT(" ",100)),((SEARCH(CHAR(10)&amp;I183&amp;CHAR(10),H183)-LEN(SUBSTITUTE(LEFT(H183,SEARCH(CHAR(10)&amp;I183&amp;CHAR(10),H183)),CHAR(10),"")))-1)*100+1,100))),""))</f>
        <v/>
      </c>
      <c r="K183" s="80" t="str">
        <f t="array" ref="K183">IF(A183="","",IF(ISNUMBER(SEARCH("Land",LEFT(IFERROR(INDEX(Wishlist!$A:$Z,ROW()-0,'List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83" s="80" t="str">
        <f t="shared" si="3"/>
        <v/>
      </c>
      <c r="M183" s="80" t="str">
        <f>IF(A183="","",IF(AND(E183="Y",B183='Use at Shop'!$B$4),K183*10000000000+(MAX(0,MIN(26,CODE(MID(UPPER(A183)&amp;"    ",1,1))-64))*19683+MAX(0,MIN(26,CODE(MID(UPPER(A183)&amp;"    ",2,1))-64))*729+MAX(0,MIN(26,CODE(MID(UPPER(A183)&amp;"    ",3,1))-64))*27+MAX(0,MIN(26,CODE(MID(UPPER(A183)&amp;"    ",4,1))-64))*1)*10000+ROW(),""))</f>
        <v/>
      </c>
      <c r="N183" s="80" t="str">
        <f t="shared" si="4"/>
        <v/>
      </c>
      <c r="O183" s="80" t="str">
        <f t="array" ref="O183">IF(A183="","",IFERROR(INDEX(Wishlist!$A:$Z,ROW()-0,'List Setup'!$J$2)&amp;"",""))</f>
        <v/>
      </c>
      <c r="P183" s="2"/>
      <c r="Q183" s="80" t="str">
        <f>IF(A183="","",'List Setup'!$A$2)</f>
        <v/>
      </c>
      <c r="R183" s="80" t="str">
        <f t="array" ref="R183">IF(A183="","",IFERROR(OR(INDEX(Binders!$J$6:$J$30,MATCH(Q183,Binders!$I$6:$I$30,0))=TRUE(),UPPER(INDEX(Binders!$J$6:$J$30,MATCH(Q183,Binders!$I$6:$I$30,0))&amp;"")="TRUE"),FALSE()))</f>
        <v/>
      </c>
    </row>
    <row r="184" ht="15.75" customHeight="1">
      <c r="A184" s="80" t="str">
        <f t="array" ref="A184">IF(INDEX(Wishlist!$A:$Z,ROW()-0,'List Setup'!$D$2)="","",INDEX(Wishlist!$A:$Z,ROW()-0,'List Setup'!$D$2))</f>
        <v/>
      </c>
      <c r="B184" s="80" t="str">
        <f t="array" ref="B184">IF(A184="","",IFERROR(INDEX('Binder Setup'!$B$2:$B$401,MIN(IF(ISNUMBER(SEARCH(CHAR(10)&amp;'Binder Setup'!$B$2:$B$401&amp;CHAR(10),$H184)),'List Setup'!$Q$2:$Q$401,999),IF(ISNUMBER(SEARCH(CHAR(10)&amp;'Set Aliases'!$A$2:$A$501&amp;CHAR(10),$H184)),'Set Aliases'!$C$2:$C$501,999))),"(none)"))</f>
        <v/>
      </c>
      <c r="C184" s="80" t="str">
        <f t="shared" si="1"/>
        <v/>
      </c>
      <c r="D184" s="80" t="str">
        <f t="array" ref="D184">IF(A184="","",IF(ISLOGICAL(INDEX(Wishlist!$A:$Z,ROW()-0,'List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84" s="80" t="str">
        <f t="shared" si="2"/>
        <v/>
      </c>
      <c r="F184" s="80" t="str">
        <f t="array" ref="F184">IF(A184="","",IF(ISNUMBER(J184),J184,IF(ISNUMBER(INDEX(Wishlist!$A:$Z,ROW()-0,'List Setup'!$F$2)),INDEX(Wishlist!$A:$Z,ROW()-0,'List Setup'!$F$2),0)))</f>
        <v/>
      </c>
      <c r="G184" s="80" t="str">
        <f t="array" ref="G184">IF(A184="","",A184&amp;IF(N(INDEX(Wishlist!$A:$Z,ROW()-0,'List Setup'!$C$2))&gt;1," (x"&amp;INDEX(Wishlist!$A:$Z,ROW()-0,'List Setup'!$C$2)&amp;")","")&amp;IF(COUNTIF(Binders!$J$6:$J$30,TRUE())&gt;1," ["&amp;Q184&amp;"]",""))</f>
        <v/>
      </c>
      <c r="H184" s="80" t="str">
        <f t="array" ref="H184">IF(A184="","",CHAR(10)&amp;INDEX(Wishlist!$A:$Z,ROW()-0,'List Setup'!$E$2)&amp;CHAR(10))</f>
        <v/>
      </c>
      <c r="I184" s="80" t="str">
        <f t="array" ref="I184">IF(OR(B184="",B184="(none)"),"",IF(ISNUMBER(SEARCH(CHAR(10)&amp;B184&amp;CHAR(10),H184)),B184,IFERROR(INDEX('Set Aliases'!$A$2:$A$501,MATCH(1,('Set Aliases'!$B$2:$B$501=B184)*ISNUMBER(SEARCH(CHAR(10)&amp;'Set Aliases'!$A$2:$A$501&amp;CHAR(10),H184)),0)),"")))</f>
        <v/>
      </c>
      <c r="J184" s="80" t="str">
        <f t="array" ref="J184">IF(I184="","",IFERROR(VALUE(TRIM(MID(SUBSTITUTE(INDEX(Wishlist!$A:$Z,ROW()-0,'List Setup'!$G$2),CHAR(10),REPT(" ",100)),((SEARCH(CHAR(10)&amp;I184&amp;CHAR(10),H184)-LEN(SUBSTITUTE(LEFT(H184,SEARCH(CHAR(10)&amp;I184&amp;CHAR(10),H184)),CHAR(10),"")))-1)*100+1,100))),""))</f>
        <v/>
      </c>
      <c r="K184" s="80" t="str">
        <f t="array" ref="K184">IF(A184="","",IF(ISNUMBER(SEARCH("Land",LEFT(IFERROR(INDEX(Wishlist!$A:$Z,ROW()-0,'List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84" s="80" t="str">
        <f t="shared" si="3"/>
        <v/>
      </c>
      <c r="M184" s="80" t="str">
        <f>IF(A184="","",IF(AND(E184="Y",B184='Use at Shop'!$B$4),K184*10000000000+(MAX(0,MIN(26,CODE(MID(UPPER(A184)&amp;"    ",1,1))-64))*19683+MAX(0,MIN(26,CODE(MID(UPPER(A184)&amp;"    ",2,1))-64))*729+MAX(0,MIN(26,CODE(MID(UPPER(A184)&amp;"    ",3,1))-64))*27+MAX(0,MIN(26,CODE(MID(UPPER(A184)&amp;"    ",4,1))-64))*1)*10000+ROW(),""))</f>
        <v/>
      </c>
      <c r="N184" s="80" t="str">
        <f t="shared" si="4"/>
        <v/>
      </c>
      <c r="O184" s="80" t="str">
        <f t="array" ref="O184">IF(A184="","",IFERROR(INDEX(Wishlist!$A:$Z,ROW()-0,'List Setup'!$J$2)&amp;"",""))</f>
        <v/>
      </c>
      <c r="P184" s="2"/>
      <c r="Q184" s="80" t="str">
        <f>IF(A184="","",'List Setup'!$A$2)</f>
        <v/>
      </c>
      <c r="R184" s="80" t="str">
        <f t="array" ref="R184">IF(A184="","",IFERROR(OR(INDEX(Binders!$J$6:$J$30,MATCH(Q184,Binders!$I$6:$I$30,0))=TRUE(),UPPER(INDEX(Binders!$J$6:$J$30,MATCH(Q184,Binders!$I$6:$I$30,0))&amp;"")="TRUE"),FALSE()))</f>
        <v/>
      </c>
    </row>
    <row r="185" ht="15.75" customHeight="1">
      <c r="A185" s="80" t="str">
        <f t="array" ref="A185">IF(INDEX(Wishlist!$A:$Z,ROW()-0,'List Setup'!$D$2)="","",INDEX(Wishlist!$A:$Z,ROW()-0,'List Setup'!$D$2))</f>
        <v/>
      </c>
      <c r="B185" s="80" t="str">
        <f t="array" ref="B185">IF(A185="","",IFERROR(INDEX('Binder Setup'!$B$2:$B$401,MIN(IF(ISNUMBER(SEARCH(CHAR(10)&amp;'Binder Setup'!$B$2:$B$401&amp;CHAR(10),$H185)),'List Setup'!$Q$2:$Q$401,999),IF(ISNUMBER(SEARCH(CHAR(10)&amp;'Set Aliases'!$A$2:$A$501&amp;CHAR(10),$H185)),'Set Aliases'!$C$2:$C$501,999))),"(none)"))</f>
        <v/>
      </c>
      <c r="C185" s="80" t="str">
        <f t="shared" si="1"/>
        <v/>
      </c>
      <c r="D185" s="80" t="str">
        <f t="array" ref="D185">IF(A185="","",IF(ISLOGICAL(INDEX(Wishlist!$A:$Z,ROW()-0,'List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85" s="80" t="str">
        <f t="shared" si="2"/>
        <v/>
      </c>
      <c r="F185" s="80" t="str">
        <f t="array" ref="F185">IF(A185="","",IF(ISNUMBER(J185),J185,IF(ISNUMBER(INDEX(Wishlist!$A:$Z,ROW()-0,'List Setup'!$F$2)),INDEX(Wishlist!$A:$Z,ROW()-0,'List Setup'!$F$2),0)))</f>
        <v/>
      </c>
      <c r="G185" s="80" t="str">
        <f t="array" ref="G185">IF(A185="","",A185&amp;IF(N(INDEX(Wishlist!$A:$Z,ROW()-0,'List Setup'!$C$2))&gt;1," (x"&amp;INDEX(Wishlist!$A:$Z,ROW()-0,'List Setup'!$C$2)&amp;")","")&amp;IF(COUNTIF(Binders!$J$6:$J$30,TRUE())&gt;1," ["&amp;Q185&amp;"]",""))</f>
        <v/>
      </c>
      <c r="H185" s="80" t="str">
        <f t="array" ref="H185">IF(A185="","",CHAR(10)&amp;INDEX(Wishlist!$A:$Z,ROW()-0,'List Setup'!$E$2)&amp;CHAR(10))</f>
        <v/>
      </c>
      <c r="I185" s="80" t="str">
        <f t="array" ref="I185">IF(OR(B185="",B185="(none)"),"",IF(ISNUMBER(SEARCH(CHAR(10)&amp;B185&amp;CHAR(10),H185)),B185,IFERROR(INDEX('Set Aliases'!$A$2:$A$501,MATCH(1,('Set Aliases'!$B$2:$B$501=B185)*ISNUMBER(SEARCH(CHAR(10)&amp;'Set Aliases'!$A$2:$A$501&amp;CHAR(10),H185)),0)),"")))</f>
        <v/>
      </c>
      <c r="J185" s="80" t="str">
        <f t="array" ref="J185">IF(I185="","",IFERROR(VALUE(TRIM(MID(SUBSTITUTE(INDEX(Wishlist!$A:$Z,ROW()-0,'List Setup'!$G$2),CHAR(10),REPT(" ",100)),((SEARCH(CHAR(10)&amp;I185&amp;CHAR(10),H185)-LEN(SUBSTITUTE(LEFT(H185,SEARCH(CHAR(10)&amp;I185&amp;CHAR(10),H185)),CHAR(10),"")))-1)*100+1,100))),""))</f>
        <v/>
      </c>
      <c r="K185" s="80" t="str">
        <f t="array" ref="K185">IF(A185="","",IF(ISNUMBER(SEARCH("Land",LEFT(IFERROR(INDEX(Wishlist!$A:$Z,ROW()-0,'List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85" s="80" t="str">
        <f t="shared" si="3"/>
        <v/>
      </c>
      <c r="M185" s="80" t="str">
        <f>IF(A185="","",IF(AND(E185="Y",B185='Use at Shop'!$B$4),K185*10000000000+(MAX(0,MIN(26,CODE(MID(UPPER(A185)&amp;"    ",1,1))-64))*19683+MAX(0,MIN(26,CODE(MID(UPPER(A185)&amp;"    ",2,1))-64))*729+MAX(0,MIN(26,CODE(MID(UPPER(A185)&amp;"    ",3,1))-64))*27+MAX(0,MIN(26,CODE(MID(UPPER(A185)&amp;"    ",4,1))-64))*1)*10000+ROW(),""))</f>
        <v/>
      </c>
      <c r="N185" s="80" t="str">
        <f t="shared" si="4"/>
        <v/>
      </c>
      <c r="O185" s="80" t="str">
        <f t="array" ref="O185">IF(A185="","",IFERROR(INDEX(Wishlist!$A:$Z,ROW()-0,'List Setup'!$J$2)&amp;"",""))</f>
        <v/>
      </c>
      <c r="P185" s="2"/>
      <c r="Q185" s="80" t="str">
        <f>IF(A185="","",'List Setup'!$A$2)</f>
        <v/>
      </c>
      <c r="R185" s="80" t="str">
        <f t="array" ref="R185">IF(A185="","",IFERROR(OR(INDEX(Binders!$J$6:$J$30,MATCH(Q185,Binders!$I$6:$I$30,0))=TRUE(),UPPER(INDEX(Binders!$J$6:$J$30,MATCH(Q185,Binders!$I$6:$I$30,0))&amp;"")="TRUE"),FALSE()))</f>
        <v/>
      </c>
    </row>
    <row r="186" ht="15.75" customHeight="1">
      <c r="A186" s="80" t="str">
        <f t="array" ref="A186">IF(INDEX(Wishlist!$A:$Z,ROW()-0,'List Setup'!$D$2)="","",INDEX(Wishlist!$A:$Z,ROW()-0,'List Setup'!$D$2))</f>
        <v/>
      </c>
      <c r="B186" s="80" t="str">
        <f t="array" ref="B186">IF(A186="","",IFERROR(INDEX('Binder Setup'!$B$2:$B$401,MIN(IF(ISNUMBER(SEARCH(CHAR(10)&amp;'Binder Setup'!$B$2:$B$401&amp;CHAR(10),$H186)),'List Setup'!$Q$2:$Q$401,999),IF(ISNUMBER(SEARCH(CHAR(10)&amp;'Set Aliases'!$A$2:$A$501&amp;CHAR(10),$H186)),'Set Aliases'!$C$2:$C$501,999))),"(none)"))</f>
        <v/>
      </c>
      <c r="C186" s="80" t="str">
        <f t="shared" si="1"/>
        <v/>
      </c>
      <c r="D186" s="80" t="str">
        <f t="array" ref="D186">IF(A186="","",IF(ISLOGICAL(INDEX(Wishlist!$A:$Z,ROW()-0,'List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86" s="80" t="str">
        <f t="shared" si="2"/>
        <v/>
      </c>
      <c r="F186" s="80" t="str">
        <f t="array" ref="F186">IF(A186="","",IF(ISNUMBER(J186),J186,IF(ISNUMBER(INDEX(Wishlist!$A:$Z,ROW()-0,'List Setup'!$F$2)),INDEX(Wishlist!$A:$Z,ROW()-0,'List Setup'!$F$2),0)))</f>
        <v/>
      </c>
      <c r="G186" s="80" t="str">
        <f t="array" ref="G186">IF(A186="","",A186&amp;IF(N(INDEX(Wishlist!$A:$Z,ROW()-0,'List Setup'!$C$2))&gt;1," (x"&amp;INDEX(Wishlist!$A:$Z,ROW()-0,'List Setup'!$C$2)&amp;")","")&amp;IF(COUNTIF(Binders!$J$6:$J$30,TRUE())&gt;1," ["&amp;Q186&amp;"]",""))</f>
        <v/>
      </c>
      <c r="H186" s="80" t="str">
        <f t="array" ref="H186">IF(A186="","",CHAR(10)&amp;INDEX(Wishlist!$A:$Z,ROW()-0,'List Setup'!$E$2)&amp;CHAR(10))</f>
        <v/>
      </c>
      <c r="I186" s="80" t="str">
        <f t="array" ref="I186">IF(OR(B186="",B186="(none)"),"",IF(ISNUMBER(SEARCH(CHAR(10)&amp;B186&amp;CHAR(10),H186)),B186,IFERROR(INDEX('Set Aliases'!$A$2:$A$501,MATCH(1,('Set Aliases'!$B$2:$B$501=B186)*ISNUMBER(SEARCH(CHAR(10)&amp;'Set Aliases'!$A$2:$A$501&amp;CHAR(10),H186)),0)),"")))</f>
        <v/>
      </c>
      <c r="J186" s="80" t="str">
        <f t="array" ref="J186">IF(I186="","",IFERROR(VALUE(TRIM(MID(SUBSTITUTE(INDEX(Wishlist!$A:$Z,ROW()-0,'List Setup'!$G$2),CHAR(10),REPT(" ",100)),((SEARCH(CHAR(10)&amp;I186&amp;CHAR(10),H186)-LEN(SUBSTITUTE(LEFT(H186,SEARCH(CHAR(10)&amp;I186&amp;CHAR(10),H186)),CHAR(10),"")))-1)*100+1,100))),""))</f>
        <v/>
      </c>
      <c r="K186" s="80" t="str">
        <f t="array" ref="K186">IF(A186="","",IF(ISNUMBER(SEARCH("Land",LEFT(IFERROR(INDEX(Wishlist!$A:$Z,ROW()-0,'List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86" s="80" t="str">
        <f t="shared" si="3"/>
        <v/>
      </c>
      <c r="M186" s="80" t="str">
        <f>IF(A186="","",IF(AND(E186="Y",B186='Use at Shop'!$B$4),K186*10000000000+(MAX(0,MIN(26,CODE(MID(UPPER(A186)&amp;"    ",1,1))-64))*19683+MAX(0,MIN(26,CODE(MID(UPPER(A186)&amp;"    ",2,1))-64))*729+MAX(0,MIN(26,CODE(MID(UPPER(A186)&amp;"    ",3,1))-64))*27+MAX(0,MIN(26,CODE(MID(UPPER(A186)&amp;"    ",4,1))-64))*1)*10000+ROW(),""))</f>
        <v/>
      </c>
      <c r="N186" s="80" t="str">
        <f t="shared" si="4"/>
        <v/>
      </c>
      <c r="O186" s="80" t="str">
        <f t="array" ref="O186">IF(A186="","",IFERROR(INDEX(Wishlist!$A:$Z,ROW()-0,'List Setup'!$J$2)&amp;"",""))</f>
        <v/>
      </c>
      <c r="P186" s="2"/>
      <c r="Q186" s="80" t="str">
        <f>IF(A186="","",'List Setup'!$A$2)</f>
        <v/>
      </c>
      <c r="R186" s="80" t="str">
        <f t="array" ref="R186">IF(A186="","",IFERROR(OR(INDEX(Binders!$J$6:$J$30,MATCH(Q186,Binders!$I$6:$I$30,0))=TRUE(),UPPER(INDEX(Binders!$J$6:$J$30,MATCH(Q186,Binders!$I$6:$I$30,0))&amp;"")="TRUE"),FALSE()))</f>
        <v/>
      </c>
    </row>
    <row r="187" ht="15.75" customHeight="1">
      <c r="A187" s="80" t="str">
        <f t="array" ref="A187">IF(INDEX(Wishlist!$A:$Z,ROW()-0,'List Setup'!$D$2)="","",INDEX(Wishlist!$A:$Z,ROW()-0,'List Setup'!$D$2))</f>
        <v/>
      </c>
      <c r="B187" s="80" t="str">
        <f t="array" ref="B187">IF(A187="","",IFERROR(INDEX('Binder Setup'!$B$2:$B$401,MIN(IF(ISNUMBER(SEARCH(CHAR(10)&amp;'Binder Setup'!$B$2:$B$401&amp;CHAR(10),$H187)),'List Setup'!$Q$2:$Q$401,999),IF(ISNUMBER(SEARCH(CHAR(10)&amp;'Set Aliases'!$A$2:$A$501&amp;CHAR(10),$H187)),'Set Aliases'!$C$2:$C$501,999))),"(none)"))</f>
        <v/>
      </c>
      <c r="C187" s="80" t="str">
        <f t="shared" si="1"/>
        <v/>
      </c>
      <c r="D187" s="80" t="str">
        <f t="array" ref="D187">IF(A187="","",IF(ISLOGICAL(INDEX(Wishlist!$A:$Z,ROW()-0,'List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87" s="80" t="str">
        <f t="shared" si="2"/>
        <v/>
      </c>
      <c r="F187" s="80" t="str">
        <f t="array" ref="F187">IF(A187="","",IF(ISNUMBER(J187),J187,IF(ISNUMBER(INDEX(Wishlist!$A:$Z,ROW()-0,'List Setup'!$F$2)),INDEX(Wishlist!$A:$Z,ROW()-0,'List Setup'!$F$2),0)))</f>
        <v/>
      </c>
      <c r="G187" s="80" t="str">
        <f t="array" ref="G187">IF(A187="","",A187&amp;IF(N(INDEX(Wishlist!$A:$Z,ROW()-0,'List Setup'!$C$2))&gt;1," (x"&amp;INDEX(Wishlist!$A:$Z,ROW()-0,'List Setup'!$C$2)&amp;")","")&amp;IF(COUNTIF(Binders!$J$6:$J$30,TRUE())&gt;1," ["&amp;Q187&amp;"]",""))</f>
        <v/>
      </c>
      <c r="H187" s="80" t="str">
        <f t="array" ref="H187">IF(A187="","",CHAR(10)&amp;INDEX(Wishlist!$A:$Z,ROW()-0,'List Setup'!$E$2)&amp;CHAR(10))</f>
        <v/>
      </c>
      <c r="I187" s="80" t="str">
        <f t="array" ref="I187">IF(OR(B187="",B187="(none)"),"",IF(ISNUMBER(SEARCH(CHAR(10)&amp;B187&amp;CHAR(10),H187)),B187,IFERROR(INDEX('Set Aliases'!$A$2:$A$501,MATCH(1,('Set Aliases'!$B$2:$B$501=B187)*ISNUMBER(SEARCH(CHAR(10)&amp;'Set Aliases'!$A$2:$A$501&amp;CHAR(10),H187)),0)),"")))</f>
        <v/>
      </c>
      <c r="J187" s="80" t="str">
        <f t="array" ref="J187">IF(I187="","",IFERROR(VALUE(TRIM(MID(SUBSTITUTE(INDEX(Wishlist!$A:$Z,ROW()-0,'List Setup'!$G$2),CHAR(10),REPT(" ",100)),((SEARCH(CHAR(10)&amp;I187&amp;CHAR(10),H187)-LEN(SUBSTITUTE(LEFT(H187,SEARCH(CHAR(10)&amp;I187&amp;CHAR(10),H187)),CHAR(10),"")))-1)*100+1,100))),""))</f>
        <v/>
      </c>
      <c r="K187" s="80" t="str">
        <f t="array" ref="K187">IF(A187="","",IF(ISNUMBER(SEARCH("Land",LEFT(IFERROR(INDEX(Wishlist!$A:$Z,ROW()-0,'List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87" s="80" t="str">
        <f t="shared" si="3"/>
        <v/>
      </c>
      <c r="M187" s="80" t="str">
        <f>IF(A187="","",IF(AND(E187="Y",B187='Use at Shop'!$B$4),K187*10000000000+(MAX(0,MIN(26,CODE(MID(UPPER(A187)&amp;"    ",1,1))-64))*19683+MAX(0,MIN(26,CODE(MID(UPPER(A187)&amp;"    ",2,1))-64))*729+MAX(0,MIN(26,CODE(MID(UPPER(A187)&amp;"    ",3,1))-64))*27+MAX(0,MIN(26,CODE(MID(UPPER(A187)&amp;"    ",4,1))-64))*1)*10000+ROW(),""))</f>
        <v/>
      </c>
      <c r="N187" s="80" t="str">
        <f t="shared" si="4"/>
        <v/>
      </c>
      <c r="O187" s="80" t="str">
        <f t="array" ref="O187">IF(A187="","",IFERROR(INDEX(Wishlist!$A:$Z,ROW()-0,'List Setup'!$J$2)&amp;"",""))</f>
        <v/>
      </c>
      <c r="P187" s="2"/>
      <c r="Q187" s="80" t="str">
        <f>IF(A187="","",'List Setup'!$A$2)</f>
        <v/>
      </c>
      <c r="R187" s="80" t="str">
        <f t="array" ref="R187">IF(A187="","",IFERROR(OR(INDEX(Binders!$J$6:$J$30,MATCH(Q187,Binders!$I$6:$I$30,0))=TRUE(),UPPER(INDEX(Binders!$J$6:$J$30,MATCH(Q187,Binders!$I$6:$I$30,0))&amp;"")="TRUE"),FALSE()))</f>
        <v/>
      </c>
    </row>
    <row r="188" ht="15.75" customHeight="1">
      <c r="A188" s="80" t="str">
        <f t="array" ref="A188">IF(INDEX(Wishlist!$A:$Z,ROW()-0,'List Setup'!$D$2)="","",INDEX(Wishlist!$A:$Z,ROW()-0,'List Setup'!$D$2))</f>
        <v/>
      </c>
      <c r="B188" s="80" t="str">
        <f t="array" ref="B188">IF(A188="","",IFERROR(INDEX('Binder Setup'!$B$2:$B$401,MIN(IF(ISNUMBER(SEARCH(CHAR(10)&amp;'Binder Setup'!$B$2:$B$401&amp;CHAR(10),$H188)),'List Setup'!$Q$2:$Q$401,999),IF(ISNUMBER(SEARCH(CHAR(10)&amp;'Set Aliases'!$A$2:$A$501&amp;CHAR(10),$H188)),'Set Aliases'!$C$2:$C$501,999))),"(none)"))</f>
        <v/>
      </c>
      <c r="C188" s="80" t="str">
        <f t="shared" si="1"/>
        <v/>
      </c>
      <c r="D188" s="80" t="str">
        <f t="array" ref="D188">IF(A188="","",IF(ISLOGICAL(INDEX(Wishlist!$A:$Z,ROW()-0,'List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88" s="80" t="str">
        <f t="shared" si="2"/>
        <v/>
      </c>
      <c r="F188" s="80" t="str">
        <f t="array" ref="F188">IF(A188="","",IF(ISNUMBER(J188),J188,IF(ISNUMBER(INDEX(Wishlist!$A:$Z,ROW()-0,'List Setup'!$F$2)),INDEX(Wishlist!$A:$Z,ROW()-0,'List Setup'!$F$2),0)))</f>
        <v/>
      </c>
      <c r="G188" s="80" t="str">
        <f t="array" ref="G188">IF(A188="","",A188&amp;IF(N(INDEX(Wishlist!$A:$Z,ROW()-0,'List Setup'!$C$2))&gt;1," (x"&amp;INDEX(Wishlist!$A:$Z,ROW()-0,'List Setup'!$C$2)&amp;")","")&amp;IF(COUNTIF(Binders!$J$6:$J$30,TRUE())&gt;1," ["&amp;Q188&amp;"]",""))</f>
        <v/>
      </c>
      <c r="H188" s="80" t="str">
        <f t="array" ref="H188">IF(A188="","",CHAR(10)&amp;INDEX(Wishlist!$A:$Z,ROW()-0,'List Setup'!$E$2)&amp;CHAR(10))</f>
        <v/>
      </c>
      <c r="I188" s="80" t="str">
        <f t="array" ref="I188">IF(OR(B188="",B188="(none)"),"",IF(ISNUMBER(SEARCH(CHAR(10)&amp;B188&amp;CHAR(10),H188)),B188,IFERROR(INDEX('Set Aliases'!$A$2:$A$501,MATCH(1,('Set Aliases'!$B$2:$B$501=B188)*ISNUMBER(SEARCH(CHAR(10)&amp;'Set Aliases'!$A$2:$A$501&amp;CHAR(10),H188)),0)),"")))</f>
        <v/>
      </c>
      <c r="J188" s="80" t="str">
        <f t="array" ref="J188">IF(I188="","",IFERROR(VALUE(TRIM(MID(SUBSTITUTE(INDEX(Wishlist!$A:$Z,ROW()-0,'List Setup'!$G$2),CHAR(10),REPT(" ",100)),((SEARCH(CHAR(10)&amp;I188&amp;CHAR(10),H188)-LEN(SUBSTITUTE(LEFT(H188,SEARCH(CHAR(10)&amp;I188&amp;CHAR(10),H188)),CHAR(10),"")))-1)*100+1,100))),""))</f>
        <v/>
      </c>
      <c r="K188" s="80" t="str">
        <f t="array" ref="K188">IF(A188="","",IF(ISNUMBER(SEARCH("Land",LEFT(IFERROR(INDEX(Wishlist!$A:$Z,ROW()-0,'List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88" s="80" t="str">
        <f t="shared" si="3"/>
        <v/>
      </c>
      <c r="M188" s="80" t="str">
        <f>IF(A188="","",IF(AND(E188="Y",B188='Use at Shop'!$B$4),K188*10000000000+(MAX(0,MIN(26,CODE(MID(UPPER(A188)&amp;"    ",1,1))-64))*19683+MAX(0,MIN(26,CODE(MID(UPPER(A188)&amp;"    ",2,1))-64))*729+MAX(0,MIN(26,CODE(MID(UPPER(A188)&amp;"    ",3,1))-64))*27+MAX(0,MIN(26,CODE(MID(UPPER(A188)&amp;"    ",4,1))-64))*1)*10000+ROW(),""))</f>
        <v/>
      </c>
      <c r="N188" s="80" t="str">
        <f t="shared" si="4"/>
        <v/>
      </c>
      <c r="O188" s="80" t="str">
        <f t="array" ref="O188">IF(A188="","",IFERROR(INDEX(Wishlist!$A:$Z,ROW()-0,'List Setup'!$J$2)&amp;"",""))</f>
        <v/>
      </c>
      <c r="P188" s="2"/>
      <c r="Q188" s="80" t="str">
        <f>IF(A188="","",'List Setup'!$A$2)</f>
        <v/>
      </c>
      <c r="R188" s="80" t="str">
        <f t="array" ref="R188">IF(A188="","",IFERROR(OR(INDEX(Binders!$J$6:$J$30,MATCH(Q188,Binders!$I$6:$I$30,0))=TRUE(),UPPER(INDEX(Binders!$J$6:$J$30,MATCH(Q188,Binders!$I$6:$I$30,0))&amp;"")="TRUE"),FALSE()))</f>
        <v/>
      </c>
    </row>
    <row r="189" ht="15.75" customHeight="1">
      <c r="A189" s="80" t="str">
        <f t="array" ref="A189">IF(INDEX(Wishlist!$A:$Z,ROW()-0,'List Setup'!$D$2)="","",INDEX(Wishlist!$A:$Z,ROW()-0,'List Setup'!$D$2))</f>
        <v/>
      </c>
      <c r="B189" s="80" t="str">
        <f t="array" ref="B189">IF(A189="","",IFERROR(INDEX('Binder Setup'!$B$2:$B$401,MIN(IF(ISNUMBER(SEARCH(CHAR(10)&amp;'Binder Setup'!$B$2:$B$401&amp;CHAR(10),$H189)),'List Setup'!$Q$2:$Q$401,999),IF(ISNUMBER(SEARCH(CHAR(10)&amp;'Set Aliases'!$A$2:$A$501&amp;CHAR(10),$H189)),'Set Aliases'!$C$2:$C$501,999))),"(none)"))</f>
        <v/>
      </c>
      <c r="C189" s="80" t="str">
        <f t="shared" si="1"/>
        <v/>
      </c>
      <c r="D189" s="80" t="str">
        <f t="array" ref="D189">IF(A189="","",IF(ISLOGICAL(INDEX(Wishlist!$A:$Z,ROW()-0,'List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89" s="80" t="str">
        <f t="shared" si="2"/>
        <v/>
      </c>
      <c r="F189" s="80" t="str">
        <f t="array" ref="F189">IF(A189="","",IF(ISNUMBER(J189),J189,IF(ISNUMBER(INDEX(Wishlist!$A:$Z,ROW()-0,'List Setup'!$F$2)),INDEX(Wishlist!$A:$Z,ROW()-0,'List Setup'!$F$2),0)))</f>
        <v/>
      </c>
      <c r="G189" s="80" t="str">
        <f t="array" ref="G189">IF(A189="","",A189&amp;IF(N(INDEX(Wishlist!$A:$Z,ROW()-0,'List Setup'!$C$2))&gt;1," (x"&amp;INDEX(Wishlist!$A:$Z,ROW()-0,'List Setup'!$C$2)&amp;")","")&amp;IF(COUNTIF(Binders!$J$6:$J$30,TRUE())&gt;1," ["&amp;Q189&amp;"]",""))</f>
        <v/>
      </c>
      <c r="H189" s="80" t="str">
        <f t="array" ref="H189">IF(A189="","",CHAR(10)&amp;INDEX(Wishlist!$A:$Z,ROW()-0,'List Setup'!$E$2)&amp;CHAR(10))</f>
        <v/>
      </c>
      <c r="I189" s="80" t="str">
        <f t="array" ref="I189">IF(OR(B189="",B189="(none)"),"",IF(ISNUMBER(SEARCH(CHAR(10)&amp;B189&amp;CHAR(10),H189)),B189,IFERROR(INDEX('Set Aliases'!$A$2:$A$501,MATCH(1,('Set Aliases'!$B$2:$B$501=B189)*ISNUMBER(SEARCH(CHAR(10)&amp;'Set Aliases'!$A$2:$A$501&amp;CHAR(10),H189)),0)),"")))</f>
        <v/>
      </c>
      <c r="J189" s="80" t="str">
        <f t="array" ref="J189">IF(I189="","",IFERROR(VALUE(TRIM(MID(SUBSTITUTE(INDEX(Wishlist!$A:$Z,ROW()-0,'List Setup'!$G$2),CHAR(10),REPT(" ",100)),((SEARCH(CHAR(10)&amp;I189&amp;CHAR(10),H189)-LEN(SUBSTITUTE(LEFT(H189,SEARCH(CHAR(10)&amp;I189&amp;CHAR(10),H189)),CHAR(10),"")))-1)*100+1,100))),""))</f>
        <v/>
      </c>
      <c r="K189" s="80" t="str">
        <f t="array" ref="K189">IF(A189="","",IF(ISNUMBER(SEARCH("Land",LEFT(IFERROR(INDEX(Wishlist!$A:$Z,ROW()-0,'List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89" s="80" t="str">
        <f t="shared" si="3"/>
        <v/>
      </c>
      <c r="M189" s="80" t="str">
        <f>IF(A189="","",IF(AND(E189="Y",B189='Use at Shop'!$B$4),K189*10000000000+(MAX(0,MIN(26,CODE(MID(UPPER(A189)&amp;"    ",1,1))-64))*19683+MAX(0,MIN(26,CODE(MID(UPPER(A189)&amp;"    ",2,1))-64))*729+MAX(0,MIN(26,CODE(MID(UPPER(A189)&amp;"    ",3,1))-64))*27+MAX(0,MIN(26,CODE(MID(UPPER(A189)&amp;"    ",4,1))-64))*1)*10000+ROW(),""))</f>
        <v/>
      </c>
      <c r="N189" s="80" t="str">
        <f t="shared" si="4"/>
        <v/>
      </c>
      <c r="O189" s="80" t="str">
        <f t="array" ref="O189">IF(A189="","",IFERROR(INDEX(Wishlist!$A:$Z,ROW()-0,'List Setup'!$J$2)&amp;"",""))</f>
        <v/>
      </c>
      <c r="P189" s="2"/>
      <c r="Q189" s="80" t="str">
        <f>IF(A189="","",'List Setup'!$A$2)</f>
        <v/>
      </c>
      <c r="R189" s="80" t="str">
        <f t="array" ref="R189">IF(A189="","",IFERROR(OR(INDEX(Binders!$J$6:$J$30,MATCH(Q189,Binders!$I$6:$I$30,0))=TRUE(),UPPER(INDEX(Binders!$J$6:$J$30,MATCH(Q189,Binders!$I$6:$I$30,0))&amp;"")="TRUE"),FALSE()))</f>
        <v/>
      </c>
    </row>
    <row r="190" ht="15.75" customHeight="1">
      <c r="A190" s="80" t="str">
        <f t="array" ref="A190">IF(INDEX(Wishlist!$A:$Z,ROW()-0,'List Setup'!$D$2)="","",INDEX(Wishlist!$A:$Z,ROW()-0,'List Setup'!$D$2))</f>
        <v/>
      </c>
      <c r="B190" s="80" t="str">
        <f t="array" ref="B190">IF(A190="","",IFERROR(INDEX('Binder Setup'!$B$2:$B$401,MIN(IF(ISNUMBER(SEARCH(CHAR(10)&amp;'Binder Setup'!$B$2:$B$401&amp;CHAR(10),$H190)),'List Setup'!$Q$2:$Q$401,999),IF(ISNUMBER(SEARCH(CHAR(10)&amp;'Set Aliases'!$A$2:$A$501&amp;CHAR(10),$H190)),'Set Aliases'!$C$2:$C$501,999))),"(none)"))</f>
        <v/>
      </c>
      <c r="C190" s="80" t="str">
        <f t="shared" si="1"/>
        <v/>
      </c>
      <c r="D190" s="80" t="str">
        <f t="array" ref="D190">IF(A190="","",IF(ISLOGICAL(INDEX(Wishlist!$A:$Z,ROW()-0,'List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90" s="80" t="str">
        <f t="shared" si="2"/>
        <v/>
      </c>
      <c r="F190" s="80" t="str">
        <f t="array" ref="F190">IF(A190="","",IF(ISNUMBER(J190),J190,IF(ISNUMBER(INDEX(Wishlist!$A:$Z,ROW()-0,'List Setup'!$F$2)),INDEX(Wishlist!$A:$Z,ROW()-0,'List Setup'!$F$2),0)))</f>
        <v/>
      </c>
      <c r="G190" s="80" t="str">
        <f t="array" ref="G190">IF(A190="","",A190&amp;IF(N(INDEX(Wishlist!$A:$Z,ROW()-0,'List Setup'!$C$2))&gt;1," (x"&amp;INDEX(Wishlist!$A:$Z,ROW()-0,'List Setup'!$C$2)&amp;")","")&amp;IF(COUNTIF(Binders!$J$6:$J$30,TRUE())&gt;1," ["&amp;Q190&amp;"]",""))</f>
        <v/>
      </c>
      <c r="H190" s="80" t="str">
        <f t="array" ref="H190">IF(A190="","",CHAR(10)&amp;INDEX(Wishlist!$A:$Z,ROW()-0,'List Setup'!$E$2)&amp;CHAR(10))</f>
        <v/>
      </c>
      <c r="I190" s="80" t="str">
        <f t="array" ref="I190">IF(OR(B190="",B190="(none)"),"",IF(ISNUMBER(SEARCH(CHAR(10)&amp;B190&amp;CHAR(10),H190)),B190,IFERROR(INDEX('Set Aliases'!$A$2:$A$501,MATCH(1,('Set Aliases'!$B$2:$B$501=B190)*ISNUMBER(SEARCH(CHAR(10)&amp;'Set Aliases'!$A$2:$A$501&amp;CHAR(10),H190)),0)),"")))</f>
        <v/>
      </c>
      <c r="J190" s="80" t="str">
        <f t="array" ref="J190">IF(I190="","",IFERROR(VALUE(TRIM(MID(SUBSTITUTE(INDEX(Wishlist!$A:$Z,ROW()-0,'List Setup'!$G$2),CHAR(10),REPT(" ",100)),((SEARCH(CHAR(10)&amp;I190&amp;CHAR(10),H190)-LEN(SUBSTITUTE(LEFT(H190,SEARCH(CHAR(10)&amp;I190&amp;CHAR(10),H190)),CHAR(10),"")))-1)*100+1,100))),""))</f>
        <v/>
      </c>
      <c r="K190" s="80" t="str">
        <f t="array" ref="K190">IF(A190="","",IF(ISNUMBER(SEARCH("Land",LEFT(IFERROR(INDEX(Wishlist!$A:$Z,ROW()-0,'List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90" s="80" t="str">
        <f t="shared" si="3"/>
        <v/>
      </c>
      <c r="M190" s="80" t="str">
        <f>IF(A190="","",IF(AND(E190="Y",B190='Use at Shop'!$B$4),K190*10000000000+(MAX(0,MIN(26,CODE(MID(UPPER(A190)&amp;"    ",1,1))-64))*19683+MAX(0,MIN(26,CODE(MID(UPPER(A190)&amp;"    ",2,1))-64))*729+MAX(0,MIN(26,CODE(MID(UPPER(A190)&amp;"    ",3,1))-64))*27+MAX(0,MIN(26,CODE(MID(UPPER(A190)&amp;"    ",4,1))-64))*1)*10000+ROW(),""))</f>
        <v/>
      </c>
      <c r="N190" s="80" t="str">
        <f t="shared" si="4"/>
        <v/>
      </c>
      <c r="O190" s="80" t="str">
        <f t="array" ref="O190">IF(A190="","",IFERROR(INDEX(Wishlist!$A:$Z,ROW()-0,'List Setup'!$J$2)&amp;"",""))</f>
        <v/>
      </c>
      <c r="P190" s="2"/>
      <c r="Q190" s="80" t="str">
        <f>IF(A190="","",'List Setup'!$A$2)</f>
        <v/>
      </c>
      <c r="R190" s="80" t="str">
        <f t="array" ref="R190">IF(A190="","",IFERROR(OR(INDEX(Binders!$J$6:$J$30,MATCH(Q190,Binders!$I$6:$I$30,0))=TRUE(),UPPER(INDEX(Binders!$J$6:$J$30,MATCH(Q190,Binders!$I$6:$I$30,0))&amp;"")="TRUE"),FALSE()))</f>
        <v/>
      </c>
    </row>
    <row r="191" ht="15.75" customHeight="1">
      <c r="A191" s="80" t="str">
        <f t="array" ref="A191">IF(INDEX(Wishlist!$A:$Z,ROW()-0,'List Setup'!$D$2)="","",INDEX(Wishlist!$A:$Z,ROW()-0,'List Setup'!$D$2))</f>
        <v/>
      </c>
      <c r="B191" s="80" t="str">
        <f t="array" ref="B191">IF(A191="","",IFERROR(INDEX('Binder Setup'!$B$2:$B$401,MIN(IF(ISNUMBER(SEARCH(CHAR(10)&amp;'Binder Setup'!$B$2:$B$401&amp;CHAR(10),$H191)),'List Setup'!$Q$2:$Q$401,999),IF(ISNUMBER(SEARCH(CHAR(10)&amp;'Set Aliases'!$A$2:$A$501&amp;CHAR(10),$H191)),'Set Aliases'!$C$2:$C$501,999))),"(none)"))</f>
        <v/>
      </c>
      <c r="C191" s="80" t="str">
        <f t="shared" si="1"/>
        <v/>
      </c>
      <c r="D191" s="80" t="str">
        <f t="array" ref="D191">IF(A191="","",IF(ISLOGICAL(INDEX(Wishlist!$A:$Z,ROW()-0,'List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91" s="80" t="str">
        <f t="shared" si="2"/>
        <v/>
      </c>
      <c r="F191" s="80" t="str">
        <f t="array" ref="F191">IF(A191="","",IF(ISNUMBER(J191),J191,IF(ISNUMBER(INDEX(Wishlist!$A:$Z,ROW()-0,'List Setup'!$F$2)),INDEX(Wishlist!$A:$Z,ROW()-0,'List Setup'!$F$2),0)))</f>
        <v/>
      </c>
      <c r="G191" s="80" t="str">
        <f t="array" ref="G191">IF(A191="","",A191&amp;IF(N(INDEX(Wishlist!$A:$Z,ROW()-0,'List Setup'!$C$2))&gt;1," (x"&amp;INDEX(Wishlist!$A:$Z,ROW()-0,'List Setup'!$C$2)&amp;")","")&amp;IF(COUNTIF(Binders!$J$6:$J$30,TRUE())&gt;1," ["&amp;Q191&amp;"]",""))</f>
        <v/>
      </c>
      <c r="H191" s="80" t="str">
        <f t="array" ref="H191">IF(A191="","",CHAR(10)&amp;INDEX(Wishlist!$A:$Z,ROW()-0,'List Setup'!$E$2)&amp;CHAR(10))</f>
        <v/>
      </c>
      <c r="I191" s="80" t="str">
        <f t="array" ref="I191">IF(OR(B191="",B191="(none)"),"",IF(ISNUMBER(SEARCH(CHAR(10)&amp;B191&amp;CHAR(10),H191)),B191,IFERROR(INDEX('Set Aliases'!$A$2:$A$501,MATCH(1,('Set Aliases'!$B$2:$B$501=B191)*ISNUMBER(SEARCH(CHAR(10)&amp;'Set Aliases'!$A$2:$A$501&amp;CHAR(10),H191)),0)),"")))</f>
        <v/>
      </c>
      <c r="J191" s="80" t="str">
        <f t="array" ref="J191">IF(I191="","",IFERROR(VALUE(TRIM(MID(SUBSTITUTE(INDEX(Wishlist!$A:$Z,ROW()-0,'List Setup'!$G$2),CHAR(10),REPT(" ",100)),((SEARCH(CHAR(10)&amp;I191&amp;CHAR(10),H191)-LEN(SUBSTITUTE(LEFT(H191,SEARCH(CHAR(10)&amp;I191&amp;CHAR(10),H191)),CHAR(10),"")))-1)*100+1,100))),""))</f>
        <v/>
      </c>
      <c r="K191" s="80" t="str">
        <f t="array" ref="K191">IF(A191="","",IF(ISNUMBER(SEARCH("Land",LEFT(IFERROR(INDEX(Wishlist!$A:$Z,ROW()-0,'List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91" s="80" t="str">
        <f t="shared" si="3"/>
        <v/>
      </c>
      <c r="M191" s="80" t="str">
        <f>IF(A191="","",IF(AND(E191="Y",B191='Use at Shop'!$B$4),K191*10000000000+(MAX(0,MIN(26,CODE(MID(UPPER(A191)&amp;"    ",1,1))-64))*19683+MAX(0,MIN(26,CODE(MID(UPPER(A191)&amp;"    ",2,1))-64))*729+MAX(0,MIN(26,CODE(MID(UPPER(A191)&amp;"    ",3,1))-64))*27+MAX(0,MIN(26,CODE(MID(UPPER(A191)&amp;"    ",4,1))-64))*1)*10000+ROW(),""))</f>
        <v/>
      </c>
      <c r="N191" s="80" t="str">
        <f t="shared" si="4"/>
        <v/>
      </c>
      <c r="O191" s="80" t="str">
        <f t="array" ref="O191">IF(A191="","",IFERROR(INDEX(Wishlist!$A:$Z,ROW()-0,'List Setup'!$J$2)&amp;"",""))</f>
        <v/>
      </c>
      <c r="P191" s="2"/>
      <c r="Q191" s="80" t="str">
        <f>IF(A191="","",'List Setup'!$A$2)</f>
        <v/>
      </c>
      <c r="R191" s="80" t="str">
        <f t="array" ref="R191">IF(A191="","",IFERROR(OR(INDEX(Binders!$J$6:$J$30,MATCH(Q191,Binders!$I$6:$I$30,0))=TRUE(),UPPER(INDEX(Binders!$J$6:$J$30,MATCH(Q191,Binders!$I$6:$I$30,0))&amp;"")="TRUE"),FALSE()))</f>
        <v/>
      </c>
    </row>
    <row r="192" ht="15.75" customHeight="1">
      <c r="A192" s="80" t="str">
        <f t="array" ref="A192">IF(INDEX(Wishlist!$A:$Z,ROW()-0,'List Setup'!$D$2)="","",INDEX(Wishlist!$A:$Z,ROW()-0,'List Setup'!$D$2))</f>
        <v/>
      </c>
      <c r="B192" s="80" t="str">
        <f t="array" ref="B192">IF(A192="","",IFERROR(INDEX('Binder Setup'!$B$2:$B$401,MIN(IF(ISNUMBER(SEARCH(CHAR(10)&amp;'Binder Setup'!$B$2:$B$401&amp;CHAR(10),$H192)),'List Setup'!$Q$2:$Q$401,999),IF(ISNUMBER(SEARCH(CHAR(10)&amp;'Set Aliases'!$A$2:$A$501&amp;CHAR(10),$H192)),'Set Aliases'!$C$2:$C$501,999))),"(none)"))</f>
        <v/>
      </c>
      <c r="C192" s="80" t="str">
        <f t="shared" si="1"/>
        <v/>
      </c>
      <c r="D192" s="80" t="str">
        <f t="array" ref="D192">IF(A192="","",IF(ISLOGICAL(INDEX(Wishlist!$A:$Z,ROW()-0,'List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92" s="80" t="str">
        <f t="shared" si="2"/>
        <v/>
      </c>
      <c r="F192" s="80" t="str">
        <f t="array" ref="F192">IF(A192="","",IF(ISNUMBER(J192),J192,IF(ISNUMBER(INDEX(Wishlist!$A:$Z,ROW()-0,'List Setup'!$F$2)),INDEX(Wishlist!$A:$Z,ROW()-0,'List Setup'!$F$2),0)))</f>
        <v/>
      </c>
      <c r="G192" s="80" t="str">
        <f t="array" ref="G192">IF(A192="","",A192&amp;IF(N(INDEX(Wishlist!$A:$Z,ROW()-0,'List Setup'!$C$2))&gt;1," (x"&amp;INDEX(Wishlist!$A:$Z,ROW()-0,'List Setup'!$C$2)&amp;")","")&amp;IF(COUNTIF(Binders!$J$6:$J$30,TRUE())&gt;1," ["&amp;Q192&amp;"]",""))</f>
        <v/>
      </c>
      <c r="H192" s="80" t="str">
        <f t="array" ref="H192">IF(A192="","",CHAR(10)&amp;INDEX(Wishlist!$A:$Z,ROW()-0,'List Setup'!$E$2)&amp;CHAR(10))</f>
        <v/>
      </c>
      <c r="I192" s="80" t="str">
        <f t="array" ref="I192">IF(OR(B192="",B192="(none)"),"",IF(ISNUMBER(SEARCH(CHAR(10)&amp;B192&amp;CHAR(10),H192)),B192,IFERROR(INDEX('Set Aliases'!$A$2:$A$501,MATCH(1,('Set Aliases'!$B$2:$B$501=B192)*ISNUMBER(SEARCH(CHAR(10)&amp;'Set Aliases'!$A$2:$A$501&amp;CHAR(10),H192)),0)),"")))</f>
        <v/>
      </c>
      <c r="J192" s="80" t="str">
        <f t="array" ref="J192">IF(I192="","",IFERROR(VALUE(TRIM(MID(SUBSTITUTE(INDEX(Wishlist!$A:$Z,ROW()-0,'List Setup'!$G$2),CHAR(10),REPT(" ",100)),((SEARCH(CHAR(10)&amp;I192&amp;CHAR(10),H192)-LEN(SUBSTITUTE(LEFT(H192,SEARCH(CHAR(10)&amp;I192&amp;CHAR(10),H192)),CHAR(10),"")))-1)*100+1,100))),""))</f>
        <v/>
      </c>
      <c r="K192" s="80" t="str">
        <f t="array" ref="K192">IF(A192="","",IF(ISNUMBER(SEARCH("Land",LEFT(IFERROR(INDEX(Wishlist!$A:$Z,ROW()-0,'List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92" s="80" t="str">
        <f t="shared" si="3"/>
        <v/>
      </c>
      <c r="M192" s="80" t="str">
        <f>IF(A192="","",IF(AND(E192="Y",B192='Use at Shop'!$B$4),K192*10000000000+(MAX(0,MIN(26,CODE(MID(UPPER(A192)&amp;"    ",1,1))-64))*19683+MAX(0,MIN(26,CODE(MID(UPPER(A192)&amp;"    ",2,1))-64))*729+MAX(0,MIN(26,CODE(MID(UPPER(A192)&amp;"    ",3,1))-64))*27+MAX(0,MIN(26,CODE(MID(UPPER(A192)&amp;"    ",4,1))-64))*1)*10000+ROW(),""))</f>
        <v/>
      </c>
      <c r="N192" s="80" t="str">
        <f t="shared" si="4"/>
        <v/>
      </c>
      <c r="O192" s="80" t="str">
        <f t="array" ref="O192">IF(A192="","",IFERROR(INDEX(Wishlist!$A:$Z,ROW()-0,'List Setup'!$J$2)&amp;"",""))</f>
        <v/>
      </c>
      <c r="P192" s="2"/>
      <c r="Q192" s="80" t="str">
        <f>IF(A192="","",'List Setup'!$A$2)</f>
        <v/>
      </c>
      <c r="R192" s="80" t="str">
        <f t="array" ref="R192">IF(A192="","",IFERROR(OR(INDEX(Binders!$J$6:$J$30,MATCH(Q192,Binders!$I$6:$I$30,0))=TRUE(),UPPER(INDEX(Binders!$J$6:$J$30,MATCH(Q192,Binders!$I$6:$I$30,0))&amp;"")="TRUE"),FALSE()))</f>
        <v/>
      </c>
    </row>
    <row r="193" ht="15.75" customHeight="1">
      <c r="A193" s="80" t="str">
        <f t="array" ref="A193">IF(INDEX(Wishlist!$A:$Z,ROW()-0,'List Setup'!$D$2)="","",INDEX(Wishlist!$A:$Z,ROW()-0,'List Setup'!$D$2))</f>
        <v/>
      </c>
      <c r="B193" s="80" t="str">
        <f t="array" ref="B193">IF(A193="","",IFERROR(INDEX('Binder Setup'!$B$2:$B$401,MIN(IF(ISNUMBER(SEARCH(CHAR(10)&amp;'Binder Setup'!$B$2:$B$401&amp;CHAR(10),$H193)),'List Setup'!$Q$2:$Q$401,999),IF(ISNUMBER(SEARCH(CHAR(10)&amp;'Set Aliases'!$A$2:$A$501&amp;CHAR(10),$H193)),'Set Aliases'!$C$2:$C$501,999))),"(none)"))</f>
        <v/>
      </c>
      <c r="C193" s="80" t="str">
        <f t="shared" si="1"/>
        <v/>
      </c>
      <c r="D193" s="80" t="str">
        <f t="array" ref="D193">IF(A193="","",IF(ISLOGICAL(INDEX(Wishlist!$A:$Z,ROW()-0,'List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93" s="80" t="str">
        <f t="shared" si="2"/>
        <v/>
      </c>
      <c r="F193" s="80" t="str">
        <f t="array" ref="F193">IF(A193="","",IF(ISNUMBER(J193),J193,IF(ISNUMBER(INDEX(Wishlist!$A:$Z,ROW()-0,'List Setup'!$F$2)),INDEX(Wishlist!$A:$Z,ROW()-0,'List Setup'!$F$2),0)))</f>
        <v/>
      </c>
      <c r="G193" s="80" t="str">
        <f t="array" ref="G193">IF(A193="","",A193&amp;IF(N(INDEX(Wishlist!$A:$Z,ROW()-0,'List Setup'!$C$2))&gt;1," (x"&amp;INDEX(Wishlist!$A:$Z,ROW()-0,'List Setup'!$C$2)&amp;")","")&amp;IF(COUNTIF(Binders!$J$6:$J$30,TRUE())&gt;1," ["&amp;Q193&amp;"]",""))</f>
        <v/>
      </c>
      <c r="H193" s="80" t="str">
        <f t="array" ref="H193">IF(A193="","",CHAR(10)&amp;INDEX(Wishlist!$A:$Z,ROW()-0,'List Setup'!$E$2)&amp;CHAR(10))</f>
        <v/>
      </c>
      <c r="I193" s="80" t="str">
        <f t="array" ref="I193">IF(OR(B193="",B193="(none)"),"",IF(ISNUMBER(SEARCH(CHAR(10)&amp;B193&amp;CHAR(10),H193)),B193,IFERROR(INDEX('Set Aliases'!$A$2:$A$501,MATCH(1,('Set Aliases'!$B$2:$B$501=B193)*ISNUMBER(SEARCH(CHAR(10)&amp;'Set Aliases'!$A$2:$A$501&amp;CHAR(10),H193)),0)),"")))</f>
        <v/>
      </c>
      <c r="J193" s="80" t="str">
        <f t="array" ref="J193">IF(I193="","",IFERROR(VALUE(TRIM(MID(SUBSTITUTE(INDEX(Wishlist!$A:$Z,ROW()-0,'List Setup'!$G$2),CHAR(10),REPT(" ",100)),((SEARCH(CHAR(10)&amp;I193&amp;CHAR(10),H193)-LEN(SUBSTITUTE(LEFT(H193,SEARCH(CHAR(10)&amp;I193&amp;CHAR(10),H193)),CHAR(10),"")))-1)*100+1,100))),""))</f>
        <v/>
      </c>
      <c r="K193" s="80" t="str">
        <f t="array" ref="K193">IF(A193="","",IF(ISNUMBER(SEARCH("Land",LEFT(IFERROR(INDEX(Wishlist!$A:$Z,ROW()-0,'List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93" s="80" t="str">
        <f t="shared" si="3"/>
        <v/>
      </c>
      <c r="M193" s="80" t="str">
        <f>IF(A193="","",IF(AND(E193="Y",B193='Use at Shop'!$B$4),K193*10000000000+(MAX(0,MIN(26,CODE(MID(UPPER(A193)&amp;"    ",1,1))-64))*19683+MAX(0,MIN(26,CODE(MID(UPPER(A193)&amp;"    ",2,1))-64))*729+MAX(0,MIN(26,CODE(MID(UPPER(A193)&amp;"    ",3,1))-64))*27+MAX(0,MIN(26,CODE(MID(UPPER(A193)&amp;"    ",4,1))-64))*1)*10000+ROW(),""))</f>
        <v/>
      </c>
      <c r="N193" s="80" t="str">
        <f t="shared" si="4"/>
        <v/>
      </c>
      <c r="O193" s="80" t="str">
        <f t="array" ref="O193">IF(A193="","",IFERROR(INDEX(Wishlist!$A:$Z,ROW()-0,'List Setup'!$J$2)&amp;"",""))</f>
        <v/>
      </c>
      <c r="P193" s="2"/>
      <c r="Q193" s="80" t="str">
        <f>IF(A193="","",'List Setup'!$A$2)</f>
        <v/>
      </c>
      <c r="R193" s="80" t="str">
        <f t="array" ref="R193">IF(A193="","",IFERROR(OR(INDEX(Binders!$J$6:$J$30,MATCH(Q193,Binders!$I$6:$I$30,0))=TRUE(),UPPER(INDEX(Binders!$J$6:$J$30,MATCH(Q193,Binders!$I$6:$I$30,0))&amp;"")="TRUE"),FALSE()))</f>
        <v/>
      </c>
    </row>
    <row r="194" ht="15.75" customHeight="1">
      <c r="A194" s="80" t="str">
        <f t="array" ref="A194">IF(INDEX(Wishlist!$A:$Z,ROW()-0,'List Setup'!$D$2)="","",INDEX(Wishlist!$A:$Z,ROW()-0,'List Setup'!$D$2))</f>
        <v/>
      </c>
      <c r="B194" s="80" t="str">
        <f t="array" ref="B194">IF(A194="","",IFERROR(INDEX('Binder Setup'!$B$2:$B$401,MIN(IF(ISNUMBER(SEARCH(CHAR(10)&amp;'Binder Setup'!$B$2:$B$401&amp;CHAR(10),$H194)),'List Setup'!$Q$2:$Q$401,999),IF(ISNUMBER(SEARCH(CHAR(10)&amp;'Set Aliases'!$A$2:$A$501&amp;CHAR(10),$H194)),'Set Aliases'!$C$2:$C$501,999))),"(none)"))</f>
        <v/>
      </c>
      <c r="C194" s="80" t="str">
        <f t="shared" si="1"/>
        <v/>
      </c>
      <c r="D194" s="80" t="str">
        <f t="array" ref="D194">IF(A194="","",IF(ISLOGICAL(INDEX(Wishlist!$A:$Z,ROW()-0,'List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94" s="80" t="str">
        <f t="shared" si="2"/>
        <v/>
      </c>
      <c r="F194" s="80" t="str">
        <f t="array" ref="F194">IF(A194="","",IF(ISNUMBER(J194),J194,IF(ISNUMBER(INDEX(Wishlist!$A:$Z,ROW()-0,'List Setup'!$F$2)),INDEX(Wishlist!$A:$Z,ROW()-0,'List Setup'!$F$2),0)))</f>
        <v/>
      </c>
      <c r="G194" s="80" t="str">
        <f t="array" ref="G194">IF(A194="","",A194&amp;IF(N(INDEX(Wishlist!$A:$Z,ROW()-0,'List Setup'!$C$2))&gt;1," (x"&amp;INDEX(Wishlist!$A:$Z,ROW()-0,'List Setup'!$C$2)&amp;")","")&amp;IF(COUNTIF(Binders!$J$6:$J$30,TRUE())&gt;1," ["&amp;Q194&amp;"]",""))</f>
        <v/>
      </c>
      <c r="H194" s="80" t="str">
        <f t="array" ref="H194">IF(A194="","",CHAR(10)&amp;INDEX(Wishlist!$A:$Z,ROW()-0,'List Setup'!$E$2)&amp;CHAR(10))</f>
        <v/>
      </c>
      <c r="I194" s="80" t="str">
        <f t="array" ref="I194">IF(OR(B194="",B194="(none)"),"",IF(ISNUMBER(SEARCH(CHAR(10)&amp;B194&amp;CHAR(10),H194)),B194,IFERROR(INDEX('Set Aliases'!$A$2:$A$501,MATCH(1,('Set Aliases'!$B$2:$B$501=B194)*ISNUMBER(SEARCH(CHAR(10)&amp;'Set Aliases'!$A$2:$A$501&amp;CHAR(10),H194)),0)),"")))</f>
        <v/>
      </c>
      <c r="J194" s="80" t="str">
        <f t="array" ref="J194">IF(I194="","",IFERROR(VALUE(TRIM(MID(SUBSTITUTE(INDEX(Wishlist!$A:$Z,ROW()-0,'List Setup'!$G$2),CHAR(10),REPT(" ",100)),((SEARCH(CHAR(10)&amp;I194&amp;CHAR(10),H194)-LEN(SUBSTITUTE(LEFT(H194,SEARCH(CHAR(10)&amp;I194&amp;CHAR(10),H194)),CHAR(10),"")))-1)*100+1,100))),""))</f>
        <v/>
      </c>
      <c r="K194" s="80" t="str">
        <f t="array" ref="K194">IF(A194="","",IF(ISNUMBER(SEARCH("Land",LEFT(IFERROR(INDEX(Wishlist!$A:$Z,ROW()-0,'List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94" s="80" t="str">
        <f t="shared" si="3"/>
        <v/>
      </c>
      <c r="M194" s="80" t="str">
        <f>IF(A194="","",IF(AND(E194="Y",B194='Use at Shop'!$B$4),K194*10000000000+(MAX(0,MIN(26,CODE(MID(UPPER(A194)&amp;"    ",1,1))-64))*19683+MAX(0,MIN(26,CODE(MID(UPPER(A194)&amp;"    ",2,1))-64))*729+MAX(0,MIN(26,CODE(MID(UPPER(A194)&amp;"    ",3,1))-64))*27+MAX(0,MIN(26,CODE(MID(UPPER(A194)&amp;"    ",4,1))-64))*1)*10000+ROW(),""))</f>
        <v/>
      </c>
      <c r="N194" s="80" t="str">
        <f t="shared" si="4"/>
        <v/>
      </c>
      <c r="O194" s="80" t="str">
        <f t="array" ref="O194">IF(A194="","",IFERROR(INDEX(Wishlist!$A:$Z,ROW()-0,'List Setup'!$J$2)&amp;"",""))</f>
        <v/>
      </c>
      <c r="P194" s="2"/>
      <c r="Q194" s="80" t="str">
        <f>IF(A194="","",'List Setup'!$A$2)</f>
        <v/>
      </c>
      <c r="R194" s="80" t="str">
        <f t="array" ref="R194">IF(A194="","",IFERROR(OR(INDEX(Binders!$J$6:$J$30,MATCH(Q194,Binders!$I$6:$I$30,0))=TRUE(),UPPER(INDEX(Binders!$J$6:$J$30,MATCH(Q194,Binders!$I$6:$I$30,0))&amp;"")="TRUE"),FALSE()))</f>
        <v/>
      </c>
    </row>
    <row r="195" ht="15.75" customHeight="1">
      <c r="A195" s="80" t="str">
        <f t="array" ref="A195">IF(INDEX(Wishlist!$A:$Z,ROW()-0,'List Setup'!$D$2)="","",INDEX(Wishlist!$A:$Z,ROW()-0,'List Setup'!$D$2))</f>
        <v/>
      </c>
      <c r="B195" s="80" t="str">
        <f t="array" ref="B195">IF(A195="","",IFERROR(INDEX('Binder Setup'!$B$2:$B$401,MIN(IF(ISNUMBER(SEARCH(CHAR(10)&amp;'Binder Setup'!$B$2:$B$401&amp;CHAR(10),$H195)),'List Setup'!$Q$2:$Q$401,999),IF(ISNUMBER(SEARCH(CHAR(10)&amp;'Set Aliases'!$A$2:$A$501&amp;CHAR(10),$H195)),'Set Aliases'!$C$2:$C$501,999))),"(none)"))</f>
        <v/>
      </c>
      <c r="C195" s="80" t="str">
        <f t="shared" si="1"/>
        <v/>
      </c>
      <c r="D195" s="80" t="str">
        <f t="array" ref="D195">IF(A195="","",IF(ISLOGICAL(INDEX(Wishlist!$A:$Z,ROW()-0,'List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95" s="80" t="str">
        <f t="shared" si="2"/>
        <v/>
      </c>
      <c r="F195" s="80" t="str">
        <f t="array" ref="F195">IF(A195="","",IF(ISNUMBER(J195),J195,IF(ISNUMBER(INDEX(Wishlist!$A:$Z,ROW()-0,'List Setup'!$F$2)),INDEX(Wishlist!$A:$Z,ROW()-0,'List Setup'!$F$2),0)))</f>
        <v/>
      </c>
      <c r="G195" s="80" t="str">
        <f t="array" ref="G195">IF(A195="","",A195&amp;IF(N(INDEX(Wishlist!$A:$Z,ROW()-0,'List Setup'!$C$2))&gt;1," (x"&amp;INDEX(Wishlist!$A:$Z,ROW()-0,'List Setup'!$C$2)&amp;")","")&amp;IF(COUNTIF(Binders!$J$6:$J$30,TRUE())&gt;1," ["&amp;Q195&amp;"]",""))</f>
        <v/>
      </c>
      <c r="H195" s="80" t="str">
        <f t="array" ref="H195">IF(A195="","",CHAR(10)&amp;INDEX(Wishlist!$A:$Z,ROW()-0,'List Setup'!$E$2)&amp;CHAR(10))</f>
        <v/>
      </c>
      <c r="I195" s="80" t="str">
        <f t="array" ref="I195">IF(OR(B195="",B195="(none)"),"",IF(ISNUMBER(SEARCH(CHAR(10)&amp;B195&amp;CHAR(10),H195)),B195,IFERROR(INDEX('Set Aliases'!$A$2:$A$501,MATCH(1,('Set Aliases'!$B$2:$B$501=B195)*ISNUMBER(SEARCH(CHAR(10)&amp;'Set Aliases'!$A$2:$A$501&amp;CHAR(10),H195)),0)),"")))</f>
        <v/>
      </c>
      <c r="J195" s="80" t="str">
        <f t="array" ref="J195">IF(I195="","",IFERROR(VALUE(TRIM(MID(SUBSTITUTE(INDEX(Wishlist!$A:$Z,ROW()-0,'List Setup'!$G$2),CHAR(10),REPT(" ",100)),((SEARCH(CHAR(10)&amp;I195&amp;CHAR(10),H195)-LEN(SUBSTITUTE(LEFT(H195,SEARCH(CHAR(10)&amp;I195&amp;CHAR(10),H195)),CHAR(10),"")))-1)*100+1,100))),""))</f>
        <v/>
      </c>
      <c r="K195" s="80" t="str">
        <f t="array" ref="K195">IF(A195="","",IF(ISNUMBER(SEARCH("Land",LEFT(IFERROR(INDEX(Wishlist!$A:$Z,ROW()-0,'List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95" s="80" t="str">
        <f t="shared" si="3"/>
        <v/>
      </c>
      <c r="M195" s="80" t="str">
        <f>IF(A195="","",IF(AND(E195="Y",B195='Use at Shop'!$B$4),K195*10000000000+(MAX(0,MIN(26,CODE(MID(UPPER(A195)&amp;"    ",1,1))-64))*19683+MAX(0,MIN(26,CODE(MID(UPPER(A195)&amp;"    ",2,1))-64))*729+MAX(0,MIN(26,CODE(MID(UPPER(A195)&amp;"    ",3,1))-64))*27+MAX(0,MIN(26,CODE(MID(UPPER(A195)&amp;"    ",4,1))-64))*1)*10000+ROW(),""))</f>
        <v/>
      </c>
      <c r="N195" s="80" t="str">
        <f t="shared" si="4"/>
        <v/>
      </c>
      <c r="O195" s="80" t="str">
        <f t="array" ref="O195">IF(A195="","",IFERROR(INDEX(Wishlist!$A:$Z,ROW()-0,'List Setup'!$J$2)&amp;"",""))</f>
        <v/>
      </c>
      <c r="P195" s="2"/>
      <c r="Q195" s="80" t="str">
        <f>IF(A195="","",'List Setup'!$A$2)</f>
        <v/>
      </c>
      <c r="R195" s="80" t="str">
        <f t="array" ref="R195">IF(A195="","",IFERROR(OR(INDEX(Binders!$J$6:$J$30,MATCH(Q195,Binders!$I$6:$I$30,0))=TRUE(),UPPER(INDEX(Binders!$J$6:$J$30,MATCH(Q195,Binders!$I$6:$I$30,0))&amp;"")="TRUE"),FALSE()))</f>
        <v/>
      </c>
    </row>
    <row r="196" ht="15.75" customHeight="1">
      <c r="A196" s="80" t="str">
        <f t="array" ref="A196">IF(INDEX(Wishlist!$A:$Z,ROW()-0,'List Setup'!$D$2)="","",INDEX(Wishlist!$A:$Z,ROW()-0,'List Setup'!$D$2))</f>
        <v/>
      </c>
      <c r="B196" s="80" t="str">
        <f t="array" ref="B196">IF(A196="","",IFERROR(INDEX('Binder Setup'!$B$2:$B$401,MIN(IF(ISNUMBER(SEARCH(CHAR(10)&amp;'Binder Setup'!$B$2:$B$401&amp;CHAR(10),$H196)),'List Setup'!$Q$2:$Q$401,999),IF(ISNUMBER(SEARCH(CHAR(10)&amp;'Set Aliases'!$A$2:$A$501&amp;CHAR(10),$H196)),'Set Aliases'!$C$2:$C$501,999))),"(none)"))</f>
        <v/>
      </c>
      <c r="C196" s="80" t="str">
        <f t="shared" si="1"/>
        <v/>
      </c>
      <c r="D196" s="80" t="str">
        <f t="array" ref="D196">IF(A196="","",IF(ISLOGICAL(INDEX(Wishlist!$A:$Z,ROW()-0,'List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96" s="80" t="str">
        <f t="shared" si="2"/>
        <v/>
      </c>
      <c r="F196" s="80" t="str">
        <f t="array" ref="F196">IF(A196="","",IF(ISNUMBER(J196),J196,IF(ISNUMBER(INDEX(Wishlist!$A:$Z,ROW()-0,'List Setup'!$F$2)),INDEX(Wishlist!$A:$Z,ROW()-0,'List Setup'!$F$2),0)))</f>
        <v/>
      </c>
      <c r="G196" s="80" t="str">
        <f t="array" ref="G196">IF(A196="","",A196&amp;IF(N(INDEX(Wishlist!$A:$Z,ROW()-0,'List Setup'!$C$2))&gt;1," (x"&amp;INDEX(Wishlist!$A:$Z,ROW()-0,'List Setup'!$C$2)&amp;")","")&amp;IF(COUNTIF(Binders!$J$6:$J$30,TRUE())&gt;1," ["&amp;Q196&amp;"]",""))</f>
        <v/>
      </c>
      <c r="H196" s="80" t="str">
        <f t="array" ref="H196">IF(A196="","",CHAR(10)&amp;INDEX(Wishlist!$A:$Z,ROW()-0,'List Setup'!$E$2)&amp;CHAR(10))</f>
        <v/>
      </c>
      <c r="I196" s="80" t="str">
        <f t="array" ref="I196">IF(OR(B196="",B196="(none)"),"",IF(ISNUMBER(SEARCH(CHAR(10)&amp;B196&amp;CHAR(10),H196)),B196,IFERROR(INDEX('Set Aliases'!$A$2:$A$501,MATCH(1,('Set Aliases'!$B$2:$B$501=B196)*ISNUMBER(SEARCH(CHAR(10)&amp;'Set Aliases'!$A$2:$A$501&amp;CHAR(10),H196)),0)),"")))</f>
        <v/>
      </c>
      <c r="J196" s="80" t="str">
        <f t="array" ref="J196">IF(I196="","",IFERROR(VALUE(TRIM(MID(SUBSTITUTE(INDEX(Wishlist!$A:$Z,ROW()-0,'List Setup'!$G$2),CHAR(10),REPT(" ",100)),((SEARCH(CHAR(10)&amp;I196&amp;CHAR(10),H196)-LEN(SUBSTITUTE(LEFT(H196,SEARCH(CHAR(10)&amp;I196&amp;CHAR(10),H196)),CHAR(10),"")))-1)*100+1,100))),""))</f>
        <v/>
      </c>
      <c r="K196" s="80" t="str">
        <f t="array" ref="K196">IF(A196="","",IF(ISNUMBER(SEARCH("Land",LEFT(IFERROR(INDEX(Wishlist!$A:$Z,ROW()-0,'List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96" s="80" t="str">
        <f t="shared" si="3"/>
        <v/>
      </c>
      <c r="M196" s="80" t="str">
        <f>IF(A196="","",IF(AND(E196="Y",B196='Use at Shop'!$B$4),K196*10000000000+(MAX(0,MIN(26,CODE(MID(UPPER(A196)&amp;"    ",1,1))-64))*19683+MAX(0,MIN(26,CODE(MID(UPPER(A196)&amp;"    ",2,1))-64))*729+MAX(0,MIN(26,CODE(MID(UPPER(A196)&amp;"    ",3,1))-64))*27+MAX(0,MIN(26,CODE(MID(UPPER(A196)&amp;"    ",4,1))-64))*1)*10000+ROW(),""))</f>
        <v/>
      </c>
      <c r="N196" s="80" t="str">
        <f t="shared" si="4"/>
        <v/>
      </c>
      <c r="O196" s="80" t="str">
        <f t="array" ref="O196">IF(A196="","",IFERROR(INDEX(Wishlist!$A:$Z,ROW()-0,'List Setup'!$J$2)&amp;"",""))</f>
        <v/>
      </c>
      <c r="P196" s="2"/>
      <c r="Q196" s="80" t="str">
        <f>IF(A196="","",'List Setup'!$A$2)</f>
        <v/>
      </c>
      <c r="R196" s="80" t="str">
        <f t="array" ref="R196">IF(A196="","",IFERROR(OR(INDEX(Binders!$J$6:$J$30,MATCH(Q196,Binders!$I$6:$I$30,0))=TRUE(),UPPER(INDEX(Binders!$J$6:$J$30,MATCH(Q196,Binders!$I$6:$I$30,0))&amp;"")="TRUE"),FALSE()))</f>
        <v/>
      </c>
    </row>
    <row r="197" ht="15.75" customHeight="1">
      <c r="A197" s="80" t="str">
        <f t="array" ref="A197">IF(INDEX(Wishlist!$A:$Z,ROW()-0,'List Setup'!$D$2)="","",INDEX(Wishlist!$A:$Z,ROW()-0,'List Setup'!$D$2))</f>
        <v/>
      </c>
      <c r="B197" s="80" t="str">
        <f t="array" ref="B197">IF(A197="","",IFERROR(INDEX('Binder Setup'!$B$2:$B$401,MIN(IF(ISNUMBER(SEARCH(CHAR(10)&amp;'Binder Setup'!$B$2:$B$401&amp;CHAR(10),$H197)),'List Setup'!$Q$2:$Q$401,999),IF(ISNUMBER(SEARCH(CHAR(10)&amp;'Set Aliases'!$A$2:$A$501&amp;CHAR(10),$H197)),'Set Aliases'!$C$2:$C$501,999))),"(none)"))</f>
        <v/>
      </c>
      <c r="C197" s="80" t="str">
        <f t="shared" si="1"/>
        <v/>
      </c>
      <c r="D197" s="80" t="str">
        <f t="array" ref="D197">IF(A197="","",IF(ISLOGICAL(INDEX(Wishlist!$A:$Z,ROW()-0,'List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97" s="80" t="str">
        <f t="shared" si="2"/>
        <v/>
      </c>
      <c r="F197" s="80" t="str">
        <f t="array" ref="F197">IF(A197="","",IF(ISNUMBER(J197),J197,IF(ISNUMBER(INDEX(Wishlist!$A:$Z,ROW()-0,'List Setup'!$F$2)),INDEX(Wishlist!$A:$Z,ROW()-0,'List Setup'!$F$2),0)))</f>
        <v/>
      </c>
      <c r="G197" s="80" t="str">
        <f t="array" ref="G197">IF(A197="","",A197&amp;IF(N(INDEX(Wishlist!$A:$Z,ROW()-0,'List Setup'!$C$2))&gt;1," (x"&amp;INDEX(Wishlist!$A:$Z,ROW()-0,'List Setup'!$C$2)&amp;")","")&amp;IF(COUNTIF(Binders!$J$6:$J$30,TRUE())&gt;1," ["&amp;Q197&amp;"]",""))</f>
        <v/>
      </c>
      <c r="H197" s="80" t="str">
        <f t="array" ref="H197">IF(A197="","",CHAR(10)&amp;INDEX(Wishlist!$A:$Z,ROW()-0,'List Setup'!$E$2)&amp;CHAR(10))</f>
        <v/>
      </c>
      <c r="I197" s="80" t="str">
        <f t="array" ref="I197">IF(OR(B197="",B197="(none)"),"",IF(ISNUMBER(SEARCH(CHAR(10)&amp;B197&amp;CHAR(10),H197)),B197,IFERROR(INDEX('Set Aliases'!$A$2:$A$501,MATCH(1,('Set Aliases'!$B$2:$B$501=B197)*ISNUMBER(SEARCH(CHAR(10)&amp;'Set Aliases'!$A$2:$A$501&amp;CHAR(10),H197)),0)),"")))</f>
        <v/>
      </c>
      <c r="J197" s="80" t="str">
        <f t="array" ref="J197">IF(I197="","",IFERROR(VALUE(TRIM(MID(SUBSTITUTE(INDEX(Wishlist!$A:$Z,ROW()-0,'List Setup'!$G$2),CHAR(10),REPT(" ",100)),((SEARCH(CHAR(10)&amp;I197&amp;CHAR(10),H197)-LEN(SUBSTITUTE(LEFT(H197,SEARCH(CHAR(10)&amp;I197&amp;CHAR(10),H197)),CHAR(10),"")))-1)*100+1,100))),""))</f>
        <v/>
      </c>
      <c r="K197" s="80" t="str">
        <f t="array" ref="K197">IF(A197="","",IF(ISNUMBER(SEARCH("Land",LEFT(IFERROR(INDEX(Wishlist!$A:$Z,ROW()-0,'List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97" s="80" t="str">
        <f t="shared" si="3"/>
        <v/>
      </c>
      <c r="M197" s="80" t="str">
        <f>IF(A197="","",IF(AND(E197="Y",B197='Use at Shop'!$B$4),K197*10000000000+(MAX(0,MIN(26,CODE(MID(UPPER(A197)&amp;"    ",1,1))-64))*19683+MAX(0,MIN(26,CODE(MID(UPPER(A197)&amp;"    ",2,1))-64))*729+MAX(0,MIN(26,CODE(MID(UPPER(A197)&amp;"    ",3,1))-64))*27+MAX(0,MIN(26,CODE(MID(UPPER(A197)&amp;"    ",4,1))-64))*1)*10000+ROW(),""))</f>
        <v/>
      </c>
      <c r="N197" s="80" t="str">
        <f t="shared" si="4"/>
        <v/>
      </c>
      <c r="O197" s="80" t="str">
        <f t="array" ref="O197">IF(A197="","",IFERROR(INDEX(Wishlist!$A:$Z,ROW()-0,'List Setup'!$J$2)&amp;"",""))</f>
        <v/>
      </c>
      <c r="P197" s="2"/>
      <c r="Q197" s="80" t="str">
        <f>IF(A197="","",'List Setup'!$A$2)</f>
        <v/>
      </c>
      <c r="R197" s="80" t="str">
        <f t="array" ref="R197">IF(A197="","",IFERROR(OR(INDEX(Binders!$J$6:$J$30,MATCH(Q197,Binders!$I$6:$I$30,0))=TRUE(),UPPER(INDEX(Binders!$J$6:$J$30,MATCH(Q197,Binders!$I$6:$I$30,0))&amp;"")="TRUE"),FALSE()))</f>
        <v/>
      </c>
    </row>
    <row r="198" ht="15.75" customHeight="1">
      <c r="A198" s="80" t="str">
        <f t="array" ref="A198">IF(INDEX(Wishlist!$A:$Z,ROW()-0,'List Setup'!$D$2)="","",INDEX(Wishlist!$A:$Z,ROW()-0,'List Setup'!$D$2))</f>
        <v/>
      </c>
      <c r="B198" s="80" t="str">
        <f t="array" ref="B198">IF(A198="","",IFERROR(INDEX('Binder Setup'!$B$2:$B$401,MIN(IF(ISNUMBER(SEARCH(CHAR(10)&amp;'Binder Setup'!$B$2:$B$401&amp;CHAR(10),$H198)),'List Setup'!$Q$2:$Q$401,999),IF(ISNUMBER(SEARCH(CHAR(10)&amp;'Set Aliases'!$A$2:$A$501&amp;CHAR(10),$H198)),'Set Aliases'!$C$2:$C$501,999))),"(none)"))</f>
        <v/>
      </c>
      <c r="C198" s="80" t="str">
        <f t="shared" si="1"/>
        <v/>
      </c>
      <c r="D198" s="80" t="str">
        <f t="array" ref="D198">IF(A198="","",IF(ISLOGICAL(INDEX(Wishlist!$A:$Z,ROW()-0,'List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98" s="80" t="str">
        <f t="shared" si="2"/>
        <v/>
      </c>
      <c r="F198" s="80" t="str">
        <f t="array" ref="F198">IF(A198="","",IF(ISNUMBER(J198),J198,IF(ISNUMBER(INDEX(Wishlist!$A:$Z,ROW()-0,'List Setup'!$F$2)),INDEX(Wishlist!$A:$Z,ROW()-0,'List Setup'!$F$2),0)))</f>
        <v/>
      </c>
      <c r="G198" s="80" t="str">
        <f t="array" ref="G198">IF(A198="","",A198&amp;IF(N(INDEX(Wishlist!$A:$Z,ROW()-0,'List Setup'!$C$2))&gt;1," (x"&amp;INDEX(Wishlist!$A:$Z,ROW()-0,'List Setup'!$C$2)&amp;")","")&amp;IF(COUNTIF(Binders!$J$6:$J$30,TRUE())&gt;1," ["&amp;Q198&amp;"]",""))</f>
        <v/>
      </c>
      <c r="H198" s="80" t="str">
        <f t="array" ref="H198">IF(A198="","",CHAR(10)&amp;INDEX(Wishlist!$A:$Z,ROW()-0,'List Setup'!$E$2)&amp;CHAR(10))</f>
        <v/>
      </c>
      <c r="I198" s="80" t="str">
        <f t="array" ref="I198">IF(OR(B198="",B198="(none)"),"",IF(ISNUMBER(SEARCH(CHAR(10)&amp;B198&amp;CHAR(10),H198)),B198,IFERROR(INDEX('Set Aliases'!$A$2:$A$501,MATCH(1,('Set Aliases'!$B$2:$B$501=B198)*ISNUMBER(SEARCH(CHAR(10)&amp;'Set Aliases'!$A$2:$A$501&amp;CHAR(10),H198)),0)),"")))</f>
        <v/>
      </c>
      <c r="J198" s="80" t="str">
        <f t="array" ref="J198">IF(I198="","",IFERROR(VALUE(TRIM(MID(SUBSTITUTE(INDEX(Wishlist!$A:$Z,ROW()-0,'List Setup'!$G$2),CHAR(10),REPT(" ",100)),((SEARCH(CHAR(10)&amp;I198&amp;CHAR(10),H198)-LEN(SUBSTITUTE(LEFT(H198,SEARCH(CHAR(10)&amp;I198&amp;CHAR(10),H198)),CHAR(10),"")))-1)*100+1,100))),""))</f>
        <v/>
      </c>
      <c r="K198" s="80" t="str">
        <f t="array" ref="K198">IF(A198="","",IF(ISNUMBER(SEARCH("Land",LEFT(IFERROR(INDEX(Wishlist!$A:$Z,ROW()-0,'List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98" s="80" t="str">
        <f t="shared" si="3"/>
        <v/>
      </c>
      <c r="M198" s="80" t="str">
        <f>IF(A198="","",IF(AND(E198="Y",B198='Use at Shop'!$B$4),K198*10000000000+(MAX(0,MIN(26,CODE(MID(UPPER(A198)&amp;"    ",1,1))-64))*19683+MAX(0,MIN(26,CODE(MID(UPPER(A198)&amp;"    ",2,1))-64))*729+MAX(0,MIN(26,CODE(MID(UPPER(A198)&amp;"    ",3,1))-64))*27+MAX(0,MIN(26,CODE(MID(UPPER(A198)&amp;"    ",4,1))-64))*1)*10000+ROW(),""))</f>
        <v/>
      </c>
      <c r="N198" s="80" t="str">
        <f t="shared" si="4"/>
        <v/>
      </c>
      <c r="O198" s="80" t="str">
        <f t="array" ref="O198">IF(A198="","",IFERROR(INDEX(Wishlist!$A:$Z,ROW()-0,'List Setup'!$J$2)&amp;"",""))</f>
        <v/>
      </c>
      <c r="P198" s="2"/>
      <c r="Q198" s="80" t="str">
        <f>IF(A198="","",'List Setup'!$A$2)</f>
        <v/>
      </c>
      <c r="R198" s="80" t="str">
        <f t="array" ref="R198">IF(A198="","",IFERROR(OR(INDEX(Binders!$J$6:$J$30,MATCH(Q198,Binders!$I$6:$I$30,0))=TRUE(),UPPER(INDEX(Binders!$J$6:$J$30,MATCH(Q198,Binders!$I$6:$I$30,0))&amp;"")="TRUE"),FALSE()))</f>
        <v/>
      </c>
    </row>
    <row r="199" ht="15.75" customHeight="1">
      <c r="A199" s="80" t="str">
        <f t="array" ref="A199">IF(INDEX(Wishlist!$A:$Z,ROW()-0,'List Setup'!$D$2)="","",INDEX(Wishlist!$A:$Z,ROW()-0,'List Setup'!$D$2))</f>
        <v/>
      </c>
      <c r="B199" s="80" t="str">
        <f t="array" ref="B199">IF(A199="","",IFERROR(INDEX('Binder Setup'!$B$2:$B$401,MIN(IF(ISNUMBER(SEARCH(CHAR(10)&amp;'Binder Setup'!$B$2:$B$401&amp;CHAR(10),$H199)),'List Setup'!$Q$2:$Q$401,999),IF(ISNUMBER(SEARCH(CHAR(10)&amp;'Set Aliases'!$A$2:$A$501&amp;CHAR(10),$H199)),'Set Aliases'!$C$2:$C$501,999))),"(none)"))</f>
        <v/>
      </c>
      <c r="C199" s="80" t="str">
        <f t="shared" si="1"/>
        <v/>
      </c>
      <c r="D199" s="80" t="str">
        <f t="array" ref="D199">IF(A199="","",IF(ISLOGICAL(INDEX(Wishlist!$A:$Z,ROW()-0,'List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199" s="80" t="str">
        <f t="shared" si="2"/>
        <v/>
      </c>
      <c r="F199" s="80" t="str">
        <f t="array" ref="F199">IF(A199="","",IF(ISNUMBER(J199),J199,IF(ISNUMBER(INDEX(Wishlist!$A:$Z,ROW()-0,'List Setup'!$F$2)),INDEX(Wishlist!$A:$Z,ROW()-0,'List Setup'!$F$2),0)))</f>
        <v/>
      </c>
      <c r="G199" s="80" t="str">
        <f t="array" ref="G199">IF(A199="","",A199&amp;IF(N(INDEX(Wishlist!$A:$Z,ROW()-0,'List Setup'!$C$2))&gt;1," (x"&amp;INDEX(Wishlist!$A:$Z,ROW()-0,'List Setup'!$C$2)&amp;")","")&amp;IF(COUNTIF(Binders!$J$6:$J$30,TRUE())&gt;1," ["&amp;Q199&amp;"]",""))</f>
        <v/>
      </c>
      <c r="H199" s="80" t="str">
        <f t="array" ref="H199">IF(A199="","",CHAR(10)&amp;INDEX(Wishlist!$A:$Z,ROW()-0,'List Setup'!$E$2)&amp;CHAR(10))</f>
        <v/>
      </c>
      <c r="I199" s="80" t="str">
        <f t="array" ref="I199">IF(OR(B199="",B199="(none)"),"",IF(ISNUMBER(SEARCH(CHAR(10)&amp;B199&amp;CHAR(10),H199)),B199,IFERROR(INDEX('Set Aliases'!$A$2:$A$501,MATCH(1,('Set Aliases'!$B$2:$B$501=B199)*ISNUMBER(SEARCH(CHAR(10)&amp;'Set Aliases'!$A$2:$A$501&amp;CHAR(10),H199)),0)),"")))</f>
        <v/>
      </c>
      <c r="J199" s="80" t="str">
        <f t="array" ref="J199">IF(I199="","",IFERROR(VALUE(TRIM(MID(SUBSTITUTE(INDEX(Wishlist!$A:$Z,ROW()-0,'List Setup'!$G$2),CHAR(10),REPT(" ",100)),((SEARCH(CHAR(10)&amp;I199&amp;CHAR(10),H199)-LEN(SUBSTITUTE(LEFT(H199,SEARCH(CHAR(10)&amp;I199&amp;CHAR(10),H199)),CHAR(10),"")))-1)*100+1,100))),""))</f>
        <v/>
      </c>
      <c r="K199" s="80" t="str">
        <f t="array" ref="K199">IF(A199="","",IF(ISNUMBER(SEARCH("Land",LEFT(IFERROR(INDEX(Wishlist!$A:$Z,ROW()-0,'List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199" s="80" t="str">
        <f t="shared" si="3"/>
        <v/>
      </c>
      <c r="M199" s="80" t="str">
        <f>IF(A199="","",IF(AND(E199="Y",B199='Use at Shop'!$B$4),K199*10000000000+(MAX(0,MIN(26,CODE(MID(UPPER(A199)&amp;"    ",1,1))-64))*19683+MAX(0,MIN(26,CODE(MID(UPPER(A199)&amp;"    ",2,1))-64))*729+MAX(0,MIN(26,CODE(MID(UPPER(A199)&amp;"    ",3,1))-64))*27+MAX(0,MIN(26,CODE(MID(UPPER(A199)&amp;"    ",4,1))-64))*1)*10000+ROW(),""))</f>
        <v/>
      </c>
      <c r="N199" s="80" t="str">
        <f t="shared" si="4"/>
        <v/>
      </c>
      <c r="O199" s="80" t="str">
        <f t="array" ref="O199">IF(A199="","",IFERROR(INDEX(Wishlist!$A:$Z,ROW()-0,'List Setup'!$J$2)&amp;"",""))</f>
        <v/>
      </c>
      <c r="P199" s="2"/>
      <c r="Q199" s="80" t="str">
        <f>IF(A199="","",'List Setup'!$A$2)</f>
        <v/>
      </c>
      <c r="R199" s="80" t="str">
        <f t="array" ref="R199">IF(A199="","",IFERROR(OR(INDEX(Binders!$J$6:$J$30,MATCH(Q199,Binders!$I$6:$I$30,0))=TRUE(),UPPER(INDEX(Binders!$J$6:$J$30,MATCH(Q199,Binders!$I$6:$I$30,0))&amp;"")="TRUE"),FALSE()))</f>
        <v/>
      </c>
    </row>
    <row r="200" ht="15.75" customHeight="1">
      <c r="A200" s="80" t="str">
        <f t="array" ref="A200">IF(INDEX(Wishlist!$A:$Z,ROW()-0,'List Setup'!$D$2)="","",INDEX(Wishlist!$A:$Z,ROW()-0,'List Setup'!$D$2))</f>
        <v/>
      </c>
      <c r="B200" s="80" t="str">
        <f t="array" ref="B200">IF(A200="","",IFERROR(INDEX('Binder Setup'!$B$2:$B$401,MIN(IF(ISNUMBER(SEARCH(CHAR(10)&amp;'Binder Setup'!$B$2:$B$401&amp;CHAR(10),$H200)),'List Setup'!$Q$2:$Q$401,999),IF(ISNUMBER(SEARCH(CHAR(10)&amp;'Set Aliases'!$A$2:$A$501&amp;CHAR(10),$H200)),'Set Aliases'!$C$2:$C$501,999))),"(none)"))</f>
        <v/>
      </c>
      <c r="C200" s="80" t="str">
        <f t="shared" si="1"/>
        <v/>
      </c>
      <c r="D200" s="80" t="str">
        <f t="array" ref="D200">IF(A200="","",IF(ISLOGICAL(INDEX(Wishlist!$A:$Z,ROW()-0,'List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00" s="80" t="str">
        <f t="shared" si="2"/>
        <v/>
      </c>
      <c r="F200" s="80" t="str">
        <f t="array" ref="F200">IF(A200="","",IF(ISNUMBER(J200),J200,IF(ISNUMBER(INDEX(Wishlist!$A:$Z,ROW()-0,'List Setup'!$F$2)),INDEX(Wishlist!$A:$Z,ROW()-0,'List Setup'!$F$2),0)))</f>
        <v/>
      </c>
      <c r="G200" s="80" t="str">
        <f t="array" ref="G200">IF(A200="","",A200&amp;IF(N(INDEX(Wishlist!$A:$Z,ROW()-0,'List Setup'!$C$2))&gt;1," (x"&amp;INDEX(Wishlist!$A:$Z,ROW()-0,'List Setup'!$C$2)&amp;")","")&amp;IF(COUNTIF(Binders!$J$6:$J$30,TRUE())&gt;1," ["&amp;Q200&amp;"]",""))</f>
        <v/>
      </c>
      <c r="H200" s="80" t="str">
        <f t="array" ref="H200">IF(A200="","",CHAR(10)&amp;INDEX(Wishlist!$A:$Z,ROW()-0,'List Setup'!$E$2)&amp;CHAR(10))</f>
        <v/>
      </c>
      <c r="I200" s="80" t="str">
        <f t="array" ref="I200">IF(OR(B200="",B200="(none)"),"",IF(ISNUMBER(SEARCH(CHAR(10)&amp;B200&amp;CHAR(10),H200)),B200,IFERROR(INDEX('Set Aliases'!$A$2:$A$501,MATCH(1,('Set Aliases'!$B$2:$B$501=B200)*ISNUMBER(SEARCH(CHAR(10)&amp;'Set Aliases'!$A$2:$A$501&amp;CHAR(10),H200)),0)),"")))</f>
        <v/>
      </c>
      <c r="J200" s="80" t="str">
        <f t="array" ref="J200">IF(I200="","",IFERROR(VALUE(TRIM(MID(SUBSTITUTE(INDEX(Wishlist!$A:$Z,ROW()-0,'List Setup'!$G$2),CHAR(10),REPT(" ",100)),((SEARCH(CHAR(10)&amp;I200&amp;CHAR(10),H200)-LEN(SUBSTITUTE(LEFT(H200,SEARCH(CHAR(10)&amp;I200&amp;CHAR(10),H200)),CHAR(10),"")))-1)*100+1,100))),""))</f>
        <v/>
      </c>
      <c r="K200" s="80" t="str">
        <f t="array" ref="K200">IF(A200="","",IF(ISNUMBER(SEARCH("Land",LEFT(IFERROR(INDEX(Wishlist!$A:$Z,ROW()-0,'List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00" s="80" t="str">
        <f t="shared" si="3"/>
        <v/>
      </c>
      <c r="M200" s="80" t="str">
        <f>IF(A200="","",IF(AND(E200="Y",B200='Use at Shop'!$B$4),K200*10000000000+(MAX(0,MIN(26,CODE(MID(UPPER(A200)&amp;"    ",1,1))-64))*19683+MAX(0,MIN(26,CODE(MID(UPPER(A200)&amp;"    ",2,1))-64))*729+MAX(0,MIN(26,CODE(MID(UPPER(A200)&amp;"    ",3,1))-64))*27+MAX(0,MIN(26,CODE(MID(UPPER(A200)&amp;"    ",4,1))-64))*1)*10000+ROW(),""))</f>
        <v/>
      </c>
      <c r="N200" s="80" t="str">
        <f t="shared" si="4"/>
        <v/>
      </c>
      <c r="O200" s="80" t="str">
        <f t="array" ref="O200">IF(A200="","",IFERROR(INDEX(Wishlist!$A:$Z,ROW()-0,'List Setup'!$J$2)&amp;"",""))</f>
        <v/>
      </c>
      <c r="P200" s="2"/>
      <c r="Q200" s="80" t="str">
        <f>IF(A200="","",'List Setup'!$A$2)</f>
        <v/>
      </c>
      <c r="R200" s="80" t="str">
        <f t="array" ref="R200">IF(A200="","",IFERROR(OR(INDEX(Binders!$J$6:$J$30,MATCH(Q200,Binders!$I$6:$I$30,0))=TRUE(),UPPER(INDEX(Binders!$J$6:$J$30,MATCH(Q200,Binders!$I$6:$I$30,0))&amp;"")="TRUE"),FALSE()))</f>
        <v/>
      </c>
    </row>
    <row r="201" ht="15.75" customHeight="1">
      <c r="A201" s="80" t="str">
        <f t="array" ref="A201">IF(INDEX(Wishlist!$A:$Z,ROW()-0,'List Setup'!$D$2)="","",INDEX(Wishlist!$A:$Z,ROW()-0,'List Setup'!$D$2))</f>
        <v/>
      </c>
      <c r="B201" s="80" t="str">
        <f t="array" ref="B201">IF(A201="","",IFERROR(INDEX('Binder Setup'!$B$2:$B$401,MIN(IF(ISNUMBER(SEARCH(CHAR(10)&amp;'Binder Setup'!$B$2:$B$401&amp;CHAR(10),$H201)),'List Setup'!$Q$2:$Q$401,999),IF(ISNUMBER(SEARCH(CHAR(10)&amp;'Set Aliases'!$A$2:$A$501&amp;CHAR(10),$H201)),'Set Aliases'!$C$2:$C$501,999))),"(none)"))</f>
        <v/>
      </c>
      <c r="C201" s="80" t="str">
        <f t="shared" si="1"/>
        <v/>
      </c>
      <c r="D201" s="80" t="str">
        <f t="array" ref="D201">IF(A201="","",IF(ISLOGICAL(INDEX(Wishlist!$A:$Z,ROW()-0,'List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01" s="80" t="str">
        <f t="shared" si="2"/>
        <v/>
      </c>
      <c r="F201" s="80" t="str">
        <f t="array" ref="F201">IF(A201="","",IF(ISNUMBER(J201),J201,IF(ISNUMBER(INDEX(Wishlist!$A:$Z,ROW()-0,'List Setup'!$F$2)),INDEX(Wishlist!$A:$Z,ROW()-0,'List Setup'!$F$2),0)))</f>
        <v/>
      </c>
      <c r="G201" s="80" t="str">
        <f t="array" ref="G201">IF(A201="","",A201&amp;IF(N(INDEX(Wishlist!$A:$Z,ROW()-0,'List Setup'!$C$2))&gt;1," (x"&amp;INDEX(Wishlist!$A:$Z,ROW()-0,'List Setup'!$C$2)&amp;")","")&amp;IF(COUNTIF(Binders!$J$6:$J$30,TRUE())&gt;1," ["&amp;Q201&amp;"]",""))</f>
        <v/>
      </c>
      <c r="H201" s="80" t="str">
        <f t="array" ref="H201">IF(A201="","",CHAR(10)&amp;INDEX(Wishlist!$A:$Z,ROW()-0,'List Setup'!$E$2)&amp;CHAR(10))</f>
        <v/>
      </c>
      <c r="I201" s="80" t="str">
        <f t="array" ref="I201">IF(OR(B201="",B201="(none)"),"",IF(ISNUMBER(SEARCH(CHAR(10)&amp;B201&amp;CHAR(10),H201)),B201,IFERROR(INDEX('Set Aliases'!$A$2:$A$501,MATCH(1,('Set Aliases'!$B$2:$B$501=B201)*ISNUMBER(SEARCH(CHAR(10)&amp;'Set Aliases'!$A$2:$A$501&amp;CHAR(10),H201)),0)),"")))</f>
        <v/>
      </c>
      <c r="J201" s="80" t="str">
        <f t="array" ref="J201">IF(I201="","",IFERROR(VALUE(TRIM(MID(SUBSTITUTE(INDEX(Wishlist!$A:$Z,ROW()-0,'List Setup'!$G$2),CHAR(10),REPT(" ",100)),((SEARCH(CHAR(10)&amp;I201&amp;CHAR(10),H201)-LEN(SUBSTITUTE(LEFT(H201,SEARCH(CHAR(10)&amp;I201&amp;CHAR(10),H201)),CHAR(10),"")))-1)*100+1,100))),""))</f>
        <v/>
      </c>
      <c r="K201" s="80" t="str">
        <f t="array" ref="K201">IF(A201="","",IF(ISNUMBER(SEARCH("Land",LEFT(IFERROR(INDEX(Wishlist!$A:$Z,ROW()-0,'List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01" s="80" t="str">
        <f t="shared" si="3"/>
        <v/>
      </c>
      <c r="M201" s="80" t="str">
        <f>IF(A201="","",IF(AND(E201="Y",B201='Use at Shop'!$B$4),K201*10000000000+(MAX(0,MIN(26,CODE(MID(UPPER(A201)&amp;"    ",1,1))-64))*19683+MAX(0,MIN(26,CODE(MID(UPPER(A201)&amp;"    ",2,1))-64))*729+MAX(0,MIN(26,CODE(MID(UPPER(A201)&amp;"    ",3,1))-64))*27+MAX(0,MIN(26,CODE(MID(UPPER(A201)&amp;"    ",4,1))-64))*1)*10000+ROW(),""))</f>
        <v/>
      </c>
      <c r="N201" s="80" t="str">
        <f t="shared" si="4"/>
        <v/>
      </c>
      <c r="O201" s="80" t="str">
        <f t="array" ref="O201">IF(A201="","",IFERROR(INDEX(Wishlist!$A:$Z,ROW()-0,'List Setup'!$J$2)&amp;"",""))</f>
        <v/>
      </c>
      <c r="P201" s="2"/>
      <c r="Q201" s="80" t="str">
        <f>IF(A201="","",'List Setup'!$A$2)</f>
        <v/>
      </c>
      <c r="R201" s="80" t="str">
        <f t="array" ref="R201">IF(A201="","",IFERROR(OR(INDEX(Binders!$J$6:$J$30,MATCH(Q201,Binders!$I$6:$I$30,0))=TRUE(),UPPER(INDEX(Binders!$J$6:$J$30,MATCH(Q201,Binders!$I$6:$I$30,0))&amp;"")="TRUE"),FALSE()))</f>
        <v/>
      </c>
    </row>
    <row r="202" ht="15.75" customHeight="1">
      <c r="A202" s="80" t="str">
        <f t="array" ref="A202">IF(INDEX(Wishlist!$A:$Z,ROW()-0,'List Setup'!$D$2)="","",INDEX(Wishlist!$A:$Z,ROW()-0,'List Setup'!$D$2))</f>
        <v/>
      </c>
      <c r="B202" s="80" t="str">
        <f t="array" ref="B202">IF(A202="","",IFERROR(INDEX('Binder Setup'!$B$2:$B$401,MIN(IF(ISNUMBER(SEARCH(CHAR(10)&amp;'Binder Setup'!$B$2:$B$401&amp;CHAR(10),$H202)),'List Setup'!$Q$2:$Q$401,999),IF(ISNUMBER(SEARCH(CHAR(10)&amp;'Set Aliases'!$A$2:$A$501&amp;CHAR(10),$H202)),'Set Aliases'!$C$2:$C$501,999))),"(none)"))</f>
        <v/>
      </c>
      <c r="C202" s="80" t="str">
        <f t="shared" si="1"/>
        <v/>
      </c>
      <c r="D202" s="80" t="str">
        <f t="array" ref="D202">IF(A202="","",IF(ISLOGICAL(INDEX(Wishlist!$A:$Z,ROW()-0,'List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02" s="80" t="str">
        <f t="shared" si="2"/>
        <v/>
      </c>
      <c r="F202" s="80" t="str">
        <f t="array" ref="F202">IF(A202="","",IF(ISNUMBER(J202),J202,IF(ISNUMBER(INDEX(Wishlist!$A:$Z,ROW()-0,'List Setup'!$F$2)),INDEX(Wishlist!$A:$Z,ROW()-0,'List Setup'!$F$2),0)))</f>
        <v/>
      </c>
      <c r="G202" s="80" t="str">
        <f t="array" ref="G202">IF(A202="","",A202&amp;IF(N(INDEX(Wishlist!$A:$Z,ROW()-0,'List Setup'!$C$2))&gt;1," (x"&amp;INDEX(Wishlist!$A:$Z,ROW()-0,'List Setup'!$C$2)&amp;")","")&amp;IF(COUNTIF(Binders!$J$6:$J$30,TRUE())&gt;1," ["&amp;Q202&amp;"]",""))</f>
        <v/>
      </c>
      <c r="H202" s="80" t="str">
        <f t="array" ref="H202">IF(A202="","",CHAR(10)&amp;INDEX(Wishlist!$A:$Z,ROW()-0,'List Setup'!$E$2)&amp;CHAR(10))</f>
        <v/>
      </c>
      <c r="I202" s="80" t="str">
        <f t="array" ref="I202">IF(OR(B202="",B202="(none)"),"",IF(ISNUMBER(SEARCH(CHAR(10)&amp;B202&amp;CHAR(10),H202)),B202,IFERROR(INDEX('Set Aliases'!$A$2:$A$501,MATCH(1,('Set Aliases'!$B$2:$B$501=B202)*ISNUMBER(SEARCH(CHAR(10)&amp;'Set Aliases'!$A$2:$A$501&amp;CHAR(10),H202)),0)),"")))</f>
        <v/>
      </c>
      <c r="J202" s="80" t="str">
        <f t="array" ref="J202">IF(I202="","",IFERROR(VALUE(TRIM(MID(SUBSTITUTE(INDEX(Wishlist!$A:$Z,ROW()-0,'List Setup'!$G$2),CHAR(10),REPT(" ",100)),((SEARCH(CHAR(10)&amp;I202&amp;CHAR(10),H202)-LEN(SUBSTITUTE(LEFT(H202,SEARCH(CHAR(10)&amp;I202&amp;CHAR(10),H202)),CHAR(10),"")))-1)*100+1,100))),""))</f>
        <v/>
      </c>
      <c r="K202" s="80" t="str">
        <f t="array" ref="K202">IF(A202="","",IF(ISNUMBER(SEARCH("Land",LEFT(IFERROR(INDEX(Wishlist!$A:$Z,ROW()-0,'List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02" s="80" t="str">
        <f t="shared" si="3"/>
        <v/>
      </c>
      <c r="M202" s="80" t="str">
        <f>IF(A202="","",IF(AND(E202="Y",B202='Use at Shop'!$B$4),K202*10000000000+(MAX(0,MIN(26,CODE(MID(UPPER(A202)&amp;"    ",1,1))-64))*19683+MAX(0,MIN(26,CODE(MID(UPPER(A202)&amp;"    ",2,1))-64))*729+MAX(0,MIN(26,CODE(MID(UPPER(A202)&amp;"    ",3,1))-64))*27+MAX(0,MIN(26,CODE(MID(UPPER(A202)&amp;"    ",4,1))-64))*1)*10000+ROW(),""))</f>
        <v/>
      </c>
      <c r="N202" s="80" t="str">
        <f t="shared" si="4"/>
        <v/>
      </c>
      <c r="O202" s="80" t="str">
        <f t="array" ref="O202">IF(A202="","",IFERROR(INDEX(Wishlist!$A:$Z,ROW()-0,'List Setup'!$J$2)&amp;"",""))</f>
        <v/>
      </c>
      <c r="P202" s="2"/>
      <c r="Q202" s="80" t="str">
        <f>IF(A202="","",'List Setup'!$A$2)</f>
        <v/>
      </c>
      <c r="R202" s="80" t="str">
        <f t="array" ref="R202">IF(A202="","",IFERROR(OR(INDEX(Binders!$J$6:$J$30,MATCH(Q202,Binders!$I$6:$I$30,0))=TRUE(),UPPER(INDEX(Binders!$J$6:$J$30,MATCH(Q202,Binders!$I$6:$I$30,0))&amp;"")="TRUE"),FALSE()))</f>
        <v/>
      </c>
    </row>
    <row r="203" ht="15.75" customHeight="1">
      <c r="A203" s="80" t="str">
        <f t="array" ref="A203">IF(INDEX(Wishlist!$A:$Z,ROW()-0,'List Setup'!$D$2)="","",INDEX(Wishlist!$A:$Z,ROW()-0,'List Setup'!$D$2))</f>
        <v/>
      </c>
      <c r="B203" s="80" t="str">
        <f t="array" ref="B203">IF(A203="","",IFERROR(INDEX('Binder Setup'!$B$2:$B$401,MIN(IF(ISNUMBER(SEARCH(CHAR(10)&amp;'Binder Setup'!$B$2:$B$401&amp;CHAR(10),$H203)),'List Setup'!$Q$2:$Q$401,999),IF(ISNUMBER(SEARCH(CHAR(10)&amp;'Set Aliases'!$A$2:$A$501&amp;CHAR(10),$H203)),'Set Aliases'!$C$2:$C$501,999))),"(none)"))</f>
        <v/>
      </c>
      <c r="C203" s="80" t="str">
        <f t="shared" si="1"/>
        <v/>
      </c>
      <c r="D203" s="80" t="str">
        <f t="array" ref="D203">IF(A203="","",IF(ISLOGICAL(INDEX(Wishlist!$A:$Z,ROW()-0,'List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03" s="80" t="str">
        <f t="shared" si="2"/>
        <v/>
      </c>
      <c r="F203" s="80" t="str">
        <f t="array" ref="F203">IF(A203="","",IF(ISNUMBER(J203),J203,IF(ISNUMBER(INDEX(Wishlist!$A:$Z,ROW()-0,'List Setup'!$F$2)),INDEX(Wishlist!$A:$Z,ROW()-0,'List Setup'!$F$2),0)))</f>
        <v/>
      </c>
      <c r="G203" s="80" t="str">
        <f t="array" ref="G203">IF(A203="","",A203&amp;IF(N(INDEX(Wishlist!$A:$Z,ROW()-0,'List Setup'!$C$2))&gt;1," (x"&amp;INDEX(Wishlist!$A:$Z,ROW()-0,'List Setup'!$C$2)&amp;")","")&amp;IF(COUNTIF(Binders!$J$6:$J$30,TRUE())&gt;1," ["&amp;Q203&amp;"]",""))</f>
        <v/>
      </c>
      <c r="H203" s="80" t="str">
        <f t="array" ref="H203">IF(A203="","",CHAR(10)&amp;INDEX(Wishlist!$A:$Z,ROW()-0,'List Setup'!$E$2)&amp;CHAR(10))</f>
        <v/>
      </c>
      <c r="I203" s="80" t="str">
        <f t="array" ref="I203">IF(OR(B203="",B203="(none)"),"",IF(ISNUMBER(SEARCH(CHAR(10)&amp;B203&amp;CHAR(10),H203)),B203,IFERROR(INDEX('Set Aliases'!$A$2:$A$501,MATCH(1,('Set Aliases'!$B$2:$B$501=B203)*ISNUMBER(SEARCH(CHAR(10)&amp;'Set Aliases'!$A$2:$A$501&amp;CHAR(10),H203)),0)),"")))</f>
        <v/>
      </c>
      <c r="J203" s="80" t="str">
        <f t="array" ref="J203">IF(I203="","",IFERROR(VALUE(TRIM(MID(SUBSTITUTE(INDEX(Wishlist!$A:$Z,ROW()-0,'List Setup'!$G$2),CHAR(10),REPT(" ",100)),((SEARCH(CHAR(10)&amp;I203&amp;CHAR(10),H203)-LEN(SUBSTITUTE(LEFT(H203,SEARCH(CHAR(10)&amp;I203&amp;CHAR(10),H203)),CHAR(10),"")))-1)*100+1,100))),""))</f>
        <v/>
      </c>
      <c r="K203" s="80" t="str">
        <f t="array" ref="K203">IF(A203="","",IF(ISNUMBER(SEARCH("Land",LEFT(IFERROR(INDEX(Wishlist!$A:$Z,ROW()-0,'List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03" s="80" t="str">
        <f t="shared" si="3"/>
        <v/>
      </c>
      <c r="M203" s="80" t="str">
        <f>IF(A203="","",IF(AND(E203="Y",B203='Use at Shop'!$B$4),K203*10000000000+(MAX(0,MIN(26,CODE(MID(UPPER(A203)&amp;"    ",1,1))-64))*19683+MAX(0,MIN(26,CODE(MID(UPPER(A203)&amp;"    ",2,1))-64))*729+MAX(0,MIN(26,CODE(MID(UPPER(A203)&amp;"    ",3,1))-64))*27+MAX(0,MIN(26,CODE(MID(UPPER(A203)&amp;"    ",4,1))-64))*1)*10000+ROW(),""))</f>
        <v/>
      </c>
      <c r="N203" s="80" t="str">
        <f t="shared" si="4"/>
        <v/>
      </c>
      <c r="O203" s="80" t="str">
        <f t="array" ref="O203">IF(A203="","",IFERROR(INDEX(Wishlist!$A:$Z,ROW()-0,'List Setup'!$J$2)&amp;"",""))</f>
        <v/>
      </c>
      <c r="P203" s="2"/>
      <c r="Q203" s="80" t="str">
        <f>IF(A203="","",'List Setup'!$A$2)</f>
        <v/>
      </c>
      <c r="R203" s="80" t="str">
        <f t="array" ref="R203">IF(A203="","",IFERROR(OR(INDEX(Binders!$J$6:$J$30,MATCH(Q203,Binders!$I$6:$I$30,0))=TRUE(),UPPER(INDEX(Binders!$J$6:$J$30,MATCH(Q203,Binders!$I$6:$I$30,0))&amp;"")="TRUE"),FALSE()))</f>
        <v/>
      </c>
    </row>
    <row r="204" ht="15.75" customHeight="1">
      <c r="A204" s="80" t="str">
        <f t="array" ref="A204">IF(INDEX(Wishlist!$A:$Z,ROW()-0,'List Setup'!$D$2)="","",INDEX(Wishlist!$A:$Z,ROW()-0,'List Setup'!$D$2))</f>
        <v/>
      </c>
      <c r="B204" s="80" t="str">
        <f t="array" ref="B204">IF(A204="","",IFERROR(INDEX('Binder Setup'!$B$2:$B$401,MIN(IF(ISNUMBER(SEARCH(CHAR(10)&amp;'Binder Setup'!$B$2:$B$401&amp;CHAR(10),$H204)),'List Setup'!$Q$2:$Q$401,999),IF(ISNUMBER(SEARCH(CHAR(10)&amp;'Set Aliases'!$A$2:$A$501&amp;CHAR(10),$H204)),'Set Aliases'!$C$2:$C$501,999))),"(none)"))</f>
        <v/>
      </c>
      <c r="C204" s="80" t="str">
        <f t="shared" si="1"/>
        <v/>
      </c>
      <c r="D204" s="80" t="str">
        <f t="array" ref="D204">IF(A204="","",IF(ISLOGICAL(INDEX(Wishlist!$A:$Z,ROW()-0,'List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04" s="80" t="str">
        <f t="shared" si="2"/>
        <v/>
      </c>
      <c r="F204" s="80" t="str">
        <f t="array" ref="F204">IF(A204="","",IF(ISNUMBER(J204),J204,IF(ISNUMBER(INDEX(Wishlist!$A:$Z,ROW()-0,'List Setup'!$F$2)),INDEX(Wishlist!$A:$Z,ROW()-0,'List Setup'!$F$2),0)))</f>
        <v/>
      </c>
      <c r="G204" s="80" t="str">
        <f t="array" ref="G204">IF(A204="","",A204&amp;IF(N(INDEX(Wishlist!$A:$Z,ROW()-0,'List Setup'!$C$2))&gt;1," (x"&amp;INDEX(Wishlist!$A:$Z,ROW()-0,'List Setup'!$C$2)&amp;")","")&amp;IF(COUNTIF(Binders!$J$6:$J$30,TRUE())&gt;1," ["&amp;Q204&amp;"]",""))</f>
        <v/>
      </c>
      <c r="H204" s="80" t="str">
        <f t="array" ref="H204">IF(A204="","",CHAR(10)&amp;INDEX(Wishlist!$A:$Z,ROW()-0,'List Setup'!$E$2)&amp;CHAR(10))</f>
        <v/>
      </c>
      <c r="I204" s="80" t="str">
        <f t="array" ref="I204">IF(OR(B204="",B204="(none)"),"",IF(ISNUMBER(SEARCH(CHAR(10)&amp;B204&amp;CHAR(10),H204)),B204,IFERROR(INDEX('Set Aliases'!$A$2:$A$501,MATCH(1,('Set Aliases'!$B$2:$B$501=B204)*ISNUMBER(SEARCH(CHAR(10)&amp;'Set Aliases'!$A$2:$A$501&amp;CHAR(10),H204)),0)),"")))</f>
        <v/>
      </c>
      <c r="J204" s="80" t="str">
        <f t="array" ref="J204">IF(I204="","",IFERROR(VALUE(TRIM(MID(SUBSTITUTE(INDEX(Wishlist!$A:$Z,ROW()-0,'List Setup'!$G$2),CHAR(10),REPT(" ",100)),((SEARCH(CHAR(10)&amp;I204&amp;CHAR(10),H204)-LEN(SUBSTITUTE(LEFT(H204,SEARCH(CHAR(10)&amp;I204&amp;CHAR(10),H204)),CHAR(10),"")))-1)*100+1,100))),""))</f>
        <v/>
      </c>
      <c r="K204" s="80" t="str">
        <f t="array" ref="K204">IF(A204="","",IF(ISNUMBER(SEARCH("Land",LEFT(IFERROR(INDEX(Wishlist!$A:$Z,ROW()-0,'List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04" s="80" t="str">
        <f t="shared" si="3"/>
        <v/>
      </c>
      <c r="M204" s="80" t="str">
        <f>IF(A204="","",IF(AND(E204="Y",B204='Use at Shop'!$B$4),K204*10000000000+(MAX(0,MIN(26,CODE(MID(UPPER(A204)&amp;"    ",1,1))-64))*19683+MAX(0,MIN(26,CODE(MID(UPPER(A204)&amp;"    ",2,1))-64))*729+MAX(0,MIN(26,CODE(MID(UPPER(A204)&amp;"    ",3,1))-64))*27+MAX(0,MIN(26,CODE(MID(UPPER(A204)&amp;"    ",4,1))-64))*1)*10000+ROW(),""))</f>
        <v/>
      </c>
      <c r="N204" s="80" t="str">
        <f t="shared" si="4"/>
        <v/>
      </c>
      <c r="O204" s="80" t="str">
        <f t="array" ref="O204">IF(A204="","",IFERROR(INDEX(Wishlist!$A:$Z,ROW()-0,'List Setup'!$J$2)&amp;"",""))</f>
        <v/>
      </c>
      <c r="P204" s="2"/>
      <c r="Q204" s="80" t="str">
        <f>IF(A204="","",'List Setup'!$A$2)</f>
        <v/>
      </c>
      <c r="R204" s="80" t="str">
        <f t="array" ref="R204">IF(A204="","",IFERROR(OR(INDEX(Binders!$J$6:$J$30,MATCH(Q204,Binders!$I$6:$I$30,0))=TRUE(),UPPER(INDEX(Binders!$J$6:$J$30,MATCH(Q204,Binders!$I$6:$I$30,0))&amp;"")="TRUE"),FALSE()))</f>
        <v/>
      </c>
    </row>
    <row r="205" ht="15.75" customHeight="1">
      <c r="A205" s="80" t="str">
        <f t="array" ref="A205">IF(INDEX(Wishlist!$A:$Z,ROW()-0,'List Setup'!$D$2)="","",INDEX(Wishlist!$A:$Z,ROW()-0,'List Setup'!$D$2))</f>
        <v/>
      </c>
      <c r="B205" s="80" t="str">
        <f t="array" ref="B205">IF(A205="","",IFERROR(INDEX('Binder Setup'!$B$2:$B$401,MIN(IF(ISNUMBER(SEARCH(CHAR(10)&amp;'Binder Setup'!$B$2:$B$401&amp;CHAR(10),$H205)),'List Setup'!$Q$2:$Q$401,999),IF(ISNUMBER(SEARCH(CHAR(10)&amp;'Set Aliases'!$A$2:$A$501&amp;CHAR(10),$H205)),'Set Aliases'!$C$2:$C$501,999))),"(none)"))</f>
        <v/>
      </c>
      <c r="C205" s="80" t="str">
        <f t="shared" si="1"/>
        <v/>
      </c>
      <c r="D205" s="80" t="str">
        <f t="array" ref="D205">IF(A205="","",IF(ISLOGICAL(INDEX(Wishlist!$A:$Z,ROW()-0,'List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05" s="80" t="str">
        <f t="shared" si="2"/>
        <v/>
      </c>
      <c r="F205" s="80" t="str">
        <f t="array" ref="F205">IF(A205="","",IF(ISNUMBER(J205),J205,IF(ISNUMBER(INDEX(Wishlist!$A:$Z,ROW()-0,'List Setup'!$F$2)),INDEX(Wishlist!$A:$Z,ROW()-0,'List Setup'!$F$2),0)))</f>
        <v/>
      </c>
      <c r="G205" s="80" t="str">
        <f t="array" ref="G205">IF(A205="","",A205&amp;IF(N(INDEX(Wishlist!$A:$Z,ROW()-0,'List Setup'!$C$2))&gt;1," (x"&amp;INDEX(Wishlist!$A:$Z,ROW()-0,'List Setup'!$C$2)&amp;")","")&amp;IF(COUNTIF(Binders!$J$6:$J$30,TRUE())&gt;1," ["&amp;Q205&amp;"]",""))</f>
        <v/>
      </c>
      <c r="H205" s="80" t="str">
        <f t="array" ref="H205">IF(A205="","",CHAR(10)&amp;INDEX(Wishlist!$A:$Z,ROW()-0,'List Setup'!$E$2)&amp;CHAR(10))</f>
        <v/>
      </c>
      <c r="I205" s="80" t="str">
        <f t="array" ref="I205">IF(OR(B205="",B205="(none)"),"",IF(ISNUMBER(SEARCH(CHAR(10)&amp;B205&amp;CHAR(10),H205)),B205,IFERROR(INDEX('Set Aliases'!$A$2:$A$501,MATCH(1,('Set Aliases'!$B$2:$B$501=B205)*ISNUMBER(SEARCH(CHAR(10)&amp;'Set Aliases'!$A$2:$A$501&amp;CHAR(10),H205)),0)),"")))</f>
        <v/>
      </c>
      <c r="J205" s="80" t="str">
        <f t="array" ref="J205">IF(I205="","",IFERROR(VALUE(TRIM(MID(SUBSTITUTE(INDEX(Wishlist!$A:$Z,ROW()-0,'List Setup'!$G$2),CHAR(10),REPT(" ",100)),((SEARCH(CHAR(10)&amp;I205&amp;CHAR(10),H205)-LEN(SUBSTITUTE(LEFT(H205,SEARCH(CHAR(10)&amp;I205&amp;CHAR(10),H205)),CHAR(10),"")))-1)*100+1,100))),""))</f>
        <v/>
      </c>
      <c r="K205" s="80" t="str">
        <f t="array" ref="K205">IF(A205="","",IF(ISNUMBER(SEARCH("Land",LEFT(IFERROR(INDEX(Wishlist!$A:$Z,ROW()-0,'List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05" s="80" t="str">
        <f t="shared" si="3"/>
        <v/>
      </c>
      <c r="M205" s="80" t="str">
        <f>IF(A205="","",IF(AND(E205="Y",B205='Use at Shop'!$B$4),K205*10000000000+(MAX(0,MIN(26,CODE(MID(UPPER(A205)&amp;"    ",1,1))-64))*19683+MAX(0,MIN(26,CODE(MID(UPPER(A205)&amp;"    ",2,1))-64))*729+MAX(0,MIN(26,CODE(MID(UPPER(A205)&amp;"    ",3,1))-64))*27+MAX(0,MIN(26,CODE(MID(UPPER(A205)&amp;"    ",4,1))-64))*1)*10000+ROW(),""))</f>
        <v/>
      </c>
      <c r="N205" s="80" t="str">
        <f t="shared" si="4"/>
        <v/>
      </c>
      <c r="O205" s="80" t="str">
        <f t="array" ref="O205">IF(A205="","",IFERROR(INDEX(Wishlist!$A:$Z,ROW()-0,'List Setup'!$J$2)&amp;"",""))</f>
        <v/>
      </c>
      <c r="P205" s="2"/>
      <c r="Q205" s="80" t="str">
        <f>IF(A205="","",'List Setup'!$A$2)</f>
        <v/>
      </c>
      <c r="R205" s="80" t="str">
        <f t="array" ref="R205">IF(A205="","",IFERROR(OR(INDEX(Binders!$J$6:$J$30,MATCH(Q205,Binders!$I$6:$I$30,0))=TRUE(),UPPER(INDEX(Binders!$J$6:$J$30,MATCH(Q205,Binders!$I$6:$I$30,0))&amp;"")="TRUE"),FALSE()))</f>
        <v/>
      </c>
    </row>
    <row r="206" ht="15.75" customHeight="1">
      <c r="A206" s="80" t="str">
        <f t="array" ref="A206">IF(INDEX(Wishlist!$A:$Z,ROW()-0,'List Setup'!$D$2)="","",INDEX(Wishlist!$A:$Z,ROW()-0,'List Setup'!$D$2))</f>
        <v/>
      </c>
      <c r="B206" s="80" t="str">
        <f t="array" ref="B206">IF(A206="","",IFERROR(INDEX('Binder Setup'!$B$2:$B$401,MIN(IF(ISNUMBER(SEARCH(CHAR(10)&amp;'Binder Setup'!$B$2:$B$401&amp;CHAR(10),$H206)),'List Setup'!$Q$2:$Q$401,999),IF(ISNUMBER(SEARCH(CHAR(10)&amp;'Set Aliases'!$A$2:$A$501&amp;CHAR(10),$H206)),'Set Aliases'!$C$2:$C$501,999))),"(none)"))</f>
        <v/>
      </c>
      <c r="C206" s="80" t="str">
        <f t="shared" si="1"/>
        <v/>
      </c>
      <c r="D206" s="80" t="str">
        <f t="array" ref="D206">IF(A206="","",IF(ISLOGICAL(INDEX(Wishlist!$A:$Z,ROW()-0,'List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06" s="80" t="str">
        <f t="shared" si="2"/>
        <v/>
      </c>
      <c r="F206" s="80" t="str">
        <f t="array" ref="F206">IF(A206="","",IF(ISNUMBER(J206),J206,IF(ISNUMBER(INDEX(Wishlist!$A:$Z,ROW()-0,'List Setup'!$F$2)),INDEX(Wishlist!$A:$Z,ROW()-0,'List Setup'!$F$2),0)))</f>
        <v/>
      </c>
      <c r="G206" s="80" t="str">
        <f t="array" ref="G206">IF(A206="","",A206&amp;IF(N(INDEX(Wishlist!$A:$Z,ROW()-0,'List Setup'!$C$2))&gt;1," (x"&amp;INDEX(Wishlist!$A:$Z,ROW()-0,'List Setup'!$C$2)&amp;")","")&amp;IF(COUNTIF(Binders!$J$6:$J$30,TRUE())&gt;1," ["&amp;Q206&amp;"]",""))</f>
        <v/>
      </c>
      <c r="H206" s="80" t="str">
        <f t="array" ref="H206">IF(A206="","",CHAR(10)&amp;INDEX(Wishlist!$A:$Z,ROW()-0,'List Setup'!$E$2)&amp;CHAR(10))</f>
        <v/>
      </c>
      <c r="I206" s="80" t="str">
        <f t="array" ref="I206">IF(OR(B206="",B206="(none)"),"",IF(ISNUMBER(SEARCH(CHAR(10)&amp;B206&amp;CHAR(10),H206)),B206,IFERROR(INDEX('Set Aliases'!$A$2:$A$501,MATCH(1,('Set Aliases'!$B$2:$B$501=B206)*ISNUMBER(SEARCH(CHAR(10)&amp;'Set Aliases'!$A$2:$A$501&amp;CHAR(10),H206)),0)),"")))</f>
        <v/>
      </c>
      <c r="J206" s="80" t="str">
        <f t="array" ref="J206">IF(I206="","",IFERROR(VALUE(TRIM(MID(SUBSTITUTE(INDEX(Wishlist!$A:$Z,ROW()-0,'List Setup'!$G$2),CHAR(10),REPT(" ",100)),((SEARCH(CHAR(10)&amp;I206&amp;CHAR(10),H206)-LEN(SUBSTITUTE(LEFT(H206,SEARCH(CHAR(10)&amp;I206&amp;CHAR(10),H206)),CHAR(10),"")))-1)*100+1,100))),""))</f>
        <v/>
      </c>
      <c r="K206" s="80" t="str">
        <f t="array" ref="K206">IF(A206="","",IF(ISNUMBER(SEARCH("Land",LEFT(IFERROR(INDEX(Wishlist!$A:$Z,ROW()-0,'List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06" s="80" t="str">
        <f t="shared" si="3"/>
        <v/>
      </c>
      <c r="M206" s="80" t="str">
        <f>IF(A206="","",IF(AND(E206="Y",B206='Use at Shop'!$B$4),K206*10000000000+(MAX(0,MIN(26,CODE(MID(UPPER(A206)&amp;"    ",1,1))-64))*19683+MAX(0,MIN(26,CODE(MID(UPPER(A206)&amp;"    ",2,1))-64))*729+MAX(0,MIN(26,CODE(MID(UPPER(A206)&amp;"    ",3,1))-64))*27+MAX(0,MIN(26,CODE(MID(UPPER(A206)&amp;"    ",4,1))-64))*1)*10000+ROW(),""))</f>
        <v/>
      </c>
      <c r="N206" s="80" t="str">
        <f t="shared" si="4"/>
        <v/>
      </c>
      <c r="O206" s="80" t="str">
        <f t="array" ref="O206">IF(A206="","",IFERROR(INDEX(Wishlist!$A:$Z,ROW()-0,'List Setup'!$J$2)&amp;"",""))</f>
        <v/>
      </c>
      <c r="P206" s="2"/>
      <c r="Q206" s="80" t="str">
        <f>IF(A206="","",'List Setup'!$A$2)</f>
        <v/>
      </c>
      <c r="R206" s="80" t="str">
        <f t="array" ref="R206">IF(A206="","",IFERROR(OR(INDEX(Binders!$J$6:$J$30,MATCH(Q206,Binders!$I$6:$I$30,0))=TRUE(),UPPER(INDEX(Binders!$J$6:$J$30,MATCH(Q206,Binders!$I$6:$I$30,0))&amp;"")="TRUE"),FALSE()))</f>
        <v/>
      </c>
    </row>
    <row r="207" ht="15.75" customHeight="1">
      <c r="A207" s="80" t="str">
        <f t="array" ref="A207">IF(INDEX(Wishlist!$A:$Z,ROW()-0,'List Setup'!$D$2)="","",INDEX(Wishlist!$A:$Z,ROW()-0,'List Setup'!$D$2))</f>
        <v/>
      </c>
      <c r="B207" s="80" t="str">
        <f t="array" ref="B207">IF(A207="","",IFERROR(INDEX('Binder Setup'!$B$2:$B$401,MIN(IF(ISNUMBER(SEARCH(CHAR(10)&amp;'Binder Setup'!$B$2:$B$401&amp;CHAR(10),$H207)),'List Setup'!$Q$2:$Q$401,999),IF(ISNUMBER(SEARCH(CHAR(10)&amp;'Set Aliases'!$A$2:$A$501&amp;CHAR(10),$H207)),'Set Aliases'!$C$2:$C$501,999))),"(none)"))</f>
        <v/>
      </c>
      <c r="C207" s="80" t="str">
        <f t="shared" si="1"/>
        <v/>
      </c>
      <c r="D207" s="80" t="str">
        <f t="array" ref="D207">IF(A207="","",IF(ISLOGICAL(INDEX(Wishlist!$A:$Z,ROW()-0,'List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07" s="80" t="str">
        <f t="shared" si="2"/>
        <v/>
      </c>
      <c r="F207" s="80" t="str">
        <f t="array" ref="F207">IF(A207="","",IF(ISNUMBER(J207),J207,IF(ISNUMBER(INDEX(Wishlist!$A:$Z,ROW()-0,'List Setup'!$F$2)),INDEX(Wishlist!$A:$Z,ROW()-0,'List Setup'!$F$2),0)))</f>
        <v/>
      </c>
      <c r="G207" s="80" t="str">
        <f t="array" ref="G207">IF(A207="","",A207&amp;IF(N(INDEX(Wishlist!$A:$Z,ROW()-0,'List Setup'!$C$2))&gt;1," (x"&amp;INDEX(Wishlist!$A:$Z,ROW()-0,'List Setup'!$C$2)&amp;")","")&amp;IF(COUNTIF(Binders!$J$6:$J$30,TRUE())&gt;1," ["&amp;Q207&amp;"]",""))</f>
        <v/>
      </c>
      <c r="H207" s="80" t="str">
        <f t="array" ref="H207">IF(A207="","",CHAR(10)&amp;INDEX(Wishlist!$A:$Z,ROW()-0,'List Setup'!$E$2)&amp;CHAR(10))</f>
        <v/>
      </c>
      <c r="I207" s="80" t="str">
        <f t="array" ref="I207">IF(OR(B207="",B207="(none)"),"",IF(ISNUMBER(SEARCH(CHAR(10)&amp;B207&amp;CHAR(10),H207)),B207,IFERROR(INDEX('Set Aliases'!$A$2:$A$501,MATCH(1,('Set Aliases'!$B$2:$B$501=B207)*ISNUMBER(SEARCH(CHAR(10)&amp;'Set Aliases'!$A$2:$A$501&amp;CHAR(10),H207)),0)),"")))</f>
        <v/>
      </c>
      <c r="J207" s="80" t="str">
        <f t="array" ref="J207">IF(I207="","",IFERROR(VALUE(TRIM(MID(SUBSTITUTE(INDEX(Wishlist!$A:$Z,ROW()-0,'List Setup'!$G$2),CHAR(10),REPT(" ",100)),((SEARCH(CHAR(10)&amp;I207&amp;CHAR(10),H207)-LEN(SUBSTITUTE(LEFT(H207,SEARCH(CHAR(10)&amp;I207&amp;CHAR(10),H207)),CHAR(10),"")))-1)*100+1,100))),""))</f>
        <v/>
      </c>
      <c r="K207" s="80" t="str">
        <f t="array" ref="K207">IF(A207="","",IF(ISNUMBER(SEARCH("Land",LEFT(IFERROR(INDEX(Wishlist!$A:$Z,ROW()-0,'List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07" s="80" t="str">
        <f t="shared" si="3"/>
        <v/>
      </c>
      <c r="M207" s="80" t="str">
        <f>IF(A207="","",IF(AND(E207="Y",B207='Use at Shop'!$B$4),K207*10000000000+(MAX(0,MIN(26,CODE(MID(UPPER(A207)&amp;"    ",1,1))-64))*19683+MAX(0,MIN(26,CODE(MID(UPPER(A207)&amp;"    ",2,1))-64))*729+MAX(0,MIN(26,CODE(MID(UPPER(A207)&amp;"    ",3,1))-64))*27+MAX(0,MIN(26,CODE(MID(UPPER(A207)&amp;"    ",4,1))-64))*1)*10000+ROW(),""))</f>
        <v/>
      </c>
      <c r="N207" s="80" t="str">
        <f t="shared" si="4"/>
        <v/>
      </c>
      <c r="O207" s="80" t="str">
        <f t="array" ref="O207">IF(A207="","",IFERROR(INDEX(Wishlist!$A:$Z,ROW()-0,'List Setup'!$J$2)&amp;"",""))</f>
        <v/>
      </c>
      <c r="P207" s="2"/>
      <c r="Q207" s="80" t="str">
        <f>IF(A207="","",'List Setup'!$A$2)</f>
        <v/>
      </c>
      <c r="R207" s="80" t="str">
        <f t="array" ref="R207">IF(A207="","",IFERROR(OR(INDEX(Binders!$J$6:$J$30,MATCH(Q207,Binders!$I$6:$I$30,0))=TRUE(),UPPER(INDEX(Binders!$J$6:$J$30,MATCH(Q207,Binders!$I$6:$I$30,0))&amp;"")="TRUE"),FALSE()))</f>
        <v/>
      </c>
    </row>
    <row r="208" ht="15.75" customHeight="1">
      <c r="A208" s="80" t="str">
        <f t="array" ref="A208">IF(INDEX(Wishlist!$A:$Z,ROW()-0,'List Setup'!$D$2)="","",INDEX(Wishlist!$A:$Z,ROW()-0,'List Setup'!$D$2))</f>
        <v/>
      </c>
      <c r="B208" s="80" t="str">
        <f t="array" ref="B208">IF(A208="","",IFERROR(INDEX('Binder Setup'!$B$2:$B$401,MIN(IF(ISNUMBER(SEARCH(CHAR(10)&amp;'Binder Setup'!$B$2:$B$401&amp;CHAR(10),$H208)),'List Setup'!$Q$2:$Q$401,999),IF(ISNUMBER(SEARCH(CHAR(10)&amp;'Set Aliases'!$A$2:$A$501&amp;CHAR(10),$H208)),'Set Aliases'!$C$2:$C$501,999))),"(none)"))</f>
        <v/>
      </c>
      <c r="C208" s="80" t="str">
        <f t="shared" si="1"/>
        <v/>
      </c>
      <c r="D208" s="80" t="str">
        <f t="array" ref="D208">IF(A208="","",IF(ISLOGICAL(INDEX(Wishlist!$A:$Z,ROW()-0,'List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08" s="80" t="str">
        <f t="shared" si="2"/>
        <v/>
      </c>
      <c r="F208" s="80" t="str">
        <f t="array" ref="F208">IF(A208="","",IF(ISNUMBER(J208),J208,IF(ISNUMBER(INDEX(Wishlist!$A:$Z,ROW()-0,'List Setup'!$F$2)),INDEX(Wishlist!$A:$Z,ROW()-0,'List Setup'!$F$2),0)))</f>
        <v/>
      </c>
      <c r="G208" s="80" t="str">
        <f t="array" ref="G208">IF(A208="","",A208&amp;IF(N(INDEX(Wishlist!$A:$Z,ROW()-0,'List Setup'!$C$2))&gt;1," (x"&amp;INDEX(Wishlist!$A:$Z,ROW()-0,'List Setup'!$C$2)&amp;")","")&amp;IF(COUNTIF(Binders!$J$6:$J$30,TRUE())&gt;1," ["&amp;Q208&amp;"]",""))</f>
        <v/>
      </c>
      <c r="H208" s="80" t="str">
        <f t="array" ref="H208">IF(A208="","",CHAR(10)&amp;INDEX(Wishlist!$A:$Z,ROW()-0,'List Setup'!$E$2)&amp;CHAR(10))</f>
        <v/>
      </c>
      <c r="I208" s="80" t="str">
        <f t="array" ref="I208">IF(OR(B208="",B208="(none)"),"",IF(ISNUMBER(SEARCH(CHAR(10)&amp;B208&amp;CHAR(10),H208)),B208,IFERROR(INDEX('Set Aliases'!$A$2:$A$501,MATCH(1,('Set Aliases'!$B$2:$B$501=B208)*ISNUMBER(SEARCH(CHAR(10)&amp;'Set Aliases'!$A$2:$A$501&amp;CHAR(10),H208)),0)),"")))</f>
        <v/>
      </c>
      <c r="J208" s="80" t="str">
        <f t="array" ref="J208">IF(I208="","",IFERROR(VALUE(TRIM(MID(SUBSTITUTE(INDEX(Wishlist!$A:$Z,ROW()-0,'List Setup'!$G$2),CHAR(10),REPT(" ",100)),((SEARCH(CHAR(10)&amp;I208&amp;CHAR(10),H208)-LEN(SUBSTITUTE(LEFT(H208,SEARCH(CHAR(10)&amp;I208&amp;CHAR(10),H208)),CHAR(10),"")))-1)*100+1,100))),""))</f>
        <v/>
      </c>
      <c r="K208" s="80" t="str">
        <f t="array" ref="K208">IF(A208="","",IF(ISNUMBER(SEARCH("Land",LEFT(IFERROR(INDEX(Wishlist!$A:$Z,ROW()-0,'List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08" s="80" t="str">
        <f t="shared" si="3"/>
        <v/>
      </c>
      <c r="M208" s="80" t="str">
        <f>IF(A208="","",IF(AND(E208="Y",B208='Use at Shop'!$B$4),K208*10000000000+(MAX(0,MIN(26,CODE(MID(UPPER(A208)&amp;"    ",1,1))-64))*19683+MAX(0,MIN(26,CODE(MID(UPPER(A208)&amp;"    ",2,1))-64))*729+MAX(0,MIN(26,CODE(MID(UPPER(A208)&amp;"    ",3,1))-64))*27+MAX(0,MIN(26,CODE(MID(UPPER(A208)&amp;"    ",4,1))-64))*1)*10000+ROW(),""))</f>
        <v/>
      </c>
      <c r="N208" s="80" t="str">
        <f t="shared" si="4"/>
        <v/>
      </c>
      <c r="O208" s="80" t="str">
        <f t="array" ref="O208">IF(A208="","",IFERROR(INDEX(Wishlist!$A:$Z,ROW()-0,'List Setup'!$J$2)&amp;"",""))</f>
        <v/>
      </c>
      <c r="P208" s="2"/>
      <c r="Q208" s="80" t="str">
        <f>IF(A208="","",'List Setup'!$A$2)</f>
        <v/>
      </c>
      <c r="R208" s="80" t="str">
        <f t="array" ref="R208">IF(A208="","",IFERROR(OR(INDEX(Binders!$J$6:$J$30,MATCH(Q208,Binders!$I$6:$I$30,0))=TRUE(),UPPER(INDEX(Binders!$J$6:$J$30,MATCH(Q208,Binders!$I$6:$I$30,0))&amp;"")="TRUE"),FALSE()))</f>
        <v/>
      </c>
    </row>
    <row r="209" ht="15.75" customHeight="1">
      <c r="A209" s="80" t="str">
        <f t="array" ref="A209">IF(INDEX(Wishlist!$A:$Z,ROW()-0,'List Setup'!$D$2)="","",INDEX(Wishlist!$A:$Z,ROW()-0,'List Setup'!$D$2))</f>
        <v/>
      </c>
      <c r="B209" s="80" t="str">
        <f t="array" ref="B209">IF(A209="","",IFERROR(INDEX('Binder Setup'!$B$2:$B$401,MIN(IF(ISNUMBER(SEARCH(CHAR(10)&amp;'Binder Setup'!$B$2:$B$401&amp;CHAR(10),$H209)),'List Setup'!$Q$2:$Q$401,999),IF(ISNUMBER(SEARCH(CHAR(10)&amp;'Set Aliases'!$A$2:$A$501&amp;CHAR(10),$H209)),'Set Aliases'!$C$2:$C$501,999))),"(none)"))</f>
        <v/>
      </c>
      <c r="C209" s="80" t="str">
        <f t="shared" si="1"/>
        <v/>
      </c>
      <c r="D209" s="80" t="str">
        <f t="array" ref="D209">IF(A209="","",IF(ISLOGICAL(INDEX(Wishlist!$A:$Z,ROW()-0,'List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09" s="80" t="str">
        <f t="shared" si="2"/>
        <v/>
      </c>
      <c r="F209" s="80" t="str">
        <f t="array" ref="F209">IF(A209="","",IF(ISNUMBER(J209),J209,IF(ISNUMBER(INDEX(Wishlist!$A:$Z,ROW()-0,'List Setup'!$F$2)),INDEX(Wishlist!$A:$Z,ROW()-0,'List Setup'!$F$2),0)))</f>
        <v/>
      </c>
      <c r="G209" s="80" t="str">
        <f t="array" ref="G209">IF(A209="","",A209&amp;IF(N(INDEX(Wishlist!$A:$Z,ROW()-0,'List Setup'!$C$2))&gt;1," (x"&amp;INDEX(Wishlist!$A:$Z,ROW()-0,'List Setup'!$C$2)&amp;")","")&amp;IF(COUNTIF(Binders!$J$6:$J$30,TRUE())&gt;1," ["&amp;Q209&amp;"]",""))</f>
        <v/>
      </c>
      <c r="H209" s="80" t="str">
        <f t="array" ref="H209">IF(A209="","",CHAR(10)&amp;INDEX(Wishlist!$A:$Z,ROW()-0,'List Setup'!$E$2)&amp;CHAR(10))</f>
        <v/>
      </c>
      <c r="I209" s="80" t="str">
        <f t="array" ref="I209">IF(OR(B209="",B209="(none)"),"",IF(ISNUMBER(SEARCH(CHAR(10)&amp;B209&amp;CHAR(10),H209)),B209,IFERROR(INDEX('Set Aliases'!$A$2:$A$501,MATCH(1,('Set Aliases'!$B$2:$B$501=B209)*ISNUMBER(SEARCH(CHAR(10)&amp;'Set Aliases'!$A$2:$A$501&amp;CHAR(10),H209)),0)),"")))</f>
        <v/>
      </c>
      <c r="J209" s="80" t="str">
        <f t="array" ref="J209">IF(I209="","",IFERROR(VALUE(TRIM(MID(SUBSTITUTE(INDEX(Wishlist!$A:$Z,ROW()-0,'List Setup'!$G$2),CHAR(10),REPT(" ",100)),((SEARCH(CHAR(10)&amp;I209&amp;CHAR(10),H209)-LEN(SUBSTITUTE(LEFT(H209,SEARCH(CHAR(10)&amp;I209&amp;CHAR(10),H209)),CHAR(10),"")))-1)*100+1,100))),""))</f>
        <v/>
      </c>
      <c r="K209" s="80" t="str">
        <f t="array" ref="K209">IF(A209="","",IF(ISNUMBER(SEARCH("Land",LEFT(IFERROR(INDEX(Wishlist!$A:$Z,ROW()-0,'List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09" s="80" t="str">
        <f t="shared" si="3"/>
        <v/>
      </c>
      <c r="M209" s="80" t="str">
        <f>IF(A209="","",IF(AND(E209="Y",B209='Use at Shop'!$B$4),K209*10000000000+(MAX(0,MIN(26,CODE(MID(UPPER(A209)&amp;"    ",1,1))-64))*19683+MAX(0,MIN(26,CODE(MID(UPPER(A209)&amp;"    ",2,1))-64))*729+MAX(0,MIN(26,CODE(MID(UPPER(A209)&amp;"    ",3,1))-64))*27+MAX(0,MIN(26,CODE(MID(UPPER(A209)&amp;"    ",4,1))-64))*1)*10000+ROW(),""))</f>
        <v/>
      </c>
      <c r="N209" s="80" t="str">
        <f t="shared" si="4"/>
        <v/>
      </c>
      <c r="O209" s="80" t="str">
        <f t="array" ref="O209">IF(A209="","",IFERROR(INDEX(Wishlist!$A:$Z,ROW()-0,'List Setup'!$J$2)&amp;"",""))</f>
        <v/>
      </c>
      <c r="P209" s="2"/>
      <c r="Q209" s="80" t="str">
        <f>IF(A209="","",'List Setup'!$A$2)</f>
        <v/>
      </c>
      <c r="R209" s="80" t="str">
        <f t="array" ref="R209">IF(A209="","",IFERROR(OR(INDEX(Binders!$J$6:$J$30,MATCH(Q209,Binders!$I$6:$I$30,0))=TRUE(),UPPER(INDEX(Binders!$J$6:$J$30,MATCH(Q209,Binders!$I$6:$I$30,0))&amp;"")="TRUE"),FALSE()))</f>
        <v/>
      </c>
    </row>
    <row r="210" ht="15.75" customHeight="1">
      <c r="A210" s="80" t="str">
        <f t="array" ref="A210">IF(INDEX(Wishlist!$A:$Z,ROW()-0,'List Setup'!$D$2)="","",INDEX(Wishlist!$A:$Z,ROW()-0,'List Setup'!$D$2))</f>
        <v/>
      </c>
      <c r="B210" s="80" t="str">
        <f t="array" ref="B210">IF(A210="","",IFERROR(INDEX('Binder Setup'!$B$2:$B$401,MIN(IF(ISNUMBER(SEARCH(CHAR(10)&amp;'Binder Setup'!$B$2:$B$401&amp;CHAR(10),$H210)),'List Setup'!$Q$2:$Q$401,999),IF(ISNUMBER(SEARCH(CHAR(10)&amp;'Set Aliases'!$A$2:$A$501&amp;CHAR(10),$H210)),'Set Aliases'!$C$2:$C$501,999))),"(none)"))</f>
        <v/>
      </c>
      <c r="C210" s="80" t="str">
        <f t="shared" si="1"/>
        <v/>
      </c>
      <c r="D210" s="80" t="str">
        <f t="array" ref="D210">IF(A210="","",IF(ISLOGICAL(INDEX(Wishlist!$A:$Z,ROW()-0,'List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10" s="80" t="str">
        <f t="shared" si="2"/>
        <v/>
      </c>
      <c r="F210" s="80" t="str">
        <f t="array" ref="F210">IF(A210="","",IF(ISNUMBER(J210),J210,IF(ISNUMBER(INDEX(Wishlist!$A:$Z,ROW()-0,'List Setup'!$F$2)),INDEX(Wishlist!$A:$Z,ROW()-0,'List Setup'!$F$2),0)))</f>
        <v/>
      </c>
      <c r="G210" s="80" t="str">
        <f t="array" ref="G210">IF(A210="","",A210&amp;IF(N(INDEX(Wishlist!$A:$Z,ROW()-0,'List Setup'!$C$2))&gt;1," (x"&amp;INDEX(Wishlist!$A:$Z,ROW()-0,'List Setup'!$C$2)&amp;")","")&amp;IF(COUNTIF(Binders!$J$6:$J$30,TRUE())&gt;1," ["&amp;Q210&amp;"]",""))</f>
        <v/>
      </c>
      <c r="H210" s="80" t="str">
        <f t="array" ref="H210">IF(A210="","",CHAR(10)&amp;INDEX(Wishlist!$A:$Z,ROW()-0,'List Setup'!$E$2)&amp;CHAR(10))</f>
        <v/>
      </c>
      <c r="I210" s="80" t="str">
        <f t="array" ref="I210">IF(OR(B210="",B210="(none)"),"",IF(ISNUMBER(SEARCH(CHAR(10)&amp;B210&amp;CHAR(10),H210)),B210,IFERROR(INDEX('Set Aliases'!$A$2:$A$501,MATCH(1,('Set Aliases'!$B$2:$B$501=B210)*ISNUMBER(SEARCH(CHAR(10)&amp;'Set Aliases'!$A$2:$A$501&amp;CHAR(10),H210)),0)),"")))</f>
        <v/>
      </c>
      <c r="J210" s="80" t="str">
        <f t="array" ref="J210">IF(I210="","",IFERROR(VALUE(TRIM(MID(SUBSTITUTE(INDEX(Wishlist!$A:$Z,ROW()-0,'List Setup'!$G$2),CHAR(10),REPT(" ",100)),((SEARCH(CHAR(10)&amp;I210&amp;CHAR(10),H210)-LEN(SUBSTITUTE(LEFT(H210,SEARCH(CHAR(10)&amp;I210&amp;CHAR(10),H210)),CHAR(10),"")))-1)*100+1,100))),""))</f>
        <v/>
      </c>
      <c r="K210" s="80" t="str">
        <f t="array" ref="K210">IF(A210="","",IF(ISNUMBER(SEARCH("Land",LEFT(IFERROR(INDEX(Wishlist!$A:$Z,ROW()-0,'List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10" s="80" t="str">
        <f t="shared" si="3"/>
        <v/>
      </c>
      <c r="M210" s="80" t="str">
        <f>IF(A210="","",IF(AND(E210="Y",B210='Use at Shop'!$B$4),K210*10000000000+(MAX(0,MIN(26,CODE(MID(UPPER(A210)&amp;"    ",1,1))-64))*19683+MAX(0,MIN(26,CODE(MID(UPPER(A210)&amp;"    ",2,1))-64))*729+MAX(0,MIN(26,CODE(MID(UPPER(A210)&amp;"    ",3,1))-64))*27+MAX(0,MIN(26,CODE(MID(UPPER(A210)&amp;"    ",4,1))-64))*1)*10000+ROW(),""))</f>
        <v/>
      </c>
      <c r="N210" s="80" t="str">
        <f t="shared" si="4"/>
        <v/>
      </c>
      <c r="O210" s="80" t="str">
        <f t="array" ref="O210">IF(A210="","",IFERROR(INDEX(Wishlist!$A:$Z,ROW()-0,'List Setup'!$J$2)&amp;"",""))</f>
        <v/>
      </c>
      <c r="P210" s="2"/>
      <c r="Q210" s="80" t="str">
        <f>IF(A210="","",'List Setup'!$A$2)</f>
        <v/>
      </c>
      <c r="R210" s="80" t="str">
        <f t="array" ref="R210">IF(A210="","",IFERROR(OR(INDEX(Binders!$J$6:$J$30,MATCH(Q210,Binders!$I$6:$I$30,0))=TRUE(),UPPER(INDEX(Binders!$J$6:$J$30,MATCH(Q210,Binders!$I$6:$I$30,0))&amp;"")="TRUE"),FALSE()))</f>
        <v/>
      </c>
    </row>
    <row r="211" ht="15.75" customHeight="1">
      <c r="A211" s="80" t="str">
        <f t="array" ref="A211">IF(INDEX(Wishlist!$A:$Z,ROW()-0,'List Setup'!$D$2)="","",INDEX(Wishlist!$A:$Z,ROW()-0,'List Setup'!$D$2))</f>
        <v/>
      </c>
      <c r="B211" s="80" t="str">
        <f t="array" ref="B211">IF(A211="","",IFERROR(INDEX('Binder Setup'!$B$2:$B$401,MIN(IF(ISNUMBER(SEARCH(CHAR(10)&amp;'Binder Setup'!$B$2:$B$401&amp;CHAR(10),$H211)),'List Setup'!$Q$2:$Q$401,999),IF(ISNUMBER(SEARCH(CHAR(10)&amp;'Set Aliases'!$A$2:$A$501&amp;CHAR(10),$H211)),'Set Aliases'!$C$2:$C$501,999))),"(none)"))</f>
        <v/>
      </c>
      <c r="C211" s="80" t="str">
        <f t="shared" si="1"/>
        <v/>
      </c>
      <c r="D211" s="80" t="str">
        <f t="array" ref="D211">IF(A211="","",IF(ISLOGICAL(INDEX(Wishlist!$A:$Z,ROW()-0,'List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11" s="80" t="str">
        <f t="shared" si="2"/>
        <v/>
      </c>
      <c r="F211" s="80" t="str">
        <f t="array" ref="F211">IF(A211="","",IF(ISNUMBER(J211),J211,IF(ISNUMBER(INDEX(Wishlist!$A:$Z,ROW()-0,'List Setup'!$F$2)),INDEX(Wishlist!$A:$Z,ROW()-0,'List Setup'!$F$2),0)))</f>
        <v/>
      </c>
      <c r="G211" s="80" t="str">
        <f t="array" ref="G211">IF(A211="","",A211&amp;IF(N(INDEX(Wishlist!$A:$Z,ROW()-0,'List Setup'!$C$2))&gt;1," (x"&amp;INDEX(Wishlist!$A:$Z,ROW()-0,'List Setup'!$C$2)&amp;")","")&amp;IF(COUNTIF(Binders!$J$6:$J$30,TRUE())&gt;1," ["&amp;Q211&amp;"]",""))</f>
        <v/>
      </c>
      <c r="H211" s="80" t="str">
        <f t="array" ref="H211">IF(A211="","",CHAR(10)&amp;INDEX(Wishlist!$A:$Z,ROW()-0,'List Setup'!$E$2)&amp;CHAR(10))</f>
        <v/>
      </c>
      <c r="I211" s="80" t="str">
        <f t="array" ref="I211">IF(OR(B211="",B211="(none)"),"",IF(ISNUMBER(SEARCH(CHAR(10)&amp;B211&amp;CHAR(10),H211)),B211,IFERROR(INDEX('Set Aliases'!$A$2:$A$501,MATCH(1,('Set Aliases'!$B$2:$B$501=B211)*ISNUMBER(SEARCH(CHAR(10)&amp;'Set Aliases'!$A$2:$A$501&amp;CHAR(10),H211)),0)),"")))</f>
        <v/>
      </c>
      <c r="J211" s="80" t="str">
        <f t="array" ref="J211">IF(I211="","",IFERROR(VALUE(TRIM(MID(SUBSTITUTE(INDEX(Wishlist!$A:$Z,ROW()-0,'List Setup'!$G$2),CHAR(10),REPT(" ",100)),((SEARCH(CHAR(10)&amp;I211&amp;CHAR(10),H211)-LEN(SUBSTITUTE(LEFT(H211,SEARCH(CHAR(10)&amp;I211&amp;CHAR(10),H211)),CHAR(10),"")))-1)*100+1,100))),""))</f>
        <v/>
      </c>
      <c r="K211" s="80" t="str">
        <f t="array" ref="K211">IF(A211="","",IF(ISNUMBER(SEARCH("Land",LEFT(IFERROR(INDEX(Wishlist!$A:$Z,ROW()-0,'List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11" s="80" t="str">
        <f t="shared" si="3"/>
        <v/>
      </c>
      <c r="M211" s="80" t="str">
        <f>IF(A211="","",IF(AND(E211="Y",B211='Use at Shop'!$B$4),K211*10000000000+(MAX(0,MIN(26,CODE(MID(UPPER(A211)&amp;"    ",1,1))-64))*19683+MAX(0,MIN(26,CODE(MID(UPPER(A211)&amp;"    ",2,1))-64))*729+MAX(0,MIN(26,CODE(MID(UPPER(A211)&amp;"    ",3,1))-64))*27+MAX(0,MIN(26,CODE(MID(UPPER(A211)&amp;"    ",4,1))-64))*1)*10000+ROW(),""))</f>
        <v/>
      </c>
      <c r="N211" s="80" t="str">
        <f t="shared" si="4"/>
        <v/>
      </c>
      <c r="O211" s="80" t="str">
        <f t="array" ref="O211">IF(A211="","",IFERROR(INDEX(Wishlist!$A:$Z,ROW()-0,'List Setup'!$J$2)&amp;"",""))</f>
        <v/>
      </c>
      <c r="P211" s="2"/>
      <c r="Q211" s="80" t="str">
        <f>IF(A211="","",'List Setup'!$A$2)</f>
        <v/>
      </c>
      <c r="R211" s="80" t="str">
        <f t="array" ref="R211">IF(A211="","",IFERROR(OR(INDEX(Binders!$J$6:$J$30,MATCH(Q211,Binders!$I$6:$I$30,0))=TRUE(),UPPER(INDEX(Binders!$J$6:$J$30,MATCH(Q211,Binders!$I$6:$I$30,0))&amp;"")="TRUE"),FALSE()))</f>
        <v/>
      </c>
    </row>
    <row r="212" ht="15.75" customHeight="1">
      <c r="A212" s="80" t="str">
        <f t="array" ref="A212">IF(INDEX(Wishlist!$A:$Z,ROW()-0,'List Setup'!$D$2)="","",INDEX(Wishlist!$A:$Z,ROW()-0,'List Setup'!$D$2))</f>
        <v/>
      </c>
      <c r="B212" s="80" t="str">
        <f t="array" ref="B212">IF(A212="","",IFERROR(INDEX('Binder Setup'!$B$2:$B$401,MIN(IF(ISNUMBER(SEARCH(CHAR(10)&amp;'Binder Setup'!$B$2:$B$401&amp;CHAR(10),$H212)),'List Setup'!$Q$2:$Q$401,999),IF(ISNUMBER(SEARCH(CHAR(10)&amp;'Set Aliases'!$A$2:$A$501&amp;CHAR(10),$H212)),'Set Aliases'!$C$2:$C$501,999))),"(none)"))</f>
        <v/>
      </c>
      <c r="C212" s="80" t="str">
        <f t="shared" si="1"/>
        <v/>
      </c>
      <c r="D212" s="80" t="str">
        <f t="array" ref="D212">IF(A212="","",IF(ISLOGICAL(INDEX(Wishlist!$A:$Z,ROW()-0,'List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12" s="80" t="str">
        <f t="shared" si="2"/>
        <v/>
      </c>
      <c r="F212" s="80" t="str">
        <f t="array" ref="F212">IF(A212="","",IF(ISNUMBER(J212),J212,IF(ISNUMBER(INDEX(Wishlist!$A:$Z,ROW()-0,'List Setup'!$F$2)),INDEX(Wishlist!$A:$Z,ROW()-0,'List Setup'!$F$2),0)))</f>
        <v/>
      </c>
      <c r="G212" s="80" t="str">
        <f t="array" ref="G212">IF(A212="","",A212&amp;IF(N(INDEX(Wishlist!$A:$Z,ROW()-0,'List Setup'!$C$2))&gt;1," (x"&amp;INDEX(Wishlist!$A:$Z,ROW()-0,'List Setup'!$C$2)&amp;")","")&amp;IF(COUNTIF(Binders!$J$6:$J$30,TRUE())&gt;1," ["&amp;Q212&amp;"]",""))</f>
        <v/>
      </c>
      <c r="H212" s="80" t="str">
        <f t="array" ref="H212">IF(A212="","",CHAR(10)&amp;INDEX(Wishlist!$A:$Z,ROW()-0,'List Setup'!$E$2)&amp;CHAR(10))</f>
        <v/>
      </c>
      <c r="I212" s="80" t="str">
        <f t="array" ref="I212">IF(OR(B212="",B212="(none)"),"",IF(ISNUMBER(SEARCH(CHAR(10)&amp;B212&amp;CHAR(10),H212)),B212,IFERROR(INDEX('Set Aliases'!$A$2:$A$501,MATCH(1,('Set Aliases'!$B$2:$B$501=B212)*ISNUMBER(SEARCH(CHAR(10)&amp;'Set Aliases'!$A$2:$A$501&amp;CHAR(10),H212)),0)),"")))</f>
        <v/>
      </c>
      <c r="J212" s="80" t="str">
        <f t="array" ref="J212">IF(I212="","",IFERROR(VALUE(TRIM(MID(SUBSTITUTE(INDEX(Wishlist!$A:$Z,ROW()-0,'List Setup'!$G$2),CHAR(10),REPT(" ",100)),((SEARCH(CHAR(10)&amp;I212&amp;CHAR(10),H212)-LEN(SUBSTITUTE(LEFT(H212,SEARCH(CHAR(10)&amp;I212&amp;CHAR(10),H212)),CHAR(10),"")))-1)*100+1,100))),""))</f>
        <v/>
      </c>
      <c r="K212" s="80" t="str">
        <f t="array" ref="K212">IF(A212="","",IF(ISNUMBER(SEARCH("Land",LEFT(IFERROR(INDEX(Wishlist!$A:$Z,ROW()-0,'List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12" s="80" t="str">
        <f t="shared" si="3"/>
        <v/>
      </c>
      <c r="M212" s="80" t="str">
        <f>IF(A212="","",IF(AND(E212="Y",B212='Use at Shop'!$B$4),K212*10000000000+(MAX(0,MIN(26,CODE(MID(UPPER(A212)&amp;"    ",1,1))-64))*19683+MAX(0,MIN(26,CODE(MID(UPPER(A212)&amp;"    ",2,1))-64))*729+MAX(0,MIN(26,CODE(MID(UPPER(A212)&amp;"    ",3,1))-64))*27+MAX(0,MIN(26,CODE(MID(UPPER(A212)&amp;"    ",4,1))-64))*1)*10000+ROW(),""))</f>
        <v/>
      </c>
      <c r="N212" s="80" t="str">
        <f t="shared" si="4"/>
        <v/>
      </c>
      <c r="O212" s="80" t="str">
        <f t="array" ref="O212">IF(A212="","",IFERROR(INDEX(Wishlist!$A:$Z,ROW()-0,'List Setup'!$J$2)&amp;"",""))</f>
        <v/>
      </c>
      <c r="P212" s="2"/>
      <c r="Q212" s="80" t="str">
        <f>IF(A212="","",'List Setup'!$A$2)</f>
        <v/>
      </c>
      <c r="R212" s="80" t="str">
        <f t="array" ref="R212">IF(A212="","",IFERROR(OR(INDEX(Binders!$J$6:$J$30,MATCH(Q212,Binders!$I$6:$I$30,0))=TRUE(),UPPER(INDEX(Binders!$J$6:$J$30,MATCH(Q212,Binders!$I$6:$I$30,0))&amp;"")="TRUE"),FALSE()))</f>
        <v/>
      </c>
    </row>
    <row r="213" ht="15.75" customHeight="1">
      <c r="A213" s="80" t="str">
        <f t="array" ref="A213">IF(INDEX(Wishlist!$A:$Z,ROW()-0,'List Setup'!$D$2)="","",INDEX(Wishlist!$A:$Z,ROW()-0,'List Setup'!$D$2))</f>
        <v/>
      </c>
      <c r="B213" s="80" t="str">
        <f t="array" ref="B213">IF(A213="","",IFERROR(INDEX('Binder Setup'!$B$2:$B$401,MIN(IF(ISNUMBER(SEARCH(CHAR(10)&amp;'Binder Setup'!$B$2:$B$401&amp;CHAR(10),$H213)),'List Setup'!$Q$2:$Q$401,999),IF(ISNUMBER(SEARCH(CHAR(10)&amp;'Set Aliases'!$A$2:$A$501&amp;CHAR(10),$H213)),'Set Aliases'!$C$2:$C$501,999))),"(none)"))</f>
        <v/>
      </c>
      <c r="C213" s="80" t="str">
        <f t="shared" si="1"/>
        <v/>
      </c>
      <c r="D213" s="80" t="str">
        <f t="array" ref="D213">IF(A213="","",IF(ISLOGICAL(INDEX(Wishlist!$A:$Z,ROW()-0,'List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13" s="80" t="str">
        <f t="shared" si="2"/>
        <v/>
      </c>
      <c r="F213" s="80" t="str">
        <f t="array" ref="F213">IF(A213="","",IF(ISNUMBER(J213),J213,IF(ISNUMBER(INDEX(Wishlist!$A:$Z,ROW()-0,'List Setup'!$F$2)),INDEX(Wishlist!$A:$Z,ROW()-0,'List Setup'!$F$2),0)))</f>
        <v/>
      </c>
      <c r="G213" s="80" t="str">
        <f t="array" ref="G213">IF(A213="","",A213&amp;IF(N(INDEX(Wishlist!$A:$Z,ROW()-0,'List Setup'!$C$2))&gt;1," (x"&amp;INDEX(Wishlist!$A:$Z,ROW()-0,'List Setup'!$C$2)&amp;")","")&amp;IF(COUNTIF(Binders!$J$6:$J$30,TRUE())&gt;1," ["&amp;Q213&amp;"]",""))</f>
        <v/>
      </c>
      <c r="H213" s="80" t="str">
        <f t="array" ref="H213">IF(A213="","",CHAR(10)&amp;INDEX(Wishlist!$A:$Z,ROW()-0,'List Setup'!$E$2)&amp;CHAR(10))</f>
        <v/>
      </c>
      <c r="I213" s="80" t="str">
        <f t="array" ref="I213">IF(OR(B213="",B213="(none)"),"",IF(ISNUMBER(SEARCH(CHAR(10)&amp;B213&amp;CHAR(10),H213)),B213,IFERROR(INDEX('Set Aliases'!$A$2:$A$501,MATCH(1,('Set Aliases'!$B$2:$B$501=B213)*ISNUMBER(SEARCH(CHAR(10)&amp;'Set Aliases'!$A$2:$A$501&amp;CHAR(10),H213)),0)),"")))</f>
        <v/>
      </c>
      <c r="J213" s="80" t="str">
        <f t="array" ref="J213">IF(I213="","",IFERROR(VALUE(TRIM(MID(SUBSTITUTE(INDEX(Wishlist!$A:$Z,ROW()-0,'List Setup'!$G$2),CHAR(10),REPT(" ",100)),((SEARCH(CHAR(10)&amp;I213&amp;CHAR(10),H213)-LEN(SUBSTITUTE(LEFT(H213,SEARCH(CHAR(10)&amp;I213&amp;CHAR(10),H213)),CHAR(10),"")))-1)*100+1,100))),""))</f>
        <v/>
      </c>
      <c r="K213" s="80" t="str">
        <f t="array" ref="K213">IF(A213="","",IF(ISNUMBER(SEARCH("Land",LEFT(IFERROR(INDEX(Wishlist!$A:$Z,ROW()-0,'List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13" s="80" t="str">
        <f t="shared" si="3"/>
        <v/>
      </c>
      <c r="M213" s="80" t="str">
        <f>IF(A213="","",IF(AND(E213="Y",B213='Use at Shop'!$B$4),K213*10000000000+(MAX(0,MIN(26,CODE(MID(UPPER(A213)&amp;"    ",1,1))-64))*19683+MAX(0,MIN(26,CODE(MID(UPPER(A213)&amp;"    ",2,1))-64))*729+MAX(0,MIN(26,CODE(MID(UPPER(A213)&amp;"    ",3,1))-64))*27+MAX(0,MIN(26,CODE(MID(UPPER(A213)&amp;"    ",4,1))-64))*1)*10000+ROW(),""))</f>
        <v/>
      </c>
      <c r="N213" s="80" t="str">
        <f t="shared" si="4"/>
        <v/>
      </c>
      <c r="O213" s="80" t="str">
        <f t="array" ref="O213">IF(A213="","",IFERROR(INDEX(Wishlist!$A:$Z,ROW()-0,'List Setup'!$J$2)&amp;"",""))</f>
        <v/>
      </c>
      <c r="P213" s="2"/>
      <c r="Q213" s="80" t="str">
        <f>IF(A213="","",'List Setup'!$A$2)</f>
        <v/>
      </c>
      <c r="R213" s="80" t="str">
        <f t="array" ref="R213">IF(A213="","",IFERROR(OR(INDEX(Binders!$J$6:$J$30,MATCH(Q213,Binders!$I$6:$I$30,0))=TRUE(),UPPER(INDEX(Binders!$J$6:$J$30,MATCH(Q213,Binders!$I$6:$I$30,0))&amp;"")="TRUE"),FALSE()))</f>
        <v/>
      </c>
    </row>
    <row r="214" ht="15.75" customHeight="1">
      <c r="A214" s="80" t="str">
        <f t="array" ref="A214">IF(INDEX(Wishlist!$A:$Z,ROW()-0,'List Setup'!$D$2)="","",INDEX(Wishlist!$A:$Z,ROW()-0,'List Setup'!$D$2))</f>
        <v/>
      </c>
      <c r="B214" s="80" t="str">
        <f t="array" ref="B214">IF(A214="","",IFERROR(INDEX('Binder Setup'!$B$2:$B$401,MIN(IF(ISNUMBER(SEARCH(CHAR(10)&amp;'Binder Setup'!$B$2:$B$401&amp;CHAR(10),$H214)),'List Setup'!$Q$2:$Q$401,999),IF(ISNUMBER(SEARCH(CHAR(10)&amp;'Set Aliases'!$A$2:$A$501&amp;CHAR(10),$H214)),'Set Aliases'!$C$2:$C$501,999))),"(none)"))</f>
        <v/>
      </c>
      <c r="C214" s="80" t="str">
        <f t="shared" si="1"/>
        <v/>
      </c>
      <c r="D214" s="80" t="str">
        <f t="array" ref="D214">IF(A214="","",IF(ISLOGICAL(INDEX(Wishlist!$A:$Z,ROW()-0,'List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14" s="80" t="str">
        <f t="shared" si="2"/>
        <v/>
      </c>
      <c r="F214" s="80" t="str">
        <f t="array" ref="F214">IF(A214="","",IF(ISNUMBER(J214),J214,IF(ISNUMBER(INDEX(Wishlist!$A:$Z,ROW()-0,'List Setup'!$F$2)),INDEX(Wishlist!$A:$Z,ROW()-0,'List Setup'!$F$2),0)))</f>
        <v/>
      </c>
      <c r="G214" s="80" t="str">
        <f t="array" ref="G214">IF(A214="","",A214&amp;IF(N(INDEX(Wishlist!$A:$Z,ROW()-0,'List Setup'!$C$2))&gt;1," (x"&amp;INDEX(Wishlist!$A:$Z,ROW()-0,'List Setup'!$C$2)&amp;")","")&amp;IF(COUNTIF(Binders!$J$6:$J$30,TRUE())&gt;1," ["&amp;Q214&amp;"]",""))</f>
        <v/>
      </c>
      <c r="H214" s="80" t="str">
        <f t="array" ref="H214">IF(A214="","",CHAR(10)&amp;INDEX(Wishlist!$A:$Z,ROW()-0,'List Setup'!$E$2)&amp;CHAR(10))</f>
        <v/>
      </c>
      <c r="I214" s="80" t="str">
        <f t="array" ref="I214">IF(OR(B214="",B214="(none)"),"",IF(ISNUMBER(SEARCH(CHAR(10)&amp;B214&amp;CHAR(10),H214)),B214,IFERROR(INDEX('Set Aliases'!$A$2:$A$501,MATCH(1,('Set Aliases'!$B$2:$B$501=B214)*ISNUMBER(SEARCH(CHAR(10)&amp;'Set Aliases'!$A$2:$A$501&amp;CHAR(10),H214)),0)),"")))</f>
        <v/>
      </c>
      <c r="J214" s="80" t="str">
        <f t="array" ref="J214">IF(I214="","",IFERROR(VALUE(TRIM(MID(SUBSTITUTE(INDEX(Wishlist!$A:$Z,ROW()-0,'List Setup'!$G$2),CHAR(10),REPT(" ",100)),((SEARCH(CHAR(10)&amp;I214&amp;CHAR(10),H214)-LEN(SUBSTITUTE(LEFT(H214,SEARCH(CHAR(10)&amp;I214&amp;CHAR(10),H214)),CHAR(10),"")))-1)*100+1,100))),""))</f>
        <v/>
      </c>
      <c r="K214" s="80" t="str">
        <f t="array" ref="K214">IF(A214="","",IF(ISNUMBER(SEARCH("Land",LEFT(IFERROR(INDEX(Wishlist!$A:$Z,ROW()-0,'List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14" s="80" t="str">
        <f t="shared" si="3"/>
        <v/>
      </c>
      <c r="M214" s="80" t="str">
        <f>IF(A214="","",IF(AND(E214="Y",B214='Use at Shop'!$B$4),K214*10000000000+(MAX(0,MIN(26,CODE(MID(UPPER(A214)&amp;"    ",1,1))-64))*19683+MAX(0,MIN(26,CODE(MID(UPPER(A214)&amp;"    ",2,1))-64))*729+MAX(0,MIN(26,CODE(MID(UPPER(A214)&amp;"    ",3,1))-64))*27+MAX(0,MIN(26,CODE(MID(UPPER(A214)&amp;"    ",4,1))-64))*1)*10000+ROW(),""))</f>
        <v/>
      </c>
      <c r="N214" s="80" t="str">
        <f t="shared" si="4"/>
        <v/>
      </c>
      <c r="O214" s="80" t="str">
        <f t="array" ref="O214">IF(A214="","",IFERROR(INDEX(Wishlist!$A:$Z,ROW()-0,'List Setup'!$J$2)&amp;"",""))</f>
        <v/>
      </c>
      <c r="P214" s="2"/>
      <c r="Q214" s="80" t="str">
        <f>IF(A214="","",'List Setup'!$A$2)</f>
        <v/>
      </c>
      <c r="R214" s="80" t="str">
        <f t="array" ref="R214">IF(A214="","",IFERROR(OR(INDEX(Binders!$J$6:$J$30,MATCH(Q214,Binders!$I$6:$I$30,0))=TRUE(),UPPER(INDEX(Binders!$J$6:$J$30,MATCH(Q214,Binders!$I$6:$I$30,0))&amp;"")="TRUE"),FALSE()))</f>
        <v/>
      </c>
    </row>
    <row r="215" ht="15.75" customHeight="1">
      <c r="A215" s="80" t="str">
        <f t="array" ref="A215">IF(INDEX(Wishlist!$A:$Z,ROW()-0,'List Setup'!$D$2)="","",INDEX(Wishlist!$A:$Z,ROW()-0,'List Setup'!$D$2))</f>
        <v/>
      </c>
      <c r="B215" s="80" t="str">
        <f t="array" ref="B215">IF(A215="","",IFERROR(INDEX('Binder Setup'!$B$2:$B$401,MIN(IF(ISNUMBER(SEARCH(CHAR(10)&amp;'Binder Setup'!$B$2:$B$401&amp;CHAR(10),$H215)),'List Setup'!$Q$2:$Q$401,999),IF(ISNUMBER(SEARCH(CHAR(10)&amp;'Set Aliases'!$A$2:$A$501&amp;CHAR(10),$H215)),'Set Aliases'!$C$2:$C$501,999))),"(none)"))</f>
        <v/>
      </c>
      <c r="C215" s="80" t="str">
        <f t="shared" si="1"/>
        <v/>
      </c>
      <c r="D215" s="80" t="str">
        <f t="array" ref="D215">IF(A215="","",IF(ISLOGICAL(INDEX(Wishlist!$A:$Z,ROW()-0,'List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15" s="80" t="str">
        <f t="shared" si="2"/>
        <v/>
      </c>
      <c r="F215" s="80" t="str">
        <f t="array" ref="F215">IF(A215="","",IF(ISNUMBER(J215),J215,IF(ISNUMBER(INDEX(Wishlist!$A:$Z,ROW()-0,'List Setup'!$F$2)),INDEX(Wishlist!$A:$Z,ROW()-0,'List Setup'!$F$2),0)))</f>
        <v/>
      </c>
      <c r="G215" s="80" t="str">
        <f t="array" ref="G215">IF(A215="","",A215&amp;IF(N(INDEX(Wishlist!$A:$Z,ROW()-0,'List Setup'!$C$2))&gt;1," (x"&amp;INDEX(Wishlist!$A:$Z,ROW()-0,'List Setup'!$C$2)&amp;")","")&amp;IF(COUNTIF(Binders!$J$6:$J$30,TRUE())&gt;1," ["&amp;Q215&amp;"]",""))</f>
        <v/>
      </c>
      <c r="H215" s="80" t="str">
        <f t="array" ref="H215">IF(A215="","",CHAR(10)&amp;INDEX(Wishlist!$A:$Z,ROW()-0,'List Setup'!$E$2)&amp;CHAR(10))</f>
        <v/>
      </c>
      <c r="I215" s="80" t="str">
        <f t="array" ref="I215">IF(OR(B215="",B215="(none)"),"",IF(ISNUMBER(SEARCH(CHAR(10)&amp;B215&amp;CHAR(10),H215)),B215,IFERROR(INDEX('Set Aliases'!$A$2:$A$501,MATCH(1,('Set Aliases'!$B$2:$B$501=B215)*ISNUMBER(SEARCH(CHAR(10)&amp;'Set Aliases'!$A$2:$A$501&amp;CHAR(10),H215)),0)),"")))</f>
        <v/>
      </c>
      <c r="J215" s="80" t="str">
        <f t="array" ref="J215">IF(I215="","",IFERROR(VALUE(TRIM(MID(SUBSTITUTE(INDEX(Wishlist!$A:$Z,ROW()-0,'List Setup'!$G$2),CHAR(10),REPT(" ",100)),((SEARCH(CHAR(10)&amp;I215&amp;CHAR(10),H215)-LEN(SUBSTITUTE(LEFT(H215,SEARCH(CHAR(10)&amp;I215&amp;CHAR(10),H215)),CHAR(10),"")))-1)*100+1,100))),""))</f>
        <v/>
      </c>
      <c r="K215" s="80" t="str">
        <f t="array" ref="K215">IF(A215="","",IF(ISNUMBER(SEARCH("Land",LEFT(IFERROR(INDEX(Wishlist!$A:$Z,ROW()-0,'List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15" s="80" t="str">
        <f t="shared" si="3"/>
        <v/>
      </c>
      <c r="M215" s="80" t="str">
        <f>IF(A215="","",IF(AND(E215="Y",B215='Use at Shop'!$B$4),K215*10000000000+(MAX(0,MIN(26,CODE(MID(UPPER(A215)&amp;"    ",1,1))-64))*19683+MAX(0,MIN(26,CODE(MID(UPPER(A215)&amp;"    ",2,1))-64))*729+MAX(0,MIN(26,CODE(MID(UPPER(A215)&amp;"    ",3,1))-64))*27+MAX(0,MIN(26,CODE(MID(UPPER(A215)&amp;"    ",4,1))-64))*1)*10000+ROW(),""))</f>
        <v/>
      </c>
      <c r="N215" s="80" t="str">
        <f t="shared" si="4"/>
        <v/>
      </c>
      <c r="O215" s="80" t="str">
        <f t="array" ref="O215">IF(A215="","",IFERROR(INDEX(Wishlist!$A:$Z,ROW()-0,'List Setup'!$J$2)&amp;"",""))</f>
        <v/>
      </c>
      <c r="P215" s="2"/>
      <c r="Q215" s="80" t="str">
        <f>IF(A215="","",'List Setup'!$A$2)</f>
        <v/>
      </c>
      <c r="R215" s="80" t="str">
        <f t="array" ref="R215">IF(A215="","",IFERROR(OR(INDEX(Binders!$J$6:$J$30,MATCH(Q215,Binders!$I$6:$I$30,0))=TRUE(),UPPER(INDEX(Binders!$J$6:$J$30,MATCH(Q215,Binders!$I$6:$I$30,0))&amp;"")="TRUE"),FALSE()))</f>
        <v/>
      </c>
    </row>
    <row r="216" ht="15.75" customHeight="1">
      <c r="A216" s="80" t="str">
        <f t="array" ref="A216">IF(INDEX(Wishlist!$A:$Z,ROW()-0,'List Setup'!$D$2)="","",INDEX(Wishlist!$A:$Z,ROW()-0,'List Setup'!$D$2))</f>
        <v/>
      </c>
      <c r="B216" s="80" t="str">
        <f t="array" ref="B216">IF(A216="","",IFERROR(INDEX('Binder Setup'!$B$2:$B$401,MIN(IF(ISNUMBER(SEARCH(CHAR(10)&amp;'Binder Setup'!$B$2:$B$401&amp;CHAR(10),$H216)),'List Setup'!$Q$2:$Q$401,999),IF(ISNUMBER(SEARCH(CHAR(10)&amp;'Set Aliases'!$A$2:$A$501&amp;CHAR(10),$H216)),'Set Aliases'!$C$2:$C$501,999))),"(none)"))</f>
        <v/>
      </c>
      <c r="C216" s="80" t="str">
        <f t="shared" si="1"/>
        <v/>
      </c>
      <c r="D216" s="80" t="str">
        <f t="array" ref="D216">IF(A216="","",IF(ISLOGICAL(INDEX(Wishlist!$A:$Z,ROW()-0,'List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16" s="80" t="str">
        <f t="shared" si="2"/>
        <v/>
      </c>
      <c r="F216" s="80" t="str">
        <f t="array" ref="F216">IF(A216="","",IF(ISNUMBER(J216),J216,IF(ISNUMBER(INDEX(Wishlist!$A:$Z,ROW()-0,'List Setup'!$F$2)),INDEX(Wishlist!$A:$Z,ROW()-0,'List Setup'!$F$2),0)))</f>
        <v/>
      </c>
      <c r="G216" s="80" t="str">
        <f t="array" ref="G216">IF(A216="","",A216&amp;IF(N(INDEX(Wishlist!$A:$Z,ROW()-0,'List Setup'!$C$2))&gt;1," (x"&amp;INDEX(Wishlist!$A:$Z,ROW()-0,'List Setup'!$C$2)&amp;")","")&amp;IF(COUNTIF(Binders!$J$6:$J$30,TRUE())&gt;1," ["&amp;Q216&amp;"]",""))</f>
        <v/>
      </c>
      <c r="H216" s="80" t="str">
        <f t="array" ref="H216">IF(A216="","",CHAR(10)&amp;INDEX(Wishlist!$A:$Z,ROW()-0,'List Setup'!$E$2)&amp;CHAR(10))</f>
        <v/>
      </c>
      <c r="I216" s="80" t="str">
        <f t="array" ref="I216">IF(OR(B216="",B216="(none)"),"",IF(ISNUMBER(SEARCH(CHAR(10)&amp;B216&amp;CHAR(10),H216)),B216,IFERROR(INDEX('Set Aliases'!$A$2:$A$501,MATCH(1,('Set Aliases'!$B$2:$B$501=B216)*ISNUMBER(SEARCH(CHAR(10)&amp;'Set Aliases'!$A$2:$A$501&amp;CHAR(10),H216)),0)),"")))</f>
        <v/>
      </c>
      <c r="J216" s="80" t="str">
        <f t="array" ref="J216">IF(I216="","",IFERROR(VALUE(TRIM(MID(SUBSTITUTE(INDEX(Wishlist!$A:$Z,ROW()-0,'List Setup'!$G$2),CHAR(10),REPT(" ",100)),((SEARCH(CHAR(10)&amp;I216&amp;CHAR(10),H216)-LEN(SUBSTITUTE(LEFT(H216,SEARCH(CHAR(10)&amp;I216&amp;CHAR(10),H216)),CHAR(10),"")))-1)*100+1,100))),""))</f>
        <v/>
      </c>
      <c r="K216" s="80" t="str">
        <f t="array" ref="K216">IF(A216="","",IF(ISNUMBER(SEARCH("Land",LEFT(IFERROR(INDEX(Wishlist!$A:$Z,ROW()-0,'List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16" s="80" t="str">
        <f t="shared" si="3"/>
        <v/>
      </c>
      <c r="M216" s="80" t="str">
        <f>IF(A216="","",IF(AND(E216="Y",B216='Use at Shop'!$B$4),K216*10000000000+(MAX(0,MIN(26,CODE(MID(UPPER(A216)&amp;"    ",1,1))-64))*19683+MAX(0,MIN(26,CODE(MID(UPPER(A216)&amp;"    ",2,1))-64))*729+MAX(0,MIN(26,CODE(MID(UPPER(A216)&amp;"    ",3,1))-64))*27+MAX(0,MIN(26,CODE(MID(UPPER(A216)&amp;"    ",4,1))-64))*1)*10000+ROW(),""))</f>
        <v/>
      </c>
      <c r="N216" s="80" t="str">
        <f t="shared" si="4"/>
        <v/>
      </c>
      <c r="O216" s="80" t="str">
        <f t="array" ref="O216">IF(A216="","",IFERROR(INDEX(Wishlist!$A:$Z,ROW()-0,'List Setup'!$J$2)&amp;"",""))</f>
        <v/>
      </c>
      <c r="P216" s="2"/>
      <c r="Q216" s="80" t="str">
        <f>IF(A216="","",'List Setup'!$A$2)</f>
        <v/>
      </c>
      <c r="R216" s="80" t="str">
        <f t="array" ref="R216">IF(A216="","",IFERROR(OR(INDEX(Binders!$J$6:$J$30,MATCH(Q216,Binders!$I$6:$I$30,0))=TRUE(),UPPER(INDEX(Binders!$J$6:$J$30,MATCH(Q216,Binders!$I$6:$I$30,0))&amp;"")="TRUE"),FALSE()))</f>
        <v/>
      </c>
    </row>
    <row r="217" ht="15.75" customHeight="1">
      <c r="A217" s="80" t="str">
        <f t="array" ref="A217">IF(INDEX(Wishlist!$A:$Z,ROW()-0,'List Setup'!$D$2)="","",INDEX(Wishlist!$A:$Z,ROW()-0,'List Setup'!$D$2))</f>
        <v/>
      </c>
      <c r="B217" s="80" t="str">
        <f t="array" ref="B217">IF(A217="","",IFERROR(INDEX('Binder Setup'!$B$2:$B$401,MIN(IF(ISNUMBER(SEARCH(CHAR(10)&amp;'Binder Setup'!$B$2:$B$401&amp;CHAR(10),$H217)),'List Setup'!$Q$2:$Q$401,999),IF(ISNUMBER(SEARCH(CHAR(10)&amp;'Set Aliases'!$A$2:$A$501&amp;CHAR(10),$H217)),'Set Aliases'!$C$2:$C$501,999))),"(none)"))</f>
        <v/>
      </c>
      <c r="C217" s="80" t="str">
        <f t="shared" si="1"/>
        <v/>
      </c>
      <c r="D217" s="80" t="str">
        <f t="array" ref="D217">IF(A217="","",IF(ISLOGICAL(INDEX(Wishlist!$A:$Z,ROW()-0,'List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17" s="80" t="str">
        <f t="shared" si="2"/>
        <v/>
      </c>
      <c r="F217" s="80" t="str">
        <f t="array" ref="F217">IF(A217="","",IF(ISNUMBER(J217),J217,IF(ISNUMBER(INDEX(Wishlist!$A:$Z,ROW()-0,'List Setup'!$F$2)),INDEX(Wishlist!$A:$Z,ROW()-0,'List Setup'!$F$2),0)))</f>
        <v/>
      </c>
      <c r="G217" s="80" t="str">
        <f t="array" ref="G217">IF(A217="","",A217&amp;IF(N(INDEX(Wishlist!$A:$Z,ROW()-0,'List Setup'!$C$2))&gt;1," (x"&amp;INDEX(Wishlist!$A:$Z,ROW()-0,'List Setup'!$C$2)&amp;")","")&amp;IF(COUNTIF(Binders!$J$6:$J$30,TRUE())&gt;1," ["&amp;Q217&amp;"]",""))</f>
        <v/>
      </c>
      <c r="H217" s="80" t="str">
        <f t="array" ref="H217">IF(A217="","",CHAR(10)&amp;INDEX(Wishlist!$A:$Z,ROW()-0,'List Setup'!$E$2)&amp;CHAR(10))</f>
        <v/>
      </c>
      <c r="I217" s="80" t="str">
        <f t="array" ref="I217">IF(OR(B217="",B217="(none)"),"",IF(ISNUMBER(SEARCH(CHAR(10)&amp;B217&amp;CHAR(10),H217)),B217,IFERROR(INDEX('Set Aliases'!$A$2:$A$501,MATCH(1,('Set Aliases'!$B$2:$B$501=B217)*ISNUMBER(SEARCH(CHAR(10)&amp;'Set Aliases'!$A$2:$A$501&amp;CHAR(10),H217)),0)),"")))</f>
        <v/>
      </c>
      <c r="J217" s="80" t="str">
        <f t="array" ref="J217">IF(I217="","",IFERROR(VALUE(TRIM(MID(SUBSTITUTE(INDEX(Wishlist!$A:$Z,ROW()-0,'List Setup'!$G$2),CHAR(10),REPT(" ",100)),((SEARCH(CHAR(10)&amp;I217&amp;CHAR(10),H217)-LEN(SUBSTITUTE(LEFT(H217,SEARCH(CHAR(10)&amp;I217&amp;CHAR(10),H217)),CHAR(10),"")))-1)*100+1,100))),""))</f>
        <v/>
      </c>
      <c r="K217" s="80" t="str">
        <f t="array" ref="K217">IF(A217="","",IF(ISNUMBER(SEARCH("Land",LEFT(IFERROR(INDEX(Wishlist!$A:$Z,ROW()-0,'List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17" s="80" t="str">
        <f t="shared" si="3"/>
        <v/>
      </c>
      <c r="M217" s="80" t="str">
        <f>IF(A217="","",IF(AND(E217="Y",B217='Use at Shop'!$B$4),K217*10000000000+(MAX(0,MIN(26,CODE(MID(UPPER(A217)&amp;"    ",1,1))-64))*19683+MAX(0,MIN(26,CODE(MID(UPPER(A217)&amp;"    ",2,1))-64))*729+MAX(0,MIN(26,CODE(MID(UPPER(A217)&amp;"    ",3,1))-64))*27+MAX(0,MIN(26,CODE(MID(UPPER(A217)&amp;"    ",4,1))-64))*1)*10000+ROW(),""))</f>
        <v/>
      </c>
      <c r="N217" s="80" t="str">
        <f t="shared" si="4"/>
        <v/>
      </c>
      <c r="O217" s="80" t="str">
        <f t="array" ref="O217">IF(A217="","",IFERROR(INDEX(Wishlist!$A:$Z,ROW()-0,'List Setup'!$J$2)&amp;"",""))</f>
        <v/>
      </c>
      <c r="P217" s="2"/>
      <c r="Q217" s="80" t="str">
        <f>IF(A217="","",'List Setup'!$A$2)</f>
        <v/>
      </c>
      <c r="R217" s="80" t="str">
        <f t="array" ref="R217">IF(A217="","",IFERROR(OR(INDEX(Binders!$J$6:$J$30,MATCH(Q217,Binders!$I$6:$I$30,0))=TRUE(),UPPER(INDEX(Binders!$J$6:$J$30,MATCH(Q217,Binders!$I$6:$I$30,0))&amp;"")="TRUE"),FALSE()))</f>
        <v/>
      </c>
    </row>
    <row r="218" ht="15.75" customHeight="1">
      <c r="A218" s="80" t="str">
        <f t="array" ref="A218">IF(INDEX(Wishlist!$A:$Z,ROW()-0,'List Setup'!$D$2)="","",INDEX(Wishlist!$A:$Z,ROW()-0,'List Setup'!$D$2))</f>
        <v/>
      </c>
      <c r="B218" s="80" t="str">
        <f t="array" ref="B218">IF(A218="","",IFERROR(INDEX('Binder Setup'!$B$2:$B$401,MIN(IF(ISNUMBER(SEARCH(CHAR(10)&amp;'Binder Setup'!$B$2:$B$401&amp;CHAR(10),$H218)),'List Setup'!$Q$2:$Q$401,999),IF(ISNUMBER(SEARCH(CHAR(10)&amp;'Set Aliases'!$A$2:$A$501&amp;CHAR(10),$H218)),'Set Aliases'!$C$2:$C$501,999))),"(none)"))</f>
        <v/>
      </c>
      <c r="C218" s="80" t="str">
        <f t="shared" si="1"/>
        <v/>
      </c>
      <c r="D218" s="80" t="str">
        <f t="array" ref="D218">IF(A218="","",IF(ISLOGICAL(INDEX(Wishlist!$A:$Z,ROW()-0,'List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18" s="80" t="str">
        <f t="shared" si="2"/>
        <v/>
      </c>
      <c r="F218" s="80" t="str">
        <f t="array" ref="F218">IF(A218="","",IF(ISNUMBER(J218),J218,IF(ISNUMBER(INDEX(Wishlist!$A:$Z,ROW()-0,'List Setup'!$F$2)),INDEX(Wishlist!$A:$Z,ROW()-0,'List Setup'!$F$2),0)))</f>
        <v/>
      </c>
      <c r="G218" s="80" t="str">
        <f t="array" ref="G218">IF(A218="","",A218&amp;IF(N(INDEX(Wishlist!$A:$Z,ROW()-0,'List Setup'!$C$2))&gt;1," (x"&amp;INDEX(Wishlist!$A:$Z,ROW()-0,'List Setup'!$C$2)&amp;")","")&amp;IF(COUNTIF(Binders!$J$6:$J$30,TRUE())&gt;1," ["&amp;Q218&amp;"]",""))</f>
        <v/>
      </c>
      <c r="H218" s="80" t="str">
        <f t="array" ref="H218">IF(A218="","",CHAR(10)&amp;INDEX(Wishlist!$A:$Z,ROW()-0,'List Setup'!$E$2)&amp;CHAR(10))</f>
        <v/>
      </c>
      <c r="I218" s="80" t="str">
        <f t="array" ref="I218">IF(OR(B218="",B218="(none)"),"",IF(ISNUMBER(SEARCH(CHAR(10)&amp;B218&amp;CHAR(10),H218)),B218,IFERROR(INDEX('Set Aliases'!$A$2:$A$501,MATCH(1,('Set Aliases'!$B$2:$B$501=B218)*ISNUMBER(SEARCH(CHAR(10)&amp;'Set Aliases'!$A$2:$A$501&amp;CHAR(10),H218)),0)),"")))</f>
        <v/>
      </c>
      <c r="J218" s="80" t="str">
        <f t="array" ref="J218">IF(I218="","",IFERROR(VALUE(TRIM(MID(SUBSTITUTE(INDEX(Wishlist!$A:$Z,ROW()-0,'List Setup'!$G$2),CHAR(10),REPT(" ",100)),((SEARCH(CHAR(10)&amp;I218&amp;CHAR(10),H218)-LEN(SUBSTITUTE(LEFT(H218,SEARCH(CHAR(10)&amp;I218&amp;CHAR(10),H218)),CHAR(10),"")))-1)*100+1,100))),""))</f>
        <v/>
      </c>
      <c r="K218" s="80" t="str">
        <f t="array" ref="K218">IF(A218="","",IF(ISNUMBER(SEARCH("Land",LEFT(IFERROR(INDEX(Wishlist!$A:$Z,ROW()-0,'List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18" s="80" t="str">
        <f t="shared" si="3"/>
        <v/>
      </c>
      <c r="M218" s="80" t="str">
        <f>IF(A218="","",IF(AND(E218="Y",B218='Use at Shop'!$B$4),K218*10000000000+(MAX(0,MIN(26,CODE(MID(UPPER(A218)&amp;"    ",1,1))-64))*19683+MAX(0,MIN(26,CODE(MID(UPPER(A218)&amp;"    ",2,1))-64))*729+MAX(0,MIN(26,CODE(MID(UPPER(A218)&amp;"    ",3,1))-64))*27+MAX(0,MIN(26,CODE(MID(UPPER(A218)&amp;"    ",4,1))-64))*1)*10000+ROW(),""))</f>
        <v/>
      </c>
      <c r="N218" s="80" t="str">
        <f t="shared" si="4"/>
        <v/>
      </c>
      <c r="O218" s="80" t="str">
        <f t="array" ref="O218">IF(A218="","",IFERROR(INDEX(Wishlist!$A:$Z,ROW()-0,'List Setup'!$J$2)&amp;"",""))</f>
        <v/>
      </c>
      <c r="P218" s="2"/>
      <c r="Q218" s="80" t="str">
        <f>IF(A218="","",'List Setup'!$A$2)</f>
        <v/>
      </c>
      <c r="R218" s="80" t="str">
        <f t="array" ref="R218">IF(A218="","",IFERROR(OR(INDEX(Binders!$J$6:$J$30,MATCH(Q218,Binders!$I$6:$I$30,0))=TRUE(),UPPER(INDEX(Binders!$J$6:$J$30,MATCH(Q218,Binders!$I$6:$I$30,0))&amp;"")="TRUE"),FALSE()))</f>
        <v/>
      </c>
    </row>
    <row r="219" ht="15.75" customHeight="1">
      <c r="A219" s="80" t="str">
        <f t="array" ref="A219">IF(INDEX(Wishlist!$A:$Z,ROW()-0,'List Setup'!$D$2)="","",INDEX(Wishlist!$A:$Z,ROW()-0,'List Setup'!$D$2))</f>
        <v/>
      </c>
      <c r="B219" s="80" t="str">
        <f t="array" ref="B219">IF(A219="","",IFERROR(INDEX('Binder Setup'!$B$2:$B$401,MIN(IF(ISNUMBER(SEARCH(CHAR(10)&amp;'Binder Setup'!$B$2:$B$401&amp;CHAR(10),$H219)),'List Setup'!$Q$2:$Q$401,999),IF(ISNUMBER(SEARCH(CHAR(10)&amp;'Set Aliases'!$A$2:$A$501&amp;CHAR(10),$H219)),'Set Aliases'!$C$2:$C$501,999))),"(none)"))</f>
        <v/>
      </c>
      <c r="C219" s="80" t="str">
        <f t="shared" si="1"/>
        <v/>
      </c>
      <c r="D219" s="80" t="str">
        <f t="array" ref="D219">IF(A219="","",IF(ISLOGICAL(INDEX(Wishlist!$A:$Z,ROW()-0,'List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19" s="80" t="str">
        <f t="shared" si="2"/>
        <v/>
      </c>
      <c r="F219" s="80" t="str">
        <f t="array" ref="F219">IF(A219="","",IF(ISNUMBER(J219),J219,IF(ISNUMBER(INDEX(Wishlist!$A:$Z,ROW()-0,'List Setup'!$F$2)),INDEX(Wishlist!$A:$Z,ROW()-0,'List Setup'!$F$2),0)))</f>
        <v/>
      </c>
      <c r="G219" s="80" t="str">
        <f t="array" ref="G219">IF(A219="","",A219&amp;IF(N(INDEX(Wishlist!$A:$Z,ROW()-0,'List Setup'!$C$2))&gt;1," (x"&amp;INDEX(Wishlist!$A:$Z,ROW()-0,'List Setup'!$C$2)&amp;")","")&amp;IF(COUNTIF(Binders!$J$6:$J$30,TRUE())&gt;1," ["&amp;Q219&amp;"]",""))</f>
        <v/>
      </c>
      <c r="H219" s="80" t="str">
        <f t="array" ref="H219">IF(A219="","",CHAR(10)&amp;INDEX(Wishlist!$A:$Z,ROW()-0,'List Setup'!$E$2)&amp;CHAR(10))</f>
        <v/>
      </c>
      <c r="I219" s="80" t="str">
        <f t="array" ref="I219">IF(OR(B219="",B219="(none)"),"",IF(ISNUMBER(SEARCH(CHAR(10)&amp;B219&amp;CHAR(10),H219)),B219,IFERROR(INDEX('Set Aliases'!$A$2:$A$501,MATCH(1,('Set Aliases'!$B$2:$B$501=B219)*ISNUMBER(SEARCH(CHAR(10)&amp;'Set Aliases'!$A$2:$A$501&amp;CHAR(10),H219)),0)),"")))</f>
        <v/>
      </c>
      <c r="J219" s="80" t="str">
        <f t="array" ref="J219">IF(I219="","",IFERROR(VALUE(TRIM(MID(SUBSTITUTE(INDEX(Wishlist!$A:$Z,ROW()-0,'List Setup'!$G$2),CHAR(10),REPT(" ",100)),((SEARCH(CHAR(10)&amp;I219&amp;CHAR(10),H219)-LEN(SUBSTITUTE(LEFT(H219,SEARCH(CHAR(10)&amp;I219&amp;CHAR(10),H219)),CHAR(10),"")))-1)*100+1,100))),""))</f>
        <v/>
      </c>
      <c r="K219" s="80" t="str">
        <f t="array" ref="K219">IF(A219="","",IF(ISNUMBER(SEARCH("Land",LEFT(IFERROR(INDEX(Wishlist!$A:$Z,ROW()-0,'List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19" s="80" t="str">
        <f t="shared" si="3"/>
        <v/>
      </c>
      <c r="M219" s="80" t="str">
        <f>IF(A219="","",IF(AND(E219="Y",B219='Use at Shop'!$B$4),K219*10000000000+(MAX(0,MIN(26,CODE(MID(UPPER(A219)&amp;"    ",1,1))-64))*19683+MAX(0,MIN(26,CODE(MID(UPPER(A219)&amp;"    ",2,1))-64))*729+MAX(0,MIN(26,CODE(MID(UPPER(A219)&amp;"    ",3,1))-64))*27+MAX(0,MIN(26,CODE(MID(UPPER(A219)&amp;"    ",4,1))-64))*1)*10000+ROW(),""))</f>
        <v/>
      </c>
      <c r="N219" s="80" t="str">
        <f t="shared" si="4"/>
        <v/>
      </c>
      <c r="O219" s="80" t="str">
        <f t="array" ref="O219">IF(A219="","",IFERROR(INDEX(Wishlist!$A:$Z,ROW()-0,'List Setup'!$J$2)&amp;"",""))</f>
        <v/>
      </c>
      <c r="P219" s="2"/>
      <c r="Q219" s="80" t="str">
        <f>IF(A219="","",'List Setup'!$A$2)</f>
        <v/>
      </c>
      <c r="R219" s="80" t="str">
        <f t="array" ref="R219">IF(A219="","",IFERROR(OR(INDEX(Binders!$J$6:$J$30,MATCH(Q219,Binders!$I$6:$I$30,0))=TRUE(),UPPER(INDEX(Binders!$J$6:$J$30,MATCH(Q219,Binders!$I$6:$I$30,0))&amp;"")="TRUE"),FALSE()))</f>
        <v/>
      </c>
    </row>
    <row r="220" ht="15.75" customHeight="1">
      <c r="A220" s="80" t="str">
        <f t="array" ref="A220">IF(INDEX(Wishlist!$A:$Z,ROW()-0,'List Setup'!$D$2)="","",INDEX(Wishlist!$A:$Z,ROW()-0,'List Setup'!$D$2))</f>
        <v/>
      </c>
      <c r="B220" s="80" t="str">
        <f t="array" ref="B220">IF(A220="","",IFERROR(INDEX('Binder Setup'!$B$2:$B$401,MIN(IF(ISNUMBER(SEARCH(CHAR(10)&amp;'Binder Setup'!$B$2:$B$401&amp;CHAR(10),$H220)),'List Setup'!$Q$2:$Q$401,999),IF(ISNUMBER(SEARCH(CHAR(10)&amp;'Set Aliases'!$A$2:$A$501&amp;CHAR(10),$H220)),'Set Aliases'!$C$2:$C$501,999))),"(none)"))</f>
        <v/>
      </c>
      <c r="C220" s="80" t="str">
        <f t="shared" si="1"/>
        <v/>
      </c>
      <c r="D220" s="80" t="str">
        <f t="array" ref="D220">IF(A220="","",IF(ISLOGICAL(INDEX(Wishlist!$A:$Z,ROW()-0,'List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20" s="80" t="str">
        <f t="shared" si="2"/>
        <v/>
      </c>
      <c r="F220" s="80" t="str">
        <f t="array" ref="F220">IF(A220="","",IF(ISNUMBER(J220),J220,IF(ISNUMBER(INDEX(Wishlist!$A:$Z,ROW()-0,'List Setup'!$F$2)),INDEX(Wishlist!$A:$Z,ROW()-0,'List Setup'!$F$2),0)))</f>
        <v/>
      </c>
      <c r="G220" s="80" t="str">
        <f t="array" ref="G220">IF(A220="","",A220&amp;IF(N(INDEX(Wishlist!$A:$Z,ROW()-0,'List Setup'!$C$2))&gt;1," (x"&amp;INDEX(Wishlist!$A:$Z,ROW()-0,'List Setup'!$C$2)&amp;")","")&amp;IF(COUNTIF(Binders!$J$6:$J$30,TRUE())&gt;1," ["&amp;Q220&amp;"]",""))</f>
        <v/>
      </c>
      <c r="H220" s="80" t="str">
        <f t="array" ref="H220">IF(A220="","",CHAR(10)&amp;INDEX(Wishlist!$A:$Z,ROW()-0,'List Setup'!$E$2)&amp;CHAR(10))</f>
        <v/>
      </c>
      <c r="I220" s="80" t="str">
        <f t="array" ref="I220">IF(OR(B220="",B220="(none)"),"",IF(ISNUMBER(SEARCH(CHAR(10)&amp;B220&amp;CHAR(10),H220)),B220,IFERROR(INDEX('Set Aliases'!$A$2:$A$501,MATCH(1,('Set Aliases'!$B$2:$B$501=B220)*ISNUMBER(SEARCH(CHAR(10)&amp;'Set Aliases'!$A$2:$A$501&amp;CHAR(10),H220)),0)),"")))</f>
        <v/>
      </c>
      <c r="J220" s="80" t="str">
        <f t="array" ref="J220">IF(I220="","",IFERROR(VALUE(TRIM(MID(SUBSTITUTE(INDEX(Wishlist!$A:$Z,ROW()-0,'List Setup'!$G$2),CHAR(10),REPT(" ",100)),((SEARCH(CHAR(10)&amp;I220&amp;CHAR(10),H220)-LEN(SUBSTITUTE(LEFT(H220,SEARCH(CHAR(10)&amp;I220&amp;CHAR(10),H220)),CHAR(10),"")))-1)*100+1,100))),""))</f>
        <v/>
      </c>
      <c r="K220" s="80" t="str">
        <f t="array" ref="K220">IF(A220="","",IF(ISNUMBER(SEARCH("Land",LEFT(IFERROR(INDEX(Wishlist!$A:$Z,ROW()-0,'List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20" s="80" t="str">
        <f t="shared" si="3"/>
        <v/>
      </c>
      <c r="M220" s="80" t="str">
        <f>IF(A220="","",IF(AND(E220="Y",B220='Use at Shop'!$B$4),K220*10000000000+(MAX(0,MIN(26,CODE(MID(UPPER(A220)&amp;"    ",1,1))-64))*19683+MAX(0,MIN(26,CODE(MID(UPPER(A220)&amp;"    ",2,1))-64))*729+MAX(0,MIN(26,CODE(MID(UPPER(A220)&amp;"    ",3,1))-64))*27+MAX(0,MIN(26,CODE(MID(UPPER(A220)&amp;"    ",4,1))-64))*1)*10000+ROW(),""))</f>
        <v/>
      </c>
      <c r="N220" s="80" t="str">
        <f t="shared" si="4"/>
        <v/>
      </c>
      <c r="O220" s="80" t="str">
        <f t="array" ref="O220">IF(A220="","",IFERROR(INDEX(Wishlist!$A:$Z,ROW()-0,'List Setup'!$J$2)&amp;"",""))</f>
        <v/>
      </c>
      <c r="P220" s="2"/>
      <c r="Q220" s="80" t="str">
        <f>IF(A220="","",'List Setup'!$A$2)</f>
        <v/>
      </c>
      <c r="R220" s="80" t="str">
        <f t="array" ref="R220">IF(A220="","",IFERROR(OR(INDEX(Binders!$J$6:$J$30,MATCH(Q220,Binders!$I$6:$I$30,0))=TRUE(),UPPER(INDEX(Binders!$J$6:$J$30,MATCH(Q220,Binders!$I$6:$I$30,0))&amp;"")="TRUE"),FALSE()))</f>
        <v/>
      </c>
    </row>
    <row r="221" ht="15.75" customHeight="1">
      <c r="A221" s="80" t="str">
        <f t="array" ref="A221">IF(INDEX(Wishlist!$A:$Z,ROW()-0,'List Setup'!$D$2)="","",INDEX(Wishlist!$A:$Z,ROW()-0,'List Setup'!$D$2))</f>
        <v/>
      </c>
      <c r="B221" s="80" t="str">
        <f t="array" ref="B221">IF(A221="","",IFERROR(INDEX('Binder Setup'!$B$2:$B$401,MIN(IF(ISNUMBER(SEARCH(CHAR(10)&amp;'Binder Setup'!$B$2:$B$401&amp;CHAR(10),$H221)),'List Setup'!$Q$2:$Q$401,999),IF(ISNUMBER(SEARCH(CHAR(10)&amp;'Set Aliases'!$A$2:$A$501&amp;CHAR(10),$H221)),'Set Aliases'!$C$2:$C$501,999))),"(none)"))</f>
        <v/>
      </c>
      <c r="C221" s="80" t="str">
        <f t="shared" si="1"/>
        <v/>
      </c>
      <c r="D221" s="80" t="str">
        <f t="array" ref="D221">IF(A221="","",IF(ISLOGICAL(INDEX(Wishlist!$A:$Z,ROW()-0,'List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21" s="80" t="str">
        <f t="shared" si="2"/>
        <v/>
      </c>
      <c r="F221" s="80" t="str">
        <f t="array" ref="F221">IF(A221="","",IF(ISNUMBER(J221),J221,IF(ISNUMBER(INDEX(Wishlist!$A:$Z,ROW()-0,'List Setup'!$F$2)),INDEX(Wishlist!$A:$Z,ROW()-0,'List Setup'!$F$2),0)))</f>
        <v/>
      </c>
      <c r="G221" s="80" t="str">
        <f t="array" ref="G221">IF(A221="","",A221&amp;IF(N(INDEX(Wishlist!$A:$Z,ROW()-0,'List Setup'!$C$2))&gt;1," (x"&amp;INDEX(Wishlist!$A:$Z,ROW()-0,'List Setup'!$C$2)&amp;")","")&amp;IF(COUNTIF(Binders!$J$6:$J$30,TRUE())&gt;1," ["&amp;Q221&amp;"]",""))</f>
        <v/>
      </c>
      <c r="H221" s="80" t="str">
        <f t="array" ref="H221">IF(A221="","",CHAR(10)&amp;INDEX(Wishlist!$A:$Z,ROW()-0,'List Setup'!$E$2)&amp;CHAR(10))</f>
        <v/>
      </c>
      <c r="I221" s="80" t="str">
        <f t="array" ref="I221">IF(OR(B221="",B221="(none)"),"",IF(ISNUMBER(SEARCH(CHAR(10)&amp;B221&amp;CHAR(10),H221)),B221,IFERROR(INDEX('Set Aliases'!$A$2:$A$501,MATCH(1,('Set Aliases'!$B$2:$B$501=B221)*ISNUMBER(SEARCH(CHAR(10)&amp;'Set Aliases'!$A$2:$A$501&amp;CHAR(10),H221)),0)),"")))</f>
        <v/>
      </c>
      <c r="J221" s="80" t="str">
        <f t="array" ref="J221">IF(I221="","",IFERROR(VALUE(TRIM(MID(SUBSTITUTE(INDEX(Wishlist!$A:$Z,ROW()-0,'List Setup'!$G$2),CHAR(10),REPT(" ",100)),((SEARCH(CHAR(10)&amp;I221&amp;CHAR(10),H221)-LEN(SUBSTITUTE(LEFT(H221,SEARCH(CHAR(10)&amp;I221&amp;CHAR(10),H221)),CHAR(10),"")))-1)*100+1,100))),""))</f>
        <v/>
      </c>
      <c r="K221" s="80" t="str">
        <f t="array" ref="K221">IF(A221="","",IF(ISNUMBER(SEARCH("Land",LEFT(IFERROR(INDEX(Wishlist!$A:$Z,ROW()-0,'List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21" s="80" t="str">
        <f t="shared" si="3"/>
        <v/>
      </c>
      <c r="M221" s="80" t="str">
        <f>IF(A221="","",IF(AND(E221="Y",B221='Use at Shop'!$B$4),K221*10000000000+(MAX(0,MIN(26,CODE(MID(UPPER(A221)&amp;"    ",1,1))-64))*19683+MAX(0,MIN(26,CODE(MID(UPPER(A221)&amp;"    ",2,1))-64))*729+MAX(0,MIN(26,CODE(MID(UPPER(A221)&amp;"    ",3,1))-64))*27+MAX(0,MIN(26,CODE(MID(UPPER(A221)&amp;"    ",4,1))-64))*1)*10000+ROW(),""))</f>
        <v/>
      </c>
      <c r="N221" s="80" t="str">
        <f t="shared" si="4"/>
        <v/>
      </c>
      <c r="O221" s="80" t="str">
        <f t="array" ref="O221">IF(A221="","",IFERROR(INDEX(Wishlist!$A:$Z,ROW()-0,'List Setup'!$J$2)&amp;"",""))</f>
        <v/>
      </c>
      <c r="P221" s="2"/>
      <c r="Q221" s="80" t="str">
        <f>IF(A221="","",'List Setup'!$A$2)</f>
        <v/>
      </c>
      <c r="R221" s="80" t="str">
        <f t="array" ref="R221">IF(A221="","",IFERROR(OR(INDEX(Binders!$J$6:$J$30,MATCH(Q221,Binders!$I$6:$I$30,0))=TRUE(),UPPER(INDEX(Binders!$J$6:$J$30,MATCH(Q221,Binders!$I$6:$I$30,0))&amp;"")="TRUE"),FALSE()))</f>
        <v/>
      </c>
    </row>
    <row r="222" ht="15.75" customHeight="1">
      <c r="A222" s="80" t="str">
        <f t="array" ref="A222">IF(INDEX(Wishlist!$A:$Z,ROW()-0,'List Setup'!$D$2)="","",INDEX(Wishlist!$A:$Z,ROW()-0,'List Setup'!$D$2))</f>
        <v/>
      </c>
      <c r="B222" s="80" t="str">
        <f t="array" ref="B222">IF(A222="","",IFERROR(INDEX('Binder Setup'!$B$2:$B$401,MIN(IF(ISNUMBER(SEARCH(CHAR(10)&amp;'Binder Setup'!$B$2:$B$401&amp;CHAR(10),$H222)),'List Setup'!$Q$2:$Q$401,999),IF(ISNUMBER(SEARCH(CHAR(10)&amp;'Set Aliases'!$A$2:$A$501&amp;CHAR(10),$H222)),'Set Aliases'!$C$2:$C$501,999))),"(none)"))</f>
        <v/>
      </c>
      <c r="C222" s="80" t="str">
        <f t="shared" si="1"/>
        <v/>
      </c>
      <c r="D222" s="80" t="str">
        <f t="array" ref="D222">IF(A222="","",IF(ISLOGICAL(INDEX(Wishlist!$A:$Z,ROW()-0,'List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22" s="80" t="str">
        <f t="shared" si="2"/>
        <v/>
      </c>
      <c r="F222" s="80" t="str">
        <f t="array" ref="F222">IF(A222="","",IF(ISNUMBER(J222),J222,IF(ISNUMBER(INDEX(Wishlist!$A:$Z,ROW()-0,'List Setup'!$F$2)),INDEX(Wishlist!$A:$Z,ROW()-0,'List Setup'!$F$2),0)))</f>
        <v/>
      </c>
      <c r="G222" s="80" t="str">
        <f t="array" ref="G222">IF(A222="","",A222&amp;IF(N(INDEX(Wishlist!$A:$Z,ROW()-0,'List Setup'!$C$2))&gt;1," (x"&amp;INDEX(Wishlist!$A:$Z,ROW()-0,'List Setup'!$C$2)&amp;")","")&amp;IF(COUNTIF(Binders!$J$6:$J$30,TRUE())&gt;1," ["&amp;Q222&amp;"]",""))</f>
        <v/>
      </c>
      <c r="H222" s="80" t="str">
        <f t="array" ref="H222">IF(A222="","",CHAR(10)&amp;INDEX(Wishlist!$A:$Z,ROW()-0,'List Setup'!$E$2)&amp;CHAR(10))</f>
        <v/>
      </c>
      <c r="I222" s="80" t="str">
        <f t="array" ref="I222">IF(OR(B222="",B222="(none)"),"",IF(ISNUMBER(SEARCH(CHAR(10)&amp;B222&amp;CHAR(10),H222)),B222,IFERROR(INDEX('Set Aliases'!$A$2:$A$501,MATCH(1,('Set Aliases'!$B$2:$B$501=B222)*ISNUMBER(SEARCH(CHAR(10)&amp;'Set Aliases'!$A$2:$A$501&amp;CHAR(10),H222)),0)),"")))</f>
        <v/>
      </c>
      <c r="J222" s="80" t="str">
        <f t="array" ref="J222">IF(I222="","",IFERROR(VALUE(TRIM(MID(SUBSTITUTE(INDEX(Wishlist!$A:$Z,ROW()-0,'List Setup'!$G$2),CHAR(10),REPT(" ",100)),((SEARCH(CHAR(10)&amp;I222&amp;CHAR(10),H222)-LEN(SUBSTITUTE(LEFT(H222,SEARCH(CHAR(10)&amp;I222&amp;CHAR(10),H222)),CHAR(10),"")))-1)*100+1,100))),""))</f>
        <v/>
      </c>
      <c r="K222" s="80" t="str">
        <f t="array" ref="K222">IF(A222="","",IF(ISNUMBER(SEARCH("Land",LEFT(IFERROR(INDEX(Wishlist!$A:$Z,ROW()-0,'List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22" s="80" t="str">
        <f t="shared" si="3"/>
        <v/>
      </c>
      <c r="M222" s="80" t="str">
        <f>IF(A222="","",IF(AND(E222="Y",B222='Use at Shop'!$B$4),K222*10000000000+(MAX(0,MIN(26,CODE(MID(UPPER(A222)&amp;"    ",1,1))-64))*19683+MAX(0,MIN(26,CODE(MID(UPPER(A222)&amp;"    ",2,1))-64))*729+MAX(0,MIN(26,CODE(MID(UPPER(A222)&amp;"    ",3,1))-64))*27+MAX(0,MIN(26,CODE(MID(UPPER(A222)&amp;"    ",4,1))-64))*1)*10000+ROW(),""))</f>
        <v/>
      </c>
      <c r="N222" s="80" t="str">
        <f t="shared" si="4"/>
        <v/>
      </c>
      <c r="O222" s="80" t="str">
        <f t="array" ref="O222">IF(A222="","",IFERROR(INDEX(Wishlist!$A:$Z,ROW()-0,'List Setup'!$J$2)&amp;"",""))</f>
        <v/>
      </c>
      <c r="P222" s="2"/>
      <c r="Q222" s="80" t="str">
        <f>IF(A222="","",'List Setup'!$A$2)</f>
        <v/>
      </c>
      <c r="R222" s="80" t="str">
        <f t="array" ref="R222">IF(A222="","",IFERROR(OR(INDEX(Binders!$J$6:$J$30,MATCH(Q222,Binders!$I$6:$I$30,0))=TRUE(),UPPER(INDEX(Binders!$J$6:$J$30,MATCH(Q222,Binders!$I$6:$I$30,0))&amp;"")="TRUE"),FALSE()))</f>
        <v/>
      </c>
    </row>
    <row r="223" ht="15.75" customHeight="1">
      <c r="A223" s="80" t="str">
        <f t="array" ref="A223">IF(INDEX(Wishlist!$A:$Z,ROW()-0,'List Setup'!$D$2)="","",INDEX(Wishlist!$A:$Z,ROW()-0,'List Setup'!$D$2))</f>
        <v/>
      </c>
      <c r="B223" s="80" t="str">
        <f t="array" ref="B223">IF(A223="","",IFERROR(INDEX('Binder Setup'!$B$2:$B$401,MIN(IF(ISNUMBER(SEARCH(CHAR(10)&amp;'Binder Setup'!$B$2:$B$401&amp;CHAR(10),$H223)),'List Setup'!$Q$2:$Q$401,999),IF(ISNUMBER(SEARCH(CHAR(10)&amp;'Set Aliases'!$A$2:$A$501&amp;CHAR(10),$H223)),'Set Aliases'!$C$2:$C$501,999))),"(none)"))</f>
        <v/>
      </c>
      <c r="C223" s="80" t="str">
        <f t="shared" si="1"/>
        <v/>
      </c>
      <c r="D223" s="80" t="str">
        <f t="array" ref="D223">IF(A223="","",IF(ISLOGICAL(INDEX(Wishlist!$A:$Z,ROW()-0,'List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23" s="80" t="str">
        <f t="shared" si="2"/>
        <v/>
      </c>
      <c r="F223" s="80" t="str">
        <f t="array" ref="F223">IF(A223="","",IF(ISNUMBER(J223),J223,IF(ISNUMBER(INDEX(Wishlist!$A:$Z,ROW()-0,'List Setup'!$F$2)),INDEX(Wishlist!$A:$Z,ROW()-0,'List Setup'!$F$2),0)))</f>
        <v/>
      </c>
      <c r="G223" s="80" t="str">
        <f t="array" ref="G223">IF(A223="","",A223&amp;IF(N(INDEX(Wishlist!$A:$Z,ROW()-0,'List Setup'!$C$2))&gt;1," (x"&amp;INDEX(Wishlist!$A:$Z,ROW()-0,'List Setup'!$C$2)&amp;")","")&amp;IF(COUNTIF(Binders!$J$6:$J$30,TRUE())&gt;1," ["&amp;Q223&amp;"]",""))</f>
        <v/>
      </c>
      <c r="H223" s="80" t="str">
        <f t="array" ref="H223">IF(A223="","",CHAR(10)&amp;INDEX(Wishlist!$A:$Z,ROW()-0,'List Setup'!$E$2)&amp;CHAR(10))</f>
        <v/>
      </c>
      <c r="I223" s="80" t="str">
        <f t="array" ref="I223">IF(OR(B223="",B223="(none)"),"",IF(ISNUMBER(SEARCH(CHAR(10)&amp;B223&amp;CHAR(10),H223)),B223,IFERROR(INDEX('Set Aliases'!$A$2:$A$501,MATCH(1,('Set Aliases'!$B$2:$B$501=B223)*ISNUMBER(SEARCH(CHAR(10)&amp;'Set Aliases'!$A$2:$A$501&amp;CHAR(10),H223)),0)),"")))</f>
        <v/>
      </c>
      <c r="J223" s="80" t="str">
        <f t="array" ref="J223">IF(I223="","",IFERROR(VALUE(TRIM(MID(SUBSTITUTE(INDEX(Wishlist!$A:$Z,ROW()-0,'List Setup'!$G$2),CHAR(10),REPT(" ",100)),((SEARCH(CHAR(10)&amp;I223&amp;CHAR(10),H223)-LEN(SUBSTITUTE(LEFT(H223,SEARCH(CHAR(10)&amp;I223&amp;CHAR(10),H223)),CHAR(10),"")))-1)*100+1,100))),""))</f>
        <v/>
      </c>
      <c r="K223" s="80" t="str">
        <f t="array" ref="K223">IF(A223="","",IF(ISNUMBER(SEARCH("Land",LEFT(IFERROR(INDEX(Wishlist!$A:$Z,ROW()-0,'List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23" s="80" t="str">
        <f t="shared" si="3"/>
        <v/>
      </c>
      <c r="M223" s="80" t="str">
        <f>IF(A223="","",IF(AND(E223="Y",B223='Use at Shop'!$B$4),K223*10000000000+(MAX(0,MIN(26,CODE(MID(UPPER(A223)&amp;"    ",1,1))-64))*19683+MAX(0,MIN(26,CODE(MID(UPPER(A223)&amp;"    ",2,1))-64))*729+MAX(0,MIN(26,CODE(MID(UPPER(A223)&amp;"    ",3,1))-64))*27+MAX(0,MIN(26,CODE(MID(UPPER(A223)&amp;"    ",4,1))-64))*1)*10000+ROW(),""))</f>
        <v/>
      </c>
      <c r="N223" s="80" t="str">
        <f t="shared" si="4"/>
        <v/>
      </c>
      <c r="O223" s="80" t="str">
        <f t="array" ref="O223">IF(A223="","",IFERROR(INDEX(Wishlist!$A:$Z,ROW()-0,'List Setup'!$J$2)&amp;"",""))</f>
        <v/>
      </c>
      <c r="P223" s="2"/>
      <c r="Q223" s="80" t="str">
        <f>IF(A223="","",'List Setup'!$A$2)</f>
        <v/>
      </c>
      <c r="R223" s="80" t="str">
        <f t="array" ref="R223">IF(A223="","",IFERROR(OR(INDEX(Binders!$J$6:$J$30,MATCH(Q223,Binders!$I$6:$I$30,0))=TRUE(),UPPER(INDEX(Binders!$J$6:$J$30,MATCH(Q223,Binders!$I$6:$I$30,0))&amp;"")="TRUE"),FALSE()))</f>
        <v/>
      </c>
    </row>
    <row r="224" ht="15.75" customHeight="1">
      <c r="A224" s="80" t="str">
        <f t="array" ref="A224">IF(INDEX(Wishlist!$A:$Z,ROW()-0,'List Setup'!$D$2)="","",INDEX(Wishlist!$A:$Z,ROW()-0,'List Setup'!$D$2))</f>
        <v/>
      </c>
      <c r="B224" s="80" t="str">
        <f t="array" ref="B224">IF(A224="","",IFERROR(INDEX('Binder Setup'!$B$2:$B$401,MIN(IF(ISNUMBER(SEARCH(CHAR(10)&amp;'Binder Setup'!$B$2:$B$401&amp;CHAR(10),$H224)),'List Setup'!$Q$2:$Q$401,999),IF(ISNUMBER(SEARCH(CHAR(10)&amp;'Set Aliases'!$A$2:$A$501&amp;CHAR(10),$H224)),'Set Aliases'!$C$2:$C$501,999))),"(none)"))</f>
        <v/>
      </c>
      <c r="C224" s="80" t="str">
        <f t="shared" si="1"/>
        <v/>
      </c>
      <c r="D224" s="80" t="str">
        <f t="array" ref="D224">IF(A224="","",IF(ISLOGICAL(INDEX(Wishlist!$A:$Z,ROW()-0,'List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24" s="80" t="str">
        <f t="shared" si="2"/>
        <v/>
      </c>
      <c r="F224" s="80" t="str">
        <f t="array" ref="F224">IF(A224="","",IF(ISNUMBER(J224),J224,IF(ISNUMBER(INDEX(Wishlist!$A:$Z,ROW()-0,'List Setup'!$F$2)),INDEX(Wishlist!$A:$Z,ROW()-0,'List Setup'!$F$2),0)))</f>
        <v/>
      </c>
      <c r="G224" s="80" t="str">
        <f t="array" ref="G224">IF(A224="","",A224&amp;IF(N(INDEX(Wishlist!$A:$Z,ROW()-0,'List Setup'!$C$2))&gt;1," (x"&amp;INDEX(Wishlist!$A:$Z,ROW()-0,'List Setup'!$C$2)&amp;")","")&amp;IF(COUNTIF(Binders!$J$6:$J$30,TRUE())&gt;1," ["&amp;Q224&amp;"]",""))</f>
        <v/>
      </c>
      <c r="H224" s="80" t="str">
        <f t="array" ref="H224">IF(A224="","",CHAR(10)&amp;INDEX(Wishlist!$A:$Z,ROW()-0,'List Setup'!$E$2)&amp;CHAR(10))</f>
        <v/>
      </c>
      <c r="I224" s="80" t="str">
        <f t="array" ref="I224">IF(OR(B224="",B224="(none)"),"",IF(ISNUMBER(SEARCH(CHAR(10)&amp;B224&amp;CHAR(10),H224)),B224,IFERROR(INDEX('Set Aliases'!$A$2:$A$501,MATCH(1,('Set Aliases'!$B$2:$B$501=B224)*ISNUMBER(SEARCH(CHAR(10)&amp;'Set Aliases'!$A$2:$A$501&amp;CHAR(10),H224)),0)),"")))</f>
        <v/>
      </c>
      <c r="J224" s="80" t="str">
        <f t="array" ref="J224">IF(I224="","",IFERROR(VALUE(TRIM(MID(SUBSTITUTE(INDEX(Wishlist!$A:$Z,ROW()-0,'List Setup'!$G$2),CHAR(10),REPT(" ",100)),((SEARCH(CHAR(10)&amp;I224&amp;CHAR(10),H224)-LEN(SUBSTITUTE(LEFT(H224,SEARCH(CHAR(10)&amp;I224&amp;CHAR(10),H224)),CHAR(10),"")))-1)*100+1,100))),""))</f>
        <v/>
      </c>
      <c r="K224" s="80" t="str">
        <f t="array" ref="K224">IF(A224="","",IF(ISNUMBER(SEARCH("Land",LEFT(IFERROR(INDEX(Wishlist!$A:$Z,ROW()-0,'List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24" s="80" t="str">
        <f t="shared" si="3"/>
        <v/>
      </c>
      <c r="M224" s="80" t="str">
        <f>IF(A224="","",IF(AND(E224="Y",B224='Use at Shop'!$B$4),K224*10000000000+(MAX(0,MIN(26,CODE(MID(UPPER(A224)&amp;"    ",1,1))-64))*19683+MAX(0,MIN(26,CODE(MID(UPPER(A224)&amp;"    ",2,1))-64))*729+MAX(0,MIN(26,CODE(MID(UPPER(A224)&amp;"    ",3,1))-64))*27+MAX(0,MIN(26,CODE(MID(UPPER(A224)&amp;"    ",4,1))-64))*1)*10000+ROW(),""))</f>
        <v/>
      </c>
      <c r="N224" s="80" t="str">
        <f t="shared" si="4"/>
        <v/>
      </c>
      <c r="O224" s="80" t="str">
        <f t="array" ref="O224">IF(A224="","",IFERROR(INDEX(Wishlist!$A:$Z,ROW()-0,'List Setup'!$J$2)&amp;"",""))</f>
        <v/>
      </c>
      <c r="P224" s="2"/>
      <c r="Q224" s="80" t="str">
        <f>IF(A224="","",'List Setup'!$A$2)</f>
        <v/>
      </c>
      <c r="R224" s="80" t="str">
        <f t="array" ref="R224">IF(A224="","",IFERROR(OR(INDEX(Binders!$J$6:$J$30,MATCH(Q224,Binders!$I$6:$I$30,0))=TRUE(),UPPER(INDEX(Binders!$J$6:$J$30,MATCH(Q224,Binders!$I$6:$I$30,0))&amp;"")="TRUE"),FALSE()))</f>
        <v/>
      </c>
    </row>
    <row r="225" ht="15.75" customHeight="1">
      <c r="A225" s="80" t="str">
        <f t="array" ref="A225">IF(INDEX(Wishlist!$A:$Z,ROW()-0,'List Setup'!$D$2)="","",INDEX(Wishlist!$A:$Z,ROW()-0,'List Setup'!$D$2))</f>
        <v/>
      </c>
      <c r="B225" s="80" t="str">
        <f t="array" ref="B225">IF(A225="","",IFERROR(INDEX('Binder Setup'!$B$2:$B$401,MIN(IF(ISNUMBER(SEARCH(CHAR(10)&amp;'Binder Setup'!$B$2:$B$401&amp;CHAR(10),$H225)),'List Setup'!$Q$2:$Q$401,999),IF(ISNUMBER(SEARCH(CHAR(10)&amp;'Set Aliases'!$A$2:$A$501&amp;CHAR(10),$H225)),'Set Aliases'!$C$2:$C$501,999))),"(none)"))</f>
        <v/>
      </c>
      <c r="C225" s="80" t="str">
        <f t="shared" si="1"/>
        <v/>
      </c>
      <c r="D225" s="80" t="str">
        <f t="array" ref="D225">IF(A225="","",IF(ISLOGICAL(INDEX(Wishlist!$A:$Z,ROW()-0,'List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25" s="80" t="str">
        <f t="shared" si="2"/>
        <v/>
      </c>
      <c r="F225" s="80" t="str">
        <f t="array" ref="F225">IF(A225="","",IF(ISNUMBER(J225),J225,IF(ISNUMBER(INDEX(Wishlist!$A:$Z,ROW()-0,'List Setup'!$F$2)),INDEX(Wishlist!$A:$Z,ROW()-0,'List Setup'!$F$2),0)))</f>
        <v/>
      </c>
      <c r="G225" s="80" t="str">
        <f t="array" ref="G225">IF(A225="","",A225&amp;IF(N(INDEX(Wishlist!$A:$Z,ROW()-0,'List Setup'!$C$2))&gt;1," (x"&amp;INDEX(Wishlist!$A:$Z,ROW()-0,'List Setup'!$C$2)&amp;")","")&amp;IF(COUNTIF(Binders!$J$6:$J$30,TRUE())&gt;1," ["&amp;Q225&amp;"]",""))</f>
        <v/>
      </c>
      <c r="H225" s="80" t="str">
        <f t="array" ref="H225">IF(A225="","",CHAR(10)&amp;INDEX(Wishlist!$A:$Z,ROW()-0,'List Setup'!$E$2)&amp;CHAR(10))</f>
        <v/>
      </c>
      <c r="I225" s="80" t="str">
        <f t="array" ref="I225">IF(OR(B225="",B225="(none)"),"",IF(ISNUMBER(SEARCH(CHAR(10)&amp;B225&amp;CHAR(10),H225)),B225,IFERROR(INDEX('Set Aliases'!$A$2:$A$501,MATCH(1,('Set Aliases'!$B$2:$B$501=B225)*ISNUMBER(SEARCH(CHAR(10)&amp;'Set Aliases'!$A$2:$A$501&amp;CHAR(10),H225)),0)),"")))</f>
        <v/>
      </c>
      <c r="J225" s="80" t="str">
        <f t="array" ref="J225">IF(I225="","",IFERROR(VALUE(TRIM(MID(SUBSTITUTE(INDEX(Wishlist!$A:$Z,ROW()-0,'List Setup'!$G$2),CHAR(10),REPT(" ",100)),((SEARCH(CHAR(10)&amp;I225&amp;CHAR(10),H225)-LEN(SUBSTITUTE(LEFT(H225,SEARCH(CHAR(10)&amp;I225&amp;CHAR(10),H225)),CHAR(10),"")))-1)*100+1,100))),""))</f>
        <v/>
      </c>
      <c r="K225" s="80" t="str">
        <f t="array" ref="K225">IF(A225="","",IF(ISNUMBER(SEARCH("Land",LEFT(IFERROR(INDEX(Wishlist!$A:$Z,ROW()-0,'List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25" s="80" t="str">
        <f t="shared" si="3"/>
        <v/>
      </c>
      <c r="M225" s="80" t="str">
        <f>IF(A225="","",IF(AND(E225="Y",B225='Use at Shop'!$B$4),K225*10000000000+(MAX(0,MIN(26,CODE(MID(UPPER(A225)&amp;"    ",1,1))-64))*19683+MAX(0,MIN(26,CODE(MID(UPPER(A225)&amp;"    ",2,1))-64))*729+MAX(0,MIN(26,CODE(MID(UPPER(A225)&amp;"    ",3,1))-64))*27+MAX(0,MIN(26,CODE(MID(UPPER(A225)&amp;"    ",4,1))-64))*1)*10000+ROW(),""))</f>
        <v/>
      </c>
      <c r="N225" s="80" t="str">
        <f t="shared" si="4"/>
        <v/>
      </c>
      <c r="O225" s="80" t="str">
        <f t="array" ref="O225">IF(A225="","",IFERROR(INDEX(Wishlist!$A:$Z,ROW()-0,'List Setup'!$J$2)&amp;"",""))</f>
        <v/>
      </c>
      <c r="P225" s="2"/>
      <c r="Q225" s="80" t="str">
        <f>IF(A225="","",'List Setup'!$A$2)</f>
        <v/>
      </c>
      <c r="R225" s="80" t="str">
        <f t="array" ref="R225">IF(A225="","",IFERROR(OR(INDEX(Binders!$J$6:$J$30,MATCH(Q225,Binders!$I$6:$I$30,0))=TRUE(),UPPER(INDEX(Binders!$J$6:$J$30,MATCH(Q225,Binders!$I$6:$I$30,0))&amp;"")="TRUE"),FALSE()))</f>
        <v/>
      </c>
    </row>
    <row r="226" ht="15.75" customHeight="1">
      <c r="A226" s="80" t="str">
        <f t="array" ref="A226">IF(INDEX(Wishlist!$A:$Z,ROW()-0,'List Setup'!$D$2)="","",INDEX(Wishlist!$A:$Z,ROW()-0,'List Setup'!$D$2))</f>
        <v/>
      </c>
      <c r="B226" s="80" t="str">
        <f t="array" ref="B226">IF(A226="","",IFERROR(INDEX('Binder Setup'!$B$2:$B$401,MIN(IF(ISNUMBER(SEARCH(CHAR(10)&amp;'Binder Setup'!$B$2:$B$401&amp;CHAR(10),$H226)),'List Setup'!$Q$2:$Q$401,999),IF(ISNUMBER(SEARCH(CHAR(10)&amp;'Set Aliases'!$A$2:$A$501&amp;CHAR(10),$H226)),'Set Aliases'!$C$2:$C$501,999))),"(none)"))</f>
        <v/>
      </c>
      <c r="C226" s="80" t="str">
        <f t="shared" si="1"/>
        <v/>
      </c>
      <c r="D226" s="80" t="str">
        <f t="array" ref="D226">IF(A226="","",IF(ISLOGICAL(INDEX(Wishlist!$A:$Z,ROW()-0,'List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26" s="80" t="str">
        <f t="shared" si="2"/>
        <v/>
      </c>
      <c r="F226" s="80" t="str">
        <f t="array" ref="F226">IF(A226="","",IF(ISNUMBER(J226),J226,IF(ISNUMBER(INDEX(Wishlist!$A:$Z,ROW()-0,'List Setup'!$F$2)),INDEX(Wishlist!$A:$Z,ROW()-0,'List Setup'!$F$2),0)))</f>
        <v/>
      </c>
      <c r="G226" s="80" t="str">
        <f t="array" ref="G226">IF(A226="","",A226&amp;IF(N(INDEX(Wishlist!$A:$Z,ROW()-0,'List Setup'!$C$2))&gt;1," (x"&amp;INDEX(Wishlist!$A:$Z,ROW()-0,'List Setup'!$C$2)&amp;")","")&amp;IF(COUNTIF(Binders!$J$6:$J$30,TRUE())&gt;1," ["&amp;Q226&amp;"]",""))</f>
        <v/>
      </c>
      <c r="H226" s="80" t="str">
        <f t="array" ref="H226">IF(A226="","",CHAR(10)&amp;INDEX(Wishlist!$A:$Z,ROW()-0,'List Setup'!$E$2)&amp;CHAR(10))</f>
        <v/>
      </c>
      <c r="I226" s="80" t="str">
        <f t="array" ref="I226">IF(OR(B226="",B226="(none)"),"",IF(ISNUMBER(SEARCH(CHAR(10)&amp;B226&amp;CHAR(10),H226)),B226,IFERROR(INDEX('Set Aliases'!$A$2:$A$501,MATCH(1,('Set Aliases'!$B$2:$B$501=B226)*ISNUMBER(SEARCH(CHAR(10)&amp;'Set Aliases'!$A$2:$A$501&amp;CHAR(10),H226)),0)),"")))</f>
        <v/>
      </c>
      <c r="J226" s="80" t="str">
        <f t="array" ref="J226">IF(I226="","",IFERROR(VALUE(TRIM(MID(SUBSTITUTE(INDEX(Wishlist!$A:$Z,ROW()-0,'List Setup'!$G$2),CHAR(10),REPT(" ",100)),((SEARCH(CHAR(10)&amp;I226&amp;CHAR(10),H226)-LEN(SUBSTITUTE(LEFT(H226,SEARCH(CHAR(10)&amp;I226&amp;CHAR(10),H226)),CHAR(10),"")))-1)*100+1,100))),""))</f>
        <v/>
      </c>
      <c r="K226" s="80" t="str">
        <f t="array" ref="K226">IF(A226="","",IF(ISNUMBER(SEARCH("Land",LEFT(IFERROR(INDEX(Wishlist!$A:$Z,ROW()-0,'List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26" s="80" t="str">
        <f t="shared" si="3"/>
        <v/>
      </c>
      <c r="M226" s="80" t="str">
        <f>IF(A226="","",IF(AND(E226="Y",B226='Use at Shop'!$B$4),K226*10000000000+(MAX(0,MIN(26,CODE(MID(UPPER(A226)&amp;"    ",1,1))-64))*19683+MAX(0,MIN(26,CODE(MID(UPPER(A226)&amp;"    ",2,1))-64))*729+MAX(0,MIN(26,CODE(MID(UPPER(A226)&amp;"    ",3,1))-64))*27+MAX(0,MIN(26,CODE(MID(UPPER(A226)&amp;"    ",4,1))-64))*1)*10000+ROW(),""))</f>
        <v/>
      </c>
      <c r="N226" s="80" t="str">
        <f t="shared" si="4"/>
        <v/>
      </c>
      <c r="O226" s="80" t="str">
        <f t="array" ref="O226">IF(A226="","",IFERROR(INDEX(Wishlist!$A:$Z,ROW()-0,'List Setup'!$J$2)&amp;"",""))</f>
        <v/>
      </c>
      <c r="P226" s="2"/>
      <c r="Q226" s="80" t="str">
        <f>IF(A226="","",'List Setup'!$A$2)</f>
        <v/>
      </c>
      <c r="R226" s="80" t="str">
        <f t="array" ref="R226">IF(A226="","",IFERROR(OR(INDEX(Binders!$J$6:$J$30,MATCH(Q226,Binders!$I$6:$I$30,0))=TRUE(),UPPER(INDEX(Binders!$J$6:$J$30,MATCH(Q226,Binders!$I$6:$I$30,0))&amp;"")="TRUE"),FALSE()))</f>
        <v/>
      </c>
    </row>
    <row r="227" ht="15.75" customHeight="1">
      <c r="A227" s="80" t="str">
        <f t="array" ref="A227">IF(INDEX(Wishlist!$A:$Z,ROW()-0,'List Setup'!$D$2)="","",INDEX(Wishlist!$A:$Z,ROW()-0,'List Setup'!$D$2))</f>
        <v/>
      </c>
      <c r="B227" s="80" t="str">
        <f t="array" ref="B227">IF(A227="","",IFERROR(INDEX('Binder Setup'!$B$2:$B$401,MIN(IF(ISNUMBER(SEARCH(CHAR(10)&amp;'Binder Setup'!$B$2:$B$401&amp;CHAR(10),$H227)),'List Setup'!$Q$2:$Q$401,999),IF(ISNUMBER(SEARCH(CHAR(10)&amp;'Set Aliases'!$A$2:$A$501&amp;CHAR(10),$H227)),'Set Aliases'!$C$2:$C$501,999))),"(none)"))</f>
        <v/>
      </c>
      <c r="C227" s="80" t="str">
        <f t="shared" si="1"/>
        <v/>
      </c>
      <c r="D227" s="80" t="str">
        <f t="array" ref="D227">IF(A227="","",IF(ISLOGICAL(INDEX(Wishlist!$A:$Z,ROW()-0,'List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27" s="80" t="str">
        <f t="shared" si="2"/>
        <v/>
      </c>
      <c r="F227" s="80" t="str">
        <f t="array" ref="F227">IF(A227="","",IF(ISNUMBER(J227),J227,IF(ISNUMBER(INDEX(Wishlist!$A:$Z,ROW()-0,'List Setup'!$F$2)),INDEX(Wishlist!$A:$Z,ROW()-0,'List Setup'!$F$2),0)))</f>
        <v/>
      </c>
      <c r="G227" s="80" t="str">
        <f t="array" ref="G227">IF(A227="","",A227&amp;IF(N(INDEX(Wishlist!$A:$Z,ROW()-0,'List Setup'!$C$2))&gt;1," (x"&amp;INDEX(Wishlist!$A:$Z,ROW()-0,'List Setup'!$C$2)&amp;")","")&amp;IF(COUNTIF(Binders!$J$6:$J$30,TRUE())&gt;1," ["&amp;Q227&amp;"]",""))</f>
        <v/>
      </c>
      <c r="H227" s="80" t="str">
        <f t="array" ref="H227">IF(A227="","",CHAR(10)&amp;INDEX(Wishlist!$A:$Z,ROW()-0,'List Setup'!$E$2)&amp;CHAR(10))</f>
        <v/>
      </c>
      <c r="I227" s="80" t="str">
        <f t="array" ref="I227">IF(OR(B227="",B227="(none)"),"",IF(ISNUMBER(SEARCH(CHAR(10)&amp;B227&amp;CHAR(10),H227)),B227,IFERROR(INDEX('Set Aliases'!$A$2:$A$501,MATCH(1,('Set Aliases'!$B$2:$B$501=B227)*ISNUMBER(SEARCH(CHAR(10)&amp;'Set Aliases'!$A$2:$A$501&amp;CHAR(10),H227)),0)),"")))</f>
        <v/>
      </c>
      <c r="J227" s="80" t="str">
        <f t="array" ref="J227">IF(I227="","",IFERROR(VALUE(TRIM(MID(SUBSTITUTE(INDEX(Wishlist!$A:$Z,ROW()-0,'List Setup'!$G$2),CHAR(10),REPT(" ",100)),((SEARCH(CHAR(10)&amp;I227&amp;CHAR(10),H227)-LEN(SUBSTITUTE(LEFT(H227,SEARCH(CHAR(10)&amp;I227&amp;CHAR(10),H227)),CHAR(10),"")))-1)*100+1,100))),""))</f>
        <v/>
      </c>
      <c r="K227" s="80" t="str">
        <f t="array" ref="K227">IF(A227="","",IF(ISNUMBER(SEARCH("Land",LEFT(IFERROR(INDEX(Wishlist!$A:$Z,ROW()-0,'List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27" s="80" t="str">
        <f t="shared" si="3"/>
        <v/>
      </c>
      <c r="M227" s="80" t="str">
        <f>IF(A227="","",IF(AND(E227="Y",B227='Use at Shop'!$B$4),K227*10000000000+(MAX(0,MIN(26,CODE(MID(UPPER(A227)&amp;"    ",1,1))-64))*19683+MAX(0,MIN(26,CODE(MID(UPPER(A227)&amp;"    ",2,1))-64))*729+MAX(0,MIN(26,CODE(MID(UPPER(A227)&amp;"    ",3,1))-64))*27+MAX(0,MIN(26,CODE(MID(UPPER(A227)&amp;"    ",4,1))-64))*1)*10000+ROW(),""))</f>
        <v/>
      </c>
      <c r="N227" s="80" t="str">
        <f t="shared" si="4"/>
        <v/>
      </c>
      <c r="O227" s="80" t="str">
        <f t="array" ref="O227">IF(A227="","",IFERROR(INDEX(Wishlist!$A:$Z,ROW()-0,'List Setup'!$J$2)&amp;"",""))</f>
        <v/>
      </c>
      <c r="P227" s="2"/>
      <c r="Q227" s="80" t="str">
        <f>IF(A227="","",'List Setup'!$A$2)</f>
        <v/>
      </c>
      <c r="R227" s="80" t="str">
        <f t="array" ref="R227">IF(A227="","",IFERROR(OR(INDEX(Binders!$J$6:$J$30,MATCH(Q227,Binders!$I$6:$I$30,0))=TRUE(),UPPER(INDEX(Binders!$J$6:$J$30,MATCH(Q227,Binders!$I$6:$I$30,0))&amp;"")="TRUE"),FALSE()))</f>
        <v/>
      </c>
    </row>
    <row r="228" ht="15.75" customHeight="1">
      <c r="A228" s="80" t="str">
        <f t="array" ref="A228">IF(INDEX(Wishlist!$A:$Z,ROW()-0,'List Setup'!$D$2)="","",INDEX(Wishlist!$A:$Z,ROW()-0,'List Setup'!$D$2))</f>
        <v/>
      </c>
      <c r="B228" s="80" t="str">
        <f t="array" ref="B228">IF(A228="","",IFERROR(INDEX('Binder Setup'!$B$2:$B$401,MIN(IF(ISNUMBER(SEARCH(CHAR(10)&amp;'Binder Setup'!$B$2:$B$401&amp;CHAR(10),$H228)),'List Setup'!$Q$2:$Q$401,999),IF(ISNUMBER(SEARCH(CHAR(10)&amp;'Set Aliases'!$A$2:$A$501&amp;CHAR(10),$H228)),'Set Aliases'!$C$2:$C$501,999))),"(none)"))</f>
        <v/>
      </c>
      <c r="C228" s="80" t="str">
        <f t="shared" si="1"/>
        <v/>
      </c>
      <c r="D228" s="80" t="str">
        <f t="array" ref="D228">IF(A228="","",IF(ISLOGICAL(INDEX(Wishlist!$A:$Z,ROW()-0,'List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28" s="80" t="str">
        <f t="shared" si="2"/>
        <v/>
      </c>
      <c r="F228" s="80" t="str">
        <f t="array" ref="F228">IF(A228="","",IF(ISNUMBER(J228),J228,IF(ISNUMBER(INDEX(Wishlist!$A:$Z,ROW()-0,'List Setup'!$F$2)),INDEX(Wishlist!$A:$Z,ROW()-0,'List Setup'!$F$2),0)))</f>
        <v/>
      </c>
      <c r="G228" s="80" t="str">
        <f t="array" ref="G228">IF(A228="","",A228&amp;IF(N(INDEX(Wishlist!$A:$Z,ROW()-0,'List Setup'!$C$2))&gt;1," (x"&amp;INDEX(Wishlist!$A:$Z,ROW()-0,'List Setup'!$C$2)&amp;")","")&amp;IF(COUNTIF(Binders!$J$6:$J$30,TRUE())&gt;1," ["&amp;Q228&amp;"]",""))</f>
        <v/>
      </c>
      <c r="H228" s="80" t="str">
        <f t="array" ref="H228">IF(A228="","",CHAR(10)&amp;INDEX(Wishlist!$A:$Z,ROW()-0,'List Setup'!$E$2)&amp;CHAR(10))</f>
        <v/>
      </c>
      <c r="I228" s="80" t="str">
        <f t="array" ref="I228">IF(OR(B228="",B228="(none)"),"",IF(ISNUMBER(SEARCH(CHAR(10)&amp;B228&amp;CHAR(10),H228)),B228,IFERROR(INDEX('Set Aliases'!$A$2:$A$501,MATCH(1,('Set Aliases'!$B$2:$B$501=B228)*ISNUMBER(SEARCH(CHAR(10)&amp;'Set Aliases'!$A$2:$A$501&amp;CHAR(10),H228)),0)),"")))</f>
        <v/>
      </c>
      <c r="J228" s="80" t="str">
        <f t="array" ref="J228">IF(I228="","",IFERROR(VALUE(TRIM(MID(SUBSTITUTE(INDEX(Wishlist!$A:$Z,ROW()-0,'List Setup'!$G$2),CHAR(10),REPT(" ",100)),((SEARCH(CHAR(10)&amp;I228&amp;CHAR(10),H228)-LEN(SUBSTITUTE(LEFT(H228,SEARCH(CHAR(10)&amp;I228&amp;CHAR(10),H228)),CHAR(10),"")))-1)*100+1,100))),""))</f>
        <v/>
      </c>
      <c r="K228" s="80" t="str">
        <f t="array" ref="K228">IF(A228="","",IF(ISNUMBER(SEARCH("Land",LEFT(IFERROR(INDEX(Wishlist!$A:$Z,ROW()-0,'List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28" s="80" t="str">
        <f t="shared" si="3"/>
        <v/>
      </c>
      <c r="M228" s="80" t="str">
        <f>IF(A228="","",IF(AND(E228="Y",B228='Use at Shop'!$B$4),K228*10000000000+(MAX(0,MIN(26,CODE(MID(UPPER(A228)&amp;"    ",1,1))-64))*19683+MAX(0,MIN(26,CODE(MID(UPPER(A228)&amp;"    ",2,1))-64))*729+MAX(0,MIN(26,CODE(MID(UPPER(A228)&amp;"    ",3,1))-64))*27+MAX(0,MIN(26,CODE(MID(UPPER(A228)&amp;"    ",4,1))-64))*1)*10000+ROW(),""))</f>
        <v/>
      </c>
      <c r="N228" s="80" t="str">
        <f t="shared" si="4"/>
        <v/>
      </c>
      <c r="O228" s="80" t="str">
        <f t="array" ref="O228">IF(A228="","",IFERROR(INDEX(Wishlist!$A:$Z,ROW()-0,'List Setup'!$J$2)&amp;"",""))</f>
        <v/>
      </c>
      <c r="P228" s="2"/>
      <c r="Q228" s="80" t="str">
        <f>IF(A228="","",'List Setup'!$A$2)</f>
        <v/>
      </c>
      <c r="R228" s="80" t="str">
        <f t="array" ref="R228">IF(A228="","",IFERROR(OR(INDEX(Binders!$J$6:$J$30,MATCH(Q228,Binders!$I$6:$I$30,0))=TRUE(),UPPER(INDEX(Binders!$J$6:$J$30,MATCH(Q228,Binders!$I$6:$I$30,0))&amp;"")="TRUE"),FALSE()))</f>
        <v/>
      </c>
    </row>
    <row r="229" ht="15.75" customHeight="1">
      <c r="A229" s="80" t="str">
        <f t="array" ref="A229">IF(INDEX(Wishlist!$A:$Z,ROW()-0,'List Setup'!$D$2)="","",INDEX(Wishlist!$A:$Z,ROW()-0,'List Setup'!$D$2))</f>
        <v/>
      </c>
      <c r="B229" s="80" t="str">
        <f t="array" ref="B229">IF(A229="","",IFERROR(INDEX('Binder Setup'!$B$2:$B$401,MIN(IF(ISNUMBER(SEARCH(CHAR(10)&amp;'Binder Setup'!$B$2:$B$401&amp;CHAR(10),$H229)),'List Setup'!$Q$2:$Q$401,999),IF(ISNUMBER(SEARCH(CHAR(10)&amp;'Set Aliases'!$A$2:$A$501&amp;CHAR(10),$H229)),'Set Aliases'!$C$2:$C$501,999))),"(none)"))</f>
        <v/>
      </c>
      <c r="C229" s="80" t="str">
        <f t="shared" si="1"/>
        <v/>
      </c>
      <c r="D229" s="80" t="str">
        <f t="array" ref="D229">IF(A229="","",IF(ISLOGICAL(INDEX(Wishlist!$A:$Z,ROW()-0,'List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29" s="80" t="str">
        <f t="shared" si="2"/>
        <v/>
      </c>
      <c r="F229" s="80" t="str">
        <f t="array" ref="F229">IF(A229="","",IF(ISNUMBER(J229),J229,IF(ISNUMBER(INDEX(Wishlist!$A:$Z,ROW()-0,'List Setup'!$F$2)),INDEX(Wishlist!$A:$Z,ROW()-0,'List Setup'!$F$2),0)))</f>
        <v/>
      </c>
      <c r="G229" s="80" t="str">
        <f t="array" ref="G229">IF(A229="","",A229&amp;IF(N(INDEX(Wishlist!$A:$Z,ROW()-0,'List Setup'!$C$2))&gt;1," (x"&amp;INDEX(Wishlist!$A:$Z,ROW()-0,'List Setup'!$C$2)&amp;")","")&amp;IF(COUNTIF(Binders!$J$6:$J$30,TRUE())&gt;1," ["&amp;Q229&amp;"]",""))</f>
        <v/>
      </c>
      <c r="H229" s="80" t="str">
        <f t="array" ref="H229">IF(A229="","",CHAR(10)&amp;INDEX(Wishlist!$A:$Z,ROW()-0,'List Setup'!$E$2)&amp;CHAR(10))</f>
        <v/>
      </c>
      <c r="I229" s="80" t="str">
        <f t="array" ref="I229">IF(OR(B229="",B229="(none)"),"",IF(ISNUMBER(SEARCH(CHAR(10)&amp;B229&amp;CHAR(10),H229)),B229,IFERROR(INDEX('Set Aliases'!$A$2:$A$501,MATCH(1,('Set Aliases'!$B$2:$B$501=B229)*ISNUMBER(SEARCH(CHAR(10)&amp;'Set Aliases'!$A$2:$A$501&amp;CHAR(10),H229)),0)),"")))</f>
        <v/>
      </c>
      <c r="J229" s="80" t="str">
        <f t="array" ref="J229">IF(I229="","",IFERROR(VALUE(TRIM(MID(SUBSTITUTE(INDEX(Wishlist!$A:$Z,ROW()-0,'List Setup'!$G$2),CHAR(10),REPT(" ",100)),((SEARCH(CHAR(10)&amp;I229&amp;CHAR(10),H229)-LEN(SUBSTITUTE(LEFT(H229,SEARCH(CHAR(10)&amp;I229&amp;CHAR(10),H229)),CHAR(10),"")))-1)*100+1,100))),""))</f>
        <v/>
      </c>
      <c r="K229" s="80" t="str">
        <f t="array" ref="K229">IF(A229="","",IF(ISNUMBER(SEARCH("Land",LEFT(IFERROR(INDEX(Wishlist!$A:$Z,ROW()-0,'List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29" s="80" t="str">
        <f t="shared" si="3"/>
        <v/>
      </c>
      <c r="M229" s="80" t="str">
        <f>IF(A229="","",IF(AND(E229="Y",B229='Use at Shop'!$B$4),K229*10000000000+(MAX(0,MIN(26,CODE(MID(UPPER(A229)&amp;"    ",1,1))-64))*19683+MAX(0,MIN(26,CODE(MID(UPPER(A229)&amp;"    ",2,1))-64))*729+MAX(0,MIN(26,CODE(MID(UPPER(A229)&amp;"    ",3,1))-64))*27+MAX(0,MIN(26,CODE(MID(UPPER(A229)&amp;"    ",4,1))-64))*1)*10000+ROW(),""))</f>
        <v/>
      </c>
      <c r="N229" s="80" t="str">
        <f t="shared" si="4"/>
        <v/>
      </c>
      <c r="O229" s="80" t="str">
        <f t="array" ref="O229">IF(A229="","",IFERROR(INDEX(Wishlist!$A:$Z,ROW()-0,'List Setup'!$J$2)&amp;"",""))</f>
        <v/>
      </c>
      <c r="P229" s="2"/>
      <c r="Q229" s="80" t="str">
        <f>IF(A229="","",'List Setup'!$A$2)</f>
        <v/>
      </c>
      <c r="R229" s="80" t="str">
        <f t="array" ref="R229">IF(A229="","",IFERROR(OR(INDEX(Binders!$J$6:$J$30,MATCH(Q229,Binders!$I$6:$I$30,0))=TRUE(),UPPER(INDEX(Binders!$J$6:$J$30,MATCH(Q229,Binders!$I$6:$I$30,0))&amp;"")="TRUE"),FALSE()))</f>
        <v/>
      </c>
    </row>
    <row r="230" ht="15.75" customHeight="1">
      <c r="A230" s="80" t="str">
        <f t="array" ref="A230">IF(INDEX(Wishlist!$A:$Z,ROW()-0,'List Setup'!$D$2)="","",INDEX(Wishlist!$A:$Z,ROW()-0,'List Setup'!$D$2))</f>
        <v/>
      </c>
      <c r="B230" s="80" t="str">
        <f t="array" ref="B230">IF(A230="","",IFERROR(INDEX('Binder Setup'!$B$2:$B$401,MIN(IF(ISNUMBER(SEARCH(CHAR(10)&amp;'Binder Setup'!$B$2:$B$401&amp;CHAR(10),$H230)),'List Setup'!$Q$2:$Q$401,999),IF(ISNUMBER(SEARCH(CHAR(10)&amp;'Set Aliases'!$A$2:$A$501&amp;CHAR(10),$H230)),'Set Aliases'!$C$2:$C$501,999))),"(none)"))</f>
        <v/>
      </c>
      <c r="C230" s="80" t="str">
        <f t="shared" si="1"/>
        <v/>
      </c>
      <c r="D230" s="80" t="str">
        <f t="array" ref="D230">IF(A230="","",IF(ISLOGICAL(INDEX(Wishlist!$A:$Z,ROW()-0,'List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30" s="80" t="str">
        <f t="shared" si="2"/>
        <v/>
      </c>
      <c r="F230" s="80" t="str">
        <f t="array" ref="F230">IF(A230="","",IF(ISNUMBER(J230),J230,IF(ISNUMBER(INDEX(Wishlist!$A:$Z,ROW()-0,'List Setup'!$F$2)),INDEX(Wishlist!$A:$Z,ROW()-0,'List Setup'!$F$2),0)))</f>
        <v/>
      </c>
      <c r="G230" s="80" t="str">
        <f t="array" ref="G230">IF(A230="","",A230&amp;IF(N(INDEX(Wishlist!$A:$Z,ROW()-0,'List Setup'!$C$2))&gt;1," (x"&amp;INDEX(Wishlist!$A:$Z,ROW()-0,'List Setup'!$C$2)&amp;")","")&amp;IF(COUNTIF(Binders!$J$6:$J$30,TRUE())&gt;1," ["&amp;Q230&amp;"]",""))</f>
        <v/>
      </c>
      <c r="H230" s="80" t="str">
        <f t="array" ref="H230">IF(A230="","",CHAR(10)&amp;INDEX(Wishlist!$A:$Z,ROW()-0,'List Setup'!$E$2)&amp;CHAR(10))</f>
        <v/>
      </c>
      <c r="I230" s="80" t="str">
        <f t="array" ref="I230">IF(OR(B230="",B230="(none)"),"",IF(ISNUMBER(SEARCH(CHAR(10)&amp;B230&amp;CHAR(10),H230)),B230,IFERROR(INDEX('Set Aliases'!$A$2:$A$501,MATCH(1,('Set Aliases'!$B$2:$B$501=B230)*ISNUMBER(SEARCH(CHAR(10)&amp;'Set Aliases'!$A$2:$A$501&amp;CHAR(10),H230)),0)),"")))</f>
        <v/>
      </c>
      <c r="J230" s="80" t="str">
        <f t="array" ref="J230">IF(I230="","",IFERROR(VALUE(TRIM(MID(SUBSTITUTE(INDEX(Wishlist!$A:$Z,ROW()-0,'List Setup'!$G$2),CHAR(10),REPT(" ",100)),((SEARCH(CHAR(10)&amp;I230&amp;CHAR(10),H230)-LEN(SUBSTITUTE(LEFT(H230,SEARCH(CHAR(10)&amp;I230&amp;CHAR(10),H230)),CHAR(10),"")))-1)*100+1,100))),""))</f>
        <v/>
      </c>
      <c r="K230" s="80" t="str">
        <f t="array" ref="K230">IF(A230="","",IF(ISNUMBER(SEARCH("Land",LEFT(IFERROR(INDEX(Wishlist!$A:$Z,ROW()-0,'List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30" s="80" t="str">
        <f t="shared" si="3"/>
        <v/>
      </c>
      <c r="M230" s="80" t="str">
        <f>IF(A230="","",IF(AND(E230="Y",B230='Use at Shop'!$B$4),K230*10000000000+(MAX(0,MIN(26,CODE(MID(UPPER(A230)&amp;"    ",1,1))-64))*19683+MAX(0,MIN(26,CODE(MID(UPPER(A230)&amp;"    ",2,1))-64))*729+MAX(0,MIN(26,CODE(MID(UPPER(A230)&amp;"    ",3,1))-64))*27+MAX(0,MIN(26,CODE(MID(UPPER(A230)&amp;"    ",4,1))-64))*1)*10000+ROW(),""))</f>
        <v/>
      </c>
      <c r="N230" s="80" t="str">
        <f t="shared" si="4"/>
        <v/>
      </c>
      <c r="O230" s="80" t="str">
        <f t="array" ref="O230">IF(A230="","",IFERROR(INDEX(Wishlist!$A:$Z,ROW()-0,'List Setup'!$J$2)&amp;"",""))</f>
        <v/>
      </c>
      <c r="P230" s="2"/>
      <c r="Q230" s="80" t="str">
        <f>IF(A230="","",'List Setup'!$A$2)</f>
        <v/>
      </c>
      <c r="R230" s="80" t="str">
        <f t="array" ref="R230">IF(A230="","",IFERROR(OR(INDEX(Binders!$J$6:$J$30,MATCH(Q230,Binders!$I$6:$I$30,0))=TRUE(),UPPER(INDEX(Binders!$J$6:$J$30,MATCH(Q230,Binders!$I$6:$I$30,0))&amp;"")="TRUE"),FALSE()))</f>
        <v/>
      </c>
    </row>
    <row r="231" ht="15.75" customHeight="1">
      <c r="A231" s="80" t="str">
        <f t="array" ref="A231">IF(INDEX(Wishlist!$A:$Z,ROW()-0,'List Setup'!$D$2)="","",INDEX(Wishlist!$A:$Z,ROW()-0,'List Setup'!$D$2))</f>
        <v/>
      </c>
      <c r="B231" s="80" t="str">
        <f t="array" ref="B231">IF(A231="","",IFERROR(INDEX('Binder Setup'!$B$2:$B$401,MIN(IF(ISNUMBER(SEARCH(CHAR(10)&amp;'Binder Setup'!$B$2:$B$401&amp;CHAR(10),$H231)),'List Setup'!$Q$2:$Q$401,999),IF(ISNUMBER(SEARCH(CHAR(10)&amp;'Set Aliases'!$A$2:$A$501&amp;CHAR(10),$H231)),'Set Aliases'!$C$2:$C$501,999))),"(none)"))</f>
        <v/>
      </c>
      <c r="C231" s="80" t="str">
        <f t="shared" si="1"/>
        <v/>
      </c>
      <c r="D231" s="80" t="str">
        <f t="array" ref="D231">IF(A231="","",IF(ISLOGICAL(INDEX(Wishlist!$A:$Z,ROW()-0,'List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31" s="80" t="str">
        <f t="shared" si="2"/>
        <v/>
      </c>
      <c r="F231" s="80" t="str">
        <f t="array" ref="F231">IF(A231="","",IF(ISNUMBER(J231),J231,IF(ISNUMBER(INDEX(Wishlist!$A:$Z,ROW()-0,'List Setup'!$F$2)),INDEX(Wishlist!$A:$Z,ROW()-0,'List Setup'!$F$2),0)))</f>
        <v/>
      </c>
      <c r="G231" s="80" t="str">
        <f t="array" ref="G231">IF(A231="","",A231&amp;IF(N(INDEX(Wishlist!$A:$Z,ROW()-0,'List Setup'!$C$2))&gt;1," (x"&amp;INDEX(Wishlist!$A:$Z,ROW()-0,'List Setup'!$C$2)&amp;")","")&amp;IF(COUNTIF(Binders!$J$6:$J$30,TRUE())&gt;1," ["&amp;Q231&amp;"]",""))</f>
        <v/>
      </c>
      <c r="H231" s="80" t="str">
        <f t="array" ref="H231">IF(A231="","",CHAR(10)&amp;INDEX(Wishlist!$A:$Z,ROW()-0,'List Setup'!$E$2)&amp;CHAR(10))</f>
        <v/>
      </c>
      <c r="I231" s="80" t="str">
        <f t="array" ref="I231">IF(OR(B231="",B231="(none)"),"",IF(ISNUMBER(SEARCH(CHAR(10)&amp;B231&amp;CHAR(10),H231)),B231,IFERROR(INDEX('Set Aliases'!$A$2:$A$501,MATCH(1,('Set Aliases'!$B$2:$B$501=B231)*ISNUMBER(SEARCH(CHAR(10)&amp;'Set Aliases'!$A$2:$A$501&amp;CHAR(10),H231)),0)),"")))</f>
        <v/>
      </c>
      <c r="J231" s="80" t="str">
        <f t="array" ref="J231">IF(I231="","",IFERROR(VALUE(TRIM(MID(SUBSTITUTE(INDEX(Wishlist!$A:$Z,ROW()-0,'List Setup'!$G$2),CHAR(10),REPT(" ",100)),((SEARCH(CHAR(10)&amp;I231&amp;CHAR(10),H231)-LEN(SUBSTITUTE(LEFT(H231,SEARCH(CHAR(10)&amp;I231&amp;CHAR(10),H231)),CHAR(10),"")))-1)*100+1,100))),""))</f>
        <v/>
      </c>
      <c r="K231" s="80" t="str">
        <f t="array" ref="K231">IF(A231="","",IF(ISNUMBER(SEARCH("Land",LEFT(IFERROR(INDEX(Wishlist!$A:$Z,ROW()-0,'List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31" s="80" t="str">
        <f t="shared" si="3"/>
        <v/>
      </c>
      <c r="M231" s="80" t="str">
        <f>IF(A231="","",IF(AND(E231="Y",B231='Use at Shop'!$B$4),K231*10000000000+(MAX(0,MIN(26,CODE(MID(UPPER(A231)&amp;"    ",1,1))-64))*19683+MAX(0,MIN(26,CODE(MID(UPPER(A231)&amp;"    ",2,1))-64))*729+MAX(0,MIN(26,CODE(MID(UPPER(A231)&amp;"    ",3,1))-64))*27+MAX(0,MIN(26,CODE(MID(UPPER(A231)&amp;"    ",4,1))-64))*1)*10000+ROW(),""))</f>
        <v/>
      </c>
      <c r="N231" s="80" t="str">
        <f t="shared" si="4"/>
        <v/>
      </c>
      <c r="O231" s="80" t="str">
        <f t="array" ref="O231">IF(A231="","",IFERROR(INDEX(Wishlist!$A:$Z,ROW()-0,'List Setup'!$J$2)&amp;"",""))</f>
        <v/>
      </c>
      <c r="P231" s="2"/>
      <c r="Q231" s="80" t="str">
        <f>IF(A231="","",'List Setup'!$A$2)</f>
        <v/>
      </c>
      <c r="R231" s="80" t="str">
        <f t="array" ref="R231">IF(A231="","",IFERROR(OR(INDEX(Binders!$J$6:$J$30,MATCH(Q231,Binders!$I$6:$I$30,0))=TRUE(),UPPER(INDEX(Binders!$J$6:$J$30,MATCH(Q231,Binders!$I$6:$I$30,0))&amp;"")="TRUE"),FALSE()))</f>
        <v/>
      </c>
    </row>
    <row r="232" ht="15.75" customHeight="1">
      <c r="A232" s="80" t="str">
        <f t="array" ref="A232">IF(INDEX(Wishlist!$A:$Z,ROW()-0,'List Setup'!$D$2)="","",INDEX(Wishlist!$A:$Z,ROW()-0,'List Setup'!$D$2))</f>
        <v/>
      </c>
      <c r="B232" s="80" t="str">
        <f t="array" ref="B232">IF(A232="","",IFERROR(INDEX('Binder Setup'!$B$2:$B$401,MIN(IF(ISNUMBER(SEARCH(CHAR(10)&amp;'Binder Setup'!$B$2:$B$401&amp;CHAR(10),$H232)),'List Setup'!$Q$2:$Q$401,999),IF(ISNUMBER(SEARCH(CHAR(10)&amp;'Set Aliases'!$A$2:$A$501&amp;CHAR(10),$H232)),'Set Aliases'!$C$2:$C$501,999))),"(none)"))</f>
        <v/>
      </c>
      <c r="C232" s="80" t="str">
        <f t="shared" si="1"/>
        <v/>
      </c>
      <c r="D232" s="80" t="str">
        <f t="array" ref="D232">IF(A232="","",IF(ISLOGICAL(INDEX(Wishlist!$A:$Z,ROW()-0,'List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32" s="80" t="str">
        <f t="shared" si="2"/>
        <v/>
      </c>
      <c r="F232" s="80" t="str">
        <f t="array" ref="F232">IF(A232="","",IF(ISNUMBER(J232),J232,IF(ISNUMBER(INDEX(Wishlist!$A:$Z,ROW()-0,'List Setup'!$F$2)),INDEX(Wishlist!$A:$Z,ROW()-0,'List Setup'!$F$2),0)))</f>
        <v/>
      </c>
      <c r="G232" s="80" t="str">
        <f t="array" ref="G232">IF(A232="","",A232&amp;IF(N(INDEX(Wishlist!$A:$Z,ROW()-0,'List Setup'!$C$2))&gt;1," (x"&amp;INDEX(Wishlist!$A:$Z,ROW()-0,'List Setup'!$C$2)&amp;")","")&amp;IF(COUNTIF(Binders!$J$6:$J$30,TRUE())&gt;1," ["&amp;Q232&amp;"]",""))</f>
        <v/>
      </c>
      <c r="H232" s="80" t="str">
        <f t="array" ref="H232">IF(A232="","",CHAR(10)&amp;INDEX(Wishlist!$A:$Z,ROW()-0,'List Setup'!$E$2)&amp;CHAR(10))</f>
        <v/>
      </c>
      <c r="I232" s="80" t="str">
        <f t="array" ref="I232">IF(OR(B232="",B232="(none)"),"",IF(ISNUMBER(SEARCH(CHAR(10)&amp;B232&amp;CHAR(10),H232)),B232,IFERROR(INDEX('Set Aliases'!$A$2:$A$501,MATCH(1,('Set Aliases'!$B$2:$B$501=B232)*ISNUMBER(SEARCH(CHAR(10)&amp;'Set Aliases'!$A$2:$A$501&amp;CHAR(10),H232)),0)),"")))</f>
        <v/>
      </c>
      <c r="J232" s="80" t="str">
        <f t="array" ref="J232">IF(I232="","",IFERROR(VALUE(TRIM(MID(SUBSTITUTE(INDEX(Wishlist!$A:$Z,ROW()-0,'List Setup'!$G$2),CHAR(10),REPT(" ",100)),((SEARCH(CHAR(10)&amp;I232&amp;CHAR(10),H232)-LEN(SUBSTITUTE(LEFT(H232,SEARCH(CHAR(10)&amp;I232&amp;CHAR(10),H232)),CHAR(10),"")))-1)*100+1,100))),""))</f>
        <v/>
      </c>
      <c r="K232" s="80" t="str">
        <f t="array" ref="K232">IF(A232="","",IF(ISNUMBER(SEARCH("Land",LEFT(IFERROR(INDEX(Wishlist!$A:$Z,ROW()-0,'List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32" s="80" t="str">
        <f t="shared" si="3"/>
        <v/>
      </c>
      <c r="M232" s="80" t="str">
        <f>IF(A232="","",IF(AND(E232="Y",B232='Use at Shop'!$B$4),K232*10000000000+(MAX(0,MIN(26,CODE(MID(UPPER(A232)&amp;"    ",1,1))-64))*19683+MAX(0,MIN(26,CODE(MID(UPPER(A232)&amp;"    ",2,1))-64))*729+MAX(0,MIN(26,CODE(MID(UPPER(A232)&amp;"    ",3,1))-64))*27+MAX(0,MIN(26,CODE(MID(UPPER(A232)&amp;"    ",4,1))-64))*1)*10000+ROW(),""))</f>
        <v/>
      </c>
      <c r="N232" s="80" t="str">
        <f t="shared" si="4"/>
        <v/>
      </c>
      <c r="O232" s="80" t="str">
        <f t="array" ref="O232">IF(A232="","",IFERROR(INDEX(Wishlist!$A:$Z,ROW()-0,'List Setup'!$J$2)&amp;"",""))</f>
        <v/>
      </c>
      <c r="P232" s="2"/>
      <c r="Q232" s="80" t="str">
        <f>IF(A232="","",'List Setup'!$A$2)</f>
        <v/>
      </c>
      <c r="R232" s="80" t="str">
        <f t="array" ref="R232">IF(A232="","",IFERROR(OR(INDEX(Binders!$J$6:$J$30,MATCH(Q232,Binders!$I$6:$I$30,0))=TRUE(),UPPER(INDEX(Binders!$J$6:$J$30,MATCH(Q232,Binders!$I$6:$I$30,0))&amp;"")="TRUE"),FALSE()))</f>
        <v/>
      </c>
    </row>
    <row r="233" ht="15.75" customHeight="1">
      <c r="A233" s="80" t="str">
        <f t="array" ref="A233">IF(INDEX(Wishlist!$A:$Z,ROW()-0,'List Setup'!$D$2)="","",INDEX(Wishlist!$A:$Z,ROW()-0,'List Setup'!$D$2))</f>
        <v/>
      </c>
      <c r="B233" s="80" t="str">
        <f t="array" ref="B233">IF(A233="","",IFERROR(INDEX('Binder Setup'!$B$2:$B$401,MIN(IF(ISNUMBER(SEARCH(CHAR(10)&amp;'Binder Setup'!$B$2:$B$401&amp;CHAR(10),$H233)),'List Setup'!$Q$2:$Q$401,999),IF(ISNUMBER(SEARCH(CHAR(10)&amp;'Set Aliases'!$A$2:$A$501&amp;CHAR(10),$H233)),'Set Aliases'!$C$2:$C$501,999))),"(none)"))</f>
        <v/>
      </c>
      <c r="C233" s="80" t="str">
        <f t="shared" si="1"/>
        <v/>
      </c>
      <c r="D233" s="80" t="str">
        <f t="array" ref="D233">IF(A233="","",IF(ISLOGICAL(INDEX(Wishlist!$A:$Z,ROW()-0,'List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33" s="80" t="str">
        <f t="shared" si="2"/>
        <v/>
      </c>
      <c r="F233" s="80" t="str">
        <f t="array" ref="F233">IF(A233="","",IF(ISNUMBER(J233),J233,IF(ISNUMBER(INDEX(Wishlist!$A:$Z,ROW()-0,'List Setup'!$F$2)),INDEX(Wishlist!$A:$Z,ROW()-0,'List Setup'!$F$2),0)))</f>
        <v/>
      </c>
      <c r="G233" s="80" t="str">
        <f t="array" ref="G233">IF(A233="","",A233&amp;IF(N(INDEX(Wishlist!$A:$Z,ROW()-0,'List Setup'!$C$2))&gt;1," (x"&amp;INDEX(Wishlist!$A:$Z,ROW()-0,'List Setup'!$C$2)&amp;")","")&amp;IF(COUNTIF(Binders!$J$6:$J$30,TRUE())&gt;1," ["&amp;Q233&amp;"]",""))</f>
        <v/>
      </c>
      <c r="H233" s="80" t="str">
        <f t="array" ref="H233">IF(A233="","",CHAR(10)&amp;INDEX(Wishlist!$A:$Z,ROW()-0,'List Setup'!$E$2)&amp;CHAR(10))</f>
        <v/>
      </c>
      <c r="I233" s="80" t="str">
        <f t="array" ref="I233">IF(OR(B233="",B233="(none)"),"",IF(ISNUMBER(SEARCH(CHAR(10)&amp;B233&amp;CHAR(10),H233)),B233,IFERROR(INDEX('Set Aliases'!$A$2:$A$501,MATCH(1,('Set Aliases'!$B$2:$B$501=B233)*ISNUMBER(SEARCH(CHAR(10)&amp;'Set Aliases'!$A$2:$A$501&amp;CHAR(10),H233)),0)),"")))</f>
        <v/>
      </c>
      <c r="J233" s="80" t="str">
        <f t="array" ref="J233">IF(I233="","",IFERROR(VALUE(TRIM(MID(SUBSTITUTE(INDEX(Wishlist!$A:$Z,ROW()-0,'List Setup'!$G$2),CHAR(10),REPT(" ",100)),((SEARCH(CHAR(10)&amp;I233&amp;CHAR(10),H233)-LEN(SUBSTITUTE(LEFT(H233,SEARCH(CHAR(10)&amp;I233&amp;CHAR(10),H233)),CHAR(10),"")))-1)*100+1,100))),""))</f>
        <v/>
      </c>
      <c r="K233" s="80" t="str">
        <f t="array" ref="K233">IF(A233="","",IF(ISNUMBER(SEARCH("Land",LEFT(IFERROR(INDEX(Wishlist!$A:$Z,ROW()-0,'List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33" s="80" t="str">
        <f t="shared" si="3"/>
        <v/>
      </c>
      <c r="M233" s="80" t="str">
        <f>IF(A233="","",IF(AND(E233="Y",B233='Use at Shop'!$B$4),K233*10000000000+(MAX(0,MIN(26,CODE(MID(UPPER(A233)&amp;"    ",1,1))-64))*19683+MAX(0,MIN(26,CODE(MID(UPPER(A233)&amp;"    ",2,1))-64))*729+MAX(0,MIN(26,CODE(MID(UPPER(A233)&amp;"    ",3,1))-64))*27+MAX(0,MIN(26,CODE(MID(UPPER(A233)&amp;"    ",4,1))-64))*1)*10000+ROW(),""))</f>
        <v/>
      </c>
      <c r="N233" s="80" t="str">
        <f t="shared" si="4"/>
        <v/>
      </c>
      <c r="O233" s="80" t="str">
        <f t="array" ref="O233">IF(A233="","",IFERROR(INDEX(Wishlist!$A:$Z,ROW()-0,'List Setup'!$J$2)&amp;"",""))</f>
        <v/>
      </c>
      <c r="P233" s="2"/>
      <c r="Q233" s="80" t="str">
        <f>IF(A233="","",'List Setup'!$A$2)</f>
        <v/>
      </c>
      <c r="R233" s="80" t="str">
        <f t="array" ref="R233">IF(A233="","",IFERROR(OR(INDEX(Binders!$J$6:$J$30,MATCH(Q233,Binders!$I$6:$I$30,0))=TRUE(),UPPER(INDEX(Binders!$J$6:$J$30,MATCH(Q233,Binders!$I$6:$I$30,0))&amp;"")="TRUE"),FALSE()))</f>
        <v/>
      </c>
    </row>
    <row r="234" ht="15.75" customHeight="1">
      <c r="A234" s="80" t="str">
        <f t="array" ref="A234">IF(INDEX(Wishlist!$A:$Z,ROW()-0,'List Setup'!$D$2)="","",INDEX(Wishlist!$A:$Z,ROW()-0,'List Setup'!$D$2))</f>
        <v/>
      </c>
      <c r="B234" s="80" t="str">
        <f t="array" ref="B234">IF(A234="","",IFERROR(INDEX('Binder Setup'!$B$2:$B$401,MIN(IF(ISNUMBER(SEARCH(CHAR(10)&amp;'Binder Setup'!$B$2:$B$401&amp;CHAR(10),$H234)),'List Setup'!$Q$2:$Q$401,999),IF(ISNUMBER(SEARCH(CHAR(10)&amp;'Set Aliases'!$A$2:$A$501&amp;CHAR(10),$H234)),'Set Aliases'!$C$2:$C$501,999))),"(none)"))</f>
        <v/>
      </c>
      <c r="C234" s="80" t="str">
        <f t="shared" si="1"/>
        <v/>
      </c>
      <c r="D234" s="80" t="str">
        <f t="array" ref="D234">IF(A234="","",IF(ISLOGICAL(INDEX(Wishlist!$A:$Z,ROW()-0,'List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34" s="80" t="str">
        <f t="shared" si="2"/>
        <v/>
      </c>
      <c r="F234" s="80" t="str">
        <f t="array" ref="F234">IF(A234="","",IF(ISNUMBER(J234),J234,IF(ISNUMBER(INDEX(Wishlist!$A:$Z,ROW()-0,'List Setup'!$F$2)),INDEX(Wishlist!$A:$Z,ROW()-0,'List Setup'!$F$2),0)))</f>
        <v/>
      </c>
      <c r="G234" s="80" t="str">
        <f t="array" ref="G234">IF(A234="","",A234&amp;IF(N(INDEX(Wishlist!$A:$Z,ROW()-0,'List Setup'!$C$2))&gt;1," (x"&amp;INDEX(Wishlist!$A:$Z,ROW()-0,'List Setup'!$C$2)&amp;")","")&amp;IF(COUNTIF(Binders!$J$6:$J$30,TRUE())&gt;1," ["&amp;Q234&amp;"]",""))</f>
        <v/>
      </c>
      <c r="H234" s="80" t="str">
        <f t="array" ref="H234">IF(A234="","",CHAR(10)&amp;INDEX(Wishlist!$A:$Z,ROW()-0,'List Setup'!$E$2)&amp;CHAR(10))</f>
        <v/>
      </c>
      <c r="I234" s="80" t="str">
        <f t="array" ref="I234">IF(OR(B234="",B234="(none)"),"",IF(ISNUMBER(SEARCH(CHAR(10)&amp;B234&amp;CHAR(10),H234)),B234,IFERROR(INDEX('Set Aliases'!$A$2:$A$501,MATCH(1,('Set Aliases'!$B$2:$B$501=B234)*ISNUMBER(SEARCH(CHAR(10)&amp;'Set Aliases'!$A$2:$A$501&amp;CHAR(10),H234)),0)),"")))</f>
        <v/>
      </c>
      <c r="J234" s="80" t="str">
        <f t="array" ref="J234">IF(I234="","",IFERROR(VALUE(TRIM(MID(SUBSTITUTE(INDEX(Wishlist!$A:$Z,ROW()-0,'List Setup'!$G$2),CHAR(10),REPT(" ",100)),((SEARCH(CHAR(10)&amp;I234&amp;CHAR(10),H234)-LEN(SUBSTITUTE(LEFT(H234,SEARCH(CHAR(10)&amp;I234&amp;CHAR(10),H234)),CHAR(10),"")))-1)*100+1,100))),""))</f>
        <v/>
      </c>
      <c r="K234" s="80" t="str">
        <f t="array" ref="K234">IF(A234="","",IF(ISNUMBER(SEARCH("Land",LEFT(IFERROR(INDEX(Wishlist!$A:$Z,ROW()-0,'List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34" s="80" t="str">
        <f t="shared" si="3"/>
        <v/>
      </c>
      <c r="M234" s="80" t="str">
        <f>IF(A234="","",IF(AND(E234="Y",B234='Use at Shop'!$B$4),K234*10000000000+(MAX(0,MIN(26,CODE(MID(UPPER(A234)&amp;"    ",1,1))-64))*19683+MAX(0,MIN(26,CODE(MID(UPPER(A234)&amp;"    ",2,1))-64))*729+MAX(0,MIN(26,CODE(MID(UPPER(A234)&amp;"    ",3,1))-64))*27+MAX(0,MIN(26,CODE(MID(UPPER(A234)&amp;"    ",4,1))-64))*1)*10000+ROW(),""))</f>
        <v/>
      </c>
      <c r="N234" s="80" t="str">
        <f t="shared" si="4"/>
        <v/>
      </c>
      <c r="O234" s="80" t="str">
        <f t="array" ref="O234">IF(A234="","",IFERROR(INDEX(Wishlist!$A:$Z,ROW()-0,'List Setup'!$J$2)&amp;"",""))</f>
        <v/>
      </c>
      <c r="P234" s="2"/>
      <c r="Q234" s="80" t="str">
        <f>IF(A234="","",'List Setup'!$A$2)</f>
        <v/>
      </c>
      <c r="R234" s="80" t="str">
        <f t="array" ref="R234">IF(A234="","",IFERROR(OR(INDEX(Binders!$J$6:$J$30,MATCH(Q234,Binders!$I$6:$I$30,0))=TRUE(),UPPER(INDEX(Binders!$J$6:$J$30,MATCH(Q234,Binders!$I$6:$I$30,0))&amp;"")="TRUE"),FALSE()))</f>
        <v/>
      </c>
    </row>
    <row r="235" ht="15.75" customHeight="1">
      <c r="A235" s="80" t="str">
        <f t="array" ref="A235">IF(INDEX(Wishlist!$A:$Z,ROW()-0,'List Setup'!$D$2)="","",INDEX(Wishlist!$A:$Z,ROW()-0,'List Setup'!$D$2))</f>
        <v/>
      </c>
      <c r="B235" s="80" t="str">
        <f t="array" ref="B235">IF(A235="","",IFERROR(INDEX('Binder Setup'!$B$2:$B$401,MIN(IF(ISNUMBER(SEARCH(CHAR(10)&amp;'Binder Setup'!$B$2:$B$401&amp;CHAR(10),$H235)),'List Setup'!$Q$2:$Q$401,999),IF(ISNUMBER(SEARCH(CHAR(10)&amp;'Set Aliases'!$A$2:$A$501&amp;CHAR(10),$H235)),'Set Aliases'!$C$2:$C$501,999))),"(none)"))</f>
        <v/>
      </c>
      <c r="C235" s="80" t="str">
        <f t="shared" si="1"/>
        <v/>
      </c>
      <c r="D235" s="80" t="str">
        <f t="array" ref="D235">IF(A235="","",IF(ISLOGICAL(INDEX(Wishlist!$A:$Z,ROW()-0,'List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35" s="80" t="str">
        <f t="shared" si="2"/>
        <v/>
      </c>
      <c r="F235" s="80" t="str">
        <f t="array" ref="F235">IF(A235="","",IF(ISNUMBER(J235),J235,IF(ISNUMBER(INDEX(Wishlist!$A:$Z,ROW()-0,'List Setup'!$F$2)),INDEX(Wishlist!$A:$Z,ROW()-0,'List Setup'!$F$2),0)))</f>
        <v/>
      </c>
      <c r="G235" s="80" t="str">
        <f t="array" ref="G235">IF(A235="","",A235&amp;IF(N(INDEX(Wishlist!$A:$Z,ROW()-0,'List Setup'!$C$2))&gt;1," (x"&amp;INDEX(Wishlist!$A:$Z,ROW()-0,'List Setup'!$C$2)&amp;")","")&amp;IF(COUNTIF(Binders!$J$6:$J$30,TRUE())&gt;1," ["&amp;Q235&amp;"]",""))</f>
        <v/>
      </c>
      <c r="H235" s="80" t="str">
        <f t="array" ref="H235">IF(A235="","",CHAR(10)&amp;INDEX(Wishlist!$A:$Z,ROW()-0,'List Setup'!$E$2)&amp;CHAR(10))</f>
        <v/>
      </c>
      <c r="I235" s="80" t="str">
        <f t="array" ref="I235">IF(OR(B235="",B235="(none)"),"",IF(ISNUMBER(SEARCH(CHAR(10)&amp;B235&amp;CHAR(10),H235)),B235,IFERROR(INDEX('Set Aliases'!$A$2:$A$501,MATCH(1,('Set Aliases'!$B$2:$B$501=B235)*ISNUMBER(SEARCH(CHAR(10)&amp;'Set Aliases'!$A$2:$A$501&amp;CHAR(10),H235)),0)),"")))</f>
        <v/>
      </c>
      <c r="J235" s="80" t="str">
        <f t="array" ref="J235">IF(I235="","",IFERROR(VALUE(TRIM(MID(SUBSTITUTE(INDEX(Wishlist!$A:$Z,ROW()-0,'List Setup'!$G$2),CHAR(10),REPT(" ",100)),((SEARCH(CHAR(10)&amp;I235&amp;CHAR(10),H235)-LEN(SUBSTITUTE(LEFT(H235,SEARCH(CHAR(10)&amp;I235&amp;CHAR(10),H235)),CHAR(10),"")))-1)*100+1,100))),""))</f>
        <v/>
      </c>
      <c r="K235" s="80" t="str">
        <f t="array" ref="K235">IF(A235="","",IF(ISNUMBER(SEARCH("Land",LEFT(IFERROR(INDEX(Wishlist!$A:$Z,ROW()-0,'List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35" s="80" t="str">
        <f t="shared" si="3"/>
        <v/>
      </c>
      <c r="M235" s="80" t="str">
        <f>IF(A235="","",IF(AND(E235="Y",B235='Use at Shop'!$B$4),K235*10000000000+(MAX(0,MIN(26,CODE(MID(UPPER(A235)&amp;"    ",1,1))-64))*19683+MAX(0,MIN(26,CODE(MID(UPPER(A235)&amp;"    ",2,1))-64))*729+MAX(0,MIN(26,CODE(MID(UPPER(A235)&amp;"    ",3,1))-64))*27+MAX(0,MIN(26,CODE(MID(UPPER(A235)&amp;"    ",4,1))-64))*1)*10000+ROW(),""))</f>
        <v/>
      </c>
      <c r="N235" s="80" t="str">
        <f t="shared" si="4"/>
        <v/>
      </c>
      <c r="O235" s="80" t="str">
        <f t="array" ref="O235">IF(A235="","",IFERROR(INDEX(Wishlist!$A:$Z,ROW()-0,'List Setup'!$J$2)&amp;"",""))</f>
        <v/>
      </c>
      <c r="P235" s="2"/>
      <c r="Q235" s="80" t="str">
        <f>IF(A235="","",'List Setup'!$A$2)</f>
        <v/>
      </c>
      <c r="R235" s="80" t="str">
        <f t="array" ref="R235">IF(A235="","",IFERROR(OR(INDEX(Binders!$J$6:$J$30,MATCH(Q235,Binders!$I$6:$I$30,0))=TRUE(),UPPER(INDEX(Binders!$J$6:$J$30,MATCH(Q235,Binders!$I$6:$I$30,0))&amp;"")="TRUE"),FALSE()))</f>
        <v/>
      </c>
    </row>
    <row r="236" ht="15.75" customHeight="1">
      <c r="A236" s="80" t="str">
        <f t="array" ref="A236">IF(INDEX(Wishlist!$A:$Z,ROW()-0,'List Setup'!$D$2)="","",INDEX(Wishlist!$A:$Z,ROW()-0,'List Setup'!$D$2))</f>
        <v/>
      </c>
      <c r="B236" s="80" t="str">
        <f t="array" ref="B236">IF(A236="","",IFERROR(INDEX('Binder Setup'!$B$2:$B$401,MIN(IF(ISNUMBER(SEARCH(CHAR(10)&amp;'Binder Setup'!$B$2:$B$401&amp;CHAR(10),$H236)),'List Setup'!$Q$2:$Q$401,999),IF(ISNUMBER(SEARCH(CHAR(10)&amp;'Set Aliases'!$A$2:$A$501&amp;CHAR(10),$H236)),'Set Aliases'!$C$2:$C$501,999))),"(none)"))</f>
        <v/>
      </c>
      <c r="C236" s="80" t="str">
        <f t="shared" si="1"/>
        <v/>
      </c>
      <c r="D236" s="80" t="str">
        <f t="array" ref="D236">IF(A236="","",IF(ISLOGICAL(INDEX(Wishlist!$A:$Z,ROW()-0,'List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36" s="80" t="str">
        <f t="shared" si="2"/>
        <v/>
      </c>
      <c r="F236" s="80" t="str">
        <f t="array" ref="F236">IF(A236="","",IF(ISNUMBER(J236),J236,IF(ISNUMBER(INDEX(Wishlist!$A:$Z,ROW()-0,'List Setup'!$F$2)),INDEX(Wishlist!$A:$Z,ROW()-0,'List Setup'!$F$2),0)))</f>
        <v/>
      </c>
      <c r="G236" s="80" t="str">
        <f t="array" ref="G236">IF(A236="","",A236&amp;IF(N(INDEX(Wishlist!$A:$Z,ROW()-0,'List Setup'!$C$2))&gt;1," (x"&amp;INDEX(Wishlist!$A:$Z,ROW()-0,'List Setup'!$C$2)&amp;")","")&amp;IF(COUNTIF(Binders!$J$6:$J$30,TRUE())&gt;1," ["&amp;Q236&amp;"]",""))</f>
        <v/>
      </c>
      <c r="H236" s="80" t="str">
        <f t="array" ref="H236">IF(A236="","",CHAR(10)&amp;INDEX(Wishlist!$A:$Z,ROW()-0,'List Setup'!$E$2)&amp;CHAR(10))</f>
        <v/>
      </c>
      <c r="I236" s="80" t="str">
        <f t="array" ref="I236">IF(OR(B236="",B236="(none)"),"",IF(ISNUMBER(SEARCH(CHAR(10)&amp;B236&amp;CHAR(10),H236)),B236,IFERROR(INDEX('Set Aliases'!$A$2:$A$501,MATCH(1,('Set Aliases'!$B$2:$B$501=B236)*ISNUMBER(SEARCH(CHAR(10)&amp;'Set Aliases'!$A$2:$A$501&amp;CHAR(10),H236)),0)),"")))</f>
        <v/>
      </c>
      <c r="J236" s="80" t="str">
        <f t="array" ref="J236">IF(I236="","",IFERROR(VALUE(TRIM(MID(SUBSTITUTE(INDEX(Wishlist!$A:$Z,ROW()-0,'List Setup'!$G$2),CHAR(10),REPT(" ",100)),((SEARCH(CHAR(10)&amp;I236&amp;CHAR(10),H236)-LEN(SUBSTITUTE(LEFT(H236,SEARCH(CHAR(10)&amp;I236&amp;CHAR(10),H236)),CHAR(10),"")))-1)*100+1,100))),""))</f>
        <v/>
      </c>
      <c r="K236" s="80" t="str">
        <f t="array" ref="K236">IF(A236="","",IF(ISNUMBER(SEARCH("Land",LEFT(IFERROR(INDEX(Wishlist!$A:$Z,ROW()-0,'List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36" s="80" t="str">
        <f t="shared" si="3"/>
        <v/>
      </c>
      <c r="M236" s="80" t="str">
        <f>IF(A236="","",IF(AND(E236="Y",B236='Use at Shop'!$B$4),K236*10000000000+(MAX(0,MIN(26,CODE(MID(UPPER(A236)&amp;"    ",1,1))-64))*19683+MAX(0,MIN(26,CODE(MID(UPPER(A236)&amp;"    ",2,1))-64))*729+MAX(0,MIN(26,CODE(MID(UPPER(A236)&amp;"    ",3,1))-64))*27+MAX(0,MIN(26,CODE(MID(UPPER(A236)&amp;"    ",4,1))-64))*1)*10000+ROW(),""))</f>
        <v/>
      </c>
      <c r="N236" s="80" t="str">
        <f t="shared" si="4"/>
        <v/>
      </c>
      <c r="O236" s="80" t="str">
        <f t="array" ref="O236">IF(A236="","",IFERROR(INDEX(Wishlist!$A:$Z,ROW()-0,'List Setup'!$J$2)&amp;"",""))</f>
        <v/>
      </c>
      <c r="P236" s="2"/>
      <c r="Q236" s="80" t="str">
        <f>IF(A236="","",'List Setup'!$A$2)</f>
        <v/>
      </c>
      <c r="R236" s="80" t="str">
        <f t="array" ref="R236">IF(A236="","",IFERROR(OR(INDEX(Binders!$J$6:$J$30,MATCH(Q236,Binders!$I$6:$I$30,0))=TRUE(),UPPER(INDEX(Binders!$J$6:$J$30,MATCH(Q236,Binders!$I$6:$I$30,0))&amp;"")="TRUE"),FALSE()))</f>
        <v/>
      </c>
    </row>
    <row r="237" ht="15.75" customHeight="1">
      <c r="A237" s="80" t="str">
        <f t="array" ref="A237">IF(INDEX(Wishlist!$A:$Z,ROW()-0,'List Setup'!$D$2)="","",INDEX(Wishlist!$A:$Z,ROW()-0,'List Setup'!$D$2))</f>
        <v/>
      </c>
      <c r="B237" s="80" t="str">
        <f t="array" ref="B237">IF(A237="","",IFERROR(INDEX('Binder Setup'!$B$2:$B$401,MIN(IF(ISNUMBER(SEARCH(CHAR(10)&amp;'Binder Setup'!$B$2:$B$401&amp;CHAR(10),$H237)),'List Setup'!$Q$2:$Q$401,999),IF(ISNUMBER(SEARCH(CHAR(10)&amp;'Set Aliases'!$A$2:$A$501&amp;CHAR(10),$H237)),'Set Aliases'!$C$2:$C$501,999))),"(none)"))</f>
        <v/>
      </c>
      <c r="C237" s="80" t="str">
        <f t="shared" si="1"/>
        <v/>
      </c>
      <c r="D237" s="80" t="str">
        <f t="array" ref="D237">IF(A237="","",IF(ISLOGICAL(INDEX(Wishlist!$A:$Z,ROW()-0,'List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37" s="80" t="str">
        <f t="shared" si="2"/>
        <v/>
      </c>
      <c r="F237" s="80" t="str">
        <f t="array" ref="F237">IF(A237="","",IF(ISNUMBER(J237),J237,IF(ISNUMBER(INDEX(Wishlist!$A:$Z,ROW()-0,'List Setup'!$F$2)),INDEX(Wishlist!$A:$Z,ROW()-0,'List Setup'!$F$2),0)))</f>
        <v/>
      </c>
      <c r="G237" s="80" t="str">
        <f t="array" ref="G237">IF(A237="","",A237&amp;IF(N(INDEX(Wishlist!$A:$Z,ROW()-0,'List Setup'!$C$2))&gt;1," (x"&amp;INDEX(Wishlist!$A:$Z,ROW()-0,'List Setup'!$C$2)&amp;")","")&amp;IF(COUNTIF(Binders!$J$6:$J$30,TRUE())&gt;1," ["&amp;Q237&amp;"]",""))</f>
        <v/>
      </c>
      <c r="H237" s="80" t="str">
        <f t="array" ref="H237">IF(A237="","",CHAR(10)&amp;INDEX(Wishlist!$A:$Z,ROW()-0,'List Setup'!$E$2)&amp;CHAR(10))</f>
        <v/>
      </c>
      <c r="I237" s="80" t="str">
        <f t="array" ref="I237">IF(OR(B237="",B237="(none)"),"",IF(ISNUMBER(SEARCH(CHAR(10)&amp;B237&amp;CHAR(10),H237)),B237,IFERROR(INDEX('Set Aliases'!$A$2:$A$501,MATCH(1,('Set Aliases'!$B$2:$B$501=B237)*ISNUMBER(SEARCH(CHAR(10)&amp;'Set Aliases'!$A$2:$A$501&amp;CHAR(10),H237)),0)),"")))</f>
        <v/>
      </c>
      <c r="J237" s="80" t="str">
        <f t="array" ref="J237">IF(I237="","",IFERROR(VALUE(TRIM(MID(SUBSTITUTE(INDEX(Wishlist!$A:$Z,ROW()-0,'List Setup'!$G$2),CHAR(10),REPT(" ",100)),((SEARCH(CHAR(10)&amp;I237&amp;CHAR(10),H237)-LEN(SUBSTITUTE(LEFT(H237,SEARCH(CHAR(10)&amp;I237&amp;CHAR(10),H237)),CHAR(10),"")))-1)*100+1,100))),""))</f>
        <v/>
      </c>
      <c r="K237" s="80" t="str">
        <f t="array" ref="K237">IF(A237="","",IF(ISNUMBER(SEARCH("Land",LEFT(IFERROR(INDEX(Wishlist!$A:$Z,ROW()-0,'List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37" s="80" t="str">
        <f t="shared" si="3"/>
        <v/>
      </c>
      <c r="M237" s="80" t="str">
        <f>IF(A237="","",IF(AND(E237="Y",B237='Use at Shop'!$B$4),K237*10000000000+(MAX(0,MIN(26,CODE(MID(UPPER(A237)&amp;"    ",1,1))-64))*19683+MAX(0,MIN(26,CODE(MID(UPPER(A237)&amp;"    ",2,1))-64))*729+MAX(0,MIN(26,CODE(MID(UPPER(A237)&amp;"    ",3,1))-64))*27+MAX(0,MIN(26,CODE(MID(UPPER(A237)&amp;"    ",4,1))-64))*1)*10000+ROW(),""))</f>
        <v/>
      </c>
      <c r="N237" s="80" t="str">
        <f t="shared" si="4"/>
        <v/>
      </c>
      <c r="O237" s="80" t="str">
        <f t="array" ref="O237">IF(A237="","",IFERROR(INDEX(Wishlist!$A:$Z,ROW()-0,'List Setup'!$J$2)&amp;"",""))</f>
        <v/>
      </c>
      <c r="P237" s="2"/>
      <c r="Q237" s="80" t="str">
        <f>IF(A237="","",'List Setup'!$A$2)</f>
        <v/>
      </c>
      <c r="R237" s="80" t="str">
        <f t="array" ref="R237">IF(A237="","",IFERROR(OR(INDEX(Binders!$J$6:$J$30,MATCH(Q237,Binders!$I$6:$I$30,0))=TRUE(),UPPER(INDEX(Binders!$J$6:$J$30,MATCH(Q237,Binders!$I$6:$I$30,0))&amp;"")="TRUE"),FALSE()))</f>
        <v/>
      </c>
    </row>
    <row r="238" ht="15.75" customHeight="1">
      <c r="A238" s="80" t="str">
        <f t="array" ref="A238">IF(INDEX(Wishlist!$A:$Z,ROW()-0,'List Setup'!$D$2)="","",INDEX(Wishlist!$A:$Z,ROW()-0,'List Setup'!$D$2))</f>
        <v/>
      </c>
      <c r="B238" s="80" t="str">
        <f t="array" ref="B238">IF(A238="","",IFERROR(INDEX('Binder Setup'!$B$2:$B$401,MIN(IF(ISNUMBER(SEARCH(CHAR(10)&amp;'Binder Setup'!$B$2:$B$401&amp;CHAR(10),$H238)),'List Setup'!$Q$2:$Q$401,999),IF(ISNUMBER(SEARCH(CHAR(10)&amp;'Set Aliases'!$A$2:$A$501&amp;CHAR(10),$H238)),'Set Aliases'!$C$2:$C$501,999))),"(none)"))</f>
        <v/>
      </c>
      <c r="C238" s="80" t="str">
        <f t="shared" si="1"/>
        <v/>
      </c>
      <c r="D238" s="80" t="str">
        <f t="array" ref="D238">IF(A238="","",IF(ISLOGICAL(INDEX(Wishlist!$A:$Z,ROW()-0,'List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38" s="80" t="str">
        <f t="shared" si="2"/>
        <v/>
      </c>
      <c r="F238" s="80" t="str">
        <f t="array" ref="F238">IF(A238="","",IF(ISNUMBER(J238),J238,IF(ISNUMBER(INDEX(Wishlist!$A:$Z,ROW()-0,'List Setup'!$F$2)),INDEX(Wishlist!$A:$Z,ROW()-0,'List Setup'!$F$2),0)))</f>
        <v/>
      </c>
      <c r="G238" s="80" t="str">
        <f t="array" ref="G238">IF(A238="","",A238&amp;IF(N(INDEX(Wishlist!$A:$Z,ROW()-0,'List Setup'!$C$2))&gt;1," (x"&amp;INDEX(Wishlist!$A:$Z,ROW()-0,'List Setup'!$C$2)&amp;")","")&amp;IF(COUNTIF(Binders!$J$6:$J$30,TRUE())&gt;1," ["&amp;Q238&amp;"]",""))</f>
        <v/>
      </c>
      <c r="H238" s="80" t="str">
        <f t="array" ref="H238">IF(A238="","",CHAR(10)&amp;INDEX(Wishlist!$A:$Z,ROW()-0,'List Setup'!$E$2)&amp;CHAR(10))</f>
        <v/>
      </c>
      <c r="I238" s="80" t="str">
        <f t="array" ref="I238">IF(OR(B238="",B238="(none)"),"",IF(ISNUMBER(SEARCH(CHAR(10)&amp;B238&amp;CHAR(10),H238)),B238,IFERROR(INDEX('Set Aliases'!$A$2:$A$501,MATCH(1,('Set Aliases'!$B$2:$B$501=B238)*ISNUMBER(SEARCH(CHAR(10)&amp;'Set Aliases'!$A$2:$A$501&amp;CHAR(10),H238)),0)),"")))</f>
        <v/>
      </c>
      <c r="J238" s="80" t="str">
        <f t="array" ref="J238">IF(I238="","",IFERROR(VALUE(TRIM(MID(SUBSTITUTE(INDEX(Wishlist!$A:$Z,ROW()-0,'List Setup'!$G$2),CHAR(10),REPT(" ",100)),((SEARCH(CHAR(10)&amp;I238&amp;CHAR(10),H238)-LEN(SUBSTITUTE(LEFT(H238,SEARCH(CHAR(10)&amp;I238&amp;CHAR(10),H238)),CHAR(10),"")))-1)*100+1,100))),""))</f>
        <v/>
      </c>
      <c r="K238" s="80" t="str">
        <f t="array" ref="K238">IF(A238="","",IF(ISNUMBER(SEARCH("Land",LEFT(IFERROR(INDEX(Wishlist!$A:$Z,ROW()-0,'List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38" s="80" t="str">
        <f t="shared" si="3"/>
        <v/>
      </c>
      <c r="M238" s="80" t="str">
        <f>IF(A238="","",IF(AND(E238="Y",B238='Use at Shop'!$B$4),K238*10000000000+(MAX(0,MIN(26,CODE(MID(UPPER(A238)&amp;"    ",1,1))-64))*19683+MAX(0,MIN(26,CODE(MID(UPPER(A238)&amp;"    ",2,1))-64))*729+MAX(0,MIN(26,CODE(MID(UPPER(A238)&amp;"    ",3,1))-64))*27+MAX(0,MIN(26,CODE(MID(UPPER(A238)&amp;"    ",4,1))-64))*1)*10000+ROW(),""))</f>
        <v/>
      </c>
      <c r="N238" s="80" t="str">
        <f t="shared" si="4"/>
        <v/>
      </c>
      <c r="O238" s="80" t="str">
        <f t="array" ref="O238">IF(A238="","",IFERROR(INDEX(Wishlist!$A:$Z,ROW()-0,'List Setup'!$J$2)&amp;"",""))</f>
        <v/>
      </c>
      <c r="P238" s="2"/>
      <c r="Q238" s="80" t="str">
        <f>IF(A238="","",'List Setup'!$A$2)</f>
        <v/>
      </c>
      <c r="R238" s="80" t="str">
        <f t="array" ref="R238">IF(A238="","",IFERROR(OR(INDEX(Binders!$J$6:$J$30,MATCH(Q238,Binders!$I$6:$I$30,0))=TRUE(),UPPER(INDEX(Binders!$J$6:$J$30,MATCH(Q238,Binders!$I$6:$I$30,0))&amp;"")="TRUE"),FALSE()))</f>
        <v/>
      </c>
    </row>
    <row r="239" ht="15.75" customHeight="1">
      <c r="A239" s="80" t="str">
        <f t="array" ref="A239">IF(INDEX(Wishlist!$A:$Z,ROW()-0,'List Setup'!$D$2)="","",INDEX(Wishlist!$A:$Z,ROW()-0,'List Setup'!$D$2))</f>
        <v/>
      </c>
      <c r="B239" s="80" t="str">
        <f t="array" ref="B239">IF(A239="","",IFERROR(INDEX('Binder Setup'!$B$2:$B$401,MIN(IF(ISNUMBER(SEARCH(CHAR(10)&amp;'Binder Setup'!$B$2:$B$401&amp;CHAR(10),$H239)),'List Setup'!$Q$2:$Q$401,999),IF(ISNUMBER(SEARCH(CHAR(10)&amp;'Set Aliases'!$A$2:$A$501&amp;CHAR(10),$H239)),'Set Aliases'!$C$2:$C$501,999))),"(none)"))</f>
        <v/>
      </c>
      <c r="C239" s="80" t="str">
        <f t="shared" si="1"/>
        <v/>
      </c>
      <c r="D239" s="80" t="str">
        <f t="array" ref="D239">IF(A239="","",IF(ISLOGICAL(INDEX(Wishlist!$A:$Z,ROW()-0,'List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39" s="80" t="str">
        <f t="shared" si="2"/>
        <v/>
      </c>
      <c r="F239" s="80" t="str">
        <f t="array" ref="F239">IF(A239="","",IF(ISNUMBER(J239),J239,IF(ISNUMBER(INDEX(Wishlist!$A:$Z,ROW()-0,'List Setup'!$F$2)),INDEX(Wishlist!$A:$Z,ROW()-0,'List Setup'!$F$2),0)))</f>
        <v/>
      </c>
      <c r="G239" s="80" t="str">
        <f t="array" ref="G239">IF(A239="","",A239&amp;IF(N(INDEX(Wishlist!$A:$Z,ROW()-0,'List Setup'!$C$2))&gt;1," (x"&amp;INDEX(Wishlist!$A:$Z,ROW()-0,'List Setup'!$C$2)&amp;")","")&amp;IF(COUNTIF(Binders!$J$6:$J$30,TRUE())&gt;1," ["&amp;Q239&amp;"]",""))</f>
        <v/>
      </c>
      <c r="H239" s="80" t="str">
        <f t="array" ref="H239">IF(A239="","",CHAR(10)&amp;INDEX(Wishlist!$A:$Z,ROW()-0,'List Setup'!$E$2)&amp;CHAR(10))</f>
        <v/>
      </c>
      <c r="I239" s="80" t="str">
        <f t="array" ref="I239">IF(OR(B239="",B239="(none)"),"",IF(ISNUMBER(SEARCH(CHAR(10)&amp;B239&amp;CHAR(10),H239)),B239,IFERROR(INDEX('Set Aliases'!$A$2:$A$501,MATCH(1,('Set Aliases'!$B$2:$B$501=B239)*ISNUMBER(SEARCH(CHAR(10)&amp;'Set Aliases'!$A$2:$A$501&amp;CHAR(10),H239)),0)),"")))</f>
        <v/>
      </c>
      <c r="J239" s="80" t="str">
        <f t="array" ref="J239">IF(I239="","",IFERROR(VALUE(TRIM(MID(SUBSTITUTE(INDEX(Wishlist!$A:$Z,ROW()-0,'List Setup'!$G$2),CHAR(10),REPT(" ",100)),((SEARCH(CHAR(10)&amp;I239&amp;CHAR(10),H239)-LEN(SUBSTITUTE(LEFT(H239,SEARCH(CHAR(10)&amp;I239&amp;CHAR(10),H239)),CHAR(10),"")))-1)*100+1,100))),""))</f>
        <v/>
      </c>
      <c r="K239" s="80" t="str">
        <f t="array" ref="K239">IF(A239="","",IF(ISNUMBER(SEARCH("Land",LEFT(IFERROR(INDEX(Wishlist!$A:$Z,ROW()-0,'List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39" s="80" t="str">
        <f t="shared" si="3"/>
        <v/>
      </c>
      <c r="M239" s="80" t="str">
        <f>IF(A239="","",IF(AND(E239="Y",B239='Use at Shop'!$B$4),K239*10000000000+(MAX(0,MIN(26,CODE(MID(UPPER(A239)&amp;"    ",1,1))-64))*19683+MAX(0,MIN(26,CODE(MID(UPPER(A239)&amp;"    ",2,1))-64))*729+MAX(0,MIN(26,CODE(MID(UPPER(A239)&amp;"    ",3,1))-64))*27+MAX(0,MIN(26,CODE(MID(UPPER(A239)&amp;"    ",4,1))-64))*1)*10000+ROW(),""))</f>
        <v/>
      </c>
      <c r="N239" s="80" t="str">
        <f t="shared" si="4"/>
        <v/>
      </c>
      <c r="O239" s="80" t="str">
        <f t="array" ref="O239">IF(A239="","",IFERROR(INDEX(Wishlist!$A:$Z,ROW()-0,'List Setup'!$J$2)&amp;"",""))</f>
        <v/>
      </c>
      <c r="P239" s="2"/>
      <c r="Q239" s="80" t="str">
        <f>IF(A239="","",'List Setup'!$A$2)</f>
        <v/>
      </c>
      <c r="R239" s="80" t="str">
        <f t="array" ref="R239">IF(A239="","",IFERROR(OR(INDEX(Binders!$J$6:$J$30,MATCH(Q239,Binders!$I$6:$I$30,0))=TRUE(),UPPER(INDEX(Binders!$J$6:$J$30,MATCH(Q239,Binders!$I$6:$I$30,0))&amp;"")="TRUE"),FALSE()))</f>
        <v/>
      </c>
    </row>
    <row r="240" ht="15.75" customHeight="1">
      <c r="A240" s="80" t="str">
        <f t="array" ref="A240">IF(INDEX(Wishlist!$A:$Z,ROW()-0,'List Setup'!$D$2)="","",INDEX(Wishlist!$A:$Z,ROW()-0,'List Setup'!$D$2))</f>
        <v/>
      </c>
      <c r="B240" s="80" t="str">
        <f t="array" ref="B240">IF(A240="","",IFERROR(INDEX('Binder Setup'!$B$2:$B$401,MIN(IF(ISNUMBER(SEARCH(CHAR(10)&amp;'Binder Setup'!$B$2:$B$401&amp;CHAR(10),$H240)),'List Setup'!$Q$2:$Q$401,999),IF(ISNUMBER(SEARCH(CHAR(10)&amp;'Set Aliases'!$A$2:$A$501&amp;CHAR(10),$H240)),'Set Aliases'!$C$2:$C$501,999))),"(none)"))</f>
        <v/>
      </c>
      <c r="C240" s="80" t="str">
        <f t="shared" si="1"/>
        <v/>
      </c>
      <c r="D240" s="80" t="str">
        <f t="array" ref="D240">IF(A240="","",IF(ISLOGICAL(INDEX(Wishlist!$A:$Z,ROW()-0,'List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40" s="80" t="str">
        <f t="shared" si="2"/>
        <v/>
      </c>
      <c r="F240" s="80" t="str">
        <f t="array" ref="F240">IF(A240="","",IF(ISNUMBER(J240),J240,IF(ISNUMBER(INDEX(Wishlist!$A:$Z,ROW()-0,'List Setup'!$F$2)),INDEX(Wishlist!$A:$Z,ROW()-0,'List Setup'!$F$2),0)))</f>
        <v/>
      </c>
      <c r="G240" s="80" t="str">
        <f t="array" ref="G240">IF(A240="","",A240&amp;IF(N(INDEX(Wishlist!$A:$Z,ROW()-0,'List Setup'!$C$2))&gt;1," (x"&amp;INDEX(Wishlist!$A:$Z,ROW()-0,'List Setup'!$C$2)&amp;")","")&amp;IF(COUNTIF(Binders!$J$6:$J$30,TRUE())&gt;1," ["&amp;Q240&amp;"]",""))</f>
        <v/>
      </c>
      <c r="H240" s="80" t="str">
        <f t="array" ref="H240">IF(A240="","",CHAR(10)&amp;INDEX(Wishlist!$A:$Z,ROW()-0,'List Setup'!$E$2)&amp;CHAR(10))</f>
        <v/>
      </c>
      <c r="I240" s="80" t="str">
        <f t="array" ref="I240">IF(OR(B240="",B240="(none)"),"",IF(ISNUMBER(SEARCH(CHAR(10)&amp;B240&amp;CHAR(10),H240)),B240,IFERROR(INDEX('Set Aliases'!$A$2:$A$501,MATCH(1,('Set Aliases'!$B$2:$B$501=B240)*ISNUMBER(SEARCH(CHAR(10)&amp;'Set Aliases'!$A$2:$A$501&amp;CHAR(10),H240)),0)),"")))</f>
        <v/>
      </c>
      <c r="J240" s="80" t="str">
        <f t="array" ref="J240">IF(I240="","",IFERROR(VALUE(TRIM(MID(SUBSTITUTE(INDEX(Wishlist!$A:$Z,ROW()-0,'List Setup'!$G$2),CHAR(10),REPT(" ",100)),((SEARCH(CHAR(10)&amp;I240&amp;CHAR(10),H240)-LEN(SUBSTITUTE(LEFT(H240,SEARCH(CHAR(10)&amp;I240&amp;CHAR(10),H240)),CHAR(10),"")))-1)*100+1,100))),""))</f>
        <v/>
      </c>
      <c r="K240" s="80" t="str">
        <f t="array" ref="K240">IF(A240="","",IF(ISNUMBER(SEARCH("Land",LEFT(IFERROR(INDEX(Wishlist!$A:$Z,ROW()-0,'List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40" s="80" t="str">
        <f t="shared" si="3"/>
        <v/>
      </c>
      <c r="M240" s="80" t="str">
        <f>IF(A240="","",IF(AND(E240="Y",B240='Use at Shop'!$B$4),K240*10000000000+(MAX(0,MIN(26,CODE(MID(UPPER(A240)&amp;"    ",1,1))-64))*19683+MAX(0,MIN(26,CODE(MID(UPPER(A240)&amp;"    ",2,1))-64))*729+MAX(0,MIN(26,CODE(MID(UPPER(A240)&amp;"    ",3,1))-64))*27+MAX(0,MIN(26,CODE(MID(UPPER(A240)&amp;"    ",4,1))-64))*1)*10000+ROW(),""))</f>
        <v/>
      </c>
      <c r="N240" s="80" t="str">
        <f t="shared" si="4"/>
        <v/>
      </c>
      <c r="O240" s="80" t="str">
        <f t="array" ref="O240">IF(A240="","",IFERROR(INDEX(Wishlist!$A:$Z,ROW()-0,'List Setup'!$J$2)&amp;"",""))</f>
        <v/>
      </c>
      <c r="P240" s="2"/>
      <c r="Q240" s="80" t="str">
        <f>IF(A240="","",'List Setup'!$A$2)</f>
        <v/>
      </c>
      <c r="R240" s="80" t="str">
        <f t="array" ref="R240">IF(A240="","",IFERROR(OR(INDEX(Binders!$J$6:$J$30,MATCH(Q240,Binders!$I$6:$I$30,0))=TRUE(),UPPER(INDEX(Binders!$J$6:$J$30,MATCH(Q240,Binders!$I$6:$I$30,0))&amp;"")="TRUE"),FALSE()))</f>
        <v/>
      </c>
    </row>
    <row r="241" ht="15.75" customHeight="1">
      <c r="A241" s="80" t="str">
        <f t="array" ref="A241">IF(INDEX(Wishlist!$A:$Z,ROW()-0,'List Setup'!$D$2)="","",INDEX(Wishlist!$A:$Z,ROW()-0,'List Setup'!$D$2))</f>
        <v/>
      </c>
      <c r="B241" s="80" t="str">
        <f t="array" ref="B241">IF(A241="","",IFERROR(INDEX('Binder Setup'!$B$2:$B$401,MIN(IF(ISNUMBER(SEARCH(CHAR(10)&amp;'Binder Setup'!$B$2:$B$401&amp;CHAR(10),$H241)),'List Setup'!$Q$2:$Q$401,999),IF(ISNUMBER(SEARCH(CHAR(10)&amp;'Set Aliases'!$A$2:$A$501&amp;CHAR(10),$H241)),'Set Aliases'!$C$2:$C$501,999))),"(none)"))</f>
        <v/>
      </c>
      <c r="C241" s="80" t="str">
        <f t="shared" si="1"/>
        <v/>
      </c>
      <c r="D241" s="80" t="str">
        <f t="array" ref="D241">IF(A241="","",IF(ISLOGICAL(INDEX(Wishlist!$A:$Z,ROW()-0,'List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41" s="80" t="str">
        <f t="shared" si="2"/>
        <v/>
      </c>
      <c r="F241" s="80" t="str">
        <f t="array" ref="F241">IF(A241="","",IF(ISNUMBER(J241),J241,IF(ISNUMBER(INDEX(Wishlist!$A:$Z,ROW()-0,'List Setup'!$F$2)),INDEX(Wishlist!$A:$Z,ROW()-0,'List Setup'!$F$2),0)))</f>
        <v/>
      </c>
      <c r="G241" s="80" t="str">
        <f t="array" ref="G241">IF(A241="","",A241&amp;IF(N(INDEX(Wishlist!$A:$Z,ROW()-0,'List Setup'!$C$2))&gt;1," (x"&amp;INDEX(Wishlist!$A:$Z,ROW()-0,'List Setup'!$C$2)&amp;")","")&amp;IF(COUNTIF(Binders!$J$6:$J$30,TRUE())&gt;1," ["&amp;Q241&amp;"]",""))</f>
        <v/>
      </c>
      <c r="H241" s="80" t="str">
        <f t="array" ref="H241">IF(A241="","",CHAR(10)&amp;INDEX(Wishlist!$A:$Z,ROW()-0,'List Setup'!$E$2)&amp;CHAR(10))</f>
        <v/>
      </c>
      <c r="I241" s="80" t="str">
        <f t="array" ref="I241">IF(OR(B241="",B241="(none)"),"",IF(ISNUMBER(SEARCH(CHAR(10)&amp;B241&amp;CHAR(10),H241)),B241,IFERROR(INDEX('Set Aliases'!$A$2:$A$501,MATCH(1,('Set Aliases'!$B$2:$B$501=B241)*ISNUMBER(SEARCH(CHAR(10)&amp;'Set Aliases'!$A$2:$A$501&amp;CHAR(10),H241)),0)),"")))</f>
        <v/>
      </c>
      <c r="J241" s="80" t="str">
        <f t="array" ref="J241">IF(I241="","",IFERROR(VALUE(TRIM(MID(SUBSTITUTE(INDEX(Wishlist!$A:$Z,ROW()-0,'List Setup'!$G$2),CHAR(10),REPT(" ",100)),((SEARCH(CHAR(10)&amp;I241&amp;CHAR(10),H241)-LEN(SUBSTITUTE(LEFT(H241,SEARCH(CHAR(10)&amp;I241&amp;CHAR(10),H241)),CHAR(10),"")))-1)*100+1,100))),""))</f>
        <v/>
      </c>
      <c r="K241" s="80" t="str">
        <f t="array" ref="K241">IF(A241="","",IF(ISNUMBER(SEARCH("Land",LEFT(IFERROR(INDEX(Wishlist!$A:$Z,ROW()-0,'List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41" s="80" t="str">
        <f t="shared" si="3"/>
        <v/>
      </c>
      <c r="M241" s="80" t="str">
        <f>IF(A241="","",IF(AND(E241="Y",B241='Use at Shop'!$B$4),K241*10000000000+(MAX(0,MIN(26,CODE(MID(UPPER(A241)&amp;"    ",1,1))-64))*19683+MAX(0,MIN(26,CODE(MID(UPPER(A241)&amp;"    ",2,1))-64))*729+MAX(0,MIN(26,CODE(MID(UPPER(A241)&amp;"    ",3,1))-64))*27+MAX(0,MIN(26,CODE(MID(UPPER(A241)&amp;"    ",4,1))-64))*1)*10000+ROW(),""))</f>
        <v/>
      </c>
      <c r="N241" s="80" t="str">
        <f t="shared" si="4"/>
        <v/>
      </c>
      <c r="O241" s="80" t="str">
        <f t="array" ref="O241">IF(A241="","",IFERROR(INDEX(Wishlist!$A:$Z,ROW()-0,'List Setup'!$J$2)&amp;"",""))</f>
        <v/>
      </c>
      <c r="P241" s="2"/>
      <c r="Q241" s="80" t="str">
        <f>IF(A241="","",'List Setup'!$A$2)</f>
        <v/>
      </c>
      <c r="R241" s="80" t="str">
        <f t="array" ref="R241">IF(A241="","",IFERROR(OR(INDEX(Binders!$J$6:$J$30,MATCH(Q241,Binders!$I$6:$I$30,0))=TRUE(),UPPER(INDEX(Binders!$J$6:$J$30,MATCH(Q241,Binders!$I$6:$I$30,0))&amp;"")="TRUE"),FALSE()))</f>
        <v/>
      </c>
    </row>
    <row r="242" ht="15.75" customHeight="1">
      <c r="A242" s="80" t="str">
        <f t="array" ref="A242">IF(INDEX(Wishlist!$A:$Z,ROW()-0,'List Setup'!$D$2)="","",INDEX(Wishlist!$A:$Z,ROW()-0,'List Setup'!$D$2))</f>
        <v/>
      </c>
      <c r="B242" s="80" t="str">
        <f t="array" ref="B242">IF(A242="","",IFERROR(INDEX('Binder Setup'!$B$2:$B$401,MIN(IF(ISNUMBER(SEARCH(CHAR(10)&amp;'Binder Setup'!$B$2:$B$401&amp;CHAR(10),$H242)),'List Setup'!$Q$2:$Q$401,999),IF(ISNUMBER(SEARCH(CHAR(10)&amp;'Set Aliases'!$A$2:$A$501&amp;CHAR(10),$H242)),'Set Aliases'!$C$2:$C$501,999))),"(none)"))</f>
        <v/>
      </c>
      <c r="C242" s="80" t="str">
        <f t="shared" si="1"/>
        <v/>
      </c>
      <c r="D242" s="80" t="str">
        <f t="array" ref="D242">IF(A242="","",IF(ISLOGICAL(INDEX(Wishlist!$A:$Z,ROW()-0,'List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42" s="80" t="str">
        <f t="shared" si="2"/>
        <v/>
      </c>
      <c r="F242" s="80" t="str">
        <f t="array" ref="F242">IF(A242="","",IF(ISNUMBER(J242),J242,IF(ISNUMBER(INDEX(Wishlist!$A:$Z,ROW()-0,'List Setup'!$F$2)),INDEX(Wishlist!$A:$Z,ROW()-0,'List Setup'!$F$2),0)))</f>
        <v/>
      </c>
      <c r="G242" s="80" t="str">
        <f t="array" ref="G242">IF(A242="","",A242&amp;IF(N(INDEX(Wishlist!$A:$Z,ROW()-0,'List Setup'!$C$2))&gt;1," (x"&amp;INDEX(Wishlist!$A:$Z,ROW()-0,'List Setup'!$C$2)&amp;")","")&amp;IF(COUNTIF(Binders!$J$6:$J$30,TRUE())&gt;1," ["&amp;Q242&amp;"]",""))</f>
        <v/>
      </c>
      <c r="H242" s="80" t="str">
        <f t="array" ref="H242">IF(A242="","",CHAR(10)&amp;INDEX(Wishlist!$A:$Z,ROW()-0,'List Setup'!$E$2)&amp;CHAR(10))</f>
        <v/>
      </c>
      <c r="I242" s="80" t="str">
        <f t="array" ref="I242">IF(OR(B242="",B242="(none)"),"",IF(ISNUMBER(SEARCH(CHAR(10)&amp;B242&amp;CHAR(10),H242)),B242,IFERROR(INDEX('Set Aliases'!$A$2:$A$501,MATCH(1,('Set Aliases'!$B$2:$B$501=B242)*ISNUMBER(SEARCH(CHAR(10)&amp;'Set Aliases'!$A$2:$A$501&amp;CHAR(10),H242)),0)),"")))</f>
        <v/>
      </c>
      <c r="J242" s="80" t="str">
        <f t="array" ref="J242">IF(I242="","",IFERROR(VALUE(TRIM(MID(SUBSTITUTE(INDEX(Wishlist!$A:$Z,ROW()-0,'List Setup'!$G$2),CHAR(10),REPT(" ",100)),((SEARCH(CHAR(10)&amp;I242&amp;CHAR(10),H242)-LEN(SUBSTITUTE(LEFT(H242,SEARCH(CHAR(10)&amp;I242&amp;CHAR(10),H242)),CHAR(10),"")))-1)*100+1,100))),""))</f>
        <v/>
      </c>
      <c r="K242" s="80" t="str">
        <f t="array" ref="K242">IF(A242="","",IF(ISNUMBER(SEARCH("Land",LEFT(IFERROR(INDEX(Wishlist!$A:$Z,ROW()-0,'List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42" s="80" t="str">
        <f t="shared" si="3"/>
        <v/>
      </c>
      <c r="M242" s="80" t="str">
        <f>IF(A242="","",IF(AND(E242="Y",B242='Use at Shop'!$B$4),K242*10000000000+(MAX(0,MIN(26,CODE(MID(UPPER(A242)&amp;"    ",1,1))-64))*19683+MAX(0,MIN(26,CODE(MID(UPPER(A242)&amp;"    ",2,1))-64))*729+MAX(0,MIN(26,CODE(MID(UPPER(A242)&amp;"    ",3,1))-64))*27+MAX(0,MIN(26,CODE(MID(UPPER(A242)&amp;"    ",4,1))-64))*1)*10000+ROW(),""))</f>
        <v/>
      </c>
      <c r="N242" s="80" t="str">
        <f t="shared" si="4"/>
        <v/>
      </c>
      <c r="O242" s="80" t="str">
        <f t="array" ref="O242">IF(A242="","",IFERROR(INDEX(Wishlist!$A:$Z,ROW()-0,'List Setup'!$J$2)&amp;"",""))</f>
        <v/>
      </c>
      <c r="P242" s="2"/>
      <c r="Q242" s="80" t="str">
        <f>IF(A242="","",'List Setup'!$A$2)</f>
        <v/>
      </c>
      <c r="R242" s="80" t="str">
        <f t="array" ref="R242">IF(A242="","",IFERROR(OR(INDEX(Binders!$J$6:$J$30,MATCH(Q242,Binders!$I$6:$I$30,0))=TRUE(),UPPER(INDEX(Binders!$J$6:$J$30,MATCH(Q242,Binders!$I$6:$I$30,0))&amp;"")="TRUE"),FALSE()))</f>
        <v/>
      </c>
    </row>
    <row r="243" ht="15.75" customHeight="1">
      <c r="A243" s="80" t="str">
        <f t="array" ref="A243">IF(INDEX(Wishlist!$A:$Z,ROW()-0,'List Setup'!$D$2)="","",INDEX(Wishlist!$A:$Z,ROW()-0,'List Setup'!$D$2))</f>
        <v/>
      </c>
      <c r="B243" s="80" t="str">
        <f t="array" ref="B243">IF(A243="","",IFERROR(INDEX('Binder Setup'!$B$2:$B$401,MIN(IF(ISNUMBER(SEARCH(CHAR(10)&amp;'Binder Setup'!$B$2:$B$401&amp;CHAR(10),$H243)),'List Setup'!$Q$2:$Q$401,999),IF(ISNUMBER(SEARCH(CHAR(10)&amp;'Set Aliases'!$A$2:$A$501&amp;CHAR(10),$H243)),'Set Aliases'!$C$2:$C$501,999))),"(none)"))</f>
        <v/>
      </c>
      <c r="C243" s="80" t="str">
        <f t="shared" si="1"/>
        <v/>
      </c>
      <c r="D243" s="80" t="str">
        <f t="array" ref="D243">IF(A243="","",IF(ISLOGICAL(INDEX(Wishlist!$A:$Z,ROW()-0,'List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43" s="80" t="str">
        <f t="shared" si="2"/>
        <v/>
      </c>
      <c r="F243" s="80" t="str">
        <f t="array" ref="F243">IF(A243="","",IF(ISNUMBER(J243),J243,IF(ISNUMBER(INDEX(Wishlist!$A:$Z,ROW()-0,'List Setup'!$F$2)),INDEX(Wishlist!$A:$Z,ROW()-0,'List Setup'!$F$2),0)))</f>
        <v/>
      </c>
      <c r="G243" s="80" t="str">
        <f t="array" ref="G243">IF(A243="","",A243&amp;IF(N(INDEX(Wishlist!$A:$Z,ROW()-0,'List Setup'!$C$2))&gt;1," (x"&amp;INDEX(Wishlist!$A:$Z,ROW()-0,'List Setup'!$C$2)&amp;")","")&amp;IF(COUNTIF(Binders!$J$6:$J$30,TRUE())&gt;1," ["&amp;Q243&amp;"]",""))</f>
        <v/>
      </c>
      <c r="H243" s="80" t="str">
        <f t="array" ref="H243">IF(A243="","",CHAR(10)&amp;INDEX(Wishlist!$A:$Z,ROW()-0,'List Setup'!$E$2)&amp;CHAR(10))</f>
        <v/>
      </c>
      <c r="I243" s="80" t="str">
        <f t="array" ref="I243">IF(OR(B243="",B243="(none)"),"",IF(ISNUMBER(SEARCH(CHAR(10)&amp;B243&amp;CHAR(10),H243)),B243,IFERROR(INDEX('Set Aliases'!$A$2:$A$501,MATCH(1,('Set Aliases'!$B$2:$B$501=B243)*ISNUMBER(SEARCH(CHAR(10)&amp;'Set Aliases'!$A$2:$A$501&amp;CHAR(10),H243)),0)),"")))</f>
        <v/>
      </c>
      <c r="J243" s="80" t="str">
        <f t="array" ref="J243">IF(I243="","",IFERROR(VALUE(TRIM(MID(SUBSTITUTE(INDEX(Wishlist!$A:$Z,ROW()-0,'List Setup'!$G$2),CHAR(10),REPT(" ",100)),((SEARCH(CHAR(10)&amp;I243&amp;CHAR(10),H243)-LEN(SUBSTITUTE(LEFT(H243,SEARCH(CHAR(10)&amp;I243&amp;CHAR(10),H243)),CHAR(10),"")))-1)*100+1,100))),""))</f>
        <v/>
      </c>
      <c r="K243" s="80" t="str">
        <f t="array" ref="K243">IF(A243="","",IF(ISNUMBER(SEARCH("Land",LEFT(IFERROR(INDEX(Wishlist!$A:$Z,ROW()-0,'List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43" s="80" t="str">
        <f t="shared" si="3"/>
        <v/>
      </c>
      <c r="M243" s="80" t="str">
        <f>IF(A243="","",IF(AND(E243="Y",B243='Use at Shop'!$B$4),K243*10000000000+(MAX(0,MIN(26,CODE(MID(UPPER(A243)&amp;"    ",1,1))-64))*19683+MAX(0,MIN(26,CODE(MID(UPPER(A243)&amp;"    ",2,1))-64))*729+MAX(0,MIN(26,CODE(MID(UPPER(A243)&amp;"    ",3,1))-64))*27+MAX(0,MIN(26,CODE(MID(UPPER(A243)&amp;"    ",4,1))-64))*1)*10000+ROW(),""))</f>
        <v/>
      </c>
      <c r="N243" s="80" t="str">
        <f t="shared" si="4"/>
        <v/>
      </c>
      <c r="O243" s="80" t="str">
        <f t="array" ref="O243">IF(A243="","",IFERROR(INDEX(Wishlist!$A:$Z,ROW()-0,'List Setup'!$J$2)&amp;"",""))</f>
        <v/>
      </c>
      <c r="P243" s="2"/>
      <c r="Q243" s="80" t="str">
        <f>IF(A243="","",'List Setup'!$A$2)</f>
        <v/>
      </c>
      <c r="R243" s="80" t="str">
        <f t="array" ref="R243">IF(A243="","",IFERROR(OR(INDEX(Binders!$J$6:$J$30,MATCH(Q243,Binders!$I$6:$I$30,0))=TRUE(),UPPER(INDEX(Binders!$J$6:$J$30,MATCH(Q243,Binders!$I$6:$I$30,0))&amp;"")="TRUE"),FALSE()))</f>
        <v/>
      </c>
    </row>
    <row r="244" ht="15.75" customHeight="1">
      <c r="A244" s="80" t="str">
        <f t="array" ref="A244">IF(INDEX(Wishlist!$A:$Z,ROW()-0,'List Setup'!$D$2)="","",INDEX(Wishlist!$A:$Z,ROW()-0,'List Setup'!$D$2))</f>
        <v/>
      </c>
      <c r="B244" s="80" t="str">
        <f t="array" ref="B244">IF(A244="","",IFERROR(INDEX('Binder Setup'!$B$2:$B$401,MIN(IF(ISNUMBER(SEARCH(CHAR(10)&amp;'Binder Setup'!$B$2:$B$401&amp;CHAR(10),$H244)),'List Setup'!$Q$2:$Q$401,999),IF(ISNUMBER(SEARCH(CHAR(10)&amp;'Set Aliases'!$A$2:$A$501&amp;CHAR(10),$H244)),'Set Aliases'!$C$2:$C$501,999))),"(none)"))</f>
        <v/>
      </c>
      <c r="C244" s="80" t="str">
        <f t="shared" si="1"/>
        <v/>
      </c>
      <c r="D244" s="80" t="str">
        <f t="array" ref="D244">IF(A244="","",IF(ISLOGICAL(INDEX(Wishlist!$A:$Z,ROW()-0,'List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44" s="80" t="str">
        <f t="shared" si="2"/>
        <v/>
      </c>
      <c r="F244" s="80" t="str">
        <f t="array" ref="F244">IF(A244="","",IF(ISNUMBER(J244),J244,IF(ISNUMBER(INDEX(Wishlist!$A:$Z,ROW()-0,'List Setup'!$F$2)),INDEX(Wishlist!$A:$Z,ROW()-0,'List Setup'!$F$2),0)))</f>
        <v/>
      </c>
      <c r="G244" s="80" t="str">
        <f t="array" ref="G244">IF(A244="","",A244&amp;IF(N(INDEX(Wishlist!$A:$Z,ROW()-0,'List Setup'!$C$2))&gt;1," (x"&amp;INDEX(Wishlist!$A:$Z,ROW()-0,'List Setup'!$C$2)&amp;")","")&amp;IF(COUNTIF(Binders!$J$6:$J$30,TRUE())&gt;1," ["&amp;Q244&amp;"]",""))</f>
        <v/>
      </c>
      <c r="H244" s="80" t="str">
        <f t="array" ref="H244">IF(A244="","",CHAR(10)&amp;INDEX(Wishlist!$A:$Z,ROW()-0,'List Setup'!$E$2)&amp;CHAR(10))</f>
        <v/>
      </c>
      <c r="I244" s="80" t="str">
        <f t="array" ref="I244">IF(OR(B244="",B244="(none)"),"",IF(ISNUMBER(SEARCH(CHAR(10)&amp;B244&amp;CHAR(10),H244)),B244,IFERROR(INDEX('Set Aliases'!$A$2:$A$501,MATCH(1,('Set Aliases'!$B$2:$B$501=B244)*ISNUMBER(SEARCH(CHAR(10)&amp;'Set Aliases'!$A$2:$A$501&amp;CHAR(10),H244)),0)),"")))</f>
        <v/>
      </c>
      <c r="J244" s="80" t="str">
        <f t="array" ref="J244">IF(I244="","",IFERROR(VALUE(TRIM(MID(SUBSTITUTE(INDEX(Wishlist!$A:$Z,ROW()-0,'List Setup'!$G$2),CHAR(10),REPT(" ",100)),((SEARCH(CHAR(10)&amp;I244&amp;CHAR(10),H244)-LEN(SUBSTITUTE(LEFT(H244,SEARCH(CHAR(10)&amp;I244&amp;CHAR(10),H244)),CHAR(10),"")))-1)*100+1,100))),""))</f>
        <v/>
      </c>
      <c r="K244" s="80" t="str">
        <f t="array" ref="K244">IF(A244="","",IF(ISNUMBER(SEARCH("Land",LEFT(IFERROR(INDEX(Wishlist!$A:$Z,ROW()-0,'List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44" s="80" t="str">
        <f t="shared" si="3"/>
        <v/>
      </c>
      <c r="M244" s="80" t="str">
        <f>IF(A244="","",IF(AND(E244="Y",B244='Use at Shop'!$B$4),K244*10000000000+(MAX(0,MIN(26,CODE(MID(UPPER(A244)&amp;"    ",1,1))-64))*19683+MAX(0,MIN(26,CODE(MID(UPPER(A244)&amp;"    ",2,1))-64))*729+MAX(0,MIN(26,CODE(MID(UPPER(A244)&amp;"    ",3,1))-64))*27+MAX(0,MIN(26,CODE(MID(UPPER(A244)&amp;"    ",4,1))-64))*1)*10000+ROW(),""))</f>
        <v/>
      </c>
      <c r="N244" s="80" t="str">
        <f t="shared" si="4"/>
        <v/>
      </c>
      <c r="O244" s="80" t="str">
        <f t="array" ref="O244">IF(A244="","",IFERROR(INDEX(Wishlist!$A:$Z,ROW()-0,'List Setup'!$J$2)&amp;"",""))</f>
        <v/>
      </c>
      <c r="P244" s="2"/>
      <c r="Q244" s="80" t="str">
        <f>IF(A244="","",'List Setup'!$A$2)</f>
        <v/>
      </c>
      <c r="R244" s="80" t="str">
        <f t="array" ref="R244">IF(A244="","",IFERROR(OR(INDEX(Binders!$J$6:$J$30,MATCH(Q244,Binders!$I$6:$I$30,0))=TRUE(),UPPER(INDEX(Binders!$J$6:$J$30,MATCH(Q244,Binders!$I$6:$I$30,0))&amp;"")="TRUE"),FALSE()))</f>
        <v/>
      </c>
    </row>
    <row r="245" ht="15.75" customHeight="1">
      <c r="A245" s="80" t="str">
        <f t="array" ref="A245">IF(INDEX(Wishlist!$A:$Z,ROW()-0,'List Setup'!$D$2)="","",INDEX(Wishlist!$A:$Z,ROW()-0,'List Setup'!$D$2))</f>
        <v/>
      </c>
      <c r="B245" s="80" t="str">
        <f t="array" ref="B245">IF(A245="","",IFERROR(INDEX('Binder Setup'!$B$2:$B$401,MIN(IF(ISNUMBER(SEARCH(CHAR(10)&amp;'Binder Setup'!$B$2:$B$401&amp;CHAR(10),$H245)),'List Setup'!$Q$2:$Q$401,999),IF(ISNUMBER(SEARCH(CHAR(10)&amp;'Set Aliases'!$A$2:$A$501&amp;CHAR(10),$H245)),'Set Aliases'!$C$2:$C$501,999))),"(none)"))</f>
        <v/>
      </c>
      <c r="C245" s="80" t="str">
        <f t="shared" si="1"/>
        <v/>
      </c>
      <c r="D245" s="80" t="str">
        <f t="array" ref="D245">IF(A245="","",IF(ISLOGICAL(INDEX(Wishlist!$A:$Z,ROW()-0,'List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45" s="80" t="str">
        <f t="shared" si="2"/>
        <v/>
      </c>
      <c r="F245" s="80" t="str">
        <f t="array" ref="F245">IF(A245="","",IF(ISNUMBER(J245),J245,IF(ISNUMBER(INDEX(Wishlist!$A:$Z,ROW()-0,'List Setup'!$F$2)),INDEX(Wishlist!$A:$Z,ROW()-0,'List Setup'!$F$2),0)))</f>
        <v/>
      </c>
      <c r="G245" s="80" t="str">
        <f t="array" ref="G245">IF(A245="","",A245&amp;IF(N(INDEX(Wishlist!$A:$Z,ROW()-0,'List Setup'!$C$2))&gt;1," (x"&amp;INDEX(Wishlist!$A:$Z,ROW()-0,'List Setup'!$C$2)&amp;")","")&amp;IF(COUNTIF(Binders!$J$6:$J$30,TRUE())&gt;1," ["&amp;Q245&amp;"]",""))</f>
        <v/>
      </c>
      <c r="H245" s="80" t="str">
        <f t="array" ref="H245">IF(A245="","",CHAR(10)&amp;INDEX(Wishlist!$A:$Z,ROW()-0,'List Setup'!$E$2)&amp;CHAR(10))</f>
        <v/>
      </c>
      <c r="I245" s="80" t="str">
        <f t="array" ref="I245">IF(OR(B245="",B245="(none)"),"",IF(ISNUMBER(SEARCH(CHAR(10)&amp;B245&amp;CHAR(10),H245)),B245,IFERROR(INDEX('Set Aliases'!$A$2:$A$501,MATCH(1,('Set Aliases'!$B$2:$B$501=B245)*ISNUMBER(SEARCH(CHAR(10)&amp;'Set Aliases'!$A$2:$A$501&amp;CHAR(10),H245)),0)),"")))</f>
        <v/>
      </c>
      <c r="J245" s="80" t="str">
        <f t="array" ref="J245">IF(I245="","",IFERROR(VALUE(TRIM(MID(SUBSTITUTE(INDEX(Wishlist!$A:$Z,ROW()-0,'List Setup'!$G$2),CHAR(10),REPT(" ",100)),((SEARCH(CHAR(10)&amp;I245&amp;CHAR(10),H245)-LEN(SUBSTITUTE(LEFT(H245,SEARCH(CHAR(10)&amp;I245&amp;CHAR(10),H245)),CHAR(10),"")))-1)*100+1,100))),""))</f>
        <v/>
      </c>
      <c r="K245" s="80" t="str">
        <f t="array" ref="K245">IF(A245="","",IF(ISNUMBER(SEARCH("Land",LEFT(IFERROR(INDEX(Wishlist!$A:$Z,ROW()-0,'List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45" s="80" t="str">
        <f t="shared" si="3"/>
        <v/>
      </c>
      <c r="M245" s="80" t="str">
        <f>IF(A245="","",IF(AND(E245="Y",B245='Use at Shop'!$B$4),K245*10000000000+(MAX(0,MIN(26,CODE(MID(UPPER(A245)&amp;"    ",1,1))-64))*19683+MAX(0,MIN(26,CODE(MID(UPPER(A245)&amp;"    ",2,1))-64))*729+MAX(0,MIN(26,CODE(MID(UPPER(A245)&amp;"    ",3,1))-64))*27+MAX(0,MIN(26,CODE(MID(UPPER(A245)&amp;"    ",4,1))-64))*1)*10000+ROW(),""))</f>
        <v/>
      </c>
      <c r="N245" s="80" t="str">
        <f t="shared" si="4"/>
        <v/>
      </c>
      <c r="O245" s="80" t="str">
        <f t="array" ref="O245">IF(A245="","",IFERROR(INDEX(Wishlist!$A:$Z,ROW()-0,'List Setup'!$J$2)&amp;"",""))</f>
        <v/>
      </c>
      <c r="P245" s="2"/>
      <c r="Q245" s="80" t="str">
        <f>IF(A245="","",'List Setup'!$A$2)</f>
        <v/>
      </c>
      <c r="R245" s="80" t="str">
        <f t="array" ref="R245">IF(A245="","",IFERROR(OR(INDEX(Binders!$J$6:$J$30,MATCH(Q245,Binders!$I$6:$I$30,0))=TRUE(),UPPER(INDEX(Binders!$J$6:$J$30,MATCH(Q245,Binders!$I$6:$I$30,0))&amp;"")="TRUE"),FALSE()))</f>
        <v/>
      </c>
    </row>
    <row r="246" ht="15.75" customHeight="1">
      <c r="A246" s="80" t="str">
        <f t="array" ref="A246">IF(INDEX(Wishlist!$A:$Z,ROW()-0,'List Setup'!$D$2)="","",INDEX(Wishlist!$A:$Z,ROW()-0,'List Setup'!$D$2))</f>
        <v/>
      </c>
      <c r="B246" s="80" t="str">
        <f t="array" ref="B246">IF(A246="","",IFERROR(INDEX('Binder Setup'!$B$2:$B$401,MIN(IF(ISNUMBER(SEARCH(CHAR(10)&amp;'Binder Setup'!$B$2:$B$401&amp;CHAR(10),$H246)),'List Setup'!$Q$2:$Q$401,999),IF(ISNUMBER(SEARCH(CHAR(10)&amp;'Set Aliases'!$A$2:$A$501&amp;CHAR(10),$H246)),'Set Aliases'!$C$2:$C$501,999))),"(none)"))</f>
        <v/>
      </c>
      <c r="C246" s="80" t="str">
        <f t="shared" si="1"/>
        <v/>
      </c>
      <c r="D246" s="80" t="str">
        <f t="array" ref="D246">IF(A246="","",IF(ISLOGICAL(INDEX(Wishlist!$A:$Z,ROW()-0,'List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46" s="80" t="str">
        <f t="shared" si="2"/>
        <v/>
      </c>
      <c r="F246" s="80" t="str">
        <f t="array" ref="F246">IF(A246="","",IF(ISNUMBER(J246),J246,IF(ISNUMBER(INDEX(Wishlist!$A:$Z,ROW()-0,'List Setup'!$F$2)),INDEX(Wishlist!$A:$Z,ROW()-0,'List Setup'!$F$2),0)))</f>
        <v/>
      </c>
      <c r="G246" s="80" t="str">
        <f t="array" ref="G246">IF(A246="","",A246&amp;IF(N(INDEX(Wishlist!$A:$Z,ROW()-0,'List Setup'!$C$2))&gt;1," (x"&amp;INDEX(Wishlist!$A:$Z,ROW()-0,'List Setup'!$C$2)&amp;")","")&amp;IF(COUNTIF(Binders!$J$6:$J$30,TRUE())&gt;1," ["&amp;Q246&amp;"]",""))</f>
        <v/>
      </c>
      <c r="H246" s="80" t="str">
        <f t="array" ref="H246">IF(A246="","",CHAR(10)&amp;INDEX(Wishlist!$A:$Z,ROW()-0,'List Setup'!$E$2)&amp;CHAR(10))</f>
        <v/>
      </c>
      <c r="I246" s="80" t="str">
        <f t="array" ref="I246">IF(OR(B246="",B246="(none)"),"",IF(ISNUMBER(SEARCH(CHAR(10)&amp;B246&amp;CHAR(10),H246)),B246,IFERROR(INDEX('Set Aliases'!$A$2:$A$501,MATCH(1,('Set Aliases'!$B$2:$B$501=B246)*ISNUMBER(SEARCH(CHAR(10)&amp;'Set Aliases'!$A$2:$A$501&amp;CHAR(10),H246)),0)),"")))</f>
        <v/>
      </c>
      <c r="J246" s="80" t="str">
        <f t="array" ref="J246">IF(I246="","",IFERROR(VALUE(TRIM(MID(SUBSTITUTE(INDEX(Wishlist!$A:$Z,ROW()-0,'List Setup'!$G$2),CHAR(10),REPT(" ",100)),((SEARCH(CHAR(10)&amp;I246&amp;CHAR(10),H246)-LEN(SUBSTITUTE(LEFT(H246,SEARCH(CHAR(10)&amp;I246&amp;CHAR(10),H246)),CHAR(10),"")))-1)*100+1,100))),""))</f>
        <v/>
      </c>
      <c r="K246" s="80" t="str">
        <f t="array" ref="K246">IF(A246="","",IF(ISNUMBER(SEARCH("Land",LEFT(IFERROR(INDEX(Wishlist!$A:$Z,ROW()-0,'List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46" s="80" t="str">
        <f t="shared" si="3"/>
        <v/>
      </c>
      <c r="M246" s="80" t="str">
        <f>IF(A246="","",IF(AND(E246="Y",B246='Use at Shop'!$B$4),K246*10000000000+(MAX(0,MIN(26,CODE(MID(UPPER(A246)&amp;"    ",1,1))-64))*19683+MAX(0,MIN(26,CODE(MID(UPPER(A246)&amp;"    ",2,1))-64))*729+MAX(0,MIN(26,CODE(MID(UPPER(A246)&amp;"    ",3,1))-64))*27+MAX(0,MIN(26,CODE(MID(UPPER(A246)&amp;"    ",4,1))-64))*1)*10000+ROW(),""))</f>
        <v/>
      </c>
      <c r="N246" s="80" t="str">
        <f t="shared" si="4"/>
        <v/>
      </c>
      <c r="O246" s="80" t="str">
        <f t="array" ref="O246">IF(A246="","",IFERROR(INDEX(Wishlist!$A:$Z,ROW()-0,'List Setup'!$J$2)&amp;"",""))</f>
        <v/>
      </c>
      <c r="P246" s="2"/>
      <c r="Q246" s="80" t="str">
        <f>IF(A246="","",'List Setup'!$A$2)</f>
        <v/>
      </c>
      <c r="R246" s="80" t="str">
        <f t="array" ref="R246">IF(A246="","",IFERROR(OR(INDEX(Binders!$J$6:$J$30,MATCH(Q246,Binders!$I$6:$I$30,0))=TRUE(),UPPER(INDEX(Binders!$J$6:$J$30,MATCH(Q246,Binders!$I$6:$I$30,0))&amp;"")="TRUE"),FALSE()))</f>
        <v/>
      </c>
    </row>
    <row r="247" ht="15.75" customHeight="1">
      <c r="A247" s="80" t="str">
        <f t="array" ref="A247">IF(INDEX(Wishlist!$A:$Z,ROW()-0,'List Setup'!$D$2)="","",INDEX(Wishlist!$A:$Z,ROW()-0,'List Setup'!$D$2))</f>
        <v/>
      </c>
      <c r="B247" s="80" t="str">
        <f t="array" ref="B247">IF(A247="","",IFERROR(INDEX('Binder Setup'!$B$2:$B$401,MIN(IF(ISNUMBER(SEARCH(CHAR(10)&amp;'Binder Setup'!$B$2:$B$401&amp;CHAR(10),$H247)),'List Setup'!$Q$2:$Q$401,999),IF(ISNUMBER(SEARCH(CHAR(10)&amp;'Set Aliases'!$A$2:$A$501&amp;CHAR(10),$H247)),'Set Aliases'!$C$2:$C$501,999))),"(none)"))</f>
        <v/>
      </c>
      <c r="C247" s="80" t="str">
        <f t="shared" si="1"/>
        <v/>
      </c>
      <c r="D247" s="80" t="str">
        <f t="array" ref="D247">IF(A247="","",IF(ISLOGICAL(INDEX(Wishlist!$A:$Z,ROW()-0,'List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47" s="80" t="str">
        <f t="shared" si="2"/>
        <v/>
      </c>
      <c r="F247" s="80" t="str">
        <f t="array" ref="F247">IF(A247="","",IF(ISNUMBER(J247),J247,IF(ISNUMBER(INDEX(Wishlist!$A:$Z,ROW()-0,'List Setup'!$F$2)),INDEX(Wishlist!$A:$Z,ROW()-0,'List Setup'!$F$2),0)))</f>
        <v/>
      </c>
      <c r="G247" s="80" t="str">
        <f t="array" ref="G247">IF(A247="","",A247&amp;IF(N(INDEX(Wishlist!$A:$Z,ROW()-0,'List Setup'!$C$2))&gt;1," (x"&amp;INDEX(Wishlist!$A:$Z,ROW()-0,'List Setup'!$C$2)&amp;")","")&amp;IF(COUNTIF(Binders!$J$6:$J$30,TRUE())&gt;1," ["&amp;Q247&amp;"]",""))</f>
        <v/>
      </c>
      <c r="H247" s="80" t="str">
        <f t="array" ref="H247">IF(A247="","",CHAR(10)&amp;INDEX(Wishlist!$A:$Z,ROW()-0,'List Setup'!$E$2)&amp;CHAR(10))</f>
        <v/>
      </c>
      <c r="I247" s="80" t="str">
        <f t="array" ref="I247">IF(OR(B247="",B247="(none)"),"",IF(ISNUMBER(SEARCH(CHAR(10)&amp;B247&amp;CHAR(10),H247)),B247,IFERROR(INDEX('Set Aliases'!$A$2:$A$501,MATCH(1,('Set Aliases'!$B$2:$B$501=B247)*ISNUMBER(SEARCH(CHAR(10)&amp;'Set Aliases'!$A$2:$A$501&amp;CHAR(10),H247)),0)),"")))</f>
        <v/>
      </c>
      <c r="J247" s="80" t="str">
        <f t="array" ref="J247">IF(I247="","",IFERROR(VALUE(TRIM(MID(SUBSTITUTE(INDEX(Wishlist!$A:$Z,ROW()-0,'List Setup'!$G$2),CHAR(10),REPT(" ",100)),((SEARCH(CHAR(10)&amp;I247&amp;CHAR(10),H247)-LEN(SUBSTITUTE(LEFT(H247,SEARCH(CHAR(10)&amp;I247&amp;CHAR(10),H247)),CHAR(10),"")))-1)*100+1,100))),""))</f>
        <v/>
      </c>
      <c r="K247" s="80" t="str">
        <f t="array" ref="K247">IF(A247="","",IF(ISNUMBER(SEARCH("Land",LEFT(IFERROR(INDEX(Wishlist!$A:$Z,ROW()-0,'List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47" s="80" t="str">
        <f t="shared" si="3"/>
        <v/>
      </c>
      <c r="M247" s="80" t="str">
        <f>IF(A247="","",IF(AND(E247="Y",B247='Use at Shop'!$B$4),K247*10000000000+(MAX(0,MIN(26,CODE(MID(UPPER(A247)&amp;"    ",1,1))-64))*19683+MAX(0,MIN(26,CODE(MID(UPPER(A247)&amp;"    ",2,1))-64))*729+MAX(0,MIN(26,CODE(MID(UPPER(A247)&amp;"    ",3,1))-64))*27+MAX(0,MIN(26,CODE(MID(UPPER(A247)&amp;"    ",4,1))-64))*1)*10000+ROW(),""))</f>
        <v/>
      </c>
      <c r="N247" s="80" t="str">
        <f t="shared" si="4"/>
        <v/>
      </c>
      <c r="O247" s="80" t="str">
        <f t="array" ref="O247">IF(A247="","",IFERROR(INDEX(Wishlist!$A:$Z,ROW()-0,'List Setup'!$J$2)&amp;"",""))</f>
        <v/>
      </c>
      <c r="P247" s="2"/>
      <c r="Q247" s="80" t="str">
        <f>IF(A247="","",'List Setup'!$A$2)</f>
        <v/>
      </c>
      <c r="R247" s="80" t="str">
        <f t="array" ref="R247">IF(A247="","",IFERROR(OR(INDEX(Binders!$J$6:$J$30,MATCH(Q247,Binders!$I$6:$I$30,0))=TRUE(),UPPER(INDEX(Binders!$J$6:$J$30,MATCH(Q247,Binders!$I$6:$I$30,0))&amp;"")="TRUE"),FALSE()))</f>
        <v/>
      </c>
    </row>
    <row r="248" ht="15.75" customHeight="1">
      <c r="A248" s="80" t="str">
        <f t="array" ref="A248">IF(INDEX(Wishlist!$A:$Z,ROW()-0,'List Setup'!$D$2)="","",INDEX(Wishlist!$A:$Z,ROW()-0,'List Setup'!$D$2))</f>
        <v/>
      </c>
      <c r="B248" s="80" t="str">
        <f t="array" ref="B248">IF(A248="","",IFERROR(INDEX('Binder Setup'!$B$2:$B$401,MIN(IF(ISNUMBER(SEARCH(CHAR(10)&amp;'Binder Setup'!$B$2:$B$401&amp;CHAR(10),$H248)),'List Setup'!$Q$2:$Q$401,999),IF(ISNUMBER(SEARCH(CHAR(10)&amp;'Set Aliases'!$A$2:$A$501&amp;CHAR(10),$H248)),'Set Aliases'!$C$2:$C$501,999))),"(none)"))</f>
        <v/>
      </c>
      <c r="C248" s="80" t="str">
        <f t="shared" si="1"/>
        <v/>
      </c>
      <c r="D248" s="80" t="str">
        <f t="array" ref="D248">IF(A248="","",IF(ISLOGICAL(INDEX(Wishlist!$A:$Z,ROW()-0,'List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48" s="80" t="str">
        <f t="shared" si="2"/>
        <v/>
      </c>
      <c r="F248" s="80" t="str">
        <f t="array" ref="F248">IF(A248="","",IF(ISNUMBER(J248),J248,IF(ISNUMBER(INDEX(Wishlist!$A:$Z,ROW()-0,'List Setup'!$F$2)),INDEX(Wishlist!$A:$Z,ROW()-0,'List Setup'!$F$2),0)))</f>
        <v/>
      </c>
      <c r="G248" s="80" t="str">
        <f t="array" ref="G248">IF(A248="","",A248&amp;IF(N(INDEX(Wishlist!$A:$Z,ROW()-0,'List Setup'!$C$2))&gt;1," (x"&amp;INDEX(Wishlist!$A:$Z,ROW()-0,'List Setup'!$C$2)&amp;")","")&amp;IF(COUNTIF(Binders!$J$6:$J$30,TRUE())&gt;1," ["&amp;Q248&amp;"]",""))</f>
        <v/>
      </c>
      <c r="H248" s="80" t="str">
        <f t="array" ref="H248">IF(A248="","",CHAR(10)&amp;INDEX(Wishlist!$A:$Z,ROW()-0,'List Setup'!$E$2)&amp;CHAR(10))</f>
        <v/>
      </c>
      <c r="I248" s="80" t="str">
        <f t="array" ref="I248">IF(OR(B248="",B248="(none)"),"",IF(ISNUMBER(SEARCH(CHAR(10)&amp;B248&amp;CHAR(10),H248)),B248,IFERROR(INDEX('Set Aliases'!$A$2:$A$501,MATCH(1,('Set Aliases'!$B$2:$B$501=B248)*ISNUMBER(SEARCH(CHAR(10)&amp;'Set Aliases'!$A$2:$A$501&amp;CHAR(10),H248)),0)),"")))</f>
        <v/>
      </c>
      <c r="J248" s="80" t="str">
        <f t="array" ref="J248">IF(I248="","",IFERROR(VALUE(TRIM(MID(SUBSTITUTE(INDEX(Wishlist!$A:$Z,ROW()-0,'List Setup'!$G$2),CHAR(10),REPT(" ",100)),((SEARCH(CHAR(10)&amp;I248&amp;CHAR(10),H248)-LEN(SUBSTITUTE(LEFT(H248,SEARCH(CHAR(10)&amp;I248&amp;CHAR(10),H248)),CHAR(10),"")))-1)*100+1,100))),""))</f>
        <v/>
      </c>
      <c r="K248" s="80" t="str">
        <f t="array" ref="K248">IF(A248="","",IF(ISNUMBER(SEARCH("Land",LEFT(IFERROR(INDEX(Wishlist!$A:$Z,ROW()-0,'List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48" s="80" t="str">
        <f t="shared" si="3"/>
        <v/>
      </c>
      <c r="M248" s="80" t="str">
        <f>IF(A248="","",IF(AND(E248="Y",B248='Use at Shop'!$B$4),K248*10000000000+(MAX(0,MIN(26,CODE(MID(UPPER(A248)&amp;"    ",1,1))-64))*19683+MAX(0,MIN(26,CODE(MID(UPPER(A248)&amp;"    ",2,1))-64))*729+MAX(0,MIN(26,CODE(MID(UPPER(A248)&amp;"    ",3,1))-64))*27+MAX(0,MIN(26,CODE(MID(UPPER(A248)&amp;"    ",4,1))-64))*1)*10000+ROW(),""))</f>
        <v/>
      </c>
      <c r="N248" s="80" t="str">
        <f t="shared" si="4"/>
        <v/>
      </c>
      <c r="O248" s="80" t="str">
        <f t="array" ref="O248">IF(A248="","",IFERROR(INDEX(Wishlist!$A:$Z,ROW()-0,'List Setup'!$J$2)&amp;"",""))</f>
        <v/>
      </c>
      <c r="P248" s="2"/>
      <c r="Q248" s="80" t="str">
        <f>IF(A248="","",'List Setup'!$A$2)</f>
        <v/>
      </c>
      <c r="R248" s="80" t="str">
        <f t="array" ref="R248">IF(A248="","",IFERROR(OR(INDEX(Binders!$J$6:$J$30,MATCH(Q248,Binders!$I$6:$I$30,0))=TRUE(),UPPER(INDEX(Binders!$J$6:$J$30,MATCH(Q248,Binders!$I$6:$I$30,0))&amp;"")="TRUE"),FALSE()))</f>
        <v/>
      </c>
    </row>
    <row r="249" ht="15.75" customHeight="1">
      <c r="A249" s="80" t="str">
        <f t="array" ref="A249">IF(INDEX(Wishlist!$A:$Z,ROW()-0,'List Setup'!$D$2)="","",INDEX(Wishlist!$A:$Z,ROW()-0,'List Setup'!$D$2))</f>
        <v/>
      </c>
      <c r="B249" s="80" t="str">
        <f t="array" ref="B249">IF(A249="","",IFERROR(INDEX('Binder Setup'!$B$2:$B$401,MIN(IF(ISNUMBER(SEARCH(CHAR(10)&amp;'Binder Setup'!$B$2:$B$401&amp;CHAR(10),$H249)),'List Setup'!$Q$2:$Q$401,999),IF(ISNUMBER(SEARCH(CHAR(10)&amp;'Set Aliases'!$A$2:$A$501&amp;CHAR(10),$H249)),'Set Aliases'!$C$2:$C$501,999))),"(none)"))</f>
        <v/>
      </c>
      <c r="C249" s="80" t="str">
        <f t="shared" si="1"/>
        <v/>
      </c>
      <c r="D249" s="80" t="str">
        <f t="array" ref="D249">IF(A249="","",IF(ISLOGICAL(INDEX(Wishlist!$A:$Z,ROW()-0,'List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49" s="80" t="str">
        <f t="shared" si="2"/>
        <v/>
      </c>
      <c r="F249" s="80" t="str">
        <f t="array" ref="F249">IF(A249="","",IF(ISNUMBER(J249),J249,IF(ISNUMBER(INDEX(Wishlist!$A:$Z,ROW()-0,'List Setup'!$F$2)),INDEX(Wishlist!$A:$Z,ROW()-0,'List Setup'!$F$2),0)))</f>
        <v/>
      </c>
      <c r="G249" s="80" t="str">
        <f t="array" ref="G249">IF(A249="","",A249&amp;IF(N(INDEX(Wishlist!$A:$Z,ROW()-0,'List Setup'!$C$2))&gt;1," (x"&amp;INDEX(Wishlist!$A:$Z,ROW()-0,'List Setup'!$C$2)&amp;")","")&amp;IF(COUNTIF(Binders!$J$6:$J$30,TRUE())&gt;1," ["&amp;Q249&amp;"]",""))</f>
        <v/>
      </c>
      <c r="H249" s="80" t="str">
        <f t="array" ref="H249">IF(A249="","",CHAR(10)&amp;INDEX(Wishlist!$A:$Z,ROW()-0,'List Setup'!$E$2)&amp;CHAR(10))</f>
        <v/>
      </c>
      <c r="I249" s="80" t="str">
        <f t="array" ref="I249">IF(OR(B249="",B249="(none)"),"",IF(ISNUMBER(SEARCH(CHAR(10)&amp;B249&amp;CHAR(10),H249)),B249,IFERROR(INDEX('Set Aliases'!$A$2:$A$501,MATCH(1,('Set Aliases'!$B$2:$B$501=B249)*ISNUMBER(SEARCH(CHAR(10)&amp;'Set Aliases'!$A$2:$A$501&amp;CHAR(10),H249)),0)),"")))</f>
        <v/>
      </c>
      <c r="J249" s="80" t="str">
        <f t="array" ref="J249">IF(I249="","",IFERROR(VALUE(TRIM(MID(SUBSTITUTE(INDEX(Wishlist!$A:$Z,ROW()-0,'List Setup'!$G$2),CHAR(10),REPT(" ",100)),((SEARCH(CHAR(10)&amp;I249&amp;CHAR(10),H249)-LEN(SUBSTITUTE(LEFT(H249,SEARCH(CHAR(10)&amp;I249&amp;CHAR(10),H249)),CHAR(10),"")))-1)*100+1,100))),""))</f>
        <v/>
      </c>
      <c r="K249" s="80" t="str">
        <f t="array" ref="K249">IF(A249="","",IF(ISNUMBER(SEARCH("Land",LEFT(IFERROR(INDEX(Wishlist!$A:$Z,ROW()-0,'List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49" s="80" t="str">
        <f t="shared" si="3"/>
        <v/>
      </c>
      <c r="M249" s="80" t="str">
        <f>IF(A249="","",IF(AND(E249="Y",B249='Use at Shop'!$B$4),K249*10000000000+(MAX(0,MIN(26,CODE(MID(UPPER(A249)&amp;"    ",1,1))-64))*19683+MAX(0,MIN(26,CODE(MID(UPPER(A249)&amp;"    ",2,1))-64))*729+MAX(0,MIN(26,CODE(MID(UPPER(A249)&amp;"    ",3,1))-64))*27+MAX(0,MIN(26,CODE(MID(UPPER(A249)&amp;"    ",4,1))-64))*1)*10000+ROW(),""))</f>
        <v/>
      </c>
      <c r="N249" s="80" t="str">
        <f t="shared" si="4"/>
        <v/>
      </c>
      <c r="O249" s="80" t="str">
        <f t="array" ref="O249">IF(A249="","",IFERROR(INDEX(Wishlist!$A:$Z,ROW()-0,'List Setup'!$J$2)&amp;"",""))</f>
        <v/>
      </c>
      <c r="P249" s="2"/>
      <c r="Q249" s="80" t="str">
        <f>IF(A249="","",'List Setup'!$A$2)</f>
        <v/>
      </c>
      <c r="R249" s="80" t="str">
        <f t="array" ref="R249">IF(A249="","",IFERROR(OR(INDEX(Binders!$J$6:$J$30,MATCH(Q249,Binders!$I$6:$I$30,0))=TRUE(),UPPER(INDEX(Binders!$J$6:$J$30,MATCH(Q249,Binders!$I$6:$I$30,0))&amp;"")="TRUE"),FALSE()))</f>
        <v/>
      </c>
    </row>
    <row r="250" ht="15.75" customHeight="1">
      <c r="A250" s="80" t="str">
        <f t="array" ref="A250">IF(INDEX(Wishlist!$A:$Z,ROW()-0,'List Setup'!$D$2)="","",INDEX(Wishlist!$A:$Z,ROW()-0,'List Setup'!$D$2))</f>
        <v/>
      </c>
      <c r="B250" s="80" t="str">
        <f t="array" ref="B250">IF(A250="","",IFERROR(INDEX('Binder Setup'!$B$2:$B$401,MIN(IF(ISNUMBER(SEARCH(CHAR(10)&amp;'Binder Setup'!$B$2:$B$401&amp;CHAR(10),$H250)),'List Setup'!$Q$2:$Q$401,999),IF(ISNUMBER(SEARCH(CHAR(10)&amp;'Set Aliases'!$A$2:$A$501&amp;CHAR(10),$H250)),'Set Aliases'!$C$2:$C$501,999))),"(none)"))</f>
        <v/>
      </c>
      <c r="C250" s="80" t="str">
        <f t="shared" si="1"/>
        <v/>
      </c>
      <c r="D250" s="80" t="str">
        <f t="array" ref="D250">IF(A250="","",IF(ISLOGICAL(INDEX(Wishlist!$A:$Z,ROW()-0,'List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50" s="80" t="str">
        <f t="shared" si="2"/>
        <v/>
      </c>
      <c r="F250" s="80" t="str">
        <f t="array" ref="F250">IF(A250="","",IF(ISNUMBER(J250),J250,IF(ISNUMBER(INDEX(Wishlist!$A:$Z,ROW()-0,'List Setup'!$F$2)),INDEX(Wishlist!$A:$Z,ROW()-0,'List Setup'!$F$2),0)))</f>
        <v/>
      </c>
      <c r="G250" s="80" t="str">
        <f t="array" ref="G250">IF(A250="","",A250&amp;IF(N(INDEX(Wishlist!$A:$Z,ROW()-0,'List Setup'!$C$2))&gt;1," (x"&amp;INDEX(Wishlist!$A:$Z,ROW()-0,'List Setup'!$C$2)&amp;")","")&amp;IF(COUNTIF(Binders!$J$6:$J$30,TRUE())&gt;1," ["&amp;Q250&amp;"]",""))</f>
        <v/>
      </c>
      <c r="H250" s="80" t="str">
        <f t="array" ref="H250">IF(A250="","",CHAR(10)&amp;INDEX(Wishlist!$A:$Z,ROW()-0,'List Setup'!$E$2)&amp;CHAR(10))</f>
        <v/>
      </c>
      <c r="I250" s="80" t="str">
        <f t="array" ref="I250">IF(OR(B250="",B250="(none)"),"",IF(ISNUMBER(SEARCH(CHAR(10)&amp;B250&amp;CHAR(10),H250)),B250,IFERROR(INDEX('Set Aliases'!$A$2:$A$501,MATCH(1,('Set Aliases'!$B$2:$B$501=B250)*ISNUMBER(SEARCH(CHAR(10)&amp;'Set Aliases'!$A$2:$A$501&amp;CHAR(10),H250)),0)),"")))</f>
        <v/>
      </c>
      <c r="J250" s="80" t="str">
        <f t="array" ref="J250">IF(I250="","",IFERROR(VALUE(TRIM(MID(SUBSTITUTE(INDEX(Wishlist!$A:$Z,ROW()-0,'List Setup'!$G$2),CHAR(10),REPT(" ",100)),((SEARCH(CHAR(10)&amp;I250&amp;CHAR(10),H250)-LEN(SUBSTITUTE(LEFT(H250,SEARCH(CHAR(10)&amp;I250&amp;CHAR(10),H250)),CHAR(10),"")))-1)*100+1,100))),""))</f>
        <v/>
      </c>
      <c r="K250" s="80" t="str">
        <f t="array" ref="K250">IF(A250="","",IF(ISNUMBER(SEARCH("Land",LEFT(IFERROR(INDEX(Wishlist!$A:$Z,ROW()-0,'List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50" s="80" t="str">
        <f t="shared" si="3"/>
        <v/>
      </c>
      <c r="M250" s="80" t="str">
        <f>IF(A250="","",IF(AND(E250="Y",B250='Use at Shop'!$B$4),K250*10000000000+(MAX(0,MIN(26,CODE(MID(UPPER(A250)&amp;"    ",1,1))-64))*19683+MAX(0,MIN(26,CODE(MID(UPPER(A250)&amp;"    ",2,1))-64))*729+MAX(0,MIN(26,CODE(MID(UPPER(A250)&amp;"    ",3,1))-64))*27+MAX(0,MIN(26,CODE(MID(UPPER(A250)&amp;"    ",4,1))-64))*1)*10000+ROW(),""))</f>
        <v/>
      </c>
      <c r="N250" s="80" t="str">
        <f t="shared" si="4"/>
        <v/>
      </c>
      <c r="O250" s="80" t="str">
        <f t="array" ref="O250">IF(A250="","",IFERROR(INDEX(Wishlist!$A:$Z,ROW()-0,'List Setup'!$J$2)&amp;"",""))</f>
        <v/>
      </c>
      <c r="P250" s="2"/>
      <c r="Q250" s="80" t="str">
        <f>IF(A250="","",'List Setup'!$A$2)</f>
        <v/>
      </c>
      <c r="R250" s="80" t="str">
        <f t="array" ref="R250">IF(A250="","",IFERROR(OR(INDEX(Binders!$J$6:$J$30,MATCH(Q250,Binders!$I$6:$I$30,0))=TRUE(),UPPER(INDEX(Binders!$J$6:$J$30,MATCH(Q250,Binders!$I$6:$I$30,0))&amp;"")="TRUE"),FALSE()))</f>
        <v/>
      </c>
    </row>
    <row r="251" ht="15.75" customHeight="1">
      <c r="A251" s="80" t="str">
        <f t="array" ref="A251">IF(INDEX(Wishlist!$A:$Z,ROW()-0,'List Setup'!$D$2)="","",INDEX(Wishlist!$A:$Z,ROW()-0,'List Setup'!$D$2))</f>
        <v/>
      </c>
      <c r="B251" s="80" t="str">
        <f t="array" ref="B251">IF(A251="","",IFERROR(INDEX('Binder Setup'!$B$2:$B$401,MIN(IF(ISNUMBER(SEARCH(CHAR(10)&amp;'Binder Setup'!$B$2:$B$401&amp;CHAR(10),$H251)),'List Setup'!$Q$2:$Q$401,999),IF(ISNUMBER(SEARCH(CHAR(10)&amp;'Set Aliases'!$A$2:$A$501&amp;CHAR(10),$H251)),'Set Aliases'!$C$2:$C$501,999))),"(none)"))</f>
        <v/>
      </c>
      <c r="C251" s="80" t="str">
        <f t="shared" si="1"/>
        <v/>
      </c>
      <c r="D251" s="80" t="str">
        <f t="array" ref="D251">IF(A251="","",IF(ISLOGICAL(INDEX(Wishlist!$A:$Z,ROW()-0,'List Setup'!$B$2)),IF(INDEX(Wishlist!$A:$Z,ROW()-0,'List Setup'!$B$2),"In collection","Needed"),IF(UPPER(TRIM(INDEX(Wishlist!$A:$Z,ROW()-0,'List Setup'!$B$2)))="ORDERED","Ordered",IF(UPPER(TRIM(INDEX(Wishlist!$A:$Z,ROW()-0,'List Setup'!$B$2)))="PROXY","Proxy",IF(UPPER(TRIM(INDEX(Wishlist!$A:$Z,ROW()-0,'List Setup'!$B$2)))="OUT OF DECK","Out of deck",IF(UPPER(TRIM(INDEX(Wishlist!$A:$Z,ROW()-0,'List Setup'!$B$2)))="TRUE","In collection","Needed"))))))</f>
        <v/>
      </c>
      <c r="E251" s="80" t="str">
        <f t="shared" si="2"/>
        <v/>
      </c>
      <c r="F251" s="80" t="str">
        <f t="array" ref="F251">IF(A251="","",IF(ISNUMBER(J251),J251,IF(ISNUMBER(INDEX(Wishlist!$A:$Z,ROW()-0,'List Setup'!$F$2)),INDEX(Wishlist!$A:$Z,ROW()-0,'List Setup'!$F$2),0)))</f>
        <v/>
      </c>
      <c r="G251" s="80" t="str">
        <f t="array" ref="G251">IF(A251="","",A251&amp;IF(N(INDEX(Wishlist!$A:$Z,ROW()-0,'List Setup'!$C$2))&gt;1," (x"&amp;INDEX(Wishlist!$A:$Z,ROW()-0,'List Setup'!$C$2)&amp;")","")&amp;IF(COUNTIF(Binders!$J$6:$J$30,TRUE())&gt;1," ["&amp;Q251&amp;"]",""))</f>
        <v/>
      </c>
      <c r="H251" s="80" t="str">
        <f t="array" ref="H251">IF(A251="","",CHAR(10)&amp;INDEX(Wishlist!$A:$Z,ROW()-0,'List Setup'!$E$2)&amp;CHAR(10))</f>
        <v/>
      </c>
      <c r="I251" s="80" t="str">
        <f t="array" ref="I251">IF(OR(B251="",B251="(none)"),"",IF(ISNUMBER(SEARCH(CHAR(10)&amp;B251&amp;CHAR(10),H251)),B251,IFERROR(INDEX('Set Aliases'!$A$2:$A$501,MATCH(1,('Set Aliases'!$B$2:$B$501=B251)*ISNUMBER(SEARCH(CHAR(10)&amp;'Set Aliases'!$A$2:$A$501&amp;CHAR(10),H251)),0)),"")))</f>
        <v/>
      </c>
      <c r="J251" s="80" t="str">
        <f t="array" ref="J251">IF(I251="","",IFERROR(VALUE(TRIM(MID(SUBSTITUTE(INDEX(Wishlist!$A:$Z,ROW()-0,'List Setup'!$G$2),CHAR(10),REPT(" ",100)),((SEARCH(CHAR(10)&amp;I251&amp;CHAR(10),H251)-LEN(SUBSTITUTE(LEFT(H251,SEARCH(CHAR(10)&amp;I251&amp;CHAR(10),H251)),CHAR(10),"")))-1)*100+1,100))),""))</f>
        <v/>
      </c>
      <c r="K251" s="80" t="str">
        <f t="array" ref="K251">IF(A251="","",IF(ISNUMBER(SEARCH("Land",LEFT(IFERROR(INDEX(Wishlist!$A:$Z,ROW()-0,'List Setup'!$I$2)&amp;"",""),IFERROR(SEARCH(" // ",IFERROR(INDEX(Wishlist!$A:$Z,ROW()-0,'List Setup'!$I$2)&amp;"",""))-1,LEN(IFERROR(INDEX(Wishlist!$A:$Z,ROW()-0,'List Setup'!$I$2)&amp;"","")))))),8,IF(LEN(IFERROR(INDEX(Wishlist!$A:$Z,ROW()-0,'List Setup'!$H$2)&amp;"",""))=0,7,IF(LEN(IFERROR(INDEX(Wishlist!$A:$Z,ROW()-0,'List Setup'!$H$2)&amp;"",""))&gt;1,6,FIND(IFERROR(INDEX(Wishlist!$A:$Z,ROW()-0,'List Setup'!$H$2)&amp;"",""),"WUBRG")))))</f>
        <v/>
      </c>
      <c r="L251" s="80" t="str">
        <f t="shared" si="3"/>
        <v/>
      </c>
      <c r="M251" s="80" t="str">
        <f>IF(A251="","",IF(AND(E251="Y",B251='Use at Shop'!$B$4),K251*10000000000+(MAX(0,MIN(26,CODE(MID(UPPER(A251)&amp;"    ",1,1))-64))*19683+MAX(0,MIN(26,CODE(MID(UPPER(A251)&amp;"    ",2,1))-64))*729+MAX(0,MIN(26,CODE(MID(UPPER(A251)&amp;"    ",3,1))-64))*27+MAX(0,MIN(26,CODE(MID(UPPER(A251)&amp;"    ",4,1))-64))*1)*10000+ROW(),""))</f>
        <v/>
      </c>
      <c r="N251" s="80" t="str">
        <f t="shared" si="4"/>
        <v/>
      </c>
      <c r="O251" s="80" t="str">
        <f t="array" ref="O251">IF(A251="","",IFERROR(INDEX(Wishlist!$A:$Z,ROW()-0,'List Setup'!$J$2)&amp;"",""))</f>
        <v/>
      </c>
      <c r="P251" s="2"/>
      <c r="Q251" s="80" t="str">
        <f>IF(A251="","",'List Setup'!$A$2)</f>
        <v/>
      </c>
      <c r="R251" s="80" t="str">
        <f t="array" ref="R251">IF(A251="","",IFERROR(OR(INDEX(Binders!$J$6:$J$30,MATCH(Q251,Binders!$I$6:$I$30,0))=TRUE(),UPPER(INDEX(Binders!$J$6:$J$30,MATCH(Q251,Binders!$I$6:$I$30,0))&amp;"")="TRUE"),FALSE()))</f>
        <v/>
      </c>
    </row>
    <row r="252" ht="15.75" customHeight="1">
      <c r="A252" s="80" t="str">
        <f t="array" ref="A252">IF(INDEX('Deck 1'!$A:$Z,ROW()-250,'List Setup'!$D$3)="","",INDEX('Deck 1'!$A:$Z,ROW()-250,'List Setup'!$D$3))</f>
        <v>Anim Pakal, Thousandth Moon</v>
      </c>
      <c r="B252" s="80" t="str">
        <f t="array" ref="B252">IF(A252="","",IFERROR(INDEX('Binder Setup'!$B$2:$B$401,MIN(IF(ISNUMBER(SEARCH(CHAR(10)&amp;'Binder Setup'!$B$2:$B$401&amp;CHAR(10),$H252)),'List Setup'!$Q$2:$Q$401,999),IF(ISNUMBER(SEARCH(CHAR(10)&amp;'Set Aliases'!$A$2:$A$501&amp;CHAR(10),$H252)),'Set Aliases'!$C$2:$C$501,999))),"(none)"))</f>
        <v>Foundations</v>
      </c>
      <c r="C252" s="80" t="str">
        <f t="shared" si="1"/>
        <v>The List | The Lost Caverns of Ixalan Promos | The Lost Caverns of Ixalan</v>
      </c>
      <c r="D252" s="80" t="str">
        <f t="array" ref="D252">IF(A252="","",IF(ISLOGICAL(INDEX('Deck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52" s="80" t="str">
        <f t="shared" si="2"/>
        <v>Y</v>
      </c>
      <c r="F252" s="80">
        <f t="array" ref="F252">IF(A252="","",IF(ISNUMBER(J252),J252,IF(ISNUMBER(INDEX('Deck 1'!$A:$Z,ROW()-250,'List Setup'!$F$3)),INDEX('Deck 1'!$A:$Z,ROW()-250,'List Setup'!$F$3),0)))</f>
        <v>0</v>
      </c>
      <c r="G252" s="80" t="str">
        <f t="array" ref="G252">IF(A252="","",A252&amp;IF(N(INDEX('Deck 1'!$A:$Z,ROW()-250,'List Setup'!$C$3))&gt;1," (x"&amp;INDEX('Deck 1'!$A:$Z,ROW()-250,'List Setup'!$C$3)&amp;")","")&amp;IF(COUNTIF(Binders!$J$6:$J$30,TRUE())&gt;1," ["&amp;Q252&amp;"]",""))</f>
        <v>Anim Pakal, Thousandth Moon [Deck 1]</v>
      </c>
      <c r="H252" s="80" t="str">
        <f t="array" ref="H252">IF(A252="","",CHAR(10)&amp;INDEX('Deck 1'!$A:$Z,ROW()-250,'List Setup'!$E$3)&amp;CHAR(10))</f>
        <v>
The List
The Lost Caverns of Ixalan Promos
The Lost Caverns of Ixalan
</v>
      </c>
      <c r="I252" s="80" t="str">
        <f t="array" ref="I252">IF(OR(B252="",B252="(none)"),"",IF(ISNUMBER(SEARCH(CHAR(10)&amp;B252&amp;CHAR(10),H252)),B252,IFERROR(INDEX('Set Aliases'!$A$2:$A$501,MATCH(1,('Set Aliases'!$B$2:$B$501=B252)*ISNUMBER(SEARCH(CHAR(10)&amp;'Set Aliases'!$A$2:$A$501&amp;CHAR(10),H252)),0)),"")))</f>
        <v>The List</v>
      </c>
      <c r="J252" s="80">
        <f t="array" ref="J252">IF(I252="","",IFERROR(VALUE(TRIM(MID(SUBSTITUTE(INDEX('Deck 1'!$A:$Z,ROW()-250,'List Setup'!$G$3),CHAR(10),REPT(" ",100)),((SEARCH(CHAR(10)&amp;I252&amp;CHAR(10),H252)-LEN(SUBSTITUTE(LEFT(H252,SEARCH(CHAR(10)&amp;I252&amp;CHAR(10),H252)),CHAR(10),"")))-1)*100+1,100))),""))</f>
        <v>0</v>
      </c>
      <c r="K252" s="80">
        <f t="array" ref="K252">IF(A252="","",IF(ISNUMBER(SEARCH("Land",LEFT(IFERROR(INDEX('Deck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6</v>
      </c>
      <c r="L252" s="80" t="str">
        <f t="shared" si="3"/>
        <v>Multicolor</v>
      </c>
      <c r="M252" s="80">
        <f>IF(A252="","",IF(AND(E252="Y",B252='Use at Shop'!$B$4),K252*10000000000+(MAX(0,MIN(26,CODE(MID(UPPER(A252)&amp;"    ",1,1))-64))*19683+MAX(0,MIN(26,CODE(MID(UPPER(A252)&amp;"    ",2,1))-64))*729+MAX(0,MIN(26,CODE(MID(UPPER(A252)&amp;"    ",3,1))-64))*27+MAX(0,MIN(26,CODE(MID(UPPER(A252)&amp;"    ",4,1))-64))*1)*10000+ROW(),""))</f>
        <v>60301450252</v>
      </c>
      <c r="N252" s="80">
        <f t="shared" ref="N252:N501" si="5">IF(A252="","",ROW()-250)</f>
        <v>2</v>
      </c>
      <c r="O252" s="83" t="str">
        <f t="array" ref="O252">IF(A252="","",IFERROR(INDEX('Deck 1'!$A:$Z,ROW()-250,'List Setup'!$J$3)&amp;"",""))</f>
        <v>https://cards.scryfall.io/small/front/8/6/868856b7-8875-43c1-8249-0f8fb2c8319b.jpg?1783913734</v>
      </c>
      <c r="P252" s="2"/>
      <c r="Q252" s="80" t="str">
        <f>IF(A252="","",'List Setup'!$A$3)</f>
        <v>Deck 1</v>
      </c>
      <c r="R252" s="80" t="b">
        <f t="array" ref="R252">IF(A252="","",IFERROR(OR(INDEX(Binders!$J$6:$J$30,MATCH(Q252,Binders!$I$6:$I$30,0))=TRUE(),UPPER(INDEX(Binders!$J$6:$J$30,MATCH(Q252,Binders!$I$6:$I$30,0))&amp;"")="TRUE"),FALSE()))</f>
        <v>1</v>
      </c>
    </row>
    <row r="253" ht="15.75" customHeight="1">
      <c r="A253" s="80" t="str">
        <f t="array" ref="A253">IF(INDEX('Deck 1'!$A:$Z,ROW()-250,'List Setup'!$D$3)="","",INDEX('Deck 1'!$A:$Z,ROW()-250,'List Setup'!$D$3))</f>
        <v>Arabella, Abandoned Doll</v>
      </c>
      <c r="B253" s="80" t="str">
        <f t="array" ref="B253">IF(A253="","",IFERROR(INDEX('Binder Setup'!$B$2:$B$401,MIN(IF(ISNUMBER(SEARCH(CHAR(10)&amp;'Binder Setup'!$B$2:$B$401&amp;CHAR(10),$H253)),'List Setup'!$Q$2:$Q$401,999),IF(ISNUMBER(SEARCH(CHAR(10)&amp;'Set Aliases'!$A$2:$A$501&amp;CHAR(10),$H253)),'Set Aliases'!$C$2:$C$501,999))),"(none)"))</f>
        <v>Foundations</v>
      </c>
      <c r="C253" s="80" t="str">
        <f t="shared" si="1"/>
        <v>The List | Duskmourn: House of Horror</v>
      </c>
      <c r="D253" s="80" t="str">
        <f t="array" ref="D253">IF(A253="","",IF(ISLOGICAL(INDEX('Deck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53" s="80" t="str">
        <f t="shared" si="2"/>
        <v>Y</v>
      </c>
      <c r="F253" s="80">
        <f t="array" ref="F253">IF(A253="","",IF(ISNUMBER(J253),J253,IF(ISNUMBER(INDEX('Deck 1'!$A:$Z,ROW()-250,'List Setup'!$F$3)),INDEX('Deck 1'!$A:$Z,ROW()-250,'List Setup'!$F$3),0)))</f>
        <v>0.77</v>
      </c>
      <c r="G253" s="80" t="str">
        <f t="array" ref="G253">IF(A253="","",A253&amp;IF(N(INDEX('Deck 1'!$A:$Z,ROW()-250,'List Setup'!$C$3))&gt;1," (x"&amp;INDEX('Deck 1'!$A:$Z,ROW()-250,'List Setup'!$C$3)&amp;")","")&amp;IF(COUNTIF(Binders!$J$6:$J$30,TRUE())&gt;1," ["&amp;Q253&amp;"]",""))</f>
        <v>Arabella, Abandoned Doll [Deck 1]</v>
      </c>
      <c r="H253" s="80" t="str">
        <f t="array" ref="H253">IF(A253="","",CHAR(10)&amp;INDEX('Deck 1'!$A:$Z,ROW()-250,'List Setup'!$E$3)&amp;CHAR(10))</f>
        <v>
The List
Duskmourn: House of Horror
</v>
      </c>
      <c r="I253" s="80" t="str">
        <f t="array" ref="I253">IF(OR(B253="",B253="(none)"),"",IF(ISNUMBER(SEARCH(CHAR(10)&amp;B253&amp;CHAR(10),H253)),B253,IFERROR(INDEX('Set Aliases'!$A$2:$A$501,MATCH(1,('Set Aliases'!$B$2:$B$501=B253)*ISNUMBER(SEARCH(CHAR(10)&amp;'Set Aliases'!$A$2:$A$501&amp;CHAR(10),H253)),0)),"")))</f>
        <v>The List</v>
      </c>
      <c r="J253" s="80">
        <f t="array" ref="J253">IF(I253="","",IFERROR(VALUE(TRIM(MID(SUBSTITUTE(INDEX('Deck 1'!$A:$Z,ROW()-250,'List Setup'!$G$3),CHAR(10),REPT(" ",100)),((SEARCH(CHAR(10)&amp;I253&amp;CHAR(10),H253)-LEN(SUBSTITUTE(LEFT(H253,SEARCH(CHAR(10)&amp;I253&amp;CHAR(10),H253)),CHAR(10),"")))-1)*100+1,100))),""))</f>
        <v>0.77</v>
      </c>
      <c r="K253" s="80">
        <f t="array" ref="K253">IF(A253="","",IF(ISNUMBER(SEARCH("Land",LEFT(IFERROR(INDEX('Deck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6</v>
      </c>
      <c r="L253" s="80" t="str">
        <f t="shared" si="3"/>
        <v>Multicolor</v>
      </c>
      <c r="M253" s="80">
        <f>IF(A253="","",IF(AND(E253="Y",B253='Use at Shop'!$B$4),K253*10000000000+(MAX(0,MIN(26,CODE(MID(UPPER(A253)&amp;"    ",1,1))-64))*19683+MAX(0,MIN(26,CODE(MID(UPPER(A253)&amp;"    ",2,1))-64))*729+MAX(0,MIN(26,CODE(MID(UPPER(A253)&amp;"    ",3,1))-64))*27+MAX(0,MIN(26,CODE(MID(UPPER(A253)&amp;"    ",4,1))-64))*1)*10000+ROW(),""))</f>
        <v>60328340253</v>
      </c>
      <c r="N253" s="80">
        <f t="shared" si="5"/>
        <v>3</v>
      </c>
      <c r="O253" s="83" t="str">
        <f t="array" ref="O253">IF(A253="","",IFERROR(INDEX('Deck 1'!$A:$Z,ROW()-250,'List Setup'!$J$3)&amp;"",""))</f>
        <v>https://cards.scryfall.io/small/front/f/6/f683d5a1-b8bf-446f-9fe3-88a4398bf3cf.jpg?1783909446</v>
      </c>
      <c r="P253" s="2"/>
      <c r="Q253" s="80" t="str">
        <f>IF(A253="","",'List Setup'!$A$3)</f>
        <v>Deck 1</v>
      </c>
      <c r="R253" s="80" t="b">
        <f t="array" ref="R253">IF(A253="","",IFERROR(OR(INDEX(Binders!$J$6:$J$30,MATCH(Q253,Binders!$I$6:$I$30,0))=TRUE(),UPPER(INDEX(Binders!$J$6:$J$30,MATCH(Q253,Binders!$I$6:$I$30,0))&amp;"")="TRUE"),FALSE()))</f>
        <v>1</v>
      </c>
    </row>
    <row r="254" ht="15.75" customHeight="1">
      <c r="A254" s="80" t="str">
        <f t="array" ref="A254">IF(INDEX('Deck 1'!$A:$Z,ROW()-250,'List Setup'!$D$3)="","",INDEX('Deck 1'!$A:$Z,ROW()-250,'List Setup'!$D$3))</f>
        <v>Battlefield Forge</v>
      </c>
      <c r="B254" s="80" t="str">
        <f t="array" ref="B254">IF(A254="","",IFERROR(INDEX('Binder Setup'!$B$2:$B$401,MIN(IF(ISNUMBER(SEARCH(CHAR(10)&amp;'Binder Setup'!$B$2:$B$401&amp;CHAR(10),$H254)),'List Setup'!$Q$2:$Q$401,999),IF(ISNUMBER(SEARCH(CHAR(10)&amp;'Set Aliases'!$A$2:$A$501&amp;CHAR(10),$H254)),'Set Aliases'!$C$2:$C$501,999))),"(none)"))</f>
        <v>Secret Lair Drop</v>
      </c>
      <c r="C254" s="80" t="str">
        <f t="shared" si="1"/>
        <v>Reality Fracture Commander | Secrets of Strixhaven Commander | Edge of Eternities Commander | Final Fantasy Commander | Tarkir: Dragonstorm Commander | Bloomburrow Commander | Modern Horizons 3 Commander | Outlaws of Thunder Junction Commander | Tales of Middle-earth Commander | The Brothers' War Promos | The Brothers' War | Dominaria United Commander | Secret Lair Drop | Commander 2021 | Commander 2020 | Magic Origins | Magic 2015 | Tenth Edition | Ninth Edition | Apocalypse</v>
      </c>
      <c r="D254" s="80" t="str">
        <f t="array" ref="D254">IF(A254="","",IF(ISLOGICAL(INDEX('Deck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54" s="80" t="str">
        <f t="shared" si="2"/>
        <v>Y</v>
      </c>
      <c r="F254" s="80">
        <f t="array" ref="F254">IF(A254="","",IF(ISNUMBER(J254),J254,IF(ISNUMBER(INDEX('Deck 1'!$A:$Z,ROW()-250,'List Setup'!$F$3)),INDEX('Deck 1'!$A:$Z,ROW()-250,'List Setup'!$F$3),0)))</f>
        <v>56.76</v>
      </c>
      <c r="G254" s="80" t="str">
        <f t="array" ref="G254">IF(A254="","",A254&amp;IF(N(INDEX('Deck 1'!$A:$Z,ROW()-250,'List Setup'!$C$3))&gt;1," (x"&amp;INDEX('Deck 1'!$A:$Z,ROW()-250,'List Setup'!$C$3)&amp;")","")&amp;IF(COUNTIF(Binders!$J$6:$J$30,TRUE())&gt;1," ["&amp;Q254&amp;"]",""))</f>
        <v>Battlefield Forge [Deck 1]</v>
      </c>
      <c r="H254" s="80" t="str">
        <f t="array" ref="H254">IF(A254="","",CHAR(10)&amp;INDEX('Deck 1'!$A:$Z,ROW()-250,'List Setup'!$E$3)&amp;CHAR(10))</f>
        <v>
Reality Fracture Commander
Secrets of Strixhaven Commander
Edge of Eternities Commander
Final Fantasy Commander
Tarkir: Dragonstorm Commander
Bloomburrow Commander
Modern Horizons 3 Commander
Outlaws of Thunder Junction Commander
Tales of Middle-earth Commander
The Brothers' War Promos
The Brothers' War
Dominaria United Commander
Secret Lair Drop
Commander 2021
Commander 2020
Magic Origins
Magic 2015
Tenth Edition
Ninth Edition
Apocalypse
</v>
      </c>
      <c r="I254" s="80" t="str">
        <f t="array" ref="I254">IF(OR(B254="",B254="(none)"),"",IF(ISNUMBER(SEARCH(CHAR(10)&amp;B254&amp;CHAR(10),H254)),B254,IFERROR(INDEX('Set Aliases'!$A$2:$A$501,MATCH(1,('Set Aliases'!$B$2:$B$501=B254)*ISNUMBER(SEARCH(CHAR(10)&amp;'Set Aliases'!$A$2:$A$501&amp;CHAR(10),H254)),0)),"")))</f>
        <v>Secret Lair Drop</v>
      </c>
      <c r="J254" s="80">
        <f t="array" ref="J254">IF(I254="","",IFERROR(VALUE(TRIM(MID(SUBSTITUTE(INDEX('Deck 1'!$A:$Z,ROW()-250,'List Setup'!$G$3),CHAR(10),REPT(" ",100)),((SEARCH(CHAR(10)&amp;I254&amp;CHAR(10),H254)-LEN(SUBSTITUTE(LEFT(H254,SEARCH(CHAR(10)&amp;I254&amp;CHAR(10),H254)),CHAR(10),"")))-1)*100+1,100))),""))</f>
        <v>56.76</v>
      </c>
      <c r="K254" s="80">
        <f t="array" ref="K254">IF(A254="","",IF(ISNUMBER(SEARCH("Land",LEFT(IFERROR(INDEX('Deck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8</v>
      </c>
      <c r="L254" s="80" t="str">
        <f t="shared" si="3"/>
        <v>Land</v>
      </c>
      <c r="M254" s="80" t="str">
        <f>IF(A254="","",IF(AND(E254="Y",B254='Use at Shop'!$B$4),K254*10000000000+(MAX(0,MIN(26,CODE(MID(UPPER(A254)&amp;"    ",1,1))-64))*19683+MAX(0,MIN(26,CODE(MID(UPPER(A254)&amp;"    ",2,1))-64))*729+MAX(0,MIN(26,CODE(MID(UPPER(A254)&amp;"    ",3,1))-64))*27+MAX(0,MIN(26,CODE(MID(UPPER(A254)&amp;"    ",4,1))-64))*1)*10000+ROW(),""))</f>
        <v/>
      </c>
      <c r="N254" s="80">
        <f t="shared" si="5"/>
        <v>4</v>
      </c>
      <c r="O254" s="83" t="str">
        <f t="array" ref="O254">IF(A254="","",IFERROR(INDEX('Deck 1'!$A:$Z,ROW()-250,'List Setup'!$J$3)&amp;"",""))</f>
        <v>https://cards.scryfall.io/small/front/e/f/ef7d3676-b1db-4329-9201-18f8a6c54ea6.jpg?1789599856</v>
      </c>
      <c r="P254" s="2"/>
      <c r="Q254" s="80" t="str">
        <f>IF(A254="","",'List Setup'!$A$3)</f>
        <v>Deck 1</v>
      </c>
      <c r="R254" s="80" t="b">
        <f t="array" ref="R254">IF(A254="","",IFERROR(OR(INDEX(Binders!$J$6:$J$30,MATCH(Q254,Binders!$I$6:$I$30,0))=TRUE(),UPPER(INDEX(Binders!$J$6:$J$30,MATCH(Q254,Binders!$I$6:$I$30,0))&amp;"")="TRUE"),FALSE()))</f>
        <v>1</v>
      </c>
    </row>
    <row r="255" ht="15.75" customHeight="1">
      <c r="A255" s="80" t="str">
        <f t="array" ref="A255">IF(INDEX('Deck 1'!$A:$Z,ROW()-250,'List Setup'!$D$3)="","",INDEX('Deck 1'!$A:$Z,ROW()-250,'List Setup'!$D$3))</f>
        <v>Belladonna Took</v>
      </c>
      <c r="B255" s="80" t="str">
        <f t="array" ref="B255">IF(A255="","",IFERROR(INDEX('Binder Setup'!$B$2:$B$401,MIN(IF(ISNUMBER(SEARCH(CHAR(10)&amp;'Binder Setup'!$B$2:$B$401&amp;CHAR(10),$H255)),'List Setup'!$Q$2:$Q$401,999),IF(ISNUMBER(SEARCH(CHAR(10)&amp;'Set Aliases'!$A$2:$A$501&amp;CHAR(10),$H255)),'Set Aliases'!$C$2:$C$501,999))),"(none)"))</f>
        <v>The Hobbit</v>
      </c>
      <c r="C255" s="80" t="str">
        <f t="shared" si="1"/>
        <v>The Hobbit</v>
      </c>
      <c r="D255" s="80" t="str">
        <f t="array" ref="D255">IF(A255="","",IF(ISLOGICAL(INDEX('Deck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55" s="80" t="str">
        <f t="shared" si="2"/>
        <v>Y</v>
      </c>
      <c r="F255" s="80">
        <f t="array" ref="F255">IF(A255="","",IF(ISNUMBER(J255),J255,IF(ISNUMBER(INDEX('Deck 1'!$A:$Z,ROW()-250,'List Setup'!$F$3)),INDEX('Deck 1'!$A:$Z,ROW()-250,'List Setup'!$F$3),0)))</f>
        <v>2.43</v>
      </c>
      <c r="G255" s="80" t="str">
        <f t="array" ref="G255">IF(A255="","",A255&amp;IF(N(INDEX('Deck 1'!$A:$Z,ROW()-250,'List Setup'!$C$3))&gt;1," (x"&amp;INDEX('Deck 1'!$A:$Z,ROW()-250,'List Setup'!$C$3)&amp;")","")&amp;IF(COUNTIF(Binders!$J$6:$J$30,TRUE())&gt;1," ["&amp;Q255&amp;"]",""))</f>
        <v>Belladonna Took [Deck 1]</v>
      </c>
      <c r="H255" s="80" t="str">
        <f t="array" ref="H255">IF(A255="","",CHAR(10)&amp;INDEX('Deck 1'!$A:$Z,ROW()-250,'List Setup'!$E$3)&amp;CHAR(10))</f>
        <v>
The Hobbit
</v>
      </c>
      <c r="I255" s="80" t="str">
        <f t="array" ref="I255">IF(OR(B255="",B255="(none)"),"",IF(ISNUMBER(SEARCH(CHAR(10)&amp;B255&amp;CHAR(10),H255)),B255,IFERROR(INDEX('Set Aliases'!$A$2:$A$501,MATCH(1,('Set Aliases'!$B$2:$B$501=B255)*ISNUMBER(SEARCH(CHAR(10)&amp;'Set Aliases'!$A$2:$A$501&amp;CHAR(10),H255)),0)),"")))</f>
        <v>The Hobbit</v>
      </c>
      <c r="J255" s="80">
        <f t="array" ref="J255">IF(I255="","",IFERROR(VALUE(TRIM(MID(SUBSTITUTE(INDEX('Deck 1'!$A:$Z,ROW()-250,'List Setup'!$G$3),CHAR(10),REPT(" ",100)),((SEARCH(CHAR(10)&amp;I255&amp;CHAR(10),H255)-LEN(SUBSTITUTE(LEFT(H255,SEARCH(CHAR(10)&amp;I255&amp;CHAR(10),H255)),CHAR(10),"")))-1)*100+1,100))),""))</f>
        <v>2.43</v>
      </c>
      <c r="K255" s="80">
        <f t="array" ref="K255">IF(A255="","",IF(ISNUMBER(SEARCH("Land",LEFT(IFERROR(INDEX('Deck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1</v>
      </c>
      <c r="L255" s="80" t="str">
        <f t="shared" si="3"/>
        <v>White</v>
      </c>
      <c r="M255" s="80" t="str">
        <f>IF(A255="","",IF(AND(E255="Y",B255='Use at Shop'!$B$4),K255*10000000000+(MAX(0,MIN(26,CODE(MID(UPPER(A255)&amp;"    ",1,1))-64))*19683+MAX(0,MIN(26,CODE(MID(UPPER(A255)&amp;"    ",2,1))-64))*729+MAX(0,MIN(26,CODE(MID(UPPER(A255)&amp;"    ",3,1))-64))*27+MAX(0,MIN(26,CODE(MID(UPPER(A255)&amp;"    ",4,1))-64))*1)*10000+ROW(),""))</f>
        <v/>
      </c>
      <c r="N255" s="80">
        <f t="shared" si="5"/>
        <v>5</v>
      </c>
      <c r="O255" s="83" t="str">
        <f t="array" ref="O255">IF(A255="","",IFERROR(INDEX('Deck 1'!$A:$Z,ROW()-250,'List Setup'!$J$3)&amp;"",""))</f>
        <v>https://cards.scryfall.io/small/front/8/8/88f0c189-c9ed-4ea3-ae62-3d8ac6c7fecf.jpg?1784894804</v>
      </c>
      <c r="P255" s="2"/>
      <c r="Q255" s="80" t="str">
        <f>IF(A255="","",'List Setup'!$A$3)</f>
        <v>Deck 1</v>
      </c>
      <c r="R255" s="80" t="b">
        <f t="array" ref="R255">IF(A255="","",IFERROR(OR(INDEX(Binders!$J$6:$J$30,MATCH(Q255,Binders!$I$6:$I$30,0))=TRUE(),UPPER(INDEX(Binders!$J$6:$J$30,MATCH(Q255,Binders!$I$6:$I$30,0))&amp;"")="TRUE"),FALSE()))</f>
        <v>1</v>
      </c>
    </row>
    <row r="256" ht="15.75" customHeight="1">
      <c r="A256" s="80" t="str">
        <f t="array" ref="A256">IF(INDEX('Deck 1'!$A:$Z,ROW()-250,'List Setup'!$D$3)="","",INDEX('Deck 1'!$A:$Z,ROW()-250,'List Setup'!$D$3))</f>
        <v>Blasphemous Act</v>
      </c>
      <c r="B256" s="80" t="str">
        <f t="array" ref="B256">IF(A256="","",IFERROR(INDEX('Binder Setup'!$B$2:$B$401,MIN(IF(ISNUMBER(SEARCH(CHAR(10)&amp;'Binder Setup'!$B$2:$B$401&amp;CHAR(10),$H256)),'List Setup'!$Q$2:$Q$401,999),IF(ISNUMBER(SEARCH(CHAR(10)&amp;'Set Aliases'!$A$2:$A$501&amp;CHAR(10),$H256)),'Set Aliases'!$C$2:$C$501,999))),"(none)"))</f>
        <v>Foundations</v>
      </c>
      <c r="C256" s="80" t="str">
        <f t="shared" si="1"/>
        <v>Foundations Commander | Marvel Super Heroes Commander | The List | Secrets of Strixhaven Commander | Teenage Mutant Ninja Turtles Eternal | Lorwyn Eclipsed Commander | Avatar: The Last Airbender Eternal | Secret Lair Drop | Edge of Eternities Commander | Tarkir: Dragonstorm Commander | Aetherdrift Commander | Duskmourn: House of Horror Commander | Bloomburrow Commander | Fallout | The Lost Caverns of Ixalan Commander | Doctor Who | Commander Masters | Tales of Middle-earth Commander | Starter Commander Decks | The Brothers' War Commander | Warhammer 40,000 Commander | Commander Legends: Battle for Baldur's Gate | New Capenna Commander | Crimson Vow Commander | Commander 2021 | Commander Legends | Double Masters | Commander 2018 | Commander Anthology Volume II | Commander 2016 | Commander 2014 | Innistrad</v>
      </c>
      <c r="D256" s="80" t="str">
        <f t="array" ref="D256">IF(A256="","",IF(ISLOGICAL(INDEX('Deck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56" s="80" t="str">
        <f t="shared" si="2"/>
        <v>Y</v>
      </c>
      <c r="F256" s="80">
        <f t="array" ref="F256">IF(A256="","",IF(ISNUMBER(J256),J256,IF(ISNUMBER(INDEX('Deck 1'!$A:$Z,ROW()-250,'List Setup'!$F$3)),INDEX('Deck 1'!$A:$Z,ROW()-250,'List Setup'!$F$3),0)))</f>
        <v>1.22</v>
      </c>
      <c r="G256" s="80" t="str">
        <f t="array" ref="G256">IF(A256="","",A256&amp;IF(N(INDEX('Deck 1'!$A:$Z,ROW()-250,'List Setup'!$C$3))&gt;1," (x"&amp;INDEX('Deck 1'!$A:$Z,ROW()-250,'List Setup'!$C$3)&amp;")","")&amp;IF(COUNTIF(Binders!$J$6:$J$30,TRUE())&gt;1," ["&amp;Q256&amp;"]",""))</f>
        <v>Blasphemous Act [Deck 1]</v>
      </c>
      <c r="H256" s="80" t="str">
        <f t="array" ref="H256">IF(A256="","",CHAR(10)&amp;INDEX('Deck 1'!$A:$Z,ROW()-250,'List Setup'!$E$3)&amp;CHAR(10))</f>
        <v>
Foundations Commander
Marvel Super Heroes Commander
The List
Secrets of Strixhaven Commander
Teenage Mutant Ninja Turtles Eternal
Lorwyn Eclipsed Commander
Avatar: The Last Airbender Eternal
Secret Lair Drop
Edge of Eternities Commander
Tarkir: Dragonstorm Commander
Aetherdrift Commander
Duskmourn: House of Horror Commander
Bloomburrow Commander
Fallout
The Lost Caverns of Ixalan Commander
Doctor Who
Commander Masters
Tales of Middle-earth Commander
Starter Commander Decks
The Brothers' War Commander
Warhammer 40,000 Commander
Commander Legends: Battle for Baldur's Gate
New Capenna Commander
Crimson Vow Commander
Commander 2021
Commander Legends
Double Masters
Commander 2018
Commander Anthology Volume II
Commander 2016
Commander 2014
Innistrad
</v>
      </c>
      <c r="I256" s="80" t="str">
        <f t="array" ref="I256">IF(OR(B256="",B256="(none)"),"",IF(ISNUMBER(SEARCH(CHAR(10)&amp;B256&amp;CHAR(10),H256)),B256,IFERROR(INDEX('Set Aliases'!$A$2:$A$501,MATCH(1,('Set Aliases'!$B$2:$B$501=B256)*ISNUMBER(SEARCH(CHAR(10)&amp;'Set Aliases'!$A$2:$A$501&amp;CHAR(10),H256)),0)),"")))</f>
        <v>The List</v>
      </c>
      <c r="J256" s="80">
        <f t="array" ref="J256">IF(I256="","",IFERROR(VALUE(TRIM(MID(SUBSTITUTE(INDEX('Deck 1'!$A:$Z,ROW()-250,'List Setup'!$G$3),CHAR(10),REPT(" ",100)),((SEARCH(CHAR(10)&amp;I256&amp;CHAR(10),H256)-LEN(SUBSTITUTE(LEFT(H256,SEARCH(CHAR(10)&amp;I256&amp;CHAR(10),H256)),CHAR(10),"")))-1)*100+1,100))),""))</f>
        <v>1.22</v>
      </c>
      <c r="K256" s="80">
        <f t="array" ref="K256">IF(A256="","",IF(ISNUMBER(SEARCH("Land",LEFT(IFERROR(INDEX('Deck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4</v>
      </c>
      <c r="L256" s="80" t="str">
        <f t="shared" si="3"/>
        <v>Red</v>
      </c>
      <c r="M256" s="80">
        <f>IF(A256="","",IF(AND(E256="Y",B256='Use at Shop'!$B$4),K256*10000000000+(MAX(0,MIN(26,CODE(MID(UPPER(A256)&amp;"    ",1,1))-64))*19683+MAX(0,MIN(26,CODE(MID(UPPER(A256)&amp;"    ",2,1))-64))*729+MAX(0,MIN(26,CODE(MID(UPPER(A256)&amp;"    ",3,1))-64))*27+MAX(0,MIN(26,CODE(MID(UPPER(A256)&amp;"    ",4,1))-64))*1)*10000+ROW(),""))</f>
        <v>40481600256</v>
      </c>
      <c r="N256" s="80">
        <f t="shared" si="5"/>
        <v>6</v>
      </c>
      <c r="O256" s="83" t="str">
        <f t="array" ref="O256">IF(A256="","",IFERROR(INDEX('Deck 1'!$A:$Z,ROW()-250,'List Setup'!$J$3)&amp;"",""))</f>
        <v>https://cards.scryfall.io/small/front/7/d/7d4b1d44-126e-4987-9a9f-f0f9627a09cb.jpg?1783903234</v>
      </c>
      <c r="P256" s="2"/>
      <c r="Q256" s="80" t="str">
        <f>IF(A256="","",'List Setup'!$A$3)</f>
        <v>Deck 1</v>
      </c>
      <c r="R256" s="80" t="b">
        <f t="array" ref="R256">IF(A256="","",IFERROR(OR(INDEX(Binders!$J$6:$J$30,MATCH(Q256,Binders!$I$6:$I$30,0))=TRUE(),UPPER(INDEX(Binders!$J$6:$J$30,MATCH(Q256,Binders!$I$6:$I$30,0))&amp;"")="TRUE"),FALSE()))</f>
        <v>1</v>
      </c>
    </row>
    <row r="257" ht="15.75" customHeight="1">
      <c r="A257" s="80" t="str">
        <f t="array" ref="A257">IF(INDEX('Deck 1'!$A:$Z,ROW()-250,'List Setup'!$D$3)="","",INDEX('Deck 1'!$A:$Z,ROW()-250,'List Setup'!$D$3))</f>
        <v>Bonehoard Dracosaur</v>
      </c>
      <c r="B257" s="80" t="str">
        <f t="array" ref="B257">IF(A257="","",IFERROR(INDEX('Binder Setup'!$B$2:$B$401,MIN(IF(ISNUMBER(SEARCH(CHAR(10)&amp;'Binder Setup'!$B$2:$B$401&amp;CHAR(10),$H257)),'List Setup'!$Q$2:$Q$401,999),IF(ISNUMBER(SEARCH(CHAR(10)&amp;'Set Aliases'!$A$2:$A$501&amp;CHAR(10),$H257)),'Set Aliases'!$C$2:$C$501,999))),"(none)"))</f>
        <v>The Lost Caverns of Ixalan</v>
      </c>
      <c r="C257" s="80" t="str">
        <f t="shared" si="1"/>
        <v>The Lost Caverns of Ixalan Promos | The Lost Caverns of Ixalan</v>
      </c>
      <c r="D257" s="80" t="str">
        <f t="array" ref="D257">IF(A257="","",IF(ISLOGICAL(INDEX('Deck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57" s="80" t="str">
        <f t="shared" si="2"/>
        <v>Y</v>
      </c>
      <c r="F257" s="80">
        <f t="array" ref="F257">IF(A257="","",IF(ISNUMBER(J257),J257,IF(ISNUMBER(INDEX('Deck 1'!$A:$Z,ROW()-250,'List Setup'!$F$3)),INDEX('Deck 1'!$A:$Z,ROW()-250,'List Setup'!$F$3),0)))</f>
        <v>14.99</v>
      </c>
      <c r="G257" s="80" t="str">
        <f t="array" ref="G257">IF(A257="","",A257&amp;IF(N(INDEX('Deck 1'!$A:$Z,ROW()-250,'List Setup'!$C$3))&gt;1," (x"&amp;INDEX('Deck 1'!$A:$Z,ROW()-250,'List Setup'!$C$3)&amp;")","")&amp;IF(COUNTIF(Binders!$J$6:$J$30,TRUE())&gt;1," ["&amp;Q257&amp;"]",""))</f>
        <v>Bonehoard Dracosaur [Deck 1]</v>
      </c>
      <c r="H257" s="80" t="str">
        <f t="array" ref="H257">IF(A257="","",CHAR(10)&amp;INDEX('Deck 1'!$A:$Z,ROW()-250,'List Setup'!$E$3)&amp;CHAR(10))</f>
        <v>
The Lost Caverns of Ixalan Promos
The Lost Caverns of Ixalan
</v>
      </c>
      <c r="I257" s="80" t="str">
        <f t="array" ref="I257">IF(OR(B257="",B257="(none)"),"",IF(ISNUMBER(SEARCH(CHAR(10)&amp;B257&amp;CHAR(10),H257)),B257,IFERROR(INDEX('Set Aliases'!$A$2:$A$501,MATCH(1,('Set Aliases'!$B$2:$B$501=B257)*ISNUMBER(SEARCH(CHAR(10)&amp;'Set Aliases'!$A$2:$A$501&amp;CHAR(10),H257)),0)),"")))</f>
        <v>The Lost Caverns of Ixalan</v>
      </c>
      <c r="J257" s="80">
        <f t="array" ref="J257">IF(I257="","",IFERROR(VALUE(TRIM(MID(SUBSTITUTE(INDEX('Deck 1'!$A:$Z,ROW()-250,'List Setup'!$G$3),CHAR(10),REPT(" ",100)),((SEARCH(CHAR(10)&amp;I257&amp;CHAR(10),H257)-LEN(SUBSTITUTE(LEFT(H257,SEARCH(CHAR(10)&amp;I257&amp;CHAR(10),H257)),CHAR(10),"")))-1)*100+1,100))),""))</f>
        <v>14.99</v>
      </c>
      <c r="K257" s="80">
        <f t="array" ref="K257">IF(A257="","",IF(ISNUMBER(SEARCH("Land",LEFT(IFERROR(INDEX('Deck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4</v>
      </c>
      <c r="L257" s="80" t="str">
        <f t="shared" si="3"/>
        <v>Red</v>
      </c>
      <c r="M257" s="80" t="str">
        <f>IF(A257="","",IF(AND(E257="Y",B257='Use at Shop'!$B$4),K257*10000000000+(MAX(0,MIN(26,CODE(MID(UPPER(A257)&amp;"    ",1,1))-64))*19683+MAX(0,MIN(26,CODE(MID(UPPER(A257)&amp;"    ",2,1))-64))*729+MAX(0,MIN(26,CODE(MID(UPPER(A257)&amp;"    ",3,1))-64))*27+MAX(0,MIN(26,CODE(MID(UPPER(A257)&amp;"    ",4,1))-64))*1)*10000+ROW(),""))</f>
        <v/>
      </c>
      <c r="N257" s="80">
        <f t="shared" si="5"/>
        <v>7</v>
      </c>
      <c r="O257" s="83" t="str">
        <f t="array" ref="O257">IF(A257="","",IFERROR(INDEX('Deck 1'!$A:$Z,ROW()-250,'List Setup'!$J$3)&amp;"",""))</f>
        <v>https://cards.scryfall.io/small/front/2/2/2220ed60-3f8f-4dd2-8319-6a06896a5350.jpg?1783913768</v>
      </c>
      <c r="P257" s="2"/>
      <c r="Q257" s="80" t="str">
        <f>IF(A257="","",'List Setup'!$A$3)</f>
        <v>Deck 1</v>
      </c>
      <c r="R257" s="80" t="b">
        <f t="array" ref="R257">IF(A257="","",IFERROR(OR(INDEX(Binders!$J$6:$J$30,MATCH(Q257,Binders!$I$6:$I$30,0))=TRUE(),UPPER(INDEX(Binders!$J$6:$J$30,MATCH(Q257,Binders!$I$6:$I$30,0))&amp;"")="TRUE"),FALSE()))</f>
        <v>1</v>
      </c>
    </row>
    <row r="258" ht="15.75" customHeight="1">
      <c r="A258" s="80" t="str">
        <f t="array" ref="A258">IF(INDEX('Deck 1'!$A:$Z,ROW()-250,'List Setup'!$D$3)="","",INDEX('Deck 1'!$A:$Z,ROW()-250,'List Setup'!$D$3))</f>
        <v>Boros Signet</v>
      </c>
      <c r="B258" s="80" t="str">
        <f t="array" ref="B258">IF(A258="","",IFERROR(INDEX('Binder Setup'!$B$2:$B$401,MIN(IF(ISNUMBER(SEARCH(CHAR(10)&amp;'Binder Setup'!$B$2:$B$401&amp;CHAR(10),$H258)),'List Setup'!$Q$2:$Q$401,999),IF(ISNUMBER(SEARCH(CHAR(10)&amp;'Set Aliases'!$A$2:$A$501&amp;CHAR(10),$H258)),'Set Aliases'!$C$2:$C$501,999))),"(none)"))</f>
        <v>Secret Lair Drop</v>
      </c>
      <c r="C258" s="80" t="str">
        <f t="shared" si="1"/>
        <v>Tarkir: Dragonstorm Commander | Bloomburrow Commander | Ravnica: Clue Edition | Ravnica Remastered | Commander Masters | Phyrexia: All Will Be One Commander | Secret Lair Drop | Commander Legends | Commander 2020 | GRN Guild Kit | Commander Anthology Volume II | Commander 2017 | Commander Anthology | Modern Masters 2017 | Commander 2015 | Commander 2011 | Planechase | Ravnica: City of Guilds</v>
      </c>
      <c r="D258" s="80" t="str">
        <f t="array" ref="D258">IF(A258="","",IF(ISLOGICAL(INDEX('Deck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58" s="80" t="str">
        <f t="shared" si="2"/>
        <v>Y</v>
      </c>
      <c r="F258" s="80">
        <f t="array" ref="F258">IF(A258="","",IF(ISNUMBER(J258),J258,IF(ISNUMBER(INDEX('Deck 1'!$A:$Z,ROW()-250,'List Setup'!$F$3)),INDEX('Deck 1'!$A:$Z,ROW()-250,'List Setup'!$F$3),0)))</f>
        <v>15.79</v>
      </c>
      <c r="G258" s="80" t="str">
        <f t="array" ref="G258">IF(A258="","",A258&amp;IF(N(INDEX('Deck 1'!$A:$Z,ROW()-250,'List Setup'!$C$3))&gt;1," (x"&amp;INDEX('Deck 1'!$A:$Z,ROW()-250,'List Setup'!$C$3)&amp;")","")&amp;IF(COUNTIF(Binders!$J$6:$J$30,TRUE())&gt;1," ["&amp;Q258&amp;"]",""))</f>
        <v>Boros Signet [Deck 1]</v>
      </c>
      <c r="H258" s="80" t="str">
        <f t="array" ref="H258">IF(A258="","",CHAR(10)&amp;INDEX('Deck 1'!$A:$Z,ROW()-250,'List Setup'!$E$3)&amp;CHAR(10))</f>
        <v>
Tarkir: Dragonstorm Commander
Bloomburrow Commander
Ravnica: Clue Edition
Ravnica Remastered
Commander Masters
Phyrexia: All Will Be One Commander
Secret Lair Drop
Commander Legends
Commander 2020
GRN Guild Kit
Commander Anthology Volume II
Commander 2017
Commander Anthology
Modern Masters 2017
Commander 2015
Commander 2011
Planechase
Ravnica: City of Guilds
</v>
      </c>
      <c r="I258" s="80" t="str">
        <f t="array" ref="I258">IF(OR(B258="",B258="(none)"),"",IF(ISNUMBER(SEARCH(CHAR(10)&amp;B258&amp;CHAR(10),H258)),B258,IFERROR(INDEX('Set Aliases'!$A$2:$A$501,MATCH(1,('Set Aliases'!$B$2:$B$501=B258)*ISNUMBER(SEARCH(CHAR(10)&amp;'Set Aliases'!$A$2:$A$501&amp;CHAR(10),H258)),0)),"")))</f>
        <v>Secret Lair Drop</v>
      </c>
      <c r="J258" s="80">
        <f t="array" ref="J258">IF(I258="","",IFERROR(VALUE(TRIM(MID(SUBSTITUTE(INDEX('Deck 1'!$A:$Z,ROW()-250,'List Setup'!$G$3),CHAR(10),REPT(" ",100)),((SEARCH(CHAR(10)&amp;I258&amp;CHAR(10),H258)-LEN(SUBSTITUTE(LEFT(H258,SEARCH(CHAR(10)&amp;I258&amp;CHAR(10),H258)),CHAR(10),"")))-1)*100+1,100))),""))</f>
        <v>15.79</v>
      </c>
      <c r="K258" s="80">
        <f t="array" ref="K258">IF(A258="","",IF(ISNUMBER(SEARCH("Land",LEFT(IFERROR(INDEX('Deck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7</v>
      </c>
      <c r="L258" s="80" t="str">
        <f t="shared" si="3"/>
        <v>Colorless</v>
      </c>
      <c r="M258" s="80" t="str">
        <f>IF(A258="","",IF(AND(E258="Y",B258='Use at Shop'!$B$4),K258*10000000000+(MAX(0,MIN(26,CODE(MID(UPPER(A258)&amp;"    ",1,1))-64))*19683+MAX(0,MIN(26,CODE(MID(UPPER(A258)&amp;"    ",2,1))-64))*729+MAX(0,MIN(26,CODE(MID(UPPER(A258)&amp;"    ",3,1))-64))*27+MAX(0,MIN(26,CODE(MID(UPPER(A258)&amp;"    ",4,1))-64))*1)*10000+ROW(),""))</f>
        <v/>
      </c>
      <c r="N258" s="80">
        <f t="shared" si="5"/>
        <v>8</v>
      </c>
      <c r="O258" s="83" t="str">
        <f t="array" ref="O258">IF(A258="","",IFERROR(INDEX('Deck 1'!$A:$Z,ROW()-250,'List Setup'!$J$3)&amp;"",""))</f>
        <v>https://cards.scryfall.io/small/front/4/9/49c37c0e-d363-4033-a069-710241cd9923.jpg?1783907016</v>
      </c>
      <c r="P258" s="2"/>
      <c r="Q258" s="80" t="str">
        <f>IF(A258="","",'List Setup'!$A$3)</f>
        <v>Deck 1</v>
      </c>
      <c r="R258" s="80" t="b">
        <f t="array" ref="R258">IF(A258="","",IFERROR(OR(INDEX(Binders!$J$6:$J$30,MATCH(Q258,Binders!$I$6:$I$30,0))=TRUE(),UPPER(INDEX(Binders!$J$6:$J$30,MATCH(Q258,Binders!$I$6:$I$30,0))&amp;"")="TRUE"),FALSE()))</f>
        <v>1</v>
      </c>
    </row>
    <row r="259" ht="15.75" customHeight="1">
      <c r="A259" s="80" t="str">
        <f t="array" ref="A259">IF(INDEX('Deck 1'!$A:$Z,ROW()-250,'List Setup'!$D$3)="","",INDEX('Deck 1'!$A:$Z,ROW()-250,'List Setup'!$D$3))</f>
        <v>Breya's Apprentice</v>
      </c>
      <c r="B259" s="80" t="str">
        <f t="array" ref="B259">IF(A259="","",IFERROR(INDEX('Binder Setup'!$B$2:$B$401,MIN(IF(ISNUMBER(SEARCH(CHAR(10)&amp;'Binder Setup'!$B$2:$B$401&amp;CHAR(10),$H259)),'List Setup'!$Q$2:$Q$401,999),IF(ISNUMBER(SEARCH(CHAR(10)&amp;'Set Aliases'!$A$2:$A$501&amp;CHAR(10),$H259)),'Set Aliases'!$C$2:$C$501,999))),"(none)"))</f>
        <v>Modern Horizons 2</v>
      </c>
      <c r="C259" s="80" t="str">
        <f t="shared" si="1"/>
        <v>Modern Horizons 2 | Modern Horizons 2 Promos</v>
      </c>
      <c r="D259" s="80" t="str">
        <f t="array" ref="D259">IF(A259="","",IF(ISLOGICAL(INDEX('Deck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59" s="80" t="str">
        <f t="shared" si="2"/>
        <v>Y</v>
      </c>
      <c r="F259" s="80">
        <f t="array" ref="F259">IF(A259="","",IF(ISNUMBER(J259),J259,IF(ISNUMBER(INDEX('Deck 1'!$A:$Z,ROW()-250,'List Setup'!$F$3)),INDEX('Deck 1'!$A:$Z,ROW()-250,'List Setup'!$F$3),0)))</f>
        <v>0.36</v>
      </c>
      <c r="G259" s="80" t="str">
        <f t="array" ref="G259">IF(A259="","",A259&amp;IF(N(INDEX('Deck 1'!$A:$Z,ROW()-250,'List Setup'!$C$3))&gt;1," (x"&amp;INDEX('Deck 1'!$A:$Z,ROW()-250,'List Setup'!$C$3)&amp;")","")&amp;IF(COUNTIF(Binders!$J$6:$J$30,TRUE())&gt;1," ["&amp;Q259&amp;"]",""))</f>
        <v>Breya's Apprentice [Deck 1]</v>
      </c>
      <c r="H259" s="80" t="str">
        <f t="array" ref="H259">IF(A259="","",CHAR(10)&amp;INDEX('Deck 1'!$A:$Z,ROW()-250,'List Setup'!$E$3)&amp;CHAR(10))</f>
        <v>
Modern Horizons 2
Modern Horizons 2 Promos
</v>
      </c>
      <c r="I259" s="80" t="str">
        <f t="array" ref="I259">IF(OR(B259="",B259="(none)"),"",IF(ISNUMBER(SEARCH(CHAR(10)&amp;B259&amp;CHAR(10),H259)),B259,IFERROR(INDEX('Set Aliases'!$A$2:$A$501,MATCH(1,('Set Aliases'!$B$2:$B$501=B259)*ISNUMBER(SEARCH(CHAR(10)&amp;'Set Aliases'!$A$2:$A$501&amp;CHAR(10),H259)),0)),"")))</f>
        <v>Modern Horizons 2</v>
      </c>
      <c r="J259" s="80">
        <f t="array" ref="J259">IF(I259="","",IFERROR(VALUE(TRIM(MID(SUBSTITUTE(INDEX('Deck 1'!$A:$Z,ROW()-250,'List Setup'!$G$3),CHAR(10),REPT(" ",100)),((SEARCH(CHAR(10)&amp;I259&amp;CHAR(10),H259)-LEN(SUBSTITUTE(LEFT(H259,SEARCH(CHAR(10)&amp;I259&amp;CHAR(10),H259)),CHAR(10),"")))-1)*100+1,100))),""))</f>
        <v>0.36</v>
      </c>
      <c r="K259" s="80">
        <f t="array" ref="K259">IF(A259="","",IF(ISNUMBER(SEARCH("Land",LEFT(IFERROR(INDEX('Deck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4</v>
      </c>
      <c r="L259" s="80" t="str">
        <f t="shared" si="3"/>
        <v>Red</v>
      </c>
      <c r="M259" s="80" t="str">
        <f>IF(A259="","",IF(AND(E259="Y",B259='Use at Shop'!$B$4),K259*10000000000+(MAX(0,MIN(26,CODE(MID(UPPER(A259)&amp;"    ",1,1))-64))*19683+MAX(0,MIN(26,CODE(MID(UPPER(A259)&amp;"    ",2,1))-64))*729+MAX(0,MIN(26,CODE(MID(UPPER(A259)&amp;"    ",3,1))-64))*27+MAX(0,MIN(26,CODE(MID(UPPER(A259)&amp;"    ",4,1))-64))*1)*10000+ROW(),""))</f>
        <v/>
      </c>
      <c r="N259" s="80">
        <f t="shared" si="5"/>
        <v>9</v>
      </c>
      <c r="O259" s="83" t="str">
        <f t="array" ref="O259">IF(A259="","",IFERROR(INDEX('Deck 1'!$A:$Z,ROW()-250,'List Setup'!$J$3)&amp;"",""))</f>
        <v>https://cards.scryfall.io/small/front/c/3/c32b5b2e-dabf-4672-b476-4873781f636e.jpg?1783926848</v>
      </c>
      <c r="P259" s="2"/>
      <c r="Q259" s="80" t="str">
        <f>IF(A259="","",'List Setup'!$A$3)</f>
        <v>Deck 1</v>
      </c>
      <c r="R259" s="80" t="b">
        <f t="array" ref="R259">IF(A259="","",IFERROR(OR(INDEX(Binders!$J$6:$J$30,MATCH(Q259,Binders!$I$6:$I$30,0))=TRUE(),UPPER(INDEX(Binders!$J$6:$J$30,MATCH(Q259,Binders!$I$6:$I$30,0))&amp;"")="TRUE"),FALSE()))</f>
        <v>1</v>
      </c>
    </row>
    <row r="260" ht="15.75" customHeight="1">
      <c r="A260" s="80" t="str">
        <f t="array" ref="A260">IF(INDEX('Deck 1'!$A:$Z,ROW()-250,'List Setup'!$D$3)="","",INDEX('Deck 1'!$A:$Z,ROW()-250,'List Setup'!$D$3))</f>
        <v>Castle Embereth</v>
      </c>
      <c r="B260" s="80" t="str">
        <f t="array" ref="B260">IF(A260="","",IFERROR(INDEX('Binder Setup'!$B$2:$B$401,MIN(IF(ISNUMBER(SEARCH(CHAR(10)&amp;'Binder Setup'!$B$2:$B$401&amp;CHAR(10),$H260)),'List Setup'!$Q$2:$Q$401,999),IF(ISNUMBER(SEARCH(CHAR(10)&amp;'Set Aliases'!$A$2:$A$501&amp;CHAR(10),$H260)),'Set Aliases'!$C$2:$C$501,999))),"(none)"))</f>
        <v>Foundations</v>
      </c>
      <c r="C260" s="80" t="str">
        <f t="shared" si="1"/>
        <v>The List | Tarkir: Dragonstorm Commander | Phyrexia: All Will Be One Commander | Commander Legends: Battle for Baldur's Gate | New Capenna Commander | Throne of Eldraine Promos | Throne of Eldraine</v>
      </c>
      <c r="D260" s="80" t="str">
        <f t="array" ref="D260">IF(A260="","",IF(ISLOGICAL(INDEX('Deck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60" s="80" t="str">
        <f t="shared" si="2"/>
        <v>Y</v>
      </c>
      <c r="F260" s="80">
        <f t="array" ref="F260">IF(A260="","",IF(ISNUMBER(J260),J260,IF(ISNUMBER(INDEX('Deck 1'!$A:$Z,ROW()-250,'List Setup'!$F$3)),INDEX('Deck 1'!$A:$Z,ROW()-250,'List Setup'!$F$3),0)))</f>
        <v>0.36</v>
      </c>
      <c r="G260" s="80" t="str">
        <f t="array" ref="G260">IF(A260="","",A260&amp;IF(N(INDEX('Deck 1'!$A:$Z,ROW()-250,'List Setup'!$C$3))&gt;1," (x"&amp;INDEX('Deck 1'!$A:$Z,ROW()-250,'List Setup'!$C$3)&amp;")","")&amp;IF(COUNTIF(Binders!$J$6:$J$30,TRUE())&gt;1," ["&amp;Q260&amp;"]",""))</f>
        <v>Castle Embereth [Deck 1]</v>
      </c>
      <c r="H260" s="80" t="str">
        <f t="array" ref="H260">IF(A260="","",CHAR(10)&amp;INDEX('Deck 1'!$A:$Z,ROW()-250,'List Setup'!$E$3)&amp;CHAR(10))</f>
        <v>
The List
Tarkir: Dragonstorm Commander
Phyrexia: All Will Be One Commander
Commander Legends: Battle for Baldur's Gate
New Capenna Commander
Throne of Eldraine Promos
Throne of Eldraine
</v>
      </c>
      <c r="I260" s="80" t="str">
        <f t="array" ref="I260">IF(OR(B260="",B260="(none)"),"",IF(ISNUMBER(SEARCH(CHAR(10)&amp;B260&amp;CHAR(10),H260)),B260,IFERROR(INDEX('Set Aliases'!$A$2:$A$501,MATCH(1,('Set Aliases'!$B$2:$B$501=B260)*ISNUMBER(SEARCH(CHAR(10)&amp;'Set Aliases'!$A$2:$A$501&amp;CHAR(10),H260)),0)),"")))</f>
        <v>The List</v>
      </c>
      <c r="J260" s="80">
        <f t="array" ref="J260">IF(I260="","",IFERROR(VALUE(TRIM(MID(SUBSTITUTE(INDEX('Deck 1'!$A:$Z,ROW()-250,'List Setup'!$G$3),CHAR(10),REPT(" ",100)),((SEARCH(CHAR(10)&amp;I260&amp;CHAR(10),H260)-LEN(SUBSTITUTE(LEFT(H260,SEARCH(CHAR(10)&amp;I260&amp;CHAR(10),H260)),CHAR(10),"")))-1)*100+1,100))),""))</f>
        <v>0.36</v>
      </c>
      <c r="K260" s="80">
        <f t="array" ref="K260">IF(A260="","",IF(ISNUMBER(SEARCH("Land",LEFT(IFERROR(INDEX('Deck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8</v>
      </c>
      <c r="L260" s="80" t="str">
        <f t="shared" si="3"/>
        <v>Land</v>
      </c>
      <c r="M260" s="80">
        <f>IF(A260="","",IF(AND(E260="Y",B260='Use at Shop'!$B$4),K260*10000000000+(MAX(0,MIN(26,CODE(MID(UPPER(A260)&amp;"    ",1,1))-64))*19683+MAX(0,MIN(26,CODE(MID(UPPER(A260)&amp;"    ",2,1))-64))*729+MAX(0,MIN(26,CODE(MID(UPPER(A260)&amp;"    ",3,1))-64))*27+MAX(0,MIN(26,CODE(MID(UPPER(A260)&amp;"    ",4,1))-64))*1)*10000+ROW(),""))</f>
        <v>80603110260</v>
      </c>
      <c r="N260" s="80">
        <f t="shared" si="5"/>
        <v>10</v>
      </c>
      <c r="O260" s="83" t="str">
        <f t="array" ref="O260">IF(A260="","",IFERROR(INDEX('Deck 1'!$A:$Z,ROW()-250,'List Setup'!$J$3)&amp;"",""))</f>
        <v>https://cards.scryfall.io/small/front/3/3/337f2d97-b317-4c10-b151-7acccf38fca8.jpg?1783906997</v>
      </c>
      <c r="P260" s="2"/>
      <c r="Q260" s="80" t="str">
        <f>IF(A260="","",'List Setup'!$A$3)</f>
        <v>Deck 1</v>
      </c>
      <c r="R260" s="80" t="b">
        <f t="array" ref="R260">IF(A260="","",IFERROR(OR(INDEX(Binders!$J$6:$J$30,MATCH(Q260,Binders!$I$6:$I$30,0))=TRUE(),UPPER(INDEX(Binders!$J$6:$J$30,MATCH(Q260,Binders!$I$6:$I$30,0))&amp;"")="TRUE"),FALSE()))</f>
        <v>1</v>
      </c>
    </row>
    <row r="261" ht="15.75" customHeight="1">
      <c r="A261" s="80" t="str">
        <f t="array" ref="A261">IF(INDEX('Deck 1'!$A:$Z,ROW()-250,'List Setup'!$D$3)="","",INDEX('Deck 1'!$A:$Z,ROW()-250,'List Setup'!$D$3))</f>
        <v>Chandra, Fire Artisan</v>
      </c>
      <c r="B261" s="80" t="str">
        <f t="array" ref="B261">IF(A261="","",IFERROR(INDEX('Binder Setup'!$B$2:$B$401,MIN(IF(ISNUMBER(SEARCH(CHAR(10)&amp;'Binder Setup'!$B$2:$B$401&amp;CHAR(10),$H261)),'List Setup'!$Q$2:$Q$401,999),IF(ISNUMBER(SEARCH(CHAR(10)&amp;'Set Aliases'!$A$2:$A$501&amp;CHAR(10),$H261)),'Set Aliases'!$C$2:$C$501,999))),"(none)"))</f>
        <v>Secret Lair Drop</v>
      </c>
      <c r="C261" s="80" t="str">
        <f t="shared" si="1"/>
        <v>Secret Lair Drop | War of the Spark Promos | War of the Spark</v>
      </c>
      <c r="D261" s="80" t="str">
        <f t="array" ref="D261">IF(A261="","",IF(ISLOGICAL(INDEX('Deck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61" s="80" t="str">
        <f t="shared" si="2"/>
        <v>Y</v>
      </c>
      <c r="F261" s="80">
        <f t="array" ref="F261">IF(A261="","",IF(ISNUMBER(J261),J261,IF(ISNUMBER(INDEX('Deck 1'!$A:$Z,ROW()-250,'List Setup'!$F$3)),INDEX('Deck 1'!$A:$Z,ROW()-250,'List Setup'!$F$3),0)))</f>
        <v>2.3</v>
      </c>
      <c r="G261" s="80" t="str">
        <f t="array" ref="G261">IF(A261="","",A261&amp;IF(N(INDEX('Deck 1'!$A:$Z,ROW()-250,'List Setup'!$C$3))&gt;1," (x"&amp;INDEX('Deck 1'!$A:$Z,ROW()-250,'List Setup'!$C$3)&amp;")","")&amp;IF(COUNTIF(Binders!$J$6:$J$30,TRUE())&gt;1," ["&amp;Q261&amp;"]",""))</f>
        <v>Chandra, Fire Artisan [Deck 1]</v>
      </c>
      <c r="H261" s="80" t="str">
        <f t="array" ref="H261">IF(A261="","",CHAR(10)&amp;INDEX('Deck 1'!$A:$Z,ROW()-250,'List Setup'!$E$3)&amp;CHAR(10))</f>
        <v>
Secret Lair Drop
War of the Spark Promos
War of the Spark
</v>
      </c>
      <c r="I261" s="80" t="str">
        <f t="array" ref="I261">IF(OR(B261="",B261="(none)"),"",IF(ISNUMBER(SEARCH(CHAR(10)&amp;B261&amp;CHAR(10),H261)),B261,IFERROR(INDEX('Set Aliases'!$A$2:$A$501,MATCH(1,('Set Aliases'!$B$2:$B$501=B261)*ISNUMBER(SEARCH(CHAR(10)&amp;'Set Aliases'!$A$2:$A$501&amp;CHAR(10),H261)),0)),"")))</f>
        <v>Secret Lair Drop</v>
      </c>
      <c r="J261" s="80">
        <f t="array" ref="J261">IF(I261="","",IFERROR(VALUE(TRIM(MID(SUBSTITUTE(INDEX('Deck 1'!$A:$Z,ROW()-250,'List Setup'!$G$3),CHAR(10),REPT(" ",100)),((SEARCH(CHAR(10)&amp;I261&amp;CHAR(10),H261)-LEN(SUBSTITUTE(LEFT(H261,SEARCH(CHAR(10)&amp;I261&amp;CHAR(10),H261)),CHAR(10),"")))-1)*100+1,100))),""))</f>
        <v>2.3</v>
      </c>
      <c r="K261" s="80">
        <f t="array" ref="K261">IF(A261="","",IF(ISNUMBER(SEARCH("Land",LEFT(IFERROR(INDEX('Deck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4</v>
      </c>
      <c r="L261" s="80" t="str">
        <f t="shared" si="3"/>
        <v>Red</v>
      </c>
      <c r="M261" s="80" t="str">
        <f>IF(A261="","",IF(AND(E261="Y",B261='Use at Shop'!$B$4),K261*10000000000+(MAX(0,MIN(26,CODE(MID(UPPER(A261)&amp;"    ",1,1))-64))*19683+MAX(0,MIN(26,CODE(MID(UPPER(A261)&amp;"    ",2,1))-64))*729+MAX(0,MIN(26,CODE(MID(UPPER(A261)&amp;"    ",3,1))-64))*27+MAX(0,MIN(26,CODE(MID(UPPER(A261)&amp;"    ",4,1))-64))*1)*10000+ROW(),""))</f>
        <v/>
      </c>
      <c r="N261" s="80">
        <f t="shared" si="5"/>
        <v>11</v>
      </c>
      <c r="O261" s="83" t="str">
        <f t="array" ref="O261">IF(A261="","",IFERROR(INDEX('Deck 1'!$A:$Z,ROW()-250,'List Setup'!$J$3)&amp;"",""))</f>
        <v>https://cards.scryfall.io/small/front/d/2/d21a7b23-8827-49f2-ade4-75a602d17743.jpg?1783933433</v>
      </c>
      <c r="P261" s="2"/>
      <c r="Q261" s="80" t="str">
        <f>IF(A261="","",'List Setup'!$A$3)</f>
        <v>Deck 1</v>
      </c>
      <c r="R261" s="80" t="b">
        <f t="array" ref="R261">IF(A261="","",IFERROR(OR(INDEX(Binders!$J$6:$J$30,MATCH(Q261,Binders!$I$6:$I$30,0))=TRUE(),UPPER(INDEX(Binders!$J$6:$J$30,MATCH(Q261,Binders!$I$6:$I$30,0))&amp;"")="TRUE"),FALSE()))</f>
        <v>1</v>
      </c>
    </row>
    <row r="262" ht="15.75" customHeight="1">
      <c r="A262" s="80" t="str">
        <f t="array" ref="A262">IF(INDEX('Deck 1'!$A:$Z,ROW()-250,'List Setup'!$D$3)="","",INDEX('Deck 1'!$A:$Z,ROW()-250,'List Setup'!$D$3))</f>
        <v>Chandra, Torch of Defiance</v>
      </c>
      <c r="B262" s="80" t="str">
        <f t="array" ref="B262">IF(A262="","",IFERROR(INDEX('Binder Setup'!$B$2:$B$401,MIN(IF(ISNUMBER(SEARCH(CHAR(10)&amp;'Binder Setup'!$B$2:$B$401&amp;CHAR(10),$H262)),'List Setup'!$Q$2:$Q$401,999),IF(ISNUMBER(SEARCH(CHAR(10)&amp;'Set Aliases'!$A$2:$A$501&amp;CHAR(10),$H262)),'Set Aliases'!$C$2:$C$501,999))),"(none)"))</f>
        <v>Commander Masters</v>
      </c>
      <c r="C262" s="80" t="str">
        <f t="shared" si="1"/>
        <v>Reality Fracture Promos | Reality Fracture | Commander Masters | Pioneer Challenger Decks 2021 | Signature Spellbook: Chandra | San Diego Comic-Con 2018 | San Diego Comic-Con 2017 | Kaladesh Promos | Kaladesh</v>
      </c>
      <c r="D262" s="80" t="str">
        <f t="array" ref="D262">IF(A262="","",IF(ISLOGICAL(INDEX('Deck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62" s="80" t="str">
        <f t="shared" si="2"/>
        <v>Y</v>
      </c>
      <c r="F262" s="80">
        <f t="array" ref="F262">IF(A262="","",IF(ISNUMBER(J262),J262,IF(ISNUMBER(INDEX('Deck 1'!$A:$Z,ROW()-250,'List Setup'!$F$3)),INDEX('Deck 1'!$A:$Z,ROW()-250,'List Setup'!$F$3),0)))</f>
        <v>3.31</v>
      </c>
      <c r="G262" s="80" t="str">
        <f t="array" ref="G262">IF(A262="","",A262&amp;IF(N(INDEX('Deck 1'!$A:$Z,ROW()-250,'List Setup'!$C$3))&gt;1," (x"&amp;INDEX('Deck 1'!$A:$Z,ROW()-250,'List Setup'!$C$3)&amp;")","")&amp;IF(COUNTIF(Binders!$J$6:$J$30,TRUE())&gt;1," ["&amp;Q262&amp;"]",""))</f>
        <v>Chandra, Torch of Defiance [Deck 1]</v>
      </c>
      <c r="H262" s="80" t="str">
        <f t="array" ref="H262">IF(A262="","",CHAR(10)&amp;INDEX('Deck 1'!$A:$Z,ROW()-250,'List Setup'!$E$3)&amp;CHAR(10))</f>
        <v>
Reality Fracture Promos
Reality Fracture
Commander Masters
Pioneer Challenger Decks 2021
Signature Spellbook: Chandra
San Diego Comic-Con 2018
San Diego Comic-Con 2017
Kaladesh Promos
Kaladesh
</v>
      </c>
      <c r="I262" s="80" t="str">
        <f t="array" ref="I262">IF(OR(B262="",B262="(none)"),"",IF(ISNUMBER(SEARCH(CHAR(10)&amp;B262&amp;CHAR(10),H262)),B262,IFERROR(INDEX('Set Aliases'!$A$2:$A$501,MATCH(1,('Set Aliases'!$B$2:$B$501=B262)*ISNUMBER(SEARCH(CHAR(10)&amp;'Set Aliases'!$A$2:$A$501&amp;CHAR(10),H262)),0)),"")))</f>
        <v>Commander Masters</v>
      </c>
      <c r="J262" s="80">
        <f t="array" ref="J262">IF(I262="","",IFERROR(VALUE(TRIM(MID(SUBSTITUTE(INDEX('Deck 1'!$A:$Z,ROW()-250,'List Setup'!$G$3),CHAR(10),REPT(" ",100)),((SEARCH(CHAR(10)&amp;I262&amp;CHAR(10),H262)-LEN(SUBSTITUTE(LEFT(H262,SEARCH(CHAR(10)&amp;I262&amp;CHAR(10),H262)),CHAR(10),"")))-1)*100+1,100))),""))</f>
        <v>3.31</v>
      </c>
      <c r="K262" s="80">
        <f t="array" ref="K262">IF(A262="","",IF(ISNUMBER(SEARCH("Land",LEFT(IFERROR(INDEX('Deck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4</v>
      </c>
      <c r="L262" s="80" t="str">
        <f t="shared" si="3"/>
        <v>Red</v>
      </c>
      <c r="M262" s="80" t="str">
        <f>IF(A262="","",IF(AND(E262="Y",B262='Use at Shop'!$B$4),K262*10000000000+(MAX(0,MIN(26,CODE(MID(UPPER(A262)&amp;"    ",1,1))-64))*19683+MAX(0,MIN(26,CODE(MID(UPPER(A262)&amp;"    ",2,1))-64))*729+MAX(0,MIN(26,CODE(MID(UPPER(A262)&amp;"    ",3,1))-64))*27+MAX(0,MIN(26,CODE(MID(UPPER(A262)&amp;"    ",4,1))-64))*1)*10000+ROW(),""))</f>
        <v/>
      </c>
      <c r="N262" s="80">
        <f t="shared" si="5"/>
        <v>12</v>
      </c>
      <c r="O262" s="83" t="str">
        <f t="array" ref="O262">IF(A262="","",IFERROR(INDEX('Deck 1'!$A:$Z,ROW()-250,'List Setup'!$J$3)&amp;"",""))</f>
        <v>https://cards.scryfall.io/small/front/4/0/40cb22c8-cb03-45c9-bb0e-b8cabdcc43cd.jpg?1788329325</v>
      </c>
      <c r="P262" s="2"/>
      <c r="Q262" s="80" t="str">
        <f>IF(A262="","",'List Setup'!$A$3)</f>
        <v>Deck 1</v>
      </c>
      <c r="R262" s="80" t="b">
        <f t="array" ref="R262">IF(A262="","",IFERROR(OR(INDEX(Binders!$J$6:$J$30,MATCH(Q262,Binders!$I$6:$I$30,0))=TRUE(),UPPER(INDEX(Binders!$J$6:$J$30,MATCH(Q262,Binders!$I$6:$I$30,0))&amp;"")="TRUE"),FALSE()))</f>
        <v>1</v>
      </c>
    </row>
    <row r="263" ht="15.75" customHeight="1">
      <c r="A263" s="80" t="str">
        <f t="array" ref="A263">IF(INDEX('Deck 1'!$A:$Z,ROW()-250,'List Setup'!$D$3)="","",INDEX('Deck 1'!$A:$Z,ROW()-250,'List Setup'!$D$3))</f>
        <v>Chief of the Foundry</v>
      </c>
      <c r="B263" s="80" t="str">
        <f t="array" ref="B263">IF(A263="","",IFERROR(INDEX('Binder Setup'!$B$2:$B$401,MIN(IF(ISNUMBER(SEARCH(CHAR(10)&amp;'Binder Setup'!$B$2:$B$401&amp;CHAR(10),$H263)),'List Setup'!$Q$2:$Q$401,999),IF(ISNUMBER(SEARCH(CHAR(10)&amp;'Set Aliases'!$A$2:$A$501&amp;CHAR(10),$H263)),'Set Aliases'!$C$2:$C$501,999))),"(none)"))</f>
        <v>Foundations</v>
      </c>
      <c r="C263" s="80" t="str">
        <f t="shared" si="1"/>
        <v>Foundations Commander | Foundations Jumpstart | The Brothers' War Commander | Double Masters | Commander 2018 | Kaladesh Promos | Kaladesh | Magic Origins</v>
      </c>
      <c r="D263" s="80" t="str">
        <f t="array" ref="D263">IF(A263="","",IF(ISLOGICAL(INDEX('Deck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63" s="80" t="str">
        <f t="shared" si="2"/>
        <v>Y</v>
      </c>
      <c r="F263" s="80">
        <f t="array" ref="F263">IF(A263="","",IF(ISNUMBER(J263),J263,IF(ISNUMBER(INDEX('Deck 1'!$A:$Z,ROW()-250,'List Setup'!$F$3)),INDEX('Deck 1'!$A:$Z,ROW()-250,'List Setup'!$F$3),0)))</f>
        <v>0.33</v>
      </c>
      <c r="G263" s="80" t="str">
        <f t="array" ref="G263">IF(A263="","",A263&amp;IF(N(INDEX('Deck 1'!$A:$Z,ROW()-250,'List Setup'!$C$3))&gt;1," (x"&amp;INDEX('Deck 1'!$A:$Z,ROW()-250,'List Setup'!$C$3)&amp;")","")&amp;IF(COUNTIF(Binders!$J$6:$J$30,TRUE())&gt;1," ["&amp;Q263&amp;"]",""))</f>
        <v>Chief of the Foundry [Deck 1]</v>
      </c>
      <c r="H263" s="80" t="str">
        <f t="array" ref="H263">IF(A263="","",CHAR(10)&amp;INDEX('Deck 1'!$A:$Z,ROW()-250,'List Setup'!$E$3)&amp;CHAR(10))</f>
        <v>
Foundations Commander
Foundations Jumpstart
The Brothers' War Commander
Double Masters
Commander 2018
Kaladesh Promos
Kaladesh
Magic Origins
</v>
      </c>
      <c r="I263" s="80" t="str">
        <f t="array" ref="I263">IF(OR(B263="",B263="(none)"),"",IF(ISNUMBER(SEARCH(CHAR(10)&amp;B263&amp;CHAR(10),H263)),B263,IFERROR(INDEX('Set Aliases'!$A$2:$A$501,MATCH(1,('Set Aliases'!$B$2:$B$501=B263)*ISNUMBER(SEARCH(CHAR(10)&amp;'Set Aliases'!$A$2:$A$501&amp;CHAR(10),H263)),0)),"")))</f>
        <v>Foundations Jumpstart</v>
      </c>
      <c r="J263" s="80">
        <f t="array" ref="J263">IF(I263="","",IFERROR(VALUE(TRIM(MID(SUBSTITUTE(INDEX('Deck 1'!$A:$Z,ROW()-250,'List Setup'!$G$3),CHAR(10),REPT(" ",100)),((SEARCH(CHAR(10)&amp;I263&amp;CHAR(10),H263)-LEN(SUBSTITUTE(LEFT(H263,SEARCH(CHAR(10)&amp;I263&amp;CHAR(10),H263)),CHAR(10),"")))-1)*100+1,100))),""))</f>
        <v>0.33</v>
      </c>
      <c r="K263" s="80">
        <f t="array" ref="K263">IF(A263="","",IF(ISNUMBER(SEARCH("Land",LEFT(IFERROR(INDEX('Deck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7</v>
      </c>
      <c r="L263" s="80" t="str">
        <f t="shared" si="3"/>
        <v>Colorless</v>
      </c>
      <c r="M263" s="80">
        <f>IF(A263="","",IF(AND(E263="Y",B263='Use at Shop'!$B$4),K263*10000000000+(MAX(0,MIN(26,CODE(MID(UPPER(A263)&amp;"    ",1,1))-64))*19683+MAX(0,MIN(26,CODE(MID(UPPER(A263)&amp;"    ",2,1))-64))*729+MAX(0,MIN(26,CODE(MID(UPPER(A263)&amp;"    ",3,1))-64))*27+MAX(0,MIN(26,CODE(MID(UPPER(A263)&amp;"    ",4,1))-64))*1)*10000+ROW(),""))</f>
        <v>70651290263</v>
      </c>
      <c r="N263" s="80">
        <f t="shared" si="5"/>
        <v>13</v>
      </c>
      <c r="O263" s="83" t="str">
        <f t="array" ref="O263">IF(A263="","",IFERROR(INDEX('Deck 1'!$A:$Z,ROW()-250,'List Setup'!$J$3)&amp;"",""))</f>
        <v>https://cards.scryfall.io/small/front/b/f/bf306f7f-b231-4343-807c-083df8b90c87.jpg?1783930118</v>
      </c>
      <c r="P263" s="2"/>
      <c r="Q263" s="80" t="str">
        <f>IF(A263="","",'List Setup'!$A$3)</f>
        <v>Deck 1</v>
      </c>
      <c r="R263" s="80" t="b">
        <f t="array" ref="R263">IF(A263="","",IFERROR(OR(INDEX(Binders!$J$6:$J$30,MATCH(Q263,Binders!$I$6:$I$30,0))=TRUE(),UPPER(INDEX(Binders!$J$6:$J$30,MATCH(Q263,Binders!$I$6:$I$30,0))&amp;"")="TRUE"),FALSE()))</f>
        <v>1</v>
      </c>
    </row>
    <row r="264" ht="15.75" customHeight="1">
      <c r="A264" s="80" t="str">
        <f t="array" ref="A264">IF(INDEX('Deck 1'!$A:$Z,ROW()-250,'List Setup'!$D$3)="","",INDEX('Deck 1'!$A:$Z,ROW()-250,'List Setup'!$D$3))</f>
        <v>Clifftop Retreat</v>
      </c>
      <c r="B264" s="80" t="str">
        <f t="array" ref="B264">IF(A264="","",IFERROR(INDEX('Binder Setup'!$B$2:$B$401,MIN(IF(ISNUMBER(SEARCH(CHAR(10)&amp;'Binder Setup'!$B$2:$B$401&amp;CHAR(10),$H264)),'List Setup'!$Q$2:$Q$401,999),IF(ISNUMBER(SEARCH(CHAR(10)&amp;'Set Aliases'!$A$2:$A$501&amp;CHAR(10),$H264)),'Set Aliases'!$C$2:$C$501,999))),"(none)"))</f>
        <v>Foundations</v>
      </c>
      <c r="C264" s="80" t="str">
        <f t="shared" si="1"/>
        <v>Reality Fracture Commander | Marvel Super Heroes Commander | Secrets of Strixhaven Commander | Edge of Eternities Commander | Final Fantasy Commander | Tarkir: Dragonstorm Commander | Bloomburrow Commander | Outlaws of Thunder Junction Commander | Fallout | The List | The Lost Caverns of Ixalan Commander | Tales of Middle-earth Commander | Dominaria Remastered | Dominaria Promos | Dominaria | Innistrad</v>
      </c>
      <c r="D264" s="80" t="str">
        <f t="array" ref="D264">IF(A264="","",IF(ISLOGICAL(INDEX('Deck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64" s="80" t="str">
        <f t="shared" si="2"/>
        <v>Y</v>
      </c>
      <c r="F264" s="80">
        <f t="array" ref="F264">IF(A264="","",IF(ISNUMBER(J264),J264,IF(ISNUMBER(INDEX('Deck 1'!$A:$Z,ROW()-250,'List Setup'!$F$3)),INDEX('Deck 1'!$A:$Z,ROW()-250,'List Setup'!$F$3),0)))</f>
        <v>0.76</v>
      </c>
      <c r="G264" s="80" t="str">
        <f t="array" ref="G264">IF(A264="","",A264&amp;IF(N(INDEX('Deck 1'!$A:$Z,ROW()-250,'List Setup'!$C$3))&gt;1," (x"&amp;INDEX('Deck 1'!$A:$Z,ROW()-250,'List Setup'!$C$3)&amp;")","")&amp;IF(COUNTIF(Binders!$J$6:$J$30,TRUE())&gt;1," ["&amp;Q264&amp;"]",""))</f>
        <v>Clifftop Retreat [Deck 1]</v>
      </c>
      <c r="H264" s="80" t="str">
        <f t="array" ref="H264">IF(A264="","",CHAR(10)&amp;INDEX('Deck 1'!$A:$Z,ROW()-250,'List Setup'!$E$3)&amp;CHAR(10))</f>
        <v>
Reality Fracture Commander
Marvel Super Heroes Commander
Secrets of Strixhaven Commander
Edge of Eternities Commander
Final Fantasy Commander
Tarkir: Dragonstorm Commander
Bloomburrow Commander
Outlaws of Thunder Junction Commander
Fallout
The List
The Lost Caverns of Ixalan Commander
Tales of Middle-earth Commander
Dominaria Remastered
Dominaria Promos
Dominaria
Innistrad
</v>
      </c>
      <c r="I264" s="80" t="str">
        <f t="array" ref="I264">IF(OR(B264="",B264="(none)"),"",IF(ISNUMBER(SEARCH(CHAR(10)&amp;B264&amp;CHAR(10),H264)),B264,IFERROR(INDEX('Set Aliases'!$A$2:$A$501,MATCH(1,('Set Aliases'!$B$2:$B$501=B264)*ISNUMBER(SEARCH(CHAR(10)&amp;'Set Aliases'!$A$2:$A$501&amp;CHAR(10),H264)),0)),"")))</f>
        <v>The List</v>
      </c>
      <c r="J264" s="80">
        <f t="array" ref="J264">IF(I264="","",IFERROR(VALUE(TRIM(MID(SUBSTITUTE(INDEX('Deck 1'!$A:$Z,ROW()-250,'List Setup'!$G$3),CHAR(10),REPT(" ",100)),((SEARCH(CHAR(10)&amp;I264&amp;CHAR(10),H264)-LEN(SUBSTITUTE(LEFT(H264,SEARCH(CHAR(10)&amp;I264&amp;CHAR(10),H264)),CHAR(10),"")))-1)*100+1,100))),""))</f>
        <v>0.76</v>
      </c>
      <c r="K264" s="80">
        <f t="array" ref="K264">IF(A264="","",IF(ISNUMBER(SEARCH("Land",LEFT(IFERROR(INDEX('Deck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8</v>
      </c>
      <c r="L264" s="80" t="str">
        <f t="shared" si="3"/>
        <v>Land</v>
      </c>
      <c r="M264" s="80">
        <f>IF(A264="","",IF(AND(E264="Y",B264='Use at Shop'!$B$4),K264*10000000000+(MAX(0,MIN(26,CODE(MID(UPPER(A264)&amp;"    ",1,1))-64))*19683+MAX(0,MIN(26,CODE(MID(UPPER(A264)&amp;"    ",2,1))-64))*729+MAX(0,MIN(26,CODE(MID(UPPER(A264)&amp;"    ",3,1))-64))*27+MAX(0,MIN(26,CODE(MID(UPPER(A264)&amp;"    ",4,1))-64))*1)*10000+ROW(),""))</f>
        <v>80680460264</v>
      </c>
      <c r="N264" s="80">
        <f t="shared" si="5"/>
        <v>14</v>
      </c>
      <c r="O264" s="83" t="str">
        <f t="array" ref="O264">IF(A264="","",IFERROR(INDEX('Deck 1'!$A:$Z,ROW()-250,'List Setup'!$J$3)&amp;"",""))</f>
        <v>https://cards.scryfall.io/small/front/c/d/cd112d5c-102f-45a6-b26c-f80cc97d4df2.jpg?1789599889</v>
      </c>
      <c r="P264" s="2"/>
      <c r="Q264" s="80" t="str">
        <f>IF(A264="","",'List Setup'!$A$3)</f>
        <v>Deck 1</v>
      </c>
      <c r="R264" s="80" t="b">
        <f t="array" ref="R264">IF(A264="","",IFERROR(OR(INDEX(Binders!$J$6:$J$30,MATCH(Q264,Binders!$I$6:$I$30,0))=TRUE(),UPPER(INDEX(Binders!$J$6:$J$30,MATCH(Q264,Binders!$I$6:$I$30,0))&amp;"")="TRUE"),FALSE()))</f>
        <v>1</v>
      </c>
    </row>
    <row r="265" ht="15.75" customHeight="1">
      <c r="A265" s="80" t="str">
        <f t="array" ref="A265">IF(INDEX('Deck 1'!$A:$Z,ROW()-250,'List Setup'!$D$3)="","",INDEX('Deck 1'!$A:$Z,ROW()-250,'List Setup'!$D$3))</f>
        <v>Command Beacon</v>
      </c>
      <c r="B265" s="80" t="str">
        <f t="array" ref="B265">IF(A265="","",IFERROR(INDEX('Binder Setup'!$B$2:$B$401,MIN(IF(ISNUMBER(SEARCH(CHAR(10)&amp;'Binder Setup'!$B$2:$B$401&amp;CHAR(10),$H265)),'List Setup'!$Q$2:$Q$401,999),IF(ISNUMBER(SEARCH(CHAR(10)&amp;'Set Aliases'!$A$2:$A$501&amp;CHAR(10),$H265)),'Set Aliases'!$C$2:$C$501,999))),"(none)"))</f>
        <v>Foundations</v>
      </c>
      <c r="C265" s="80" t="str">
        <f t="shared" si="1"/>
        <v>The List | Final Fantasy: Through the Ages | Tarkir: Dragonstorm Commander | Outlaws of Thunder Junction Commander | Secret Lair Drop | Commander Legends Promos | Commander Legends | Judge Gift Cards 2016 | Commander 2015</v>
      </c>
      <c r="D265" s="80" t="str">
        <f t="array" ref="D265">IF(A265="","",IF(ISLOGICAL(INDEX('Deck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65" s="80" t="str">
        <f t="shared" si="2"/>
        <v>Y</v>
      </c>
      <c r="F265" s="80">
        <f t="array" ref="F265">IF(A265="","",IF(ISNUMBER(J265),J265,IF(ISNUMBER(INDEX('Deck 1'!$A:$Z,ROW()-250,'List Setup'!$F$3)),INDEX('Deck 1'!$A:$Z,ROW()-250,'List Setup'!$F$3),0)))</f>
        <v>10.61</v>
      </c>
      <c r="G265" s="80" t="str">
        <f t="array" ref="G265">IF(A265="","",A265&amp;IF(N(INDEX('Deck 1'!$A:$Z,ROW()-250,'List Setup'!$C$3))&gt;1," (x"&amp;INDEX('Deck 1'!$A:$Z,ROW()-250,'List Setup'!$C$3)&amp;")","")&amp;IF(COUNTIF(Binders!$J$6:$J$30,TRUE())&gt;1," ["&amp;Q265&amp;"]",""))</f>
        <v>Command Beacon [Deck 1]</v>
      </c>
      <c r="H265" s="80" t="str">
        <f t="array" ref="H265">IF(A265="","",CHAR(10)&amp;INDEX('Deck 1'!$A:$Z,ROW()-250,'List Setup'!$E$3)&amp;CHAR(10))</f>
        <v>
The List
Final Fantasy: Through the Ages
Tarkir: Dragonstorm Commander
Outlaws of Thunder Junction Commander
Secret Lair Drop
Commander Legends Promos
Commander Legends
Judge Gift Cards 2016
Commander 2015
</v>
      </c>
      <c r="I265" s="80" t="str">
        <f t="array" ref="I265">IF(OR(B265="",B265="(none)"),"",IF(ISNUMBER(SEARCH(CHAR(10)&amp;B265&amp;CHAR(10),H265)),B265,IFERROR(INDEX('Set Aliases'!$A$2:$A$501,MATCH(1,('Set Aliases'!$B$2:$B$501=B265)*ISNUMBER(SEARCH(CHAR(10)&amp;'Set Aliases'!$A$2:$A$501&amp;CHAR(10),H265)),0)),"")))</f>
        <v>The List</v>
      </c>
      <c r="J265" s="80">
        <f t="array" ref="J265">IF(I265="","",IFERROR(VALUE(TRIM(MID(SUBSTITUTE(INDEX('Deck 1'!$A:$Z,ROW()-250,'List Setup'!$G$3),CHAR(10),REPT(" ",100)),((SEARCH(CHAR(10)&amp;I265&amp;CHAR(10),H265)-LEN(SUBSTITUTE(LEFT(H265,SEARCH(CHAR(10)&amp;I265&amp;CHAR(10),H265)),CHAR(10),"")))-1)*100+1,100))),""))</f>
        <v>10.61</v>
      </c>
      <c r="K265" s="80">
        <f t="array" ref="K265">IF(A265="","",IF(ISNUMBER(SEARCH("Land",LEFT(IFERROR(INDEX('Deck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8</v>
      </c>
      <c r="L265" s="80" t="str">
        <f t="shared" si="3"/>
        <v>Land</v>
      </c>
      <c r="M265" s="80">
        <f>IF(A265="","",IF(AND(E265="Y",B265='Use at Shop'!$B$4),K265*10000000000+(MAX(0,MIN(26,CODE(MID(UPPER(A265)&amp;"    ",1,1))-64))*19683+MAX(0,MIN(26,CODE(MID(UPPER(A265)&amp;"    ",2,1))-64))*729+MAX(0,MIN(26,CODE(MID(UPPER(A265)&amp;"    ",3,1))-64))*27+MAX(0,MIN(26,CODE(MID(UPPER(A265)&amp;"    ",4,1))-64))*1)*10000+ROW(),""))</f>
        <v>80703480265</v>
      </c>
      <c r="N265" s="80">
        <f t="shared" si="5"/>
        <v>15</v>
      </c>
      <c r="O265" s="83" t="str">
        <f t="array" ref="O265">IF(A265="","",IFERROR(INDEX('Deck 1'!$A:$Z,ROW()-250,'List Setup'!$J$3)&amp;"",""))</f>
        <v>https://cards.scryfall.io/small/front/4/3/435e9678-9ff3-4e5d-8061-3f806e1c2ed2.jpg?1783906993</v>
      </c>
      <c r="P265" s="2"/>
      <c r="Q265" s="80" t="str">
        <f>IF(A265="","",'List Setup'!$A$3)</f>
        <v>Deck 1</v>
      </c>
      <c r="R265" s="80" t="b">
        <f t="array" ref="R265">IF(A265="","",IFERROR(OR(INDEX(Binders!$J$6:$J$30,MATCH(Q265,Binders!$I$6:$I$30,0))=TRUE(),UPPER(INDEX(Binders!$J$6:$J$30,MATCH(Q265,Binders!$I$6:$I$30,0))&amp;"")="TRUE"),FALSE()))</f>
        <v>1</v>
      </c>
    </row>
    <row r="266" ht="15.75" customHeight="1">
      <c r="A266" s="80" t="str">
        <f t="array" ref="A266">IF(INDEX('Deck 1'!$A:$Z,ROW()-250,'List Setup'!$D$3)="","",INDEX('Deck 1'!$A:$Z,ROW()-250,'List Setup'!$D$3))</f>
        <v>Command Tower</v>
      </c>
      <c r="B266" s="80" t="str">
        <f t="array" ref="B266">IF(A266="","",IFERROR(INDEX('Binder Setup'!$B$2:$B$401,MIN(IF(ISNUMBER(SEARCH(CHAR(10)&amp;'Binder Setup'!$B$2:$B$401&amp;CHAR(10),$H266)),'List Setup'!$Q$2:$Q$401,999),IF(ISNUMBER(SEARCH(CHAR(10)&amp;'Set Aliases'!$A$2:$A$501&amp;CHAR(10),$H266)),'Set Aliases'!$C$2:$C$501,999))),"(none)"))</f>
        <v>Foundations</v>
      </c>
      <c r="C266" s="80" t="str">
        <f t="shared" si="1"/>
        <v>Reality Fracture Commander | The List | Secret Lair Drop | The Zeta Set | Marvel Super Heroes Commander | Media and Collaboration Promos | Secrets of Strixhaven Commander | Teenage Mutant Ninja Turtles Eternal | Lorwyn Eclipsed Commander | Wizards Play Network 2025 | Edge of Eternities Commander | Final Fantasy Commander | Tarkir: Dragonstorm Commander | Aetherdrift Commander | Foundations Commander | Duskmourn: House of Horror Commander | Mystery Booster 2 | Bloomburrow Commander | Modern Horizons 3 Commander | Outlaws of Thunder Junction Commander | Fallout | Murders at Karlov Manor Commander | Jurassic World Collection | The Lost Caverns of Ixalan Commander | Doctor Who | Wilds of Eldraine Commander | Commander Masters | Tales of Middle-earth Commander | March of the Machine Commander | Phyrexia: All Will Be One Commander | Starter Commander Decks | The Brothers' War Commander | Warhammer 40,000 Commander | Dominaria United Commander | Commander Legends: Battle for Baldur's Gate | New Capenna Commander | Neon Dynasty Commander | Commander Collection: Black | Crimson Vow Commander | Midnight Hunt Commander | Forgotten Realms Commander | Commander 2021 | Kaldheim Commander | Commander Collection: Green | Commander Legends | Zendikar Rising Commander | Commander 2020 | Throne of Eldraine | Commander 2019 | Commander 2018 | Commander Anthology Volume II | Commander 2017 | Commander Anthology | Commander 2016 | Commander 2015 | Commander 2013 | Commander's Arsenal | Judge Gift Cards 2012 | Commander 2011</v>
      </c>
      <c r="D266" s="80" t="str">
        <f t="array" ref="D266">IF(A266="","",IF(ISLOGICAL(INDEX('Deck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66" s="80" t="str">
        <f t="shared" si="2"/>
        <v>Y</v>
      </c>
      <c r="F266" s="80">
        <f t="array" ref="F266">IF(A266="","",IF(ISNUMBER(J266),J266,IF(ISNUMBER(INDEX('Deck 1'!$A:$Z,ROW()-250,'List Setup'!$F$3)),INDEX('Deck 1'!$A:$Z,ROW()-250,'List Setup'!$F$3),0)))</f>
        <v>0.36</v>
      </c>
      <c r="G266" s="80" t="str">
        <f t="array" ref="G266">IF(A266="","",A266&amp;IF(N(INDEX('Deck 1'!$A:$Z,ROW()-250,'List Setup'!$C$3))&gt;1," (x"&amp;INDEX('Deck 1'!$A:$Z,ROW()-250,'List Setup'!$C$3)&amp;")","")&amp;IF(COUNTIF(Binders!$J$6:$J$30,TRUE())&gt;1," ["&amp;Q266&amp;"]",""))</f>
        <v>Command Tower [Deck 1]</v>
      </c>
      <c r="H266" s="80" t="str">
        <f t="array" ref="H266">IF(A266="","",CHAR(10)&amp;INDEX('Deck 1'!$A:$Z,ROW()-250,'List Setup'!$E$3)&amp;CHAR(10))</f>
        <v>
Reality Fracture Commander
The List
Secret Lair Drop
The Zeta Set
Marvel Super Heroes Commander
Media and Collaboration Promos
Secrets of Strixhaven Commander
Teenage Mutant Ninja Turtles Eternal
Lorwyn Eclipsed Commander
Wizards Play Network 2025
Edge of Eternities Commander
Final Fantasy Commander
Tarkir: Dragonstorm Commander
Aetherdrift Commander
Foundations Commander
Duskmourn: House of Horror Commander
Mystery Booster 2
Bloomburrow Commander
Modern Horizons 3 Commander
Outlaws of Thunder Junction Commander
Fallout
Murders at Karlov Manor Commander
Jurassic World Collection
The Lost Caverns of Ixalan Commander
Doctor Who
Wilds of Eldraine Commander
Commander Masters
Tales of Middle-earth Commander
March of the Machine Commander
Phyrexia: All Will Be One Commander
Starter Commander Decks
The Brothers' War Commander
Warhammer 40,000 Commander
Dominaria United Commander
Commander Legends: Battle for Baldur's Gate
New Capenna Commander
Neon Dynasty Commander
Commander Collection: Black
Crimson Vow Commander
Midnight Hunt Commander
Forgotten Realms Commander
Commander 2021
Kaldheim Commander
Commander Collection: Green
Commander Legends
Zendikar Rising Commander
Commander 2020
Throne of Eldraine
Commander 2019
Commander 2018
Commander Anthology Volume II
Commander 2017
Commander Anthology
Commander 2016
Commander 2015
Commander 2013
Commander's Arsenal
Judge Gift Cards 2012
Commander 2011
</v>
      </c>
      <c r="I266" s="80" t="str">
        <f t="array" ref="I266">IF(OR(B266="",B266="(none)"),"",IF(ISNUMBER(SEARCH(CHAR(10)&amp;B266&amp;CHAR(10),H266)),B266,IFERROR(INDEX('Set Aliases'!$A$2:$A$501,MATCH(1,('Set Aliases'!$B$2:$B$501=B266)*ISNUMBER(SEARCH(CHAR(10)&amp;'Set Aliases'!$A$2:$A$501&amp;CHAR(10),H266)),0)),"")))</f>
        <v>The List</v>
      </c>
      <c r="J266" s="80">
        <f t="array" ref="J266">IF(I266="","",IFERROR(VALUE(TRIM(MID(SUBSTITUTE(INDEX('Deck 1'!$A:$Z,ROW()-250,'List Setup'!$G$3),CHAR(10),REPT(" ",100)),((SEARCH(CHAR(10)&amp;I266&amp;CHAR(10),H266)-LEN(SUBSTITUTE(LEFT(H266,SEARCH(CHAR(10)&amp;I266&amp;CHAR(10),H266)),CHAR(10),"")))-1)*100+1,100))),""))</f>
        <v>0.36</v>
      </c>
      <c r="K266" s="80">
        <f t="array" ref="K266">IF(A266="","",IF(ISNUMBER(SEARCH("Land",LEFT(IFERROR(INDEX('Deck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8</v>
      </c>
      <c r="L266" s="80" t="str">
        <f t="shared" si="3"/>
        <v>Land</v>
      </c>
      <c r="M266" s="80">
        <f>IF(A266="","",IF(AND(E266="Y",B266='Use at Shop'!$B$4),K266*10000000000+(MAX(0,MIN(26,CODE(MID(UPPER(A266)&amp;"    ",1,1))-64))*19683+MAX(0,MIN(26,CODE(MID(UPPER(A266)&amp;"    ",2,1))-64))*729+MAX(0,MIN(26,CODE(MID(UPPER(A266)&amp;"    ",3,1))-64))*27+MAX(0,MIN(26,CODE(MID(UPPER(A266)&amp;"    ",4,1))-64))*1)*10000+ROW(),""))</f>
        <v>80703480266</v>
      </c>
      <c r="N266" s="80">
        <f t="shared" si="5"/>
        <v>16</v>
      </c>
      <c r="O266" s="83" t="str">
        <f t="array" ref="O266">IF(A266="","",IFERROR(INDEX('Deck 1'!$A:$Z,ROW()-250,'List Setup'!$J$3)&amp;"",""))</f>
        <v>https://cards.scryfall.io/small/front/1/a/1ac6cb62-45da-4e9a-84c6-09e6eacf0664.jpg?1789644465</v>
      </c>
      <c r="P266" s="2"/>
      <c r="Q266" s="80" t="str">
        <f>IF(A266="","",'List Setup'!$A$3)</f>
        <v>Deck 1</v>
      </c>
      <c r="R266" s="80" t="b">
        <f t="array" ref="R266">IF(A266="","",IFERROR(OR(INDEX(Binders!$J$6:$J$30,MATCH(Q266,Binders!$I$6:$I$30,0))=TRUE(),UPPER(INDEX(Binders!$J$6:$J$30,MATCH(Q266,Binders!$I$6:$I$30,0))&amp;"")="TRUE"),FALSE()))</f>
        <v>1</v>
      </c>
    </row>
    <row r="267" ht="15.75" customHeight="1">
      <c r="A267" s="80" t="str">
        <f t="array" ref="A267">IF(INDEX('Deck 1'!$A:$Z,ROW()-250,'List Setup'!$D$3)="","",INDEX('Deck 1'!$A:$Z,ROW()-250,'List Setup'!$D$3))</f>
        <v>Cori Mountain Monastery</v>
      </c>
      <c r="B267" s="80" t="str">
        <f t="array" ref="B267">IF(A267="","",IFERROR(INDEX('Binder Setup'!$B$2:$B$401,MIN(IF(ISNUMBER(SEARCH(CHAR(10)&amp;'Binder Setup'!$B$2:$B$401&amp;CHAR(10),$H267)),'List Setup'!$Q$2:$Q$401,999),IF(ISNUMBER(SEARCH(CHAR(10)&amp;'Set Aliases'!$A$2:$A$501&amp;CHAR(10),$H267)),'Set Aliases'!$C$2:$C$501,999))),"(none)"))</f>
        <v>Tarkir: Dragonstorm</v>
      </c>
      <c r="C267" s="80" t="str">
        <f t="shared" si="1"/>
        <v>Tarkir: Dragonstorm Promos | Tarkir: Dragonstorm</v>
      </c>
      <c r="D267" s="80" t="str">
        <f t="array" ref="D267">IF(A267="","",IF(ISLOGICAL(INDEX('Deck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67" s="80" t="str">
        <f t="shared" si="2"/>
        <v>Y</v>
      </c>
      <c r="F267" s="80">
        <f t="array" ref="F267">IF(A267="","",IF(ISNUMBER(J267),J267,IF(ISNUMBER(INDEX('Deck 1'!$A:$Z,ROW()-250,'List Setup'!$F$3)),INDEX('Deck 1'!$A:$Z,ROW()-250,'List Setup'!$F$3),0)))</f>
        <v>1.16</v>
      </c>
      <c r="G267" s="80" t="str">
        <f t="array" ref="G267">IF(A267="","",A267&amp;IF(N(INDEX('Deck 1'!$A:$Z,ROW()-250,'List Setup'!$C$3))&gt;1," (x"&amp;INDEX('Deck 1'!$A:$Z,ROW()-250,'List Setup'!$C$3)&amp;")","")&amp;IF(COUNTIF(Binders!$J$6:$J$30,TRUE())&gt;1," ["&amp;Q267&amp;"]",""))</f>
        <v>Cori Mountain Monastery [Deck 1]</v>
      </c>
      <c r="H267" s="80" t="str">
        <f t="array" ref="H267">IF(A267="","",CHAR(10)&amp;INDEX('Deck 1'!$A:$Z,ROW()-250,'List Setup'!$E$3)&amp;CHAR(10))</f>
        <v>
Tarkir: Dragonstorm Promos
Tarkir: Dragonstorm
</v>
      </c>
      <c r="I267" s="80" t="str">
        <f t="array" ref="I267">IF(OR(B267="",B267="(none)"),"",IF(ISNUMBER(SEARCH(CHAR(10)&amp;B267&amp;CHAR(10),H267)),B267,IFERROR(INDEX('Set Aliases'!$A$2:$A$501,MATCH(1,('Set Aliases'!$B$2:$B$501=B267)*ISNUMBER(SEARCH(CHAR(10)&amp;'Set Aliases'!$A$2:$A$501&amp;CHAR(10),H267)),0)),"")))</f>
        <v>Tarkir: Dragonstorm</v>
      </c>
      <c r="J267" s="80">
        <f t="array" ref="J267">IF(I267="","",IFERROR(VALUE(TRIM(MID(SUBSTITUTE(INDEX('Deck 1'!$A:$Z,ROW()-250,'List Setup'!$G$3),CHAR(10),REPT(" ",100)),((SEARCH(CHAR(10)&amp;I267&amp;CHAR(10),H267)-LEN(SUBSTITUTE(LEFT(H267,SEARCH(CHAR(10)&amp;I267&amp;CHAR(10),H267)),CHAR(10),"")))-1)*100+1,100))),""))</f>
        <v>1.16</v>
      </c>
      <c r="K267" s="80">
        <f t="array" ref="K267">IF(A267="","",IF(ISNUMBER(SEARCH("Land",LEFT(IFERROR(INDEX('Deck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8</v>
      </c>
      <c r="L267" s="80" t="str">
        <f t="shared" si="3"/>
        <v>Land</v>
      </c>
      <c r="M267" s="80" t="str">
        <f>IF(A267="","",IF(AND(E267="Y",B267='Use at Shop'!$B$4),K267*10000000000+(MAX(0,MIN(26,CODE(MID(UPPER(A267)&amp;"    ",1,1))-64))*19683+MAX(0,MIN(26,CODE(MID(UPPER(A267)&amp;"    ",2,1))-64))*729+MAX(0,MIN(26,CODE(MID(UPPER(A267)&amp;"    ",3,1))-64))*27+MAX(0,MIN(26,CODE(MID(UPPER(A267)&amp;"    ",4,1))-64))*1)*10000+ROW(),""))</f>
        <v/>
      </c>
      <c r="N267" s="80">
        <f t="shared" si="5"/>
        <v>17</v>
      </c>
      <c r="O267" s="83" t="str">
        <f t="array" ref="O267">IF(A267="","",IFERROR(INDEX('Deck 1'!$A:$Z,ROW()-250,'List Setup'!$J$3)&amp;"",""))</f>
        <v>https://cards.scryfall.io/small/front/9/3/9312821a-2059-4f44-9b20-c9522b827e38.jpg?1783907281</v>
      </c>
      <c r="P267" s="2"/>
      <c r="Q267" s="80" t="str">
        <f>IF(A267="","",'List Setup'!$A$3)</f>
        <v>Deck 1</v>
      </c>
      <c r="R267" s="80" t="b">
        <f t="array" ref="R267">IF(A267="","",IFERROR(OR(INDEX(Binders!$J$6:$J$30,MATCH(Q267,Binders!$I$6:$I$30,0))=TRUE(),UPPER(INDEX(Binders!$J$6:$J$30,MATCH(Q267,Binders!$I$6:$I$30,0))&amp;"")="TRUE"),FALSE()))</f>
        <v>1</v>
      </c>
    </row>
    <row r="268" ht="15.75" customHeight="1">
      <c r="A268" s="80" t="str">
        <f t="array" ref="A268">IF(INDEX('Deck 1'!$A:$Z,ROW()-250,'List Setup'!$D$3)="","",INDEX('Deck 1'!$A:$Z,ROW()-250,'List Setup'!$D$3))</f>
        <v>Count on Luck</v>
      </c>
      <c r="B268" s="80" t="str">
        <f t="array" ref="B268">IF(A268="","",IFERROR(INDEX('Binder Setup'!$B$2:$B$401,MIN(IF(ISNUMBER(SEARCH(CHAR(10)&amp;'Binder Setup'!$B$2:$B$401&amp;CHAR(10),$H268)),'List Setup'!$Q$2:$Q$401,999),IF(ISNUMBER(SEARCH(CHAR(10)&amp;'Set Aliases'!$A$2:$A$501&amp;CHAR(10),$H268)),'Set Aliases'!$C$2:$C$501,999))),"(none)"))</f>
        <v>Foundations Commander</v>
      </c>
      <c r="C268" s="80" t="str">
        <f t="shared" si="1"/>
        <v>Foundations Commander | Aetherdrift Promos | Aetherdrift</v>
      </c>
      <c r="D268" s="80" t="str">
        <f t="array" ref="D268">IF(A268="","",IF(ISLOGICAL(INDEX('Deck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68" s="80" t="str">
        <f t="shared" si="2"/>
        <v>Y</v>
      </c>
      <c r="F268" s="80">
        <f t="array" ref="F268">IF(A268="","",IF(ISNUMBER(J268),J268,IF(ISNUMBER(INDEX('Deck 1'!$A:$Z,ROW()-250,'List Setup'!$F$3)),INDEX('Deck 1'!$A:$Z,ROW()-250,'List Setup'!$F$3),0)))</f>
        <v>0.32</v>
      </c>
      <c r="G268" s="80" t="str">
        <f t="array" ref="G268">IF(A268="","",A268&amp;IF(N(INDEX('Deck 1'!$A:$Z,ROW()-250,'List Setup'!$C$3))&gt;1," (x"&amp;INDEX('Deck 1'!$A:$Z,ROW()-250,'List Setup'!$C$3)&amp;")","")&amp;IF(COUNTIF(Binders!$J$6:$J$30,TRUE())&gt;1," ["&amp;Q268&amp;"]",""))</f>
        <v>Count on Luck [Deck 1]</v>
      </c>
      <c r="H268" s="80" t="str">
        <f t="array" ref="H268">IF(A268="","",CHAR(10)&amp;INDEX('Deck 1'!$A:$Z,ROW()-250,'List Setup'!$E$3)&amp;CHAR(10))</f>
        <v>
Foundations Commander
Aetherdrift Promos
Aetherdrift
</v>
      </c>
      <c r="I268" s="80" t="str">
        <f t="array" ref="I268">IF(OR(B268="",B268="(none)"),"",IF(ISNUMBER(SEARCH(CHAR(10)&amp;B268&amp;CHAR(10),H268)),B268,IFERROR(INDEX('Set Aliases'!$A$2:$A$501,MATCH(1,('Set Aliases'!$B$2:$B$501=B268)*ISNUMBER(SEARCH(CHAR(10)&amp;'Set Aliases'!$A$2:$A$501&amp;CHAR(10),H268)),0)),"")))</f>
        <v>Foundations Commander</v>
      </c>
      <c r="J268" s="80">
        <f t="array" ref="J268">IF(I268="","",IFERROR(VALUE(TRIM(MID(SUBSTITUTE(INDEX('Deck 1'!$A:$Z,ROW()-250,'List Setup'!$G$3),CHAR(10),REPT(" ",100)),((SEARCH(CHAR(10)&amp;I268&amp;CHAR(10),H268)-LEN(SUBSTITUTE(LEFT(H268,SEARCH(CHAR(10)&amp;I268&amp;CHAR(10),H268)),CHAR(10),"")))-1)*100+1,100))),""))</f>
        <v>0.32</v>
      </c>
      <c r="K268" s="80">
        <f t="array" ref="K268">IF(A268="","",IF(ISNUMBER(SEARCH("Land",LEFT(IFERROR(INDEX('Deck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4</v>
      </c>
      <c r="L268" s="80" t="str">
        <f t="shared" si="3"/>
        <v>Red</v>
      </c>
      <c r="M268" s="80" t="str">
        <f>IF(A268="","",IF(AND(E268="Y",B268='Use at Shop'!$B$4),K268*10000000000+(MAX(0,MIN(26,CODE(MID(UPPER(A268)&amp;"    ",1,1))-64))*19683+MAX(0,MIN(26,CODE(MID(UPPER(A268)&amp;"    ",2,1))-64))*729+MAX(0,MIN(26,CODE(MID(UPPER(A268)&amp;"    ",3,1))-64))*27+MAX(0,MIN(26,CODE(MID(UPPER(A268)&amp;"    ",4,1))-64))*1)*10000+ROW(),""))</f>
        <v/>
      </c>
      <c r="N268" s="80">
        <f t="shared" si="5"/>
        <v>18</v>
      </c>
      <c r="O268" s="83" t="str">
        <f t="array" ref="O268">IF(A268="","",IFERROR(INDEX('Deck 1'!$A:$Z,ROW()-250,'List Setup'!$J$3)&amp;"",""))</f>
        <v>https://cards.scryfall.io/small/front/8/f/8f31beae-9b8f-4c32-af84-9f3ee767ba1d.jpg?1783907886</v>
      </c>
      <c r="P268" s="2"/>
      <c r="Q268" s="80" t="str">
        <f>IF(A268="","",'List Setup'!$A$3)</f>
        <v>Deck 1</v>
      </c>
      <c r="R268" s="80" t="b">
        <f t="array" ref="R268">IF(A268="","",IFERROR(OR(INDEX(Binders!$J$6:$J$30,MATCH(Q268,Binders!$I$6:$I$30,0))=TRUE(),UPPER(INDEX(Binders!$J$6:$J$30,MATCH(Q268,Binders!$I$6:$I$30,0))&amp;"")="TRUE"),FALSE()))</f>
        <v>1</v>
      </c>
    </row>
    <row r="269" ht="15.75" customHeight="1">
      <c r="A269" s="80" t="str">
        <f t="array" ref="A269">IF(INDEX('Deck 1'!$A:$Z,ROW()-250,'List Setup'!$D$3)="","",INDEX('Deck 1'!$A:$Z,ROW()-250,'List Setup'!$D$3))</f>
        <v>Dark-Dweller Oracle</v>
      </c>
      <c r="B269" s="80" t="str">
        <f t="array" ref="B269">IF(A269="","",IFERROR(INDEX('Binder Setup'!$B$2:$B$401,MIN(IF(ISNUMBER(SEARCH(CHAR(10)&amp;'Binder Setup'!$B$2:$B$401&amp;CHAR(10),$H269)),'List Setup'!$Q$2:$Q$401,999),IF(ISNUMBER(SEARCH(CHAR(10)&amp;'Set Aliases'!$A$2:$A$501&amp;CHAR(10),$H269)),'Set Aliases'!$C$2:$C$501,999))),"(none)"))</f>
        <v>Foundations</v>
      </c>
      <c r="C269" s="80" t="str">
        <f t="shared" si="1"/>
        <v>The List | Double Masters 2022 | Forgotten Realms Commander | Core Set 2019 Promos | Core Set 2019</v>
      </c>
      <c r="D269" s="80" t="str">
        <f t="array" ref="D269">IF(A269="","",IF(ISLOGICAL(INDEX('Deck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69" s="80" t="str">
        <f t="shared" si="2"/>
        <v>Y</v>
      </c>
      <c r="F269" s="80">
        <f t="array" ref="F269">IF(A269="","",IF(ISNUMBER(J269),J269,IF(ISNUMBER(INDEX('Deck 1'!$A:$Z,ROW()-250,'List Setup'!$F$3)),INDEX('Deck 1'!$A:$Z,ROW()-250,'List Setup'!$F$3),0)))</f>
        <v>0.22</v>
      </c>
      <c r="G269" s="80" t="str">
        <f t="array" ref="G269">IF(A269="","",A269&amp;IF(N(INDEX('Deck 1'!$A:$Z,ROW()-250,'List Setup'!$C$3))&gt;1," (x"&amp;INDEX('Deck 1'!$A:$Z,ROW()-250,'List Setup'!$C$3)&amp;")","")&amp;IF(COUNTIF(Binders!$J$6:$J$30,TRUE())&gt;1," ["&amp;Q269&amp;"]",""))</f>
        <v>Dark-Dweller Oracle [Deck 1]</v>
      </c>
      <c r="H269" s="80" t="str">
        <f t="array" ref="H269">IF(A269="","",CHAR(10)&amp;INDEX('Deck 1'!$A:$Z,ROW()-250,'List Setup'!$E$3)&amp;CHAR(10))</f>
        <v>
The List
Double Masters 2022
Forgotten Realms Commander
Core Set 2019 Promos
Core Set 2019
</v>
      </c>
      <c r="I269" s="80" t="str">
        <f t="array" ref="I269">IF(OR(B269="",B269="(none)"),"",IF(ISNUMBER(SEARCH(CHAR(10)&amp;B269&amp;CHAR(10),H269)),B269,IFERROR(INDEX('Set Aliases'!$A$2:$A$501,MATCH(1,('Set Aliases'!$B$2:$B$501=B269)*ISNUMBER(SEARCH(CHAR(10)&amp;'Set Aliases'!$A$2:$A$501&amp;CHAR(10),H269)),0)),"")))</f>
        <v>The List</v>
      </c>
      <c r="J269" s="80">
        <f t="array" ref="J269">IF(I269="","",IFERROR(VALUE(TRIM(MID(SUBSTITUTE(INDEX('Deck 1'!$A:$Z,ROW()-250,'List Setup'!$G$3),CHAR(10),REPT(" ",100)),((SEARCH(CHAR(10)&amp;I269&amp;CHAR(10),H269)-LEN(SUBSTITUTE(LEFT(H269,SEARCH(CHAR(10)&amp;I269&amp;CHAR(10),H269)),CHAR(10),"")))-1)*100+1,100))),""))</f>
        <v>0.22</v>
      </c>
      <c r="K269" s="80">
        <f t="array" ref="K269">IF(A269="","",IF(ISNUMBER(SEARCH("Land",LEFT(IFERROR(INDEX('Deck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4</v>
      </c>
      <c r="L269" s="80" t="str">
        <f t="shared" si="3"/>
        <v>Red</v>
      </c>
      <c r="M269" s="80">
        <f>IF(A269="","",IF(AND(E269="Y",B269='Use at Shop'!$B$4),K269*10000000000+(MAX(0,MIN(26,CODE(MID(UPPER(A269)&amp;"    ",1,1))-64))*19683+MAX(0,MIN(26,CODE(MID(UPPER(A269)&amp;"    ",2,1))-64))*729+MAX(0,MIN(26,CODE(MID(UPPER(A269)&amp;"    ",3,1))-64))*27+MAX(0,MIN(26,CODE(MID(UPPER(A269)&amp;"    ",4,1))-64))*1)*10000+ROW(),""))</f>
        <v>40799580269</v>
      </c>
      <c r="N269" s="80">
        <f t="shared" si="5"/>
        <v>19</v>
      </c>
      <c r="O269" s="83" t="str">
        <f t="array" ref="O269">IF(A269="","",IFERROR(INDEX('Deck 1'!$A:$Z,ROW()-250,'List Setup'!$J$3)&amp;"",""))</f>
        <v>https://cards.scryfall.io/small/front/b/d/bd35664f-b99d-46b6-988e-8f2814b0a854.jpg?1783921890</v>
      </c>
      <c r="P269" s="2"/>
      <c r="Q269" s="80" t="str">
        <f>IF(A269="","",'List Setup'!$A$3)</f>
        <v>Deck 1</v>
      </c>
      <c r="R269" s="80" t="b">
        <f t="array" ref="R269">IF(A269="","",IFERROR(OR(INDEX(Binders!$J$6:$J$30,MATCH(Q269,Binders!$I$6:$I$30,0))=TRUE(),UPPER(INDEX(Binders!$J$6:$J$30,MATCH(Q269,Binders!$I$6:$I$30,0))&amp;"")="TRUE"),FALSE()))</f>
        <v>1</v>
      </c>
    </row>
    <row r="270" ht="15.75" customHeight="1">
      <c r="A270" s="80" t="str">
        <f t="array" ref="A270">IF(INDEX('Deck 1'!$A:$Z,ROW()-250,'List Setup'!$D$3)="","",INDEX('Deck 1'!$A:$Z,ROW()-250,'List Setup'!$D$3))</f>
        <v>Demolition Field</v>
      </c>
      <c r="B270" s="80" t="str">
        <f t="array" ref="B270">IF(A270="","",IFERROR(INDEX('Binder Setup'!$B$2:$B$401,MIN(IF(ISNUMBER(SEARCH(CHAR(10)&amp;'Binder Setup'!$B$2:$B$401&amp;CHAR(10),$H270)),'List Setup'!$Q$2:$Q$401,999),IF(ISNUMBER(SEARCH(CHAR(10)&amp;'Set Aliases'!$A$2:$A$501&amp;CHAR(10),$H270)),'Set Aliases'!$C$2:$C$501,999))),"(none)"))</f>
        <v>Foundations</v>
      </c>
      <c r="C270" s="80" t="str">
        <f t="shared" si="1"/>
        <v>Final Fantasy Commander | Foundations | Modern Horizons 3 Commander | Outlaws of Thunder Junction Commander | The Brothers' War</v>
      </c>
      <c r="D270" s="80" t="str">
        <f t="array" ref="D270">IF(A270="","",IF(ISLOGICAL(INDEX('Deck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70" s="80" t="str">
        <f t="shared" si="2"/>
        <v>Y</v>
      </c>
      <c r="F270" s="80">
        <f t="array" ref="F270">IF(A270="","",IF(ISNUMBER(J270),J270,IF(ISNUMBER(INDEX('Deck 1'!$A:$Z,ROW()-250,'List Setup'!$F$3)),INDEX('Deck 1'!$A:$Z,ROW()-250,'List Setup'!$F$3),0)))</f>
        <v>0.32</v>
      </c>
      <c r="G270" s="80" t="str">
        <f t="array" ref="G270">IF(A270="","",A270&amp;IF(N(INDEX('Deck 1'!$A:$Z,ROW()-250,'List Setup'!$C$3))&gt;1," (x"&amp;INDEX('Deck 1'!$A:$Z,ROW()-250,'List Setup'!$C$3)&amp;")","")&amp;IF(COUNTIF(Binders!$J$6:$J$30,TRUE())&gt;1," ["&amp;Q270&amp;"]",""))</f>
        <v>Demolition Field [Deck 1]</v>
      </c>
      <c r="H270" s="80" t="str">
        <f t="array" ref="H270">IF(A270="","",CHAR(10)&amp;INDEX('Deck 1'!$A:$Z,ROW()-250,'List Setup'!$E$3)&amp;CHAR(10))</f>
        <v>
Final Fantasy Commander
Foundations
Modern Horizons 3 Commander
Outlaws of Thunder Junction Commander
The Brothers' War
</v>
      </c>
      <c r="I270" s="80" t="str">
        <f t="array" ref="I270">IF(OR(B270="",B270="(none)"),"",IF(ISNUMBER(SEARCH(CHAR(10)&amp;B270&amp;CHAR(10),H270)),B270,IFERROR(INDEX('Set Aliases'!$A$2:$A$501,MATCH(1,('Set Aliases'!$B$2:$B$501=B270)*ISNUMBER(SEARCH(CHAR(10)&amp;'Set Aliases'!$A$2:$A$501&amp;CHAR(10),H270)),0)),"")))</f>
        <v>Foundations</v>
      </c>
      <c r="J270" s="80">
        <f t="array" ref="J270">IF(I270="","",IFERROR(VALUE(TRIM(MID(SUBSTITUTE(INDEX('Deck 1'!$A:$Z,ROW()-250,'List Setup'!$G$3),CHAR(10),REPT(" ",100)),((SEARCH(CHAR(10)&amp;I270&amp;CHAR(10),H270)-LEN(SUBSTITUTE(LEFT(H270,SEARCH(CHAR(10)&amp;I270&amp;CHAR(10),H270)),CHAR(10),"")))-1)*100+1,100))),""))</f>
        <v>0.32</v>
      </c>
      <c r="K270" s="80">
        <f t="array" ref="K270">IF(A270="","",IF(ISNUMBER(SEARCH("Land",LEFT(IFERROR(INDEX('Deck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8</v>
      </c>
      <c r="L270" s="80" t="str">
        <f t="shared" si="3"/>
        <v>Land</v>
      </c>
      <c r="M270" s="80">
        <f>IF(A270="","",IF(AND(E270="Y",B270='Use at Shop'!$B$4),K270*10000000000+(MAX(0,MIN(26,CODE(MID(UPPER(A270)&amp;"    ",1,1))-64))*19683+MAX(0,MIN(26,CODE(MID(UPPER(A270)&amp;"    ",2,1))-64))*729+MAX(0,MIN(26,CODE(MID(UPPER(A270)&amp;"    ",3,1))-64))*27+MAX(0,MIN(26,CODE(MID(UPPER(A270)&amp;"    ",4,1))-64))*1)*10000+ROW(),""))</f>
        <v>80827430270</v>
      </c>
      <c r="N270" s="80">
        <f t="shared" si="5"/>
        <v>20</v>
      </c>
      <c r="O270" s="83" t="str">
        <f t="array" ref="O270">IF(A270="","",IFERROR(INDEX('Deck 1'!$A:$Z,ROW()-250,'List Setup'!$J$3)&amp;"",""))</f>
        <v>https://cards.scryfall.io/small/front/0/c/0c7e51b6-4898-4632-b39c-3ce438caa882.jpg?1783908902</v>
      </c>
      <c r="P270" s="2"/>
      <c r="Q270" s="80" t="str">
        <f>IF(A270="","",'List Setup'!$A$3)</f>
        <v>Deck 1</v>
      </c>
      <c r="R270" s="80" t="b">
        <f t="array" ref="R270">IF(A270="","",IFERROR(OR(INDEX(Binders!$J$6:$J$30,MATCH(Q270,Binders!$I$6:$I$30,0))=TRUE(),UPPER(INDEX(Binders!$J$6:$J$30,MATCH(Q270,Binders!$I$6:$I$30,0))&amp;"")="TRUE"),FALSE()))</f>
        <v>1</v>
      </c>
    </row>
    <row r="271" ht="15.75" customHeight="1">
      <c r="A271" s="80" t="str">
        <f t="array" ref="A271">IF(INDEX('Deck 1'!$A:$Z,ROW()-250,'List Setup'!$D$3)="","",INDEX('Deck 1'!$A:$Z,ROW()-250,'List Setup'!$D$3))</f>
        <v>Dollmaker's Shop // Porcelain Gallery</v>
      </c>
      <c r="B271" s="80" t="str">
        <f t="array" ref="B271">IF(A271="","",IFERROR(INDEX('Binder Setup'!$B$2:$B$401,MIN(IF(ISNUMBER(SEARCH(CHAR(10)&amp;'Binder Setup'!$B$2:$B$401&amp;CHAR(10),$H271)),'List Setup'!$Q$2:$Q$401,999),IF(ISNUMBER(SEARCH(CHAR(10)&amp;'Set Aliases'!$A$2:$A$501&amp;CHAR(10),$H271)),'Set Aliases'!$C$2:$C$501,999))),"(none)"))</f>
        <v>Duskmourn: House of Horror</v>
      </c>
      <c r="C271" s="80" t="str">
        <f t="shared" si="1"/>
        <v>Duskmourn: House of Horror Promos | Duskmourn: House of Horror</v>
      </c>
      <c r="D271" s="80" t="str">
        <f t="array" ref="D271">IF(A271="","",IF(ISLOGICAL(INDEX('Deck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71" s="80" t="str">
        <f t="shared" si="2"/>
        <v>Y</v>
      </c>
      <c r="F271" s="80">
        <f t="array" ref="F271">IF(A271="","",IF(ISNUMBER(J271),J271,IF(ISNUMBER(INDEX('Deck 1'!$A:$Z,ROW()-250,'List Setup'!$F$3)),INDEX('Deck 1'!$A:$Z,ROW()-250,'List Setup'!$F$3),0)))</f>
        <v>5.99</v>
      </c>
      <c r="G271" s="80" t="str">
        <f t="array" ref="G271">IF(A271="","",A271&amp;IF(N(INDEX('Deck 1'!$A:$Z,ROW()-250,'List Setup'!$C$3))&gt;1," (x"&amp;INDEX('Deck 1'!$A:$Z,ROW()-250,'List Setup'!$C$3)&amp;")","")&amp;IF(COUNTIF(Binders!$J$6:$J$30,TRUE())&gt;1," ["&amp;Q271&amp;"]",""))</f>
        <v>Dollmaker's Shop // Porcelain Gallery [Deck 1]</v>
      </c>
      <c r="H271" s="80" t="str">
        <f t="array" ref="H271">IF(A271="","",CHAR(10)&amp;INDEX('Deck 1'!$A:$Z,ROW()-250,'List Setup'!$E$3)&amp;CHAR(10))</f>
        <v>
Duskmourn: House of Horror Promos
Duskmourn: House of Horror
</v>
      </c>
      <c r="I271" s="80" t="str">
        <f t="array" ref="I271">IF(OR(B271="",B271="(none)"),"",IF(ISNUMBER(SEARCH(CHAR(10)&amp;B271&amp;CHAR(10),H271)),B271,IFERROR(INDEX('Set Aliases'!$A$2:$A$501,MATCH(1,('Set Aliases'!$B$2:$B$501=B271)*ISNUMBER(SEARCH(CHAR(10)&amp;'Set Aliases'!$A$2:$A$501&amp;CHAR(10),H271)),0)),"")))</f>
        <v>Duskmourn: House of Horror</v>
      </c>
      <c r="J271" s="80">
        <f t="array" ref="J271">IF(I271="","",IFERROR(VALUE(TRIM(MID(SUBSTITUTE(INDEX('Deck 1'!$A:$Z,ROW()-250,'List Setup'!$G$3),CHAR(10),REPT(" ",100)),((SEARCH(CHAR(10)&amp;I271&amp;CHAR(10),H271)-LEN(SUBSTITUTE(LEFT(H271,SEARCH(CHAR(10)&amp;I271&amp;CHAR(10),H271)),CHAR(10),"")))-1)*100+1,100))),""))</f>
        <v>5.99</v>
      </c>
      <c r="K271" s="80">
        <f t="array" ref="K271">IF(A271="","",IF(ISNUMBER(SEARCH("Land",LEFT(IFERROR(INDEX('Deck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1</v>
      </c>
      <c r="L271" s="80" t="str">
        <f t="shared" si="3"/>
        <v>White</v>
      </c>
      <c r="M271" s="80" t="str">
        <f>IF(A271="","",IF(AND(E271="Y",B271='Use at Shop'!$B$4),K271*10000000000+(MAX(0,MIN(26,CODE(MID(UPPER(A271)&amp;"    ",1,1))-64))*19683+MAX(0,MIN(26,CODE(MID(UPPER(A271)&amp;"    ",2,1))-64))*729+MAX(0,MIN(26,CODE(MID(UPPER(A271)&amp;"    ",3,1))-64))*27+MAX(0,MIN(26,CODE(MID(UPPER(A271)&amp;"    ",4,1))-64))*1)*10000+ROW(),""))</f>
        <v/>
      </c>
      <c r="N271" s="80">
        <f t="shared" si="5"/>
        <v>21</v>
      </c>
      <c r="O271" s="83" t="str">
        <f t="array" ref="O271">IF(A271="","",IFERROR(INDEX('Deck 1'!$A:$Z,ROW()-250,'List Setup'!$J$3)&amp;"",""))</f>
        <v>https://cards.scryfall.io/small/front/c/5/c5ee6651-9946-4bae-b21e-6cf28fa77b13.jpg?1783909512</v>
      </c>
      <c r="P271" s="2"/>
      <c r="Q271" s="80" t="str">
        <f>IF(A271="","",'List Setup'!$A$3)</f>
        <v>Deck 1</v>
      </c>
      <c r="R271" s="80" t="b">
        <f t="array" ref="R271">IF(A271="","",IFERROR(OR(INDEX(Binders!$J$6:$J$30,MATCH(Q271,Binders!$I$6:$I$30,0))=TRUE(),UPPER(INDEX(Binders!$J$6:$J$30,MATCH(Q271,Binders!$I$6:$I$30,0))&amp;"")="TRUE"),FALSE()))</f>
        <v>1</v>
      </c>
    </row>
    <row r="272" ht="15.75" customHeight="1">
      <c r="A272" s="80" t="str">
        <f t="array" ref="A272">IF(INDEX('Deck 1'!$A:$Z,ROW()-250,'List Setup'!$D$3)="","",INDEX('Deck 1'!$A:$Z,ROW()-250,'List Setup'!$D$3))</f>
        <v>Exotic Orchard</v>
      </c>
      <c r="B272" s="80" t="str">
        <f t="array" ref="B272">IF(A272="","",IFERROR(INDEX('Binder Setup'!$B$2:$B$401,MIN(IF(ISNUMBER(SEARCH(CHAR(10)&amp;'Binder Setup'!$B$2:$B$401&amp;CHAR(10),$H272)),'List Setup'!$Q$2:$Q$401,999),IF(ISNUMBER(SEARCH(CHAR(10)&amp;'Set Aliases'!$A$2:$A$501&amp;CHAR(10),$H272)),'Set Aliases'!$C$2:$C$501,999))),"(none)"))</f>
        <v>Foundations</v>
      </c>
      <c r="C272" s="80" t="str">
        <f t="shared" si="1"/>
        <v>Mystery Booster Commander Edition | Reality Fracture Commander | The List | Marvel Super Heroes Commander | Secrets of Strixhaven Commander | Teenage Mutant Ninja Turtles Eternal | Lorwyn Eclipsed Commander | Edge of Eternities Commander | Final Fantasy Commander | Tarkir: Dragonstorm Commander | Aetherdrift Commander | Duskmourn: House of Horror Commander | Bloomburrow Commander | Modern Horizons 3 Commander | Outlaws of Thunder Junction Commander | Fallout | Murders at Karlov Manor Commander | The Lost Caverns of Ixalan Commander | Doctor Who | Wilds of Eldraine Commander | Commander Masters | Tales of Middle-earth Commander | March of the Machine Commander | Secret Lair Drop | Phyrexia: All Will Be One Commander | The Brothers' War Commander | Warhammer 40,000 Commander | Dominaria United Commander | Commander Legends: Battle for Baldur's Gate | New Capenna Commander | Neon Dynasty Commander | Crimson Vow Commander | Midnight Hunt Commander | Forgotten Realms Commander | Commander 2021 | Commander 2020 | Commander 2019 | Commander Anthology Volume II | Commander 2017 | Planechase Anthology | Commander 2016 | Conspiracy: Take the Crown | Planechase 2012 | Conflux</v>
      </c>
      <c r="D272" s="80" t="str">
        <f t="array" ref="D272">IF(A272="","",IF(ISLOGICAL(INDEX('Deck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72" s="80" t="str">
        <f t="shared" si="2"/>
        <v>Y</v>
      </c>
      <c r="F272" s="80">
        <f t="array" ref="F272">IF(A272="","",IF(ISNUMBER(J272),J272,IF(ISNUMBER(INDEX('Deck 1'!$A:$Z,ROW()-250,'List Setup'!$F$3)),INDEX('Deck 1'!$A:$Z,ROW()-250,'List Setup'!$F$3),0)))</f>
        <v>0.28</v>
      </c>
      <c r="G272" s="80" t="str">
        <f t="array" ref="G272">IF(A272="","",A272&amp;IF(N(INDEX('Deck 1'!$A:$Z,ROW()-250,'List Setup'!$C$3))&gt;1," (x"&amp;INDEX('Deck 1'!$A:$Z,ROW()-250,'List Setup'!$C$3)&amp;")","")&amp;IF(COUNTIF(Binders!$J$6:$J$30,TRUE())&gt;1," ["&amp;Q272&amp;"]",""))</f>
        <v>Exotic Orchard [Deck 1]</v>
      </c>
      <c r="H272" s="80" t="str">
        <f t="array" ref="H272">IF(A272="","",CHAR(10)&amp;INDEX('Deck 1'!$A:$Z,ROW()-250,'List Setup'!$E$3)&amp;CHAR(10))</f>
        <v>
Mystery Booster Commander Edition
Reality Fracture Commander
The List
Marvel Super Heroes Commander
Secrets of Strixhaven Commander
Teenage Mutant Ninja Turtles Eternal
Lorwyn Eclipsed Commander
Edge of Eternities Commander
Final Fantasy Commander
Tarkir: Dragonstorm Commander
Aetherdrift Commander
Duskmourn: House of Horror Commander
Bloomburrow Commander
Modern Horizons 3 Commander
Outlaws of Thunder Junction Commander
Fallout
Murders at Karlov Manor Commander
The Lost Caverns of Ixalan Commander
Doctor Who
Wilds of Eldraine Commander
Commander Masters
Tales of Middle-earth Commander
March of the Machine Commander
Secret Lair Drop
Phyrexia: All Will Be One Commander
The Brothers' War Commander
Warhammer 40,000 Commander
Dominaria United Commander
Commander Legends: Battle for Baldur's Gate
New Capenna Commander
Neon Dynasty Commander
Crimson Vow Commander
Midnight Hunt Commander
Forgotten Realms Commander
Commander 2021
Commander 2020
Commander 2019
Commander Anthology Volume II
Commander 2017
Planechase Anthology
Commander 2016
Conspiracy: Take the Crown
Planechase 2012
Conflux
</v>
      </c>
      <c r="I272" s="80" t="str">
        <f t="array" ref="I272">IF(OR(B272="",B272="(none)"),"",IF(ISNUMBER(SEARCH(CHAR(10)&amp;B272&amp;CHAR(10),H272)),B272,IFERROR(INDEX('Set Aliases'!$A$2:$A$501,MATCH(1,('Set Aliases'!$B$2:$B$501=B272)*ISNUMBER(SEARCH(CHAR(10)&amp;'Set Aliases'!$A$2:$A$501&amp;CHAR(10),H272)),0)),"")))</f>
        <v>The List</v>
      </c>
      <c r="J272" s="80">
        <f t="array" ref="J272">IF(I272="","",IFERROR(VALUE(TRIM(MID(SUBSTITUTE(INDEX('Deck 1'!$A:$Z,ROW()-250,'List Setup'!$G$3),CHAR(10),REPT(" ",100)),((SEARCH(CHAR(10)&amp;I272&amp;CHAR(10),H272)-LEN(SUBSTITUTE(LEFT(H272,SEARCH(CHAR(10)&amp;I272&amp;CHAR(10),H272)),CHAR(10),"")))-1)*100+1,100))),""))</f>
        <v>0.28</v>
      </c>
      <c r="K272" s="80">
        <f t="array" ref="K272">IF(A272="","",IF(ISNUMBER(SEARCH("Land",LEFT(IFERROR(INDEX('Deck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8</v>
      </c>
      <c r="L272" s="80" t="str">
        <f t="shared" si="3"/>
        <v>Land</v>
      </c>
      <c r="M272" s="80">
        <f>IF(A272="","",IF(AND(E272="Y",B272='Use at Shop'!$B$4),K272*10000000000+(MAX(0,MIN(26,CODE(MID(UPPER(A272)&amp;"    ",1,1))-64))*19683+MAX(0,MIN(26,CODE(MID(UPPER(A272)&amp;"    ",2,1))-64))*729+MAX(0,MIN(26,CODE(MID(UPPER(A272)&amp;"    ",3,1))-64))*27+MAX(0,MIN(26,CODE(MID(UPPER(A272)&amp;"    ",4,1))-64))*1)*10000+ROW(),""))</f>
        <v>81163360272</v>
      </c>
      <c r="N272" s="80">
        <f t="shared" si="5"/>
        <v>22</v>
      </c>
      <c r="O272" s="83" t="str">
        <f t="array" ref="O272">IF(A272="","",IFERROR(INDEX('Deck 1'!$A:$Z,ROW()-250,'List Setup'!$J$3)&amp;"",""))</f>
        <v>https://cards.scryfall.io/small/front/d/1/d11c5fe0-1528-4c94-a8cc-42bcab9d7487.jpg?1787743263</v>
      </c>
      <c r="P272" s="2"/>
      <c r="Q272" s="80" t="str">
        <f>IF(A272="","",'List Setup'!$A$3)</f>
        <v>Deck 1</v>
      </c>
      <c r="R272" s="80" t="b">
        <f t="array" ref="R272">IF(A272="","",IFERROR(OR(INDEX(Binders!$J$6:$J$30,MATCH(Q272,Binders!$I$6:$I$30,0))=TRUE(),UPPER(INDEX(Binders!$J$6:$J$30,MATCH(Q272,Binders!$I$6:$I$30,0))&amp;"")="TRUE"),FALSE()))</f>
        <v>1</v>
      </c>
    </row>
    <row r="273" ht="15.75" customHeight="1">
      <c r="A273" s="80" t="str">
        <f t="array" ref="A273">IF(INDEX('Deck 1'!$A:$Z,ROW()-250,'List Setup'!$D$3)="","",INDEX('Deck 1'!$A:$Z,ROW()-250,'List Setup'!$D$3))</f>
        <v>Fountainport</v>
      </c>
      <c r="B273" s="80" t="str">
        <f t="array" ref="B273">IF(A273="","",IFERROR(INDEX('Binder Setup'!$B$2:$B$401,MIN(IF(ISNUMBER(SEARCH(CHAR(10)&amp;'Binder Setup'!$B$2:$B$401&amp;CHAR(10),$H273)),'List Setup'!$Q$2:$Q$401,999),IF(ISNUMBER(SEARCH(CHAR(10)&amp;'Set Aliases'!$A$2:$A$501&amp;CHAR(10),$H273)),'Set Aliases'!$C$2:$C$501,999))),"(none)"))</f>
        <v>Foundations</v>
      </c>
      <c r="C273" s="80" t="str">
        <f t="shared" si="1"/>
        <v>Secret Lair Drop | The List | Bloomburrow Promos | Bloomburrow</v>
      </c>
      <c r="D273" s="80" t="str">
        <f t="array" ref="D273">IF(A273="","",IF(ISLOGICAL(INDEX('Deck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73" s="80" t="str">
        <f t="shared" si="2"/>
        <v>Y</v>
      </c>
      <c r="F273" s="80">
        <f t="array" ref="F273">IF(A273="","",IF(ISNUMBER(J273),J273,IF(ISNUMBER(INDEX('Deck 1'!$A:$Z,ROW()-250,'List Setup'!$F$3)),INDEX('Deck 1'!$A:$Z,ROW()-250,'List Setup'!$F$3),0)))</f>
        <v>3.45</v>
      </c>
      <c r="G273" s="80" t="str">
        <f t="array" ref="G273">IF(A273="","",A273&amp;IF(N(INDEX('Deck 1'!$A:$Z,ROW()-250,'List Setup'!$C$3))&gt;1," (x"&amp;INDEX('Deck 1'!$A:$Z,ROW()-250,'List Setup'!$C$3)&amp;")","")&amp;IF(COUNTIF(Binders!$J$6:$J$30,TRUE())&gt;1," ["&amp;Q273&amp;"]",""))</f>
        <v>Fountainport [Deck 1]</v>
      </c>
      <c r="H273" s="80" t="str">
        <f t="array" ref="H273">IF(A273="","",CHAR(10)&amp;INDEX('Deck 1'!$A:$Z,ROW()-250,'List Setup'!$E$3)&amp;CHAR(10))</f>
        <v>
Secret Lair Drop
The List
Bloomburrow Promos
Bloomburrow
</v>
      </c>
      <c r="I273" s="80" t="str">
        <f t="array" ref="I273">IF(OR(B273="",B273="(none)"),"",IF(ISNUMBER(SEARCH(CHAR(10)&amp;B273&amp;CHAR(10),H273)),B273,IFERROR(INDEX('Set Aliases'!$A$2:$A$501,MATCH(1,('Set Aliases'!$B$2:$B$501=B273)*ISNUMBER(SEARCH(CHAR(10)&amp;'Set Aliases'!$A$2:$A$501&amp;CHAR(10),H273)),0)),"")))</f>
        <v>The List</v>
      </c>
      <c r="J273" s="80">
        <f t="array" ref="J273">IF(I273="","",IFERROR(VALUE(TRIM(MID(SUBSTITUTE(INDEX('Deck 1'!$A:$Z,ROW()-250,'List Setup'!$G$3),CHAR(10),REPT(" ",100)),((SEARCH(CHAR(10)&amp;I273&amp;CHAR(10),H273)-LEN(SUBSTITUTE(LEFT(H273,SEARCH(CHAR(10)&amp;I273&amp;CHAR(10),H273)),CHAR(10),"")))-1)*100+1,100))),""))</f>
        <v>3.45</v>
      </c>
      <c r="K273" s="80">
        <f t="array" ref="K273">IF(A273="","",IF(ISNUMBER(SEARCH("Land",LEFT(IFERROR(INDEX('Deck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8</v>
      </c>
      <c r="L273" s="80" t="str">
        <f t="shared" si="3"/>
        <v>Land</v>
      </c>
      <c r="M273" s="80">
        <f>IF(A273="","",IF(AND(E273="Y",B273='Use at Shop'!$B$4),K273*10000000000+(MAX(0,MIN(26,CODE(MID(UPPER(A273)&amp;"    ",1,1))-64))*19683+MAX(0,MIN(26,CODE(MID(UPPER(A273)&amp;"    ",2,1))-64))*729+MAX(0,MIN(26,CODE(MID(UPPER(A273)&amp;"    ",3,1))-64))*27+MAX(0,MIN(26,CODE(MID(UPPER(A273)&amp;"    ",4,1))-64))*1)*10000+ROW(),""))</f>
        <v>81296140273</v>
      </c>
      <c r="N273" s="80">
        <f t="shared" si="5"/>
        <v>23</v>
      </c>
      <c r="O273" s="83" t="str">
        <f t="array" ref="O273">IF(A273="","",IFERROR(INDEX('Deck 1'!$A:$Z,ROW()-250,'List Setup'!$J$3)&amp;"",""))</f>
        <v>https://cards.scryfall.io/small/front/6/5/658cfcb7-81b7-48c6-9dd2-1663d06108cf.jpg?1783910785</v>
      </c>
      <c r="P273" s="2"/>
      <c r="Q273" s="80" t="str">
        <f>IF(A273="","",'List Setup'!$A$3)</f>
        <v>Deck 1</v>
      </c>
      <c r="R273" s="80" t="b">
        <f t="array" ref="R273">IF(A273="","",IFERROR(OR(INDEX(Binders!$J$6:$J$30,MATCH(Q273,Binders!$I$6:$I$30,0))=TRUE(),UPPER(INDEX(Binders!$J$6:$J$30,MATCH(Q273,Binders!$I$6:$I$30,0))&amp;"")="TRUE"),FALSE()))</f>
        <v>1</v>
      </c>
    </row>
    <row r="274" ht="15.75" customHeight="1">
      <c r="A274" s="80" t="str">
        <f t="array" ref="A274">IF(INDEX('Deck 1'!$A:$Z,ROW()-250,'List Setup'!$D$3)="","",INDEX('Deck 1'!$A:$Z,ROW()-250,'List Setup'!$D$3))</f>
        <v>Furycalm Snarl</v>
      </c>
      <c r="B274" s="80" t="str">
        <f t="array" ref="B274">IF(A274="","",IFERROR(INDEX('Binder Setup'!$B$2:$B$401,MIN(IF(ISNUMBER(SEARCH(CHAR(10)&amp;'Binder Setup'!$B$2:$B$401&amp;CHAR(10),$H274)),'List Setup'!$Q$2:$Q$401,999),IF(ISNUMBER(SEARCH(CHAR(10)&amp;'Set Aliases'!$A$2:$A$501&amp;CHAR(10),$H274)),'Set Aliases'!$C$2:$C$501,999))),"(none)"))</f>
        <v>Commander Masters</v>
      </c>
      <c r="C274" s="80" t="str">
        <f t="shared" si="1"/>
        <v>Marvel Super Heroes Commander | Secrets of Strixhaven Commander | Final Fantasy Commander | Modern Horizons 3 Commander | Murders at Karlov Manor Commander | The Lost Caverns of Ixalan Commander | Doctor Who | Commander Masters | Tales of Middle-earth Commander | March of the Machine Commander | Phyrexia: All Will Be One Commander | Strixhaven: School of Mages Promos | Strixhaven: School of Mages</v>
      </c>
      <c r="D274" s="80" t="str">
        <f t="array" ref="D274">IF(A274="","",IF(ISLOGICAL(INDEX('Deck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74" s="80" t="str">
        <f t="shared" si="2"/>
        <v>Y</v>
      </c>
      <c r="F274" s="80">
        <f t="array" ref="F274">IF(A274="","",IF(ISNUMBER(J274),J274,IF(ISNUMBER(INDEX('Deck 1'!$A:$Z,ROW()-250,'List Setup'!$F$3)),INDEX('Deck 1'!$A:$Z,ROW()-250,'List Setup'!$F$3),0)))</f>
        <v>0.34</v>
      </c>
      <c r="G274" s="80" t="str">
        <f t="array" ref="G274">IF(A274="","",A274&amp;IF(N(INDEX('Deck 1'!$A:$Z,ROW()-250,'List Setup'!$C$3))&gt;1," (x"&amp;INDEX('Deck 1'!$A:$Z,ROW()-250,'List Setup'!$C$3)&amp;")","")&amp;IF(COUNTIF(Binders!$J$6:$J$30,TRUE())&gt;1," ["&amp;Q274&amp;"]",""))</f>
        <v>Furycalm Snarl [Deck 1]</v>
      </c>
      <c r="H274" s="80" t="str">
        <f t="array" ref="H274">IF(A274="","",CHAR(10)&amp;INDEX('Deck 1'!$A:$Z,ROW()-250,'List Setup'!$E$3)&amp;CHAR(10))</f>
        <v>
Marvel Super Heroes Commander
Secrets of Strixhaven Commander
Final Fantasy Commander
Modern Horizons 3 Commander
Murders at Karlov Manor Commander
The Lost Caverns of Ixalan Commander
Doctor Who
Commander Masters
Tales of Middle-earth Commander
March of the Machine Commander
Phyrexia: All Will Be One Commander
Strixhaven: School of Mages Promos
Strixhaven: School of Mages
</v>
      </c>
      <c r="I274" s="80" t="str">
        <f t="array" ref="I274">IF(OR(B274="",B274="(none)"),"",IF(ISNUMBER(SEARCH(CHAR(10)&amp;B274&amp;CHAR(10),H274)),B274,IFERROR(INDEX('Set Aliases'!$A$2:$A$501,MATCH(1,('Set Aliases'!$B$2:$B$501=B274)*ISNUMBER(SEARCH(CHAR(10)&amp;'Set Aliases'!$A$2:$A$501&amp;CHAR(10),H274)),0)),"")))</f>
        <v>Commander Masters</v>
      </c>
      <c r="J274" s="80">
        <f t="array" ref="J274">IF(I274="","",IFERROR(VALUE(TRIM(MID(SUBSTITUTE(INDEX('Deck 1'!$A:$Z,ROW()-250,'List Setup'!$G$3),CHAR(10),REPT(" ",100)),((SEARCH(CHAR(10)&amp;I274&amp;CHAR(10),H274)-LEN(SUBSTITUTE(LEFT(H274,SEARCH(CHAR(10)&amp;I274&amp;CHAR(10),H274)),CHAR(10),"")))-1)*100+1,100))),""))</f>
        <v>0.34</v>
      </c>
      <c r="K274" s="80">
        <f t="array" ref="K274">IF(A274="","",IF(ISNUMBER(SEARCH("Land",LEFT(IFERROR(INDEX('Deck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8</v>
      </c>
      <c r="L274" s="80" t="str">
        <f t="shared" si="3"/>
        <v>Land</v>
      </c>
      <c r="M274" s="80" t="str">
        <f>IF(A274="","",IF(AND(E274="Y",B274='Use at Shop'!$B$4),K274*10000000000+(MAX(0,MIN(26,CODE(MID(UPPER(A274)&amp;"    ",1,1))-64))*19683+MAX(0,MIN(26,CODE(MID(UPPER(A274)&amp;"    ",2,1))-64))*729+MAX(0,MIN(26,CODE(MID(UPPER(A274)&amp;"    ",3,1))-64))*27+MAX(0,MIN(26,CODE(MID(UPPER(A274)&amp;"    ",4,1))-64))*1)*10000+ROW(),""))</f>
        <v/>
      </c>
      <c r="N274" s="80">
        <f t="shared" si="5"/>
        <v>24</v>
      </c>
      <c r="O274" s="83" t="str">
        <f t="array" ref="O274">IF(A274="","",IFERROR(INDEX('Deck 1'!$A:$Z,ROW()-250,'List Setup'!$J$3)&amp;"",""))</f>
        <v>https://cards.scryfall.io/small/front/a/f/afc12892-4978-4442-ace5-c4dea5c0ee00.jpg?1783903200</v>
      </c>
      <c r="P274" s="2"/>
      <c r="Q274" s="80" t="str">
        <f>IF(A274="","",'List Setup'!$A$3)</f>
        <v>Deck 1</v>
      </c>
      <c r="R274" s="80" t="b">
        <f t="array" ref="R274">IF(A274="","",IFERROR(OR(INDEX(Binders!$J$6:$J$30,MATCH(Q274,Binders!$I$6:$I$30,0))=TRUE(),UPPER(INDEX(Binders!$J$6:$J$30,MATCH(Q274,Binders!$I$6:$I$30,0))&amp;"")="TRUE"),FALSE()))</f>
        <v>1</v>
      </c>
    </row>
    <row r="275" ht="15.75" customHeight="1">
      <c r="A275" s="80" t="str">
        <f t="array" ref="A275">IF(INDEX('Deck 1'!$A:$Z,ROW()-250,'List Setup'!$D$3)="","",INDEX('Deck 1'!$A:$Z,ROW()-250,'List Setup'!$D$3))</f>
        <v>Hedron Detonator</v>
      </c>
      <c r="B275" s="80" t="str">
        <f t="array" ref="B275">IF(A275="","",IFERROR(INDEX('Binder Setup'!$B$2:$B$401,MIN(IF(ISNUMBER(SEARCH(CHAR(10)&amp;'Binder Setup'!$B$2:$B$401&amp;CHAR(10),$H275)),'List Setup'!$Q$2:$Q$401,999),IF(ISNUMBER(SEARCH(CHAR(10)&amp;'Set Aliases'!$A$2:$A$501&amp;CHAR(10),$H275)),'Set Aliases'!$C$2:$C$501,999))),"(none)"))</f>
        <v>March of the Machine Commander</v>
      </c>
      <c r="C275" s="80" t="str">
        <f t="shared" si="1"/>
        <v>March of the Machine Commander</v>
      </c>
      <c r="D275" s="80" t="str">
        <f t="array" ref="D275">IF(A275="","",IF(ISLOGICAL(INDEX('Deck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75" s="80" t="str">
        <f t="shared" si="2"/>
        <v>Y</v>
      </c>
      <c r="F275" s="80">
        <f t="array" ref="F275">IF(A275="","",IF(ISNUMBER(J275),J275,IF(ISNUMBER(INDEX('Deck 1'!$A:$Z,ROW()-250,'List Setup'!$F$3)),INDEX('Deck 1'!$A:$Z,ROW()-250,'List Setup'!$F$3),0)))</f>
        <v>7.65</v>
      </c>
      <c r="G275" s="80" t="str">
        <f t="array" ref="G275">IF(A275="","",A275&amp;IF(N(INDEX('Deck 1'!$A:$Z,ROW()-250,'List Setup'!$C$3))&gt;1," (x"&amp;INDEX('Deck 1'!$A:$Z,ROW()-250,'List Setup'!$C$3)&amp;")","")&amp;IF(COUNTIF(Binders!$J$6:$J$30,TRUE())&gt;1," ["&amp;Q275&amp;"]",""))</f>
        <v>Hedron Detonator [Deck 1]</v>
      </c>
      <c r="H275" s="80" t="str">
        <f t="array" ref="H275">IF(A275="","",CHAR(10)&amp;INDEX('Deck 1'!$A:$Z,ROW()-250,'List Setup'!$E$3)&amp;CHAR(10))</f>
        <v>
March of the Machine Commander
</v>
      </c>
      <c r="I275" s="80" t="str">
        <f t="array" ref="I275">IF(OR(B275="",B275="(none)"),"",IF(ISNUMBER(SEARCH(CHAR(10)&amp;B275&amp;CHAR(10),H275)),B275,IFERROR(INDEX('Set Aliases'!$A$2:$A$501,MATCH(1,('Set Aliases'!$B$2:$B$501=B275)*ISNUMBER(SEARCH(CHAR(10)&amp;'Set Aliases'!$A$2:$A$501&amp;CHAR(10),H275)),0)),"")))</f>
        <v>March of the Machine Commander</v>
      </c>
      <c r="J275" s="80">
        <f t="array" ref="J275">IF(I275="","",IFERROR(VALUE(TRIM(MID(SUBSTITUTE(INDEX('Deck 1'!$A:$Z,ROW()-250,'List Setup'!$G$3),CHAR(10),REPT(" ",100)),((SEARCH(CHAR(10)&amp;I275&amp;CHAR(10),H275)-LEN(SUBSTITUTE(LEFT(H275,SEARCH(CHAR(10)&amp;I275&amp;CHAR(10),H275)),CHAR(10),"")))-1)*100+1,100))),""))</f>
        <v>7.65</v>
      </c>
      <c r="K275" s="80">
        <f t="array" ref="K275">IF(A275="","",IF(ISNUMBER(SEARCH("Land",LEFT(IFERROR(INDEX('Deck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4</v>
      </c>
      <c r="L275" s="80" t="str">
        <f t="shared" si="3"/>
        <v>Red</v>
      </c>
      <c r="M275" s="80" t="str">
        <f>IF(A275="","",IF(AND(E275="Y",B275='Use at Shop'!$B$4),K275*10000000000+(MAX(0,MIN(26,CODE(MID(UPPER(A275)&amp;"    ",1,1))-64))*19683+MAX(0,MIN(26,CODE(MID(UPPER(A275)&amp;"    ",2,1))-64))*729+MAX(0,MIN(26,CODE(MID(UPPER(A275)&amp;"    ",3,1))-64))*27+MAX(0,MIN(26,CODE(MID(UPPER(A275)&amp;"    ",4,1))-64))*1)*10000+ROW(),""))</f>
        <v/>
      </c>
      <c r="N275" s="80">
        <f t="shared" si="5"/>
        <v>25</v>
      </c>
      <c r="O275" s="83" t="str">
        <f t="array" ref="O275">IF(A275="","",IFERROR(INDEX('Deck 1'!$A:$Z,ROW()-250,'List Setup'!$J$3)&amp;"",""))</f>
        <v>https://cards.scryfall.io/small/front/7/f/7f1ccee1-20d1-48f2-ae90-a7a78172e05d.jpg?1783917283</v>
      </c>
      <c r="P275" s="2"/>
      <c r="Q275" s="80" t="str">
        <f>IF(A275="","",'List Setup'!$A$3)</f>
        <v>Deck 1</v>
      </c>
      <c r="R275" s="80" t="b">
        <f t="array" ref="R275">IF(A275="","",IFERROR(OR(INDEX(Binders!$J$6:$J$30,MATCH(Q275,Binders!$I$6:$I$30,0))=TRUE(),UPPER(INDEX(Binders!$J$6:$J$30,MATCH(Q275,Binders!$I$6:$I$30,0))&amp;"")="TRUE"),FALSE()))</f>
        <v>1</v>
      </c>
    </row>
    <row r="276" ht="15.75" customHeight="1">
      <c r="A276" s="80" t="str">
        <f t="array" ref="A276">IF(INDEX('Deck 1'!$A:$Z,ROW()-250,'List Setup'!$D$3)="","",INDEX('Deck 1'!$A:$Z,ROW()-250,'List Setup'!$D$3))</f>
        <v>Hex Magic</v>
      </c>
      <c r="B276" s="80" t="str">
        <f t="array" ref="B276">IF(A276="","",IFERROR(INDEX('Binder Setup'!$B$2:$B$401,MIN(IF(ISNUMBER(SEARCH(CHAR(10)&amp;'Binder Setup'!$B$2:$B$401&amp;CHAR(10),$H276)),'List Setup'!$Q$2:$Q$401,999),IF(ISNUMBER(SEARCH(CHAR(10)&amp;'Set Aliases'!$A$2:$A$501&amp;CHAR(10),$H276)),'Set Aliases'!$C$2:$C$501,999))),"(none)"))</f>
        <v>Secret Lair Drop</v>
      </c>
      <c r="C276" s="80" t="str">
        <f t="shared" si="1"/>
        <v>Secret Lair Drop | Marvel Super Heroes</v>
      </c>
      <c r="D276" s="80" t="str">
        <f t="array" ref="D276">IF(A276="","",IF(ISLOGICAL(INDEX('Deck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76" s="80" t="str">
        <f t="shared" si="2"/>
        <v>Y</v>
      </c>
      <c r="F276" s="80">
        <f t="array" ref="F276">IF(A276="","",IF(ISNUMBER(J276),J276,IF(ISNUMBER(INDEX('Deck 1'!$A:$Z,ROW()-250,'List Setup'!$F$3)),INDEX('Deck 1'!$A:$Z,ROW()-250,'List Setup'!$F$3),0)))</f>
        <v>15.77</v>
      </c>
      <c r="G276" s="80" t="str">
        <f t="array" ref="G276">IF(A276="","",A276&amp;IF(N(INDEX('Deck 1'!$A:$Z,ROW()-250,'List Setup'!$C$3))&gt;1," (x"&amp;INDEX('Deck 1'!$A:$Z,ROW()-250,'List Setup'!$C$3)&amp;")","")&amp;IF(COUNTIF(Binders!$J$6:$J$30,TRUE())&gt;1," ["&amp;Q276&amp;"]",""))</f>
        <v>Hex Magic [Deck 1]</v>
      </c>
      <c r="H276" s="80" t="str">
        <f t="array" ref="H276">IF(A276="","",CHAR(10)&amp;INDEX('Deck 1'!$A:$Z,ROW()-250,'List Setup'!$E$3)&amp;CHAR(10))</f>
        <v>
Secret Lair Drop
Marvel Super Heroes
</v>
      </c>
      <c r="I276" s="80" t="str">
        <f t="array" ref="I276">IF(OR(B276="",B276="(none)"),"",IF(ISNUMBER(SEARCH(CHAR(10)&amp;B276&amp;CHAR(10),H276)),B276,IFERROR(INDEX('Set Aliases'!$A$2:$A$501,MATCH(1,('Set Aliases'!$B$2:$B$501=B276)*ISNUMBER(SEARCH(CHAR(10)&amp;'Set Aliases'!$A$2:$A$501&amp;CHAR(10),H276)),0)),"")))</f>
        <v>Secret Lair Drop</v>
      </c>
      <c r="J276" s="80">
        <f t="array" ref="J276">IF(I276="","",IFERROR(VALUE(TRIM(MID(SUBSTITUTE(INDEX('Deck 1'!$A:$Z,ROW()-250,'List Setup'!$G$3),CHAR(10),REPT(" ",100)),((SEARCH(CHAR(10)&amp;I276&amp;CHAR(10),H276)-LEN(SUBSTITUTE(LEFT(H276,SEARCH(CHAR(10)&amp;I276&amp;CHAR(10),H276)),CHAR(10),"")))-1)*100+1,100))),""))</f>
        <v>15.77</v>
      </c>
      <c r="K276" s="80">
        <f t="array" ref="K276">IF(A276="","",IF(ISNUMBER(SEARCH("Land",LEFT(IFERROR(INDEX('Deck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4</v>
      </c>
      <c r="L276" s="80" t="str">
        <f t="shared" si="3"/>
        <v>Red</v>
      </c>
      <c r="M276" s="80" t="str">
        <f>IF(A276="","",IF(AND(E276="Y",B276='Use at Shop'!$B$4),K276*10000000000+(MAX(0,MIN(26,CODE(MID(UPPER(A276)&amp;"    ",1,1))-64))*19683+MAX(0,MIN(26,CODE(MID(UPPER(A276)&amp;"    ",2,1))-64))*729+MAX(0,MIN(26,CODE(MID(UPPER(A276)&amp;"    ",3,1))-64))*27+MAX(0,MIN(26,CODE(MID(UPPER(A276)&amp;"    ",4,1))-64))*1)*10000+ROW(),""))</f>
        <v/>
      </c>
      <c r="N276" s="80">
        <f t="shared" si="5"/>
        <v>26</v>
      </c>
      <c r="O276" s="83" t="str">
        <f t="array" ref="O276">IF(A276="","",IFERROR(INDEX('Deck 1'!$A:$Z,ROW()-250,'List Setup'!$J$3)&amp;"",""))</f>
        <v>https://cards.scryfall.io/small/front/2/5/259bed47-1950-43ae-8efd-3009537529a8.jpg?1783902932</v>
      </c>
      <c r="P276" s="2"/>
      <c r="Q276" s="80" t="str">
        <f>IF(A276="","",'List Setup'!$A$3)</f>
        <v>Deck 1</v>
      </c>
      <c r="R276" s="80" t="b">
        <f t="array" ref="R276">IF(A276="","",IFERROR(OR(INDEX(Binders!$J$6:$J$30,MATCH(Q276,Binders!$I$6:$I$30,0))=TRUE(),UPPER(INDEX(Binders!$J$6:$J$30,MATCH(Q276,Binders!$I$6:$I$30,0))&amp;"")="TRUE"),FALSE()))</f>
        <v>1</v>
      </c>
    </row>
    <row r="277" ht="15.75" customHeight="1">
      <c r="A277" s="80" t="str">
        <f t="array" ref="A277">IF(INDEX('Deck 1'!$A:$Z,ROW()-250,'List Setup'!$D$3)="","",INDEX('Deck 1'!$A:$Z,ROW()-250,'List Setup'!$D$3))</f>
        <v>Improvisation Capstone</v>
      </c>
      <c r="B277" s="80" t="str">
        <f t="array" ref="B277">IF(A277="","",IFERROR(INDEX('Binder Setup'!$B$2:$B$401,MIN(IF(ISNUMBER(SEARCH(CHAR(10)&amp;'Binder Setup'!$B$2:$B$401&amp;CHAR(10),$H277)),'List Setup'!$Q$2:$Q$401,999),IF(ISNUMBER(SEARCH(CHAR(10)&amp;'Set Aliases'!$A$2:$A$501&amp;CHAR(10),$H277)),'Set Aliases'!$C$2:$C$501,999))),"(none)"))</f>
        <v>Secrets of Strixhaven</v>
      </c>
      <c r="C277" s="80" t="str">
        <f t="shared" si="1"/>
        <v>Secrets of Strixhaven Promos | Secrets of Strixhaven</v>
      </c>
      <c r="D277" s="80" t="str">
        <f t="array" ref="D277">IF(A277="","",IF(ISLOGICAL(INDEX('Deck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77" s="80" t="str">
        <f t="shared" si="2"/>
        <v>Y</v>
      </c>
      <c r="F277" s="80">
        <f t="array" ref="F277">IF(A277="","",IF(ISNUMBER(J277),J277,IF(ISNUMBER(INDEX('Deck 1'!$A:$Z,ROW()-250,'List Setup'!$F$3)),INDEX('Deck 1'!$A:$Z,ROW()-250,'List Setup'!$F$3),0)))</f>
        <v>9.83</v>
      </c>
      <c r="G277" s="80" t="str">
        <f t="array" ref="G277">IF(A277="","",A277&amp;IF(N(INDEX('Deck 1'!$A:$Z,ROW()-250,'List Setup'!$C$3))&gt;1," (x"&amp;INDEX('Deck 1'!$A:$Z,ROW()-250,'List Setup'!$C$3)&amp;")","")&amp;IF(COUNTIF(Binders!$J$6:$J$30,TRUE())&gt;1," ["&amp;Q277&amp;"]",""))</f>
        <v>Improvisation Capstone [Deck 1]</v>
      </c>
      <c r="H277" s="80" t="str">
        <f t="array" ref="H277">IF(A277="","",CHAR(10)&amp;INDEX('Deck 1'!$A:$Z,ROW()-250,'List Setup'!$E$3)&amp;CHAR(10))</f>
        <v>
Secrets of Strixhaven Promos
Secrets of Strixhaven
</v>
      </c>
      <c r="I277" s="80" t="str">
        <f t="array" ref="I277">IF(OR(B277="",B277="(none)"),"",IF(ISNUMBER(SEARCH(CHAR(10)&amp;B277&amp;CHAR(10),H277)),B277,IFERROR(INDEX('Set Aliases'!$A$2:$A$501,MATCH(1,('Set Aliases'!$B$2:$B$501=B277)*ISNUMBER(SEARCH(CHAR(10)&amp;'Set Aliases'!$A$2:$A$501&amp;CHAR(10),H277)),0)),"")))</f>
        <v>Secrets of Strixhaven</v>
      </c>
      <c r="J277" s="80">
        <f t="array" ref="J277">IF(I277="","",IFERROR(VALUE(TRIM(MID(SUBSTITUTE(INDEX('Deck 1'!$A:$Z,ROW()-250,'List Setup'!$G$3),CHAR(10),REPT(" ",100)),((SEARCH(CHAR(10)&amp;I277&amp;CHAR(10),H277)-LEN(SUBSTITUTE(LEFT(H277,SEARCH(CHAR(10)&amp;I277&amp;CHAR(10),H277)),CHAR(10),"")))-1)*100+1,100))),""))</f>
        <v>9.83</v>
      </c>
      <c r="K277" s="80">
        <f t="array" ref="K277">IF(A277="","",IF(ISNUMBER(SEARCH("Land",LEFT(IFERROR(INDEX('Deck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4</v>
      </c>
      <c r="L277" s="80" t="str">
        <f t="shared" si="3"/>
        <v>Red</v>
      </c>
      <c r="M277" s="80" t="str">
        <f>IF(A277="","",IF(AND(E277="Y",B277='Use at Shop'!$B$4),K277*10000000000+(MAX(0,MIN(26,CODE(MID(UPPER(A277)&amp;"    ",1,1))-64))*19683+MAX(0,MIN(26,CODE(MID(UPPER(A277)&amp;"    ",2,1))-64))*729+MAX(0,MIN(26,CODE(MID(UPPER(A277)&amp;"    ",3,1))-64))*27+MAX(0,MIN(26,CODE(MID(UPPER(A277)&amp;"    ",4,1))-64))*1)*10000+ROW(),""))</f>
        <v/>
      </c>
      <c r="N277" s="80">
        <f t="shared" si="5"/>
        <v>27</v>
      </c>
      <c r="O277" s="83" t="str">
        <f t="array" ref="O277">IF(A277="","",IFERROR(INDEX('Deck 1'!$A:$Z,ROW()-250,'List Setup'!$J$3)&amp;"",""))</f>
        <v>https://cards.scryfall.io/small/front/d/0/d01fe6e9-49ee-4708-833e-75cd5a9f167c.jpg?1783903667</v>
      </c>
      <c r="P277" s="2"/>
      <c r="Q277" s="80" t="str">
        <f>IF(A277="","",'List Setup'!$A$3)</f>
        <v>Deck 1</v>
      </c>
      <c r="R277" s="80" t="b">
        <f t="array" ref="R277">IF(A277="","",IFERROR(OR(INDEX(Binders!$J$6:$J$30,MATCH(Q277,Binders!$I$6:$I$30,0))=TRUE(),UPPER(INDEX(Binders!$J$6:$J$30,MATCH(Q277,Binders!$I$6:$I$30,0))&amp;"")="TRUE"),FALSE()))</f>
        <v>1</v>
      </c>
    </row>
    <row r="278" ht="15.75" customHeight="1">
      <c r="A278" s="80" t="str">
        <f t="array" ref="A278">IF(INDEX('Deck 1'!$A:$Z,ROW()-250,'List Setup'!$D$3)="","",INDEX('Deck 1'!$A:$Z,ROW()-250,'List Setup'!$D$3))</f>
        <v>Ingenious Artillerist</v>
      </c>
      <c r="B278" s="80" t="str">
        <f t="array" ref="B278">IF(A278="","",IFERROR(INDEX('Binder Setup'!$B$2:$B$401,MIN(IF(ISNUMBER(SEARCH(CHAR(10)&amp;'Binder Setup'!$B$2:$B$401&amp;CHAR(10),$H278)),'List Setup'!$Q$2:$Q$401,999),IF(ISNUMBER(SEARCH(CHAR(10)&amp;'Set Aliases'!$A$2:$A$501&amp;CHAR(10),$H278)),'Set Aliases'!$C$2:$C$501,999))),"(none)"))</f>
        <v>Commander Legends: Battle for Baldur's Gate</v>
      </c>
      <c r="C278" s="80" t="str">
        <f t="shared" si="1"/>
        <v>Commander Legends: Battle for Baldur's Gate</v>
      </c>
      <c r="D278" s="80" t="str">
        <f t="array" ref="D278">IF(A278="","",IF(ISLOGICAL(INDEX('Deck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78" s="80" t="str">
        <f t="shared" si="2"/>
        <v>Y</v>
      </c>
      <c r="F278" s="80">
        <f t="array" ref="F278">IF(A278="","",IF(ISNUMBER(J278),J278,IF(ISNUMBER(INDEX('Deck 1'!$A:$Z,ROW()-250,'List Setup'!$F$3)),INDEX('Deck 1'!$A:$Z,ROW()-250,'List Setup'!$F$3),0)))</f>
        <v>2.21</v>
      </c>
      <c r="G278" s="80" t="str">
        <f t="array" ref="G278">IF(A278="","",A278&amp;IF(N(INDEX('Deck 1'!$A:$Z,ROW()-250,'List Setup'!$C$3))&gt;1," (x"&amp;INDEX('Deck 1'!$A:$Z,ROW()-250,'List Setup'!$C$3)&amp;")","")&amp;IF(COUNTIF(Binders!$J$6:$J$30,TRUE())&gt;1," ["&amp;Q278&amp;"]",""))</f>
        <v>Ingenious Artillerist [Deck 1]</v>
      </c>
      <c r="H278" s="80" t="str">
        <f t="array" ref="H278">IF(A278="","",CHAR(10)&amp;INDEX('Deck 1'!$A:$Z,ROW()-250,'List Setup'!$E$3)&amp;CHAR(10))</f>
        <v>
Commander Legends: Battle for Baldur's Gate
</v>
      </c>
      <c r="I278" s="80" t="str">
        <f t="array" ref="I278">IF(OR(B278="",B278="(none)"),"",IF(ISNUMBER(SEARCH(CHAR(10)&amp;B278&amp;CHAR(10),H278)),B278,IFERROR(INDEX('Set Aliases'!$A$2:$A$501,MATCH(1,('Set Aliases'!$B$2:$B$501=B278)*ISNUMBER(SEARCH(CHAR(10)&amp;'Set Aliases'!$A$2:$A$501&amp;CHAR(10),H278)),0)),"")))</f>
        <v>Commander Legends: Battle for Baldur's Gate</v>
      </c>
      <c r="J278" s="80">
        <f t="array" ref="J278">IF(I278="","",IFERROR(VALUE(TRIM(MID(SUBSTITUTE(INDEX('Deck 1'!$A:$Z,ROW()-250,'List Setup'!$G$3),CHAR(10),REPT(" ",100)),((SEARCH(CHAR(10)&amp;I278&amp;CHAR(10),H278)-LEN(SUBSTITUTE(LEFT(H278,SEARCH(CHAR(10)&amp;I278&amp;CHAR(10),H278)),CHAR(10),"")))-1)*100+1,100))),""))</f>
        <v>2.21</v>
      </c>
      <c r="K278" s="80">
        <f t="array" ref="K278">IF(A278="","",IF(ISNUMBER(SEARCH("Land",LEFT(IFERROR(INDEX('Deck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4</v>
      </c>
      <c r="L278" s="80" t="str">
        <f t="shared" si="3"/>
        <v>Red</v>
      </c>
      <c r="M278" s="80" t="str">
        <f>IF(A278="","",IF(AND(E278="Y",B278='Use at Shop'!$B$4),K278*10000000000+(MAX(0,MIN(26,CODE(MID(UPPER(A278)&amp;"    ",1,1))-64))*19683+MAX(0,MIN(26,CODE(MID(UPPER(A278)&amp;"    ",2,1))-64))*729+MAX(0,MIN(26,CODE(MID(UPPER(A278)&amp;"    ",3,1))-64))*27+MAX(0,MIN(26,CODE(MID(UPPER(A278)&amp;"    ",4,1))-64))*1)*10000+ROW(),""))</f>
        <v/>
      </c>
      <c r="N278" s="80">
        <f t="shared" si="5"/>
        <v>28</v>
      </c>
      <c r="O278" s="83" t="str">
        <f t="array" ref="O278">IF(A278="","",IFERROR(INDEX('Deck 1'!$A:$Z,ROW()-250,'List Setup'!$J$3)&amp;"",""))</f>
        <v>https://cards.scryfall.io/small/front/1/d/1d8dd6c3-3699-4dd1-a019-fdb569eaf722.jpg?1783922736</v>
      </c>
      <c r="P278" s="2"/>
      <c r="Q278" s="80" t="str">
        <f>IF(A278="","",'List Setup'!$A$3)</f>
        <v>Deck 1</v>
      </c>
      <c r="R278" s="80" t="b">
        <f t="array" ref="R278">IF(A278="","",IFERROR(OR(INDEX(Binders!$J$6:$J$30,MATCH(Q278,Binders!$I$6:$I$30,0))=TRUE(),UPPER(INDEX(Binders!$J$6:$J$30,MATCH(Q278,Binders!$I$6:$I$30,0))&amp;"")="TRUE"),FALSE()))</f>
        <v>1</v>
      </c>
    </row>
    <row r="279" ht="15.75" customHeight="1">
      <c r="A279" s="80" t="str">
        <f t="array" ref="A279">IF(INDEX('Deck 1'!$A:$Z,ROW()-250,'List Setup'!$D$3)="","",INDEX('Deck 1'!$A:$Z,ROW()-250,'List Setup'!$D$3))</f>
        <v>Interdimensional Web Watch</v>
      </c>
      <c r="B279" s="80" t="str">
        <f t="array" ref="B279">IF(A279="","",IFERROR(INDEX('Binder Setup'!$B$2:$B$401,MIN(IF(ISNUMBER(SEARCH(CHAR(10)&amp;'Binder Setup'!$B$2:$B$401&amp;CHAR(10),$H279)),'List Setup'!$Q$2:$Q$401,999),IF(ISNUMBER(SEARCH(CHAR(10)&amp;'Set Aliases'!$A$2:$A$501&amp;CHAR(10),$H279)),'Set Aliases'!$C$2:$C$501,999))),"(none)"))</f>
        <v>Marvel's Spider-Man</v>
      </c>
      <c r="C279" s="80" t="str">
        <f t="shared" si="1"/>
        <v>Marvel's Spider-Man Promos | Marvel's Spider-Man</v>
      </c>
      <c r="D279" s="80" t="str">
        <f t="array" ref="D279">IF(A279="","",IF(ISLOGICAL(INDEX('Deck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79" s="80" t="str">
        <f t="shared" si="2"/>
        <v>Y</v>
      </c>
      <c r="F279" s="80">
        <f t="array" ref="F279">IF(A279="","",IF(ISNUMBER(J279),J279,IF(ISNUMBER(INDEX('Deck 1'!$A:$Z,ROW()-250,'List Setup'!$F$3)),INDEX('Deck 1'!$A:$Z,ROW()-250,'List Setup'!$F$3),0)))</f>
        <v>0.35</v>
      </c>
      <c r="G279" s="80" t="str">
        <f t="array" ref="G279">IF(A279="","",A279&amp;IF(N(INDEX('Deck 1'!$A:$Z,ROW()-250,'List Setup'!$C$3))&gt;1," (x"&amp;INDEX('Deck 1'!$A:$Z,ROW()-250,'List Setup'!$C$3)&amp;")","")&amp;IF(COUNTIF(Binders!$J$6:$J$30,TRUE())&gt;1," ["&amp;Q279&amp;"]",""))</f>
        <v>Interdimensional Web Watch [Deck 1]</v>
      </c>
      <c r="H279" s="80" t="str">
        <f t="array" ref="H279">IF(A279="","",CHAR(10)&amp;INDEX('Deck 1'!$A:$Z,ROW()-250,'List Setup'!$E$3)&amp;CHAR(10))</f>
        <v>
Marvel's Spider-Man Promos
Marvel's Spider-Man
</v>
      </c>
      <c r="I279" s="80" t="str">
        <f t="array" ref="I279">IF(OR(B279="",B279="(none)"),"",IF(ISNUMBER(SEARCH(CHAR(10)&amp;B279&amp;CHAR(10),H279)),B279,IFERROR(INDEX('Set Aliases'!$A$2:$A$501,MATCH(1,('Set Aliases'!$B$2:$B$501=B279)*ISNUMBER(SEARCH(CHAR(10)&amp;'Set Aliases'!$A$2:$A$501&amp;CHAR(10),H279)),0)),"")))</f>
        <v>Marvel's Spider-Man</v>
      </c>
      <c r="J279" s="80">
        <f t="array" ref="J279">IF(I279="","",IFERROR(VALUE(TRIM(MID(SUBSTITUTE(INDEX('Deck 1'!$A:$Z,ROW()-250,'List Setup'!$G$3),CHAR(10),REPT(" ",100)),((SEARCH(CHAR(10)&amp;I279&amp;CHAR(10),H279)-LEN(SUBSTITUTE(LEFT(H279,SEARCH(CHAR(10)&amp;I279&amp;CHAR(10),H279)),CHAR(10),"")))-1)*100+1,100))),""))</f>
        <v>0.35</v>
      </c>
      <c r="K279" s="80">
        <f t="array" ref="K279">IF(A279="","",IF(ISNUMBER(SEARCH("Land",LEFT(IFERROR(INDEX('Deck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7</v>
      </c>
      <c r="L279" s="80" t="str">
        <f t="shared" si="3"/>
        <v>Colorless</v>
      </c>
      <c r="M279" s="80" t="str">
        <f>IF(A279="","",IF(AND(E279="Y",B279='Use at Shop'!$B$4),K279*10000000000+(MAX(0,MIN(26,CODE(MID(UPPER(A279)&amp;"    ",1,1))-64))*19683+MAX(0,MIN(26,CODE(MID(UPPER(A279)&amp;"    ",2,1))-64))*729+MAX(0,MIN(26,CODE(MID(UPPER(A279)&amp;"    ",3,1))-64))*27+MAX(0,MIN(26,CODE(MID(UPPER(A279)&amp;"    ",4,1))-64))*1)*10000+ROW(),""))</f>
        <v/>
      </c>
      <c r="N279" s="80">
        <f t="shared" si="5"/>
        <v>29</v>
      </c>
      <c r="O279" s="83" t="str">
        <f t="array" ref="O279">IF(A279="","",IFERROR(INDEX('Deck 1'!$A:$Z,ROW()-250,'List Setup'!$J$3)&amp;"",""))</f>
        <v>https://cards.scryfall.io/small/front/8/7/87a8e112-e72f-413f-88a3-e7ce72c2ec53.jpg?1783905305</v>
      </c>
      <c r="P279" s="2"/>
      <c r="Q279" s="80" t="str">
        <f>IF(A279="","",'List Setup'!$A$3)</f>
        <v>Deck 1</v>
      </c>
      <c r="R279" s="80" t="b">
        <f t="array" ref="R279">IF(A279="","",IFERROR(OR(INDEX(Binders!$J$6:$J$30,MATCH(Q279,Binders!$I$6:$I$30,0))=TRUE(),UPPER(INDEX(Binders!$J$6:$J$30,MATCH(Q279,Binders!$I$6:$I$30,0))&amp;"")="TRUE"),FALSE()))</f>
        <v>1</v>
      </c>
    </row>
    <row r="280" ht="15.75" customHeight="1">
      <c r="A280" s="80" t="str">
        <f t="array" ref="A280">IF(INDEX('Deck 1'!$A:$Z,ROW()-250,'List Setup'!$D$3)="","",INDEX('Deck 1'!$A:$Z,ROW()-250,'List Setup'!$D$3))</f>
        <v>Invasion of Kaldheim // Pyre of the World Tree</v>
      </c>
      <c r="B280" s="80" t="str">
        <f t="array" ref="B280">IF(A280="","",IFERROR(INDEX('Binder Setup'!$B$2:$B$401,MIN(IF(ISNUMBER(SEARCH(CHAR(10)&amp;'Binder Setup'!$B$2:$B$401&amp;CHAR(10),$H280)),'List Setup'!$Q$2:$Q$401,999),IF(ISNUMBER(SEARCH(CHAR(10)&amp;'Set Aliases'!$A$2:$A$501&amp;CHAR(10),$H280)),'Set Aliases'!$C$2:$C$501,999))),"(none)"))</f>
        <v>March of the Machine</v>
      </c>
      <c r="C280" s="80" t="str">
        <f t="shared" si="1"/>
        <v>March of the Machine Promos | March of the Machine</v>
      </c>
      <c r="D280" s="80" t="str">
        <f t="array" ref="D280">IF(A280="","",IF(ISLOGICAL(INDEX('Deck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80" s="80" t="str">
        <f t="shared" si="2"/>
        <v>Y</v>
      </c>
      <c r="F280" s="80">
        <f t="array" ref="F280">IF(A280="","",IF(ISNUMBER(J280),J280,IF(ISNUMBER(INDEX('Deck 1'!$A:$Z,ROW()-250,'List Setup'!$F$3)),INDEX('Deck 1'!$A:$Z,ROW()-250,'List Setup'!$F$3),0)))</f>
        <v>0.39</v>
      </c>
      <c r="G280" s="80" t="str">
        <f t="array" ref="G280">IF(A280="","",A280&amp;IF(N(INDEX('Deck 1'!$A:$Z,ROW()-250,'List Setup'!$C$3))&gt;1," (x"&amp;INDEX('Deck 1'!$A:$Z,ROW()-250,'List Setup'!$C$3)&amp;")","")&amp;IF(COUNTIF(Binders!$J$6:$J$30,TRUE())&gt;1," ["&amp;Q280&amp;"]",""))</f>
        <v>Invasion of Kaldheim // Pyre of the World Tree [Deck 1]</v>
      </c>
      <c r="H280" s="80" t="str">
        <f t="array" ref="H280">IF(A280="","",CHAR(10)&amp;INDEX('Deck 1'!$A:$Z,ROW()-250,'List Setup'!$E$3)&amp;CHAR(10))</f>
        <v>
March of the Machine Promos
March of the Machine
</v>
      </c>
      <c r="I280" s="80" t="str">
        <f t="array" ref="I280">IF(OR(B280="",B280="(none)"),"",IF(ISNUMBER(SEARCH(CHAR(10)&amp;B280&amp;CHAR(10),H280)),B280,IFERROR(INDEX('Set Aliases'!$A$2:$A$501,MATCH(1,('Set Aliases'!$B$2:$B$501=B280)*ISNUMBER(SEARCH(CHAR(10)&amp;'Set Aliases'!$A$2:$A$501&amp;CHAR(10),H280)),0)),"")))</f>
        <v>March of the Machine</v>
      </c>
      <c r="J280" s="80">
        <f t="array" ref="J280">IF(I280="","",IFERROR(VALUE(TRIM(MID(SUBSTITUTE(INDEX('Deck 1'!$A:$Z,ROW()-250,'List Setup'!$G$3),CHAR(10),REPT(" ",100)),((SEARCH(CHAR(10)&amp;I280&amp;CHAR(10),H280)-LEN(SUBSTITUTE(LEFT(H280,SEARCH(CHAR(10)&amp;I280&amp;CHAR(10),H280)),CHAR(10),"")))-1)*100+1,100))),""))</f>
        <v>0.39</v>
      </c>
      <c r="K280" s="80">
        <f t="array" ref="K280">IF(A280="","",IF(ISNUMBER(SEARCH("Land",LEFT(IFERROR(INDEX('Deck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4</v>
      </c>
      <c r="L280" s="80" t="str">
        <f t="shared" si="3"/>
        <v>Red</v>
      </c>
      <c r="M280" s="80" t="str">
        <f>IF(A280="","",IF(AND(E280="Y",B280='Use at Shop'!$B$4),K280*10000000000+(MAX(0,MIN(26,CODE(MID(UPPER(A280)&amp;"    ",1,1))-64))*19683+MAX(0,MIN(26,CODE(MID(UPPER(A280)&amp;"    ",2,1))-64))*729+MAX(0,MIN(26,CODE(MID(UPPER(A280)&amp;"    ",3,1))-64))*27+MAX(0,MIN(26,CODE(MID(UPPER(A280)&amp;"    ",4,1))-64))*1)*10000+ROW(),""))</f>
        <v/>
      </c>
      <c r="N280" s="80">
        <f t="shared" si="5"/>
        <v>30</v>
      </c>
      <c r="O280" s="83" t="str">
        <f t="array" ref="O280">IF(A280="","",IFERROR(INDEX('Deck 1'!$A:$Z,ROW()-250,'List Setup'!$J$3)&amp;"",""))</f>
        <v>https://cards.scryfall.io/small/front/f/7/f7cedd62-efc8-464d-8387-220bb55e07e9.jpg?1783916996</v>
      </c>
      <c r="P280" s="2"/>
      <c r="Q280" s="80" t="str">
        <f>IF(A280="","",'List Setup'!$A$3)</f>
        <v>Deck 1</v>
      </c>
      <c r="R280" s="80" t="b">
        <f t="array" ref="R280">IF(A280="","",IFERROR(OR(INDEX(Binders!$J$6:$J$30,MATCH(Q280,Binders!$I$6:$I$30,0))=TRUE(),UPPER(INDEX(Binders!$J$6:$J$30,MATCH(Q280,Binders!$I$6:$I$30,0))&amp;"")="TRUE"),FALSE()))</f>
        <v>1</v>
      </c>
    </row>
    <row r="281" ht="15.75" customHeight="1">
      <c r="A281" s="80" t="str">
        <f t="array" ref="A281">IF(INDEX('Deck 1'!$A:$Z,ROW()-250,'List Setup'!$D$3)="","",INDEX('Deck 1'!$A:$Z,ROW()-250,'List Setup'!$D$3))</f>
        <v>Jor Kadeen, the Prevailer</v>
      </c>
      <c r="B281" s="80" t="str">
        <f t="array" ref="B281">IF(A281="","",IFERROR(INDEX('Binder Setup'!$B$2:$B$401,MIN(IF(ISNUMBER(SEARCH(CHAR(10)&amp;'Binder Setup'!$B$2:$B$401&amp;CHAR(10),$H281)),'List Setup'!$Q$2:$Q$401,999),IF(ISNUMBER(SEARCH(CHAR(10)&amp;'Set Aliases'!$A$2:$A$501&amp;CHAR(10),$H281)),'Set Aliases'!$C$2:$C$501,999))),"(none)"))</f>
        <v>Commander 2021</v>
      </c>
      <c r="C281" s="80" t="str">
        <f t="shared" si="1"/>
        <v>Phyrexia: All Will Be One Commander | Commander 2021 | Commander 2016 | New Phyrexia</v>
      </c>
      <c r="D281" s="80" t="str">
        <f t="array" ref="D281">IF(A281="","",IF(ISLOGICAL(INDEX('Deck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81" s="80" t="str">
        <f t="shared" si="2"/>
        <v>Y</v>
      </c>
      <c r="F281" s="80">
        <f t="array" ref="F281">IF(A281="","",IF(ISNUMBER(J281),J281,IF(ISNUMBER(INDEX('Deck 1'!$A:$Z,ROW()-250,'List Setup'!$F$3)),INDEX('Deck 1'!$A:$Z,ROW()-250,'List Setup'!$F$3),0)))</f>
        <v>0.33</v>
      </c>
      <c r="G281" s="80" t="str">
        <f t="array" ref="G281">IF(A281="","",A281&amp;IF(N(INDEX('Deck 1'!$A:$Z,ROW()-250,'List Setup'!$C$3))&gt;1," (x"&amp;INDEX('Deck 1'!$A:$Z,ROW()-250,'List Setup'!$C$3)&amp;")","")&amp;IF(COUNTIF(Binders!$J$6:$J$30,TRUE())&gt;1," ["&amp;Q281&amp;"]",""))</f>
        <v>Jor Kadeen, the Prevailer [Deck 1]</v>
      </c>
      <c r="H281" s="80" t="str">
        <f t="array" ref="H281">IF(A281="","",CHAR(10)&amp;INDEX('Deck 1'!$A:$Z,ROW()-250,'List Setup'!$E$3)&amp;CHAR(10))</f>
        <v>
Phyrexia: All Will Be One Commander
Commander 2021
Commander 2016
New Phyrexia
</v>
      </c>
      <c r="I281" s="80" t="str">
        <f t="array" ref="I281">IF(OR(B281="",B281="(none)"),"",IF(ISNUMBER(SEARCH(CHAR(10)&amp;B281&amp;CHAR(10),H281)),B281,IFERROR(INDEX('Set Aliases'!$A$2:$A$501,MATCH(1,('Set Aliases'!$B$2:$B$501=B281)*ISNUMBER(SEARCH(CHAR(10)&amp;'Set Aliases'!$A$2:$A$501&amp;CHAR(10),H281)),0)),"")))</f>
        <v>Commander 2021</v>
      </c>
      <c r="J281" s="80">
        <f t="array" ref="J281">IF(I281="","",IFERROR(VALUE(TRIM(MID(SUBSTITUTE(INDEX('Deck 1'!$A:$Z,ROW()-250,'List Setup'!$G$3),CHAR(10),REPT(" ",100)),((SEARCH(CHAR(10)&amp;I281&amp;CHAR(10),H281)-LEN(SUBSTITUTE(LEFT(H281,SEARCH(CHAR(10)&amp;I281&amp;CHAR(10),H281)),CHAR(10),"")))-1)*100+1,100))),""))</f>
        <v>0.33</v>
      </c>
      <c r="K281" s="80">
        <f t="array" ref="K281">IF(A281="","",IF(ISNUMBER(SEARCH("Land",LEFT(IFERROR(INDEX('Deck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6</v>
      </c>
      <c r="L281" s="80" t="str">
        <f t="shared" si="3"/>
        <v>Multicolor</v>
      </c>
      <c r="M281" s="80" t="str">
        <f>IF(A281="","",IF(AND(E281="Y",B281='Use at Shop'!$B$4),K281*10000000000+(MAX(0,MIN(26,CODE(MID(UPPER(A281)&amp;"    ",1,1))-64))*19683+MAX(0,MIN(26,CODE(MID(UPPER(A281)&amp;"    ",2,1))-64))*729+MAX(0,MIN(26,CODE(MID(UPPER(A281)&amp;"    ",3,1))-64))*27+MAX(0,MIN(26,CODE(MID(UPPER(A281)&amp;"    ",4,1))-64))*1)*10000+ROW(),""))</f>
        <v/>
      </c>
      <c r="N281" s="80">
        <f t="shared" si="5"/>
        <v>31</v>
      </c>
      <c r="O281" s="83" t="str">
        <f t="array" ref="O281">IF(A281="","",IFERROR(INDEX('Deck 1'!$A:$Z,ROW()-250,'List Setup'!$J$3)&amp;"",""))</f>
        <v>https://cards.scryfall.io/small/front/5/7/576d86b5-2541-4ebc-8992-73248af7c805.jpg?1783927522</v>
      </c>
      <c r="P281" s="2"/>
      <c r="Q281" s="80" t="str">
        <f>IF(A281="","",'List Setup'!$A$3)</f>
        <v>Deck 1</v>
      </c>
      <c r="R281" s="80" t="b">
        <f t="array" ref="R281">IF(A281="","",IFERROR(OR(INDEX(Binders!$J$6:$J$30,MATCH(Q281,Binders!$I$6:$I$30,0))=TRUE(),UPPER(INDEX(Binders!$J$6:$J$30,MATCH(Q281,Binders!$I$6:$I$30,0))&amp;"")="TRUE"),FALSE()))</f>
        <v>1</v>
      </c>
    </row>
    <row r="282" ht="15.75" customHeight="1">
      <c r="A282" s="80" t="str">
        <f t="array" ref="A282">IF(INDEX('Deck 1'!$A:$Z,ROW()-250,'List Setup'!$D$3)="","",INDEX('Deck 1'!$A:$Z,ROW()-250,'List Setup'!$D$3))</f>
        <v>Laelia, the Blade Reforged</v>
      </c>
      <c r="B282" s="80" t="str">
        <f t="array" ref="B282">IF(A282="","",IFERROR(INDEX('Binder Setup'!$B$2:$B$401,MIN(IF(ISNUMBER(SEARCH(CHAR(10)&amp;'Binder Setup'!$B$2:$B$401&amp;CHAR(10),$H282)),'List Setup'!$Q$2:$Q$401,999),IF(ISNUMBER(SEARCH(CHAR(10)&amp;'Set Aliases'!$A$2:$A$501&amp;CHAR(10),$H282)),'Set Aliases'!$C$2:$C$501,999))),"(none)"))</f>
        <v>Secrets of Strixhaven Commander</v>
      </c>
      <c r="C282" s="80" t="str">
        <f t="shared" si="1"/>
        <v>Secrets of Strixhaven Commander | Modern Horizons 3 | Commander Legends: Battle for Baldur's Gate | Commander 2021</v>
      </c>
      <c r="D282" s="80" t="str">
        <f t="array" ref="D282">IF(A282="","",IF(ISLOGICAL(INDEX('Deck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82" s="80" t="str">
        <f t="shared" si="2"/>
        <v>Y</v>
      </c>
      <c r="F282" s="80">
        <f t="array" ref="F282">IF(A282="","",IF(ISNUMBER(J282),J282,IF(ISNUMBER(INDEX('Deck 1'!$A:$Z,ROW()-250,'List Setup'!$F$3)),INDEX('Deck 1'!$A:$Z,ROW()-250,'List Setup'!$F$3),0)))</f>
        <v>0.28</v>
      </c>
      <c r="G282" s="80" t="str">
        <f t="array" ref="G282">IF(A282="","",A282&amp;IF(N(INDEX('Deck 1'!$A:$Z,ROW()-250,'List Setup'!$C$3))&gt;1," (x"&amp;INDEX('Deck 1'!$A:$Z,ROW()-250,'List Setup'!$C$3)&amp;")","")&amp;IF(COUNTIF(Binders!$J$6:$J$30,TRUE())&gt;1," ["&amp;Q282&amp;"]",""))</f>
        <v>Laelia, the Blade Reforged [Deck 1]</v>
      </c>
      <c r="H282" s="80" t="str">
        <f t="array" ref="H282">IF(A282="","",CHAR(10)&amp;INDEX('Deck 1'!$A:$Z,ROW()-250,'List Setup'!$E$3)&amp;CHAR(10))</f>
        <v>
Secrets of Strixhaven Commander
Modern Horizons 3
Commander Legends: Battle for Baldur's Gate
Commander 2021
</v>
      </c>
      <c r="I282" s="80" t="str">
        <f t="array" ref="I282">IF(OR(B282="",B282="(none)"),"",IF(ISNUMBER(SEARCH(CHAR(10)&amp;B282&amp;CHAR(10),H282)),B282,IFERROR(INDEX('Set Aliases'!$A$2:$A$501,MATCH(1,('Set Aliases'!$B$2:$B$501=B282)*ISNUMBER(SEARCH(CHAR(10)&amp;'Set Aliases'!$A$2:$A$501&amp;CHAR(10),H282)),0)),"")))</f>
        <v>Secrets of Strixhaven Commander</v>
      </c>
      <c r="J282" s="80">
        <f t="array" ref="J282">IF(I282="","",IFERROR(VALUE(TRIM(MID(SUBSTITUTE(INDEX('Deck 1'!$A:$Z,ROW()-250,'List Setup'!$G$3),CHAR(10),REPT(" ",100)),((SEARCH(CHAR(10)&amp;I282&amp;CHAR(10),H282)-LEN(SUBSTITUTE(LEFT(H282,SEARCH(CHAR(10)&amp;I282&amp;CHAR(10),H282)),CHAR(10),"")))-1)*100+1,100))),""))</f>
        <v>0.28</v>
      </c>
      <c r="K282" s="80">
        <f t="array" ref="K282">IF(A282="","",IF(ISNUMBER(SEARCH("Land",LEFT(IFERROR(INDEX('Deck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4</v>
      </c>
      <c r="L282" s="80" t="str">
        <f t="shared" si="3"/>
        <v>Red</v>
      </c>
      <c r="M282" s="80" t="str">
        <f>IF(A282="","",IF(AND(E282="Y",B282='Use at Shop'!$B$4),K282*10000000000+(MAX(0,MIN(26,CODE(MID(UPPER(A282)&amp;"    ",1,1))-64))*19683+MAX(0,MIN(26,CODE(MID(UPPER(A282)&amp;"    ",2,1))-64))*729+MAX(0,MIN(26,CODE(MID(UPPER(A282)&amp;"    ",3,1))-64))*27+MAX(0,MIN(26,CODE(MID(UPPER(A282)&amp;"    ",4,1))-64))*1)*10000+ROW(),""))</f>
        <v/>
      </c>
      <c r="N282" s="80">
        <f t="shared" si="5"/>
        <v>32</v>
      </c>
      <c r="O282" s="83" t="str">
        <f t="array" ref="O282">IF(A282="","",IFERROR(INDEX('Deck 1'!$A:$Z,ROW()-250,'List Setup'!$J$3)&amp;"",""))</f>
        <v>https://cards.scryfall.io/small/front/2/c/2cb16354-1211-4230-90e2-4858ba68f348.jpg?1783903774</v>
      </c>
      <c r="P282" s="2"/>
      <c r="Q282" s="80" t="str">
        <f>IF(A282="","",'List Setup'!$A$3)</f>
        <v>Deck 1</v>
      </c>
      <c r="R282" s="80" t="b">
        <f t="array" ref="R282">IF(A282="","",IFERROR(OR(INDEX(Binders!$J$6:$J$30,MATCH(Q282,Binders!$I$6:$I$30,0))=TRUE(),UPPER(INDEX(Binders!$J$6:$J$30,MATCH(Q282,Binders!$I$6:$I$30,0))&amp;"")="TRUE"),FALSE()))</f>
        <v>1</v>
      </c>
    </row>
    <row r="283" ht="15.75" customHeight="1">
      <c r="A283" s="80" t="str">
        <f t="array" ref="A283">IF(INDEX('Deck 1'!$A:$Z,ROW()-250,'List Setup'!$D$3)="","",INDEX('Deck 1'!$A:$Z,ROW()-250,'List Setup'!$D$3))</f>
        <v>Long-Range Sensor</v>
      </c>
      <c r="B283" s="80" t="str">
        <f t="array" ref="B283">IF(A283="","",IFERROR(INDEX('Binder Setup'!$B$2:$B$401,MIN(IF(ISNUMBER(SEARCH(CHAR(10)&amp;'Binder Setup'!$B$2:$B$401&amp;CHAR(10),$H283)),'List Setup'!$Q$2:$Q$401,999),IF(ISNUMBER(SEARCH(CHAR(10)&amp;'Set Aliases'!$A$2:$A$501&amp;CHAR(10),$H283)),'Set Aliases'!$C$2:$C$501,999))),"(none)"))</f>
        <v>Edge of Eternities Commander</v>
      </c>
      <c r="C283" s="80" t="str">
        <f t="shared" si="1"/>
        <v>Edge of Eternities Commander</v>
      </c>
      <c r="D283" s="80" t="str">
        <f t="array" ref="D283">IF(A283="","",IF(ISLOGICAL(INDEX('Deck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83" s="80" t="str">
        <f t="shared" si="2"/>
        <v>Y</v>
      </c>
      <c r="F283" s="80">
        <f t="array" ref="F283">IF(A283="","",IF(ISNUMBER(J283),J283,IF(ISNUMBER(INDEX('Deck 1'!$A:$Z,ROW()-250,'List Setup'!$F$3)),INDEX('Deck 1'!$A:$Z,ROW()-250,'List Setup'!$F$3),0)))</f>
        <v>0.28</v>
      </c>
      <c r="G283" s="80" t="str">
        <f t="array" ref="G283">IF(A283="","",A283&amp;IF(N(INDEX('Deck 1'!$A:$Z,ROW()-250,'List Setup'!$C$3))&gt;1," (x"&amp;INDEX('Deck 1'!$A:$Z,ROW()-250,'List Setup'!$C$3)&amp;")","")&amp;IF(COUNTIF(Binders!$J$6:$J$30,TRUE())&gt;1," ["&amp;Q283&amp;"]",""))</f>
        <v>Long-Range Sensor [Deck 1]</v>
      </c>
      <c r="H283" s="80" t="str">
        <f t="array" ref="H283">IF(A283="","",CHAR(10)&amp;INDEX('Deck 1'!$A:$Z,ROW()-250,'List Setup'!$E$3)&amp;CHAR(10))</f>
        <v>
Edge of Eternities Commander
</v>
      </c>
      <c r="I283" s="80" t="str">
        <f t="array" ref="I283">IF(OR(B283="",B283="(none)"),"",IF(ISNUMBER(SEARCH(CHAR(10)&amp;B283&amp;CHAR(10),H283)),B283,IFERROR(INDEX('Set Aliases'!$A$2:$A$501,MATCH(1,('Set Aliases'!$B$2:$B$501=B283)*ISNUMBER(SEARCH(CHAR(10)&amp;'Set Aliases'!$A$2:$A$501&amp;CHAR(10),H283)),0)),"")))</f>
        <v>Edge of Eternities Commander</v>
      </c>
      <c r="J283" s="80">
        <f t="array" ref="J283">IF(I283="","",IFERROR(VALUE(TRIM(MID(SUBSTITUTE(INDEX('Deck 1'!$A:$Z,ROW()-250,'List Setup'!$G$3),CHAR(10),REPT(" ",100)),((SEARCH(CHAR(10)&amp;I283&amp;CHAR(10),H283)-LEN(SUBSTITUTE(LEFT(H283,SEARCH(CHAR(10)&amp;I283&amp;CHAR(10),H283)),CHAR(10),"")))-1)*100+1,100))),""))</f>
        <v>0.28</v>
      </c>
      <c r="K283" s="80">
        <f t="array" ref="K283">IF(A283="","",IF(ISNUMBER(SEARCH("Land",LEFT(IFERROR(INDEX('Deck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4</v>
      </c>
      <c r="L283" s="80" t="str">
        <f t="shared" si="3"/>
        <v>Red</v>
      </c>
      <c r="M283" s="80" t="str">
        <f>IF(A283="","",IF(AND(E283="Y",B283='Use at Shop'!$B$4),K283*10000000000+(MAX(0,MIN(26,CODE(MID(UPPER(A283)&amp;"    ",1,1))-64))*19683+MAX(0,MIN(26,CODE(MID(UPPER(A283)&amp;"    ",2,1))-64))*729+MAX(0,MIN(26,CODE(MID(UPPER(A283)&amp;"    ",3,1))-64))*27+MAX(0,MIN(26,CODE(MID(UPPER(A283)&amp;"    ",4,1))-64))*1)*10000+ROW(),""))</f>
        <v/>
      </c>
      <c r="N283" s="80">
        <f t="shared" si="5"/>
        <v>33</v>
      </c>
      <c r="O283" s="83" t="str">
        <f t="array" ref="O283">IF(A283="","",IFERROR(INDEX('Deck 1'!$A:$Z,ROW()-250,'List Setup'!$J$3)&amp;"",""))</f>
        <v>https://cards.scryfall.io/small/front/7/b/7bc56147-9920-401d-8e4e-93d497e8b67a.jpg?1783906066</v>
      </c>
      <c r="P283" s="2"/>
      <c r="Q283" s="80" t="str">
        <f>IF(A283="","",'List Setup'!$A$3)</f>
        <v>Deck 1</v>
      </c>
      <c r="R283" s="80" t="b">
        <f t="array" ref="R283">IF(A283="","",IFERROR(OR(INDEX(Binders!$J$6:$J$30,MATCH(Q283,Binders!$I$6:$I$30,0))=TRUE(),UPPER(INDEX(Binders!$J$6:$J$30,MATCH(Q283,Binders!$I$6:$I$30,0))&amp;"")="TRUE"),FALSE()))</f>
        <v>1</v>
      </c>
    </row>
    <row r="284" ht="15.75" customHeight="1">
      <c r="A284" s="80" t="str">
        <f t="array" ref="A284">IF(INDEX('Deck 1'!$A:$Z,ROW()-250,'List Setup'!$D$3)="","",INDEX('Deck 1'!$A:$Z,ROW()-250,'List Setup'!$D$3))</f>
        <v>Losheel, Clockwork Scholar</v>
      </c>
      <c r="B284" s="80" t="str">
        <f t="array" ref="B284">IF(A284="","",IFERROR(INDEX('Binder Setup'!$B$2:$B$401,MIN(IF(ISNUMBER(SEARCH(CHAR(10)&amp;'Binder Setup'!$B$2:$B$401&amp;CHAR(10),$H284)),'List Setup'!$Q$2:$Q$401,999),IF(ISNUMBER(SEARCH(CHAR(10)&amp;'Set Aliases'!$A$2:$A$501&amp;CHAR(10),$H284)),'Set Aliases'!$C$2:$C$501,999))),"(none)"))</f>
        <v>Commander Masters</v>
      </c>
      <c r="C284" s="80" t="str">
        <f t="shared" si="1"/>
        <v>Commander Masters | The Brothers' War Commander | Commander 2021</v>
      </c>
      <c r="D284" s="80" t="str">
        <f t="array" ref="D284">IF(A284="","",IF(ISLOGICAL(INDEX('Deck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84" s="80" t="str">
        <f t="shared" si="2"/>
        <v>Y</v>
      </c>
      <c r="F284" s="80">
        <f t="array" ref="F284">IF(A284="","",IF(ISNUMBER(J284),J284,IF(ISNUMBER(INDEX('Deck 1'!$A:$Z,ROW()-250,'List Setup'!$F$3)),INDEX('Deck 1'!$A:$Z,ROW()-250,'List Setup'!$F$3),0)))</f>
        <v>2.81</v>
      </c>
      <c r="G284" s="80" t="str">
        <f t="array" ref="G284">IF(A284="","",A284&amp;IF(N(INDEX('Deck 1'!$A:$Z,ROW()-250,'List Setup'!$C$3))&gt;1," (x"&amp;INDEX('Deck 1'!$A:$Z,ROW()-250,'List Setup'!$C$3)&amp;")","")&amp;IF(COUNTIF(Binders!$J$6:$J$30,TRUE())&gt;1," ["&amp;Q284&amp;"]",""))</f>
        <v>Losheel, Clockwork Scholar [Deck 1]</v>
      </c>
      <c r="H284" s="80" t="str">
        <f t="array" ref="H284">IF(A284="","",CHAR(10)&amp;INDEX('Deck 1'!$A:$Z,ROW()-250,'List Setup'!$E$3)&amp;CHAR(10))</f>
        <v>
Commander Masters
The Brothers' War Commander
Commander 2021
</v>
      </c>
      <c r="I284" s="80" t="str">
        <f t="array" ref="I284">IF(OR(B284="",B284="(none)"),"",IF(ISNUMBER(SEARCH(CHAR(10)&amp;B284&amp;CHAR(10),H284)),B284,IFERROR(INDEX('Set Aliases'!$A$2:$A$501,MATCH(1,('Set Aliases'!$B$2:$B$501=B284)*ISNUMBER(SEARCH(CHAR(10)&amp;'Set Aliases'!$A$2:$A$501&amp;CHAR(10),H284)),0)),"")))</f>
        <v>Commander Masters</v>
      </c>
      <c r="J284" s="80">
        <f t="array" ref="J284">IF(I284="","",IFERROR(VALUE(TRIM(MID(SUBSTITUTE(INDEX('Deck 1'!$A:$Z,ROW()-250,'List Setup'!$G$3),CHAR(10),REPT(" ",100)),((SEARCH(CHAR(10)&amp;I284&amp;CHAR(10),H284)-LEN(SUBSTITUTE(LEFT(H284,SEARCH(CHAR(10)&amp;I284&amp;CHAR(10),H284)),CHAR(10),"")))-1)*100+1,100))),""))</f>
        <v>2.81</v>
      </c>
      <c r="K284" s="80">
        <f t="array" ref="K284">IF(A284="","",IF(ISNUMBER(SEARCH("Land",LEFT(IFERROR(INDEX('Deck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1</v>
      </c>
      <c r="L284" s="80" t="str">
        <f t="shared" si="3"/>
        <v>White</v>
      </c>
      <c r="M284" s="80" t="str">
        <f>IF(A284="","",IF(AND(E284="Y",B284='Use at Shop'!$B$4),K284*10000000000+(MAX(0,MIN(26,CODE(MID(UPPER(A284)&amp;"    ",1,1))-64))*19683+MAX(0,MIN(26,CODE(MID(UPPER(A284)&amp;"    ",2,1))-64))*729+MAX(0,MIN(26,CODE(MID(UPPER(A284)&amp;"    ",3,1))-64))*27+MAX(0,MIN(26,CODE(MID(UPPER(A284)&amp;"    ",4,1))-64))*1)*10000+ROW(),""))</f>
        <v/>
      </c>
      <c r="N284" s="80">
        <f t="shared" si="5"/>
        <v>34</v>
      </c>
      <c r="O284" s="83" t="str">
        <f t="array" ref="O284">IF(A284="","",IFERROR(INDEX('Deck 1'!$A:$Z,ROW()-250,'List Setup'!$J$3)&amp;"",""))</f>
        <v>https://cards.scryfall.io/small/front/e/e/ee6b54de-8e79-4f60-b642-3d259bf74ea0.jpg?1783915719</v>
      </c>
      <c r="P284" s="2"/>
      <c r="Q284" s="80" t="str">
        <f>IF(A284="","",'List Setup'!$A$3)</f>
        <v>Deck 1</v>
      </c>
      <c r="R284" s="80" t="b">
        <f t="array" ref="R284">IF(A284="","",IFERROR(OR(INDEX(Binders!$J$6:$J$30,MATCH(Q284,Binders!$I$6:$I$30,0))=TRUE(),UPPER(INDEX(Binders!$J$6:$J$30,MATCH(Q284,Binders!$I$6:$I$30,0))&amp;"")="TRUE"),FALSE()))</f>
        <v>1</v>
      </c>
    </row>
    <row r="285" ht="15.75" customHeight="1">
      <c r="A285" s="80" t="str">
        <f t="array" ref="A285">IF(INDEX('Deck 1'!$A:$Z,ROW()-250,'List Setup'!$D$3)="","",INDEX('Deck 1'!$A:$Z,ROW()-250,'List Setup'!$D$3))</f>
        <v>Loyal Apprentice</v>
      </c>
      <c r="B285" s="80" t="str">
        <f t="array" ref="B285">IF(A285="","",IFERROR(INDEX('Binder Setup'!$B$2:$B$401,MIN(IF(ISNUMBER(SEARCH(CHAR(10)&amp;'Binder Setup'!$B$2:$B$401&amp;CHAR(10),$H285)),'List Setup'!$Q$2:$Q$401,999),IF(ISNUMBER(SEARCH(CHAR(10)&amp;'Set Aliases'!$A$2:$A$501&amp;CHAR(10),$H285)),'Set Aliases'!$C$2:$C$501,999))),"(none)"))</f>
        <v>Foundations</v>
      </c>
      <c r="C285" s="80" t="str">
        <f t="shared" si="1"/>
        <v>The List | Tarkir: Dragonstorm Commander | Aetherdrift Commander | Fallout | Commander Masters | Phyrexia: All Will Be One Commander | Forgotten Realms Commander | Commander 2018</v>
      </c>
      <c r="D285" s="80" t="str">
        <f t="array" ref="D285">IF(A285="","",IF(ISLOGICAL(INDEX('Deck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85" s="80" t="str">
        <f t="shared" si="2"/>
        <v>Y</v>
      </c>
      <c r="F285" s="80">
        <f t="array" ref="F285">IF(A285="","",IF(ISNUMBER(J285),J285,IF(ISNUMBER(INDEX('Deck 1'!$A:$Z,ROW()-250,'List Setup'!$F$3)),INDEX('Deck 1'!$A:$Z,ROW()-250,'List Setup'!$F$3),0)))</f>
        <v>0.37</v>
      </c>
      <c r="G285" s="80" t="str">
        <f t="array" ref="G285">IF(A285="","",A285&amp;IF(N(INDEX('Deck 1'!$A:$Z,ROW()-250,'List Setup'!$C$3))&gt;1," (x"&amp;INDEX('Deck 1'!$A:$Z,ROW()-250,'List Setup'!$C$3)&amp;")","")&amp;IF(COUNTIF(Binders!$J$6:$J$30,TRUE())&gt;1," ["&amp;Q285&amp;"]",""))</f>
        <v>Loyal Apprentice [Deck 1]</v>
      </c>
      <c r="H285" s="80" t="str">
        <f t="array" ref="H285">IF(A285="","",CHAR(10)&amp;INDEX('Deck 1'!$A:$Z,ROW()-250,'List Setup'!$E$3)&amp;CHAR(10))</f>
        <v>
The List
Tarkir: Dragonstorm Commander
Aetherdrift Commander
Fallout
Commander Masters
Phyrexia: All Will Be One Commander
Forgotten Realms Commander
Commander 2018
</v>
      </c>
      <c r="I285" s="80" t="str">
        <f t="array" ref="I285">IF(OR(B285="",B285="(none)"),"",IF(ISNUMBER(SEARCH(CHAR(10)&amp;B285&amp;CHAR(10),H285)),B285,IFERROR(INDEX('Set Aliases'!$A$2:$A$501,MATCH(1,('Set Aliases'!$B$2:$B$501=B285)*ISNUMBER(SEARCH(CHAR(10)&amp;'Set Aliases'!$A$2:$A$501&amp;CHAR(10),H285)),0)),"")))</f>
        <v>The List</v>
      </c>
      <c r="J285" s="80">
        <f t="array" ref="J285">IF(I285="","",IFERROR(VALUE(TRIM(MID(SUBSTITUTE(INDEX('Deck 1'!$A:$Z,ROW()-250,'List Setup'!$G$3),CHAR(10),REPT(" ",100)),((SEARCH(CHAR(10)&amp;I285&amp;CHAR(10),H285)-LEN(SUBSTITUTE(LEFT(H285,SEARCH(CHAR(10)&amp;I285&amp;CHAR(10),H285)),CHAR(10),"")))-1)*100+1,100))),""))</f>
        <v>0.37</v>
      </c>
      <c r="K285" s="80">
        <f t="array" ref="K285">IF(A285="","",IF(ISNUMBER(SEARCH("Land",LEFT(IFERROR(INDEX('Deck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4</v>
      </c>
      <c r="L285" s="80" t="str">
        <f t="shared" si="3"/>
        <v>Red</v>
      </c>
      <c r="M285" s="80">
        <f>IF(A285="","",IF(AND(E285="Y",B285='Use at Shop'!$B$4),K285*10000000000+(MAX(0,MIN(26,CODE(MID(UPPER(A285)&amp;"    ",1,1))-64))*19683+MAX(0,MIN(26,CODE(MID(UPPER(A285)&amp;"    ",2,1))-64))*729+MAX(0,MIN(26,CODE(MID(UPPER(A285)&amp;"    ",3,1))-64))*27+MAX(0,MIN(26,CODE(MID(UPPER(A285)&amp;"    ",4,1))-64))*1)*10000+ROW(),""))</f>
        <v>42478070285</v>
      </c>
      <c r="N285" s="80">
        <f t="shared" si="5"/>
        <v>35</v>
      </c>
      <c r="O285" s="83" t="str">
        <f t="array" ref="O285">IF(A285="","",IFERROR(INDEX('Deck 1'!$A:$Z,ROW()-250,'List Setup'!$J$3)&amp;"",""))</f>
        <v>https://cards.scryfall.io/small/front/d/4/d4d469ea-824b-4eff-82e8-2a0b9b4c0e2d.jpg?1783907066</v>
      </c>
      <c r="P285" s="2"/>
      <c r="Q285" s="80" t="str">
        <f>IF(A285="","",'List Setup'!$A$3)</f>
        <v>Deck 1</v>
      </c>
      <c r="R285" s="80" t="b">
        <f t="array" ref="R285">IF(A285="","",IFERROR(OR(INDEX(Binders!$J$6:$J$30,MATCH(Q285,Binders!$I$6:$I$30,0))=TRUE(),UPPER(INDEX(Binders!$J$6:$J$30,MATCH(Q285,Binders!$I$6:$I$30,0))&amp;"")="TRUE"),FALSE()))</f>
        <v>1</v>
      </c>
    </row>
    <row r="286" ht="15.75" customHeight="1">
      <c r="A286" s="80" t="str">
        <f t="array" ref="A286">IF(INDEX('Deck 1'!$A:$Z,ROW()-250,'List Setup'!$D$3)="","",INDEX('Deck 1'!$A:$Z,ROW()-250,'List Setup'!$D$3))</f>
        <v>Master Trinketeer</v>
      </c>
      <c r="B286" s="80" t="str">
        <f t="array" ref="B286">IF(A286="","",IFERROR(INDEX('Binder Setup'!$B$2:$B$401,MIN(IF(ISNUMBER(SEARCH(CHAR(10)&amp;'Binder Setup'!$B$2:$B$401&amp;CHAR(10),$H286)),'List Setup'!$Q$2:$Q$401,999),IF(ISNUMBER(SEARCH(CHAR(10)&amp;'Set Aliases'!$A$2:$A$501&amp;CHAR(10),$H286)),'Set Aliases'!$C$2:$C$501,999))),"(none)"))</f>
        <v>Kaladesh</v>
      </c>
      <c r="C286" s="80" t="str">
        <f t="shared" si="1"/>
        <v>Kaladesh Promos | Kaladesh</v>
      </c>
      <c r="D286" s="80" t="str">
        <f t="array" ref="D286">IF(A286="","",IF(ISLOGICAL(INDEX('Deck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86" s="80" t="str">
        <f t="shared" si="2"/>
        <v>Y</v>
      </c>
      <c r="F286" s="80">
        <f t="array" ref="F286">IF(A286="","",IF(ISNUMBER(J286),J286,IF(ISNUMBER(INDEX('Deck 1'!$A:$Z,ROW()-250,'List Setup'!$F$3)),INDEX('Deck 1'!$A:$Z,ROW()-250,'List Setup'!$F$3),0)))</f>
        <v>0.24</v>
      </c>
      <c r="G286" s="80" t="str">
        <f t="array" ref="G286">IF(A286="","",A286&amp;IF(N(INDEX('Deck 1'!$A:$Z,ROW()-250,'List Setup'!$C$3))&gt;1," (x"&amp;INDEX('Deck 1'!$A:$Z,ROW()-250,'List Setup'!$C$3)&amp;")","")&amp;IF(COUNTIF(Binders!$J$6:$J$30,TRUE())&gt;1," ["&amp;Q286&amp;"]",""))</f>
        <v>Master Trinketeer [Deck 1]</v>
      </c>
      <c r="H286" s="80" t="str">
        <f t="array" ref="H286">IF(A286="","",CHAR(10)&amp;INDEX('Deck 1'!$A:$Z,ROW()-250,'List Setup'!$E$3)&amp;CHAR(10))</f>
        <v>
Kaladesh Promos
Kaladesh
</v>
      </c>
      <c r="I286" s="80" t="str">
        <f t="array" ref="I286">IF(OR(B286="",B286="(none)"),"",IF(ISNUMBER(SEARCH(CHAR(10)&amp;B286&amp;CHAR(10),H286)),B286,IFERROR(INDEX('Set Aliases'!$A$2:$A$501,MATCH(1,('Set Aliases'!$B$2:$B$501=B286)*ISNUMBER(SEARCH(CHAR(10)&amp;'Set Aliases'!$A$2:$A$501&amp;CHAR(10),H286)),0)),"")))</f>
        <v>Kaladesh</v>
      </c>
      <c r="J286" s="80">
        <f t="array" ref="J286">IF(I286="","",IFERROR(VALUE(TRIM(MID(SUBSTITUTE(INDEX('Deck 1'!$A:$Z,ROW()-250,'List Setup'!$G$3),CHAR(10),REPT(" ",100)),((SEARCH(CHAR(10)&amp;I286&amp;CHAR(10),H286)-LEN(SUBSTITUTE(LEFT(H286,SEARCH(CHAR(10)&amp;I286&amp;CHAR(10),H286)),CHAR(10),"")))-1)*100+1,100))),""))</f>
        <v>0.24</v>
      </c>
      <c r="K286" s="80">
        <f t="array" ref="K286">IF(A286="","",IF(ISNUMBER(SEARCH("Land",LEFT(IFERROR(INDEX('Deck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1</v>
      </c>
      <c r="L286" s="80" t="str">
        <f t="shared" si="3"/>
        <v>White</v>
      </c>
      <c r="M286" s="80" t="str">
        <f>IF(A286="","",IF(AND(E286="Y",B286='Use at Shop'!$B$4),K286*10000000000+(MAX(0,MIN(26,CODE(MID(UPPER(A286)&amp;"    ",1,1))-64))*19683+MAX(0,MIN(26,CODE(MID(UPPER(A286)&amp;"    ",2,1))-64))*729+MAX(0,MIN(26,CODE(MID(UPPER(A286)&amp;"    ",3,1))-64))*27+MAX(0,MIN(26,CODE(MID(UPPER(A286)&amp;"    ",4,1))-64))*1)*10000+ROW(),""))</f>
        <v/>
      </c>
      <c r="N286" s="80">
        <f t="shared" si="5"/>
        <v>36</v>
      </c>
      <c r="O286" s="83" t="str">
        <f t="array" ref="O286">IF(A286="","",IFERROR(INDEX('Deck 1'!$A:$Z,ROW()-250,'List Setup'!$J$3)&amp;"",""))</f>
        <v>https://cards.scryfall.io/small/front/c/d/cdb6beb3-1669-4e7b-9c76-65424673eb36.jpg?1783937230</v>
      </c>
      <c r="P286" s="2"/>
      <c r="Q286" s="80" t="str">
        <f>IF(A286="","",'List Setup'!$A$3)</f>
        <v>Deck 1</v>
      </c>
      <c r="R286" s="80" t="b">
        <f t="array" ref="R286">IF(A286="","",IFERROR(OR(INDEX(Binders!$J$6:$J$30,MATCH(Q286,Binders!$I$6:$I$30,0))=TRUE(),UPPER(INDEX(Binders!$J$6:$J$30,MATCH(Q286,Binders!$I$6:$I$30,0))&amp;"")="TRUE"),FALSE()))</f>
        <v>1</v>
      </c>
    </row>
    <row r="287" ht="15.75" customHeight="1">
      <c r="A287" s="80" t="str">
        <f t="array" ref="A287">IF(INDEX('Deck 1'!$A:$Z,ROW()-250,'List Setup'!$D$3)="","",INDEX('Deck 1'!$A:$Z,ROW()-250,'List Setup'!$D$3))</f>
        <v>Molten Gatekeeper</v>
      </c>
      <c r="B287" s="80" t="str">
        <f t="array" ref="B287">IF(A287="","",IFERROR(INDEX('Binder Setup'!$B$2:$B$401,MIN(IF(ISNUMBER(SEARCH(CHAR(10)&amp;'Binder Setup'!$B$2:$B$401&amp;CHAR(10),$H287)),'List Setup'!$Q$2:$Q$401,999),IF(ISNUMBER(SEARCH(CHAR(10)&amp;'Set Aliases'!$A$2:$A$501&amp;CHAR(10),$H287)),'Set Aliases'!$C$2:$C$501,999))),"(none)"))</f>
        <v>Modern Horizons 3</v>
      </c>
      <c r="C287" s="80" t="str">
        <f t="shared" si="1"/>
        <v>Modern Horizons 3</v>
      </c>
      <c r="D287" s="80" t="str">
        <f t="array" ref="D287">IF(A287="","",IF(ISLOGICAL(INDEX('Deck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87" s="80" t="str">
        <f t="shared" si="2"/>
        <v>Y</v>
      </c>
      <c r="F287" s="80">
        <f t="array" ref="F287">IF(A287="","",IF(ISNUMBER(J287),J287,IF(ISNUMBER(INDEX('Deck 1'!$A:$Z,ROW()-250,'List Setup'!$F$3)),INDEX('Deck 1'!$A:$Z,ROW()-250,'List Setup'!$F$3),0)))</f>
        <v>0.22</v>
      </c>
      <c r="G287" s="80" t="str">
        <f t="array" ref="G287">IF(A287="","",A287&amp;IF(N(INDEX('Deck 1'!$A:$Z,ROW()-250,'List Setup'!$C$3))&gt;1," (x"&amp;INDEX('Deck 1'!$A:$Z,ROW()-250,'List Setup'!$C$3)&amp;")","")&amp;IF(COUNTIF(Binders!$J$6:$J$30,TRUE())&gt;1," ["&amp;Q287&amp;"]",""))</f>
        <v>Molten Gatekeeper [Deck 1]</v>
      </c>
      <c r="H287" s="80" t="str">
        <f t="array" ref="H287">IF(A287="","",CHAR(10)&amp;INDEX('Deck 1'!$A:$Z,ROW()-250,'List Setup'!$E$3)&amp;CHAR(10))</f>
        <v>
Modern Horizons 3
</v>
      </c>
      <c r="I287" s="80" t="str">
        <f t="array" ref="I287">IF(OR(B287="",B287="(none)"),"",IF(ISNUMBER(SEARCH(CHAR(10)&amp;B287&amp;CHAR(10),H287)),B287,IFERROR(INDEX('Set Aliases'!$A$2:$A$501,MATCH(1,('Set Aliases'!$B$2:$B$501=B287)*ISNUMBER(SEARCH(CHAR(10)&amp;'Set Aliases'!$A$2:$A$501&amp;CHAR(10),H287)),0)),"")))</f>
        <v>Modern Horizons 3</v>
      </c>
      <c r="J287" s="80">
        <f t="array" ref="J287">IF(I287="","",IFERROR(VALUE(TRIM(MID(SUBSTITUTE(INDEX('Deck 1'!$A:$Z,ROW()-250,'List Setup'!$G$3),CHAR(10),REPT(" ",100)),((SEARCH(CHAR(10)&amp;I287&amp;CHAR(10),H287)-LEN(SUBSTITUTE(LEFT(H287,SEARCH(CHAR(10)&amp;I287&amp;CHAR(10),H287)),CHAR(10),"")))-1)*100+1,100))),""))</f>
        <v>0.22</v>
      </c>
      <c r="K287" s="80">
        <f t="array" ref="K287">IF(A287="","",IF(ISNUMBER(SEARCH("Land",LEFT(IFERROR(INDEX('Deck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4</v>
      </c>
      <c r="L287" s="80" t="str">
        <f t="shared" si="3"/>
        <v>Red</v>
      </c>
      <c r="M287" s="80" t="str">
        <f>IF(A287="","",IF(AND(E287="Y",B287='Use at Shop'!$B$4),K287*10000000000+(MAX(0,MIN(26,CODE(MID(UPPER(A287)&amp;"    ",1,1))-64))*19683+MAX(0,MIN(26,CODE(MID(UPPER(A287)&amp;"    ",2,1))-64))*729+MAX(0,MIN(26,CODE(MID(UPPER(A287)&amp;"    ",3,1))-64))*27+MAX(0,MIN(26,CODE(MID(UPPER(A287)&amp;"    ",4,1))-64))*1)*10000+ROW(),""))</f>
        <v/>
      </c>
      <c r="N287" s="80">
        <f t="shared" si="5"/>
        <v>37</v>
      </c>
      <c r="O287" s="83" t="str">
        <f t="array" ref="O287">IF(A287="","",IFERROR(INDEX('Deck 1'!$A:$Z,ROW()-250,'List Setup'!$J$3)&amp;"",""))</f>
        <v>https://cards.scryfall.io/small/front/9/f/9f5ba065-2806-4e99-a330-168cfe76250f.jpg?1783911269</v>
      </c>
      <c r="P287" s="2"/>
      <c r="Q287" s="80" t="str">
        <f>IF(A287="","",'List Setup'!$A$3)</f>
        <v>Deck 1</v>
      </c>
      <c r="R287" s="80" t="b">
        <f t="array" ref="R287">IF(A287="","",IFERROR(OR(INDEX(Binders!$J$6:$J$30,MATCH(Q287,Binders!$I$6:$I$30,0))=TRUE(),UPPER(INDEX(Binders!$J$6:$J$30,MATCH(Q287,Binders!$I$6:$I$30,0))&amp;"")="TRUE"),FALSE()))</f>
        <v>1</v>
      </c>
    </row>
    <row r="288" ht="15.75" customHeight="1">
      <c r="A288" s="80" t="str">
        <f t="array" ref="A288">IF(INDEX('Deck 1'!$A:$Z,ROW()-250,'List Setup'!$D$3)="","",INDEX('Deck 1'!$A:$Z,ROW()-250,'List Setup'!$D$3))</f>
        <v>Mountain</v>
      </c>
      <c r="B288" s="80" t="str">
        <f t="array" ref="B288">IF(A288="","",IFERROR(INDEX('Binder Setup'!$B$2:$B$401,MIN(IF(ISNUMBER(SEARCH(CHAR(10)&amp;'Binder Setup'!$B$2:$B$401&amp;CHAR(10),$H288)),'List Setup'!$Q$2:$Q$401,999),IF(ISNUMBER(SEARCH(CHAR(10)&amp;'Set Aliases'!$A$2:$A$501&amp;CHAR(10),$H288)),'Set Aliases'!$C$2:$C$501,999))),"(none)"))</f>
        <v>(none)</v>
      </c>
      <c r="C288" s="80" t="str">
        <f t="shared" si="1"/>
        <v/>
      </c>
      <c r="D288" s="80" t="str">
        <f t="array" ref="D288">IF(A288="","",IF(ISLOGICAL(INDEX('Deck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88" s="80" t="str">
        <f t="shared" si="2"/>
        <v>Y</v>
      </c>
      <c r="F288" s="80">
        <f t="array" ref="F288">IF(A288="","",IF(ISNUMBER(J288),J288,IF(ISNUMBER(INDEX('Deck 1'!$A:$Z,ROW()-250,'List Setup'!$F$3)),INDEX('Deck 1'!$A:$Z,ROW()-250,'List Setup'!$F$3),0)))</f>
        <v>0</v>
      </c>
      <c r="G288" s="80" t="str">
        <f t="array" ref="G288">IF(A288="","",A288&amp;IF(N(INDEX('Deck 1'!$A:$Z,ROW()-250,'List Setup'!$C$3))&gt;1," (x"&amp;INDEX('Deck 1'!$A:$Z,ROW()-250,'List Setup'!$C$3)&amp;")","")&amp;IF(COUNTIF(Binders!$J$6:$J$30,TRUE())&gt;1," ["&amp;Q288&amp;"]",""))</f>
        <v>Mountain (x9) [Deck 1]</v>
      </c>
      <c r="H288" s="80" t="str">
        <f t="array" ref="H288">IF(A288="","",CHAR(10)&amp;INDEX('Deck 1'!$A:$Z,ROW()-250,'List Setup'!$E$3)&amp;CHAR(10))</f>
        <v>
</v>
      </c>
      <c r="I288" s="80" t="str">
        <f t="array" ref="I288">IF(OR(B288="",B288="(none)"),"",IF(ISNUMBER(SEARCH(CHAR(10)&amp;B288&amp;CHAR(10),H288)),B288,IFERROR(INDEX('Set Aliases'!$A$2:$A$501,MATCH(1,('Set Aliases'!$B$2:$B$501=B288)*ISNUMBER(SEARCH(CHAR(10)&amp;'Set Aliases'!$A$2:$A$501&amp;CHAR(10),H288)),0)),"")))</f>
        <v/>
      </c>
      <c r="J288" s="80" t="str">
        <f t="array" ref="J288">IF(I288="","",IFERROR(VALUE(TRIM(MID(SUBSTITUTE(INDEX('Deck 1'!$A:$Z,ROW()-250,'List Setup'!$G$3),CHAR(10),REPT(" ",100)),((SEARCH(CHAR(10)&amp;I288&amp;CHAR(10),H288)-LEN(SUBSTITUTE(LEFT(H288,SEARCH(CHAR(10)&amp;I288&amp;CHAR(10),H288)),CHAR(10),"")))-1)*100+1,100))),""))</f>
        <v/>
      </c>
      <c r="K288" s="80">
        <f t="array" ref="K288">IF(A288="","",IF(ISNUMBER(SEARCH("Land",LEFT(IFERROR(INDEX('Deck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8</v>
      </c>
      <c r="L288" s="80" t="str">
        <f t="shared" si="3"/>
        <v>Land</v>
      </c>
      <c r="M288" s="80" t="str">
        <f>IF(A288="","",IF(AND(E288="Y",B288='Use at Shop'!$B$4),K288*10000000000+(MAX(0,MIN(26,CODE(MID(UPPER(A288)&amp;"    ",1,1))-64))*19683+MAX(0,MIN(26,CODE(MID(UPPER(A288)&amp;"    ",2,1))-64))*729+MAX(0,MIN(26,CODE(MID(UPPER(A288)&amp;"    ",3,1))-64))*27+MAX(0,MIN(26,CODE(MID(UPPER(A288)&amp;"    ",4,1))-64))*1)*10000+ROW(),""))</f>
        <v/>
      </c>
      <c r="N288" s="80">
        <f t="shared" si="5"/>
        <v>38</v>
      </c>
      <c r="O288" s="83" t="str">
        <f t="array" ref="O288">IF(A288="","",IFERROR(INDEX('Deck 1'!$A:$Z,ROW()-250,'List Setup'!$J$3)&amp;"",""))</f>
        <v>https://cards.scryfall.io/small/front/8/5/85177bd7-6c50-48da-b692-ae5fe7bd357c.jpg?1791578439</v>
      </c>
      <c r="P288" s="2"/>
      <c r="Q288" s="80" t="str">
        <f>IF(A288="","",'List Setup'!$A$3)</f>
        <v>Deck 1</v>
      </c>
      <c r="R288" s="80" t="b">
        <f t="array" ref="R288">IF(A288="","",IFERROR(OR(INDEX(Binders!$J$6:$J$30,MATCH(Q288,Binders!$I$6:$I$30,0))=TRUE(),UPPER(INDEX(Binders!$J$6:$J$30,MATCH(Q288,Binders!$I$6:$I$30,0))&amp;"")="TRUE"),FALSE()))</f>
        <v>1</v>
      </c>
    </row>
    <row r="289" ht="15.75" customHeight="1">
      <c r="A289" s="80" t="str">
        <f t="array" ref="A289">IF(INDEX('Deck 1'!$A:$Z,ROW()-250,'List Setup'!$D$3)="","",INDEX('Deck 1'!$A:$Z,ROW()-250,'List Setup'!$D$3))</f>
        <v>Neyali, Suns' Vanguard</v>
      </c>
      <c r="B289" s="80" t="str">
        <f t="array" ref="B289">IF(A289="","",IFERROR(INDEX('Binder Setup'!$B$2:$B$401,MIN(IF(ISNUMBER(SEARCH(CHAR(10)&amp;'Binder Setup'!$B$2:$B$401&amp;CHAR(10),$H289)),'List Setup'!$Q$2:$Q$401,999),IF(ISNUMBER(SEARCH(CHAR(10)&amp;'Set Aliases'!$A$2:$A$501&amp;CHAR(10),$H289)),'Set Aliases'!$C$2:$C$501,999))),"(none)"))</f>
        <v>Phyrexia: All Will Be One Commander</v>
      </c>
      <c r="C289" s="80" t="str">
        <f t="shared" si="1"/>
        <v>Phyrexia: All Will Be One Commander</v>
      </c>
      <c r="D289" s="80" t="str">
        <f t="array" ref="D289">IF(A289="","",IF(ISLOGICAL(INDEX('Deck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89" s="80" t="str">
        <f t="shared" si="2"/>
        <v>Y</v>
      </c>
      <c r="F289" s="80">
        <f t="array" ref="F289">IF(A289="","",IF(ISNUMBER(J289),J289,IF(ISNUMBER(INDEX('Deck 1'!$A:$Z,ROW()-250,'List Setup'!$F$3)),INDEX('Deck 1'!$A:$Z,ROW()-250,'List Setup'!$F$3),0)))</f>
        <v>0.39</v>
      </c>
      <c r="G289" s="80" t="str">
        <f t="array" ref="G289">IF(A289="","",A289&amp;IF(N(INDEX('Deck 1'!$A:$Z,ROW()-250,'List Setup'!$C$3))&gt;1," (x"&amp;INDEX('Deck 1'!$A:$Z,ROW()-250,'List Setup'!$C$3)&amp;")","")&amp;IF(COUNTIF(Binders!$J$6:$J$30,TRUE())&gt;1," ["&amp;Q289&amp;"]",""))</f>
        <v>Neyali, Suns' Vanguard [Deck 1]</v>
      </c>
      <c r="H289" s="80" t="str">
        <f t="array" ref="H289">IF(A289="","",CHAR(10)&amp;INDEX('Deck 1'!$A:$Z,ROW()-250,'List Setup'!$E$3)&amp;CHAR(10))</f>
        <v>
Phyrexia: All Will Be One Commander
</v>
      </c>
      <c r="I289" s="80" t="str">
        <f t="array" ref="I289">IF(OR(B289="",B289="(none)"),"",IF(ISNUMBER(SEARCH(CHAR(10)&amp;B289&amp;CHAR(10),H289)),B289,IFERROR(INDEX('Set Aliases'!$A$2:$A$501,MATCH(1,('Set Aliases'!$B$2:$B$501=B289)*ISNUMBER(SEARCH(CHAR(10)&amp;'Set Aliases'!$A$2:$A$501&amp;CHAR(10),H289)),0)),"")))</f>
        <v>Phyrexia: All Will Be One Commander</v>
      </c>
      <c r="J289" s="80">
        <f t="array" ref="J289">IF(I289="","",IFERROR(VALUE(TRIM(MID(SUBSTITUTE(INDEX('Deck 1'!$A:$Z,ROW()-250,'List Setup'!$G$3),CHAR(10),REPT(" ",100)),((SEARCH(CHAR(10)&amp;I289&amp;CHAR(10),H289)-LEN(SUBSTITUTE(LEFT(H289,SEARCH(CHAR(10)&amp;I289&amp;CHAR(10),H289)),CHAR(10),"")))-1)*100+1,100))),""))</f>
        <v>0.39</v>
      </c>
      <c r="K289" s="80">
        <f t="array" ref="K289">IF(A289="","",IF(ISNUMBER(SEARCH("Land",LEFT(IFERROR(INDEX('Deck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6</v>
      </c>
      <c r="L289" s="80" t="str">
        <f t="shared" si="3"/>
        <v>Multicolor</v>
      </c>
      <c r="M289" s="80" t="str">
        <f>IF(A289="","",IF(AND(E289="Y",B289='Use at Shop'!$B$4),K289*10000000000+(MAX(0,MIN(26,CODE(MID(UPPER(A289)&amp;"    ",1,1))-64))*19683+MAX(0,MIN(26,CODE(MID(UPPER(A289)&amp;"    ",2,1))-64))*729+MAX(0,MIN(26,CODE(MID(UPPER(A289)&amp;"    ",3,1))-64))*27+MAX(0,MIN(26,CODE(MID(UPPER(A289)&amp;"    ",4,1))-64))*1)*10000+ROW(),""))</f>
        <v/>
      </c>
      <c r="N289" s="80">
        <f t="shared" si="5"/>
        <v>39</v>
      </c>
      <c r="O289" s="83" t="str">
        <f t="array" ref="O289">IF(A289="","",IFERROR(INDEX('Deck 1'!$A:$Z,ROW()-250,'List Setup'!$J$3)&amp;"",""))</f>
        <v>https://cards.scryfall.io/small/front/2/b/2b5df03d-2463-468b-b444-d946eeb1c96d.jpg?1783918164</v>
      </c>
      <c r="P289" s="2"/>
      <c r="Q289" s="80" t="str">
        <f>IF(A289="","",'List Setup'!$A$3)</f>
        <v>Deck 1</v>
      </c>
      <c r="R289" s="80" t="b">
        <f t="array" ref="R289">IF(A289="","",IFERROR(OR(INDEX(Binders!$J$6:$J$30,MATCH(Q289,Binders!$I$6:$I$30,0))=TRUE(),UPPER(INDEX(Binders!$J$6:$J$30,MATCH(Q289,Binders!$I$6:$I$30,0))&amp;"")="TRUE"),FALSE()))</f>
        <v>1</v>
      </c>
    </row>
    <row r="290" ht="15.75" customHeight="1">
      <c r="A290" s="80" t="str">
        <f t="array" ref="A290">IF(INDEX('Deck 1'!$A:$Z,ROW()-250,'List Setup'!$D$3)="","",INDEX('Deck 1'!$A:$Z,ROW()-250,'List Setup'!$D$3))</f>
        <v>Ornithopter of Paradise</v>
      </c>
      <c r="B290" s="80" t="str">
        <f t="array" ref="B290">IF(A290="","",IFERROR(INDEX('Binder Setup'!$B$2:$B$401,MIN(IF(ISNUMBER(SEARCH(CHAR(10)&amp;'Binder Setup'!$B$2:$B$401&amp;CHAR(10),$H290)),'List Setup'!$Q$2:$Q$401,999),IF(ISNUMBER(SEARCH(CHAR(10)&amp;'Set Aliases'!$A$2:$A$501&amp;CHAR(10),$H290)),'Set Aliases'!$C$2:$C$501,999))),"(none)"))</f>
        <v>Foundations</v>
      </c>
      <c r="C290" s="80" t="str">
        <f t="shared" si="1"/>
        <v>Foundations Commander | Aetherdrift Commander | Foundations Jumpstart | The List | Bloomburrow Commander | Commander Masters | Modern Horizons 2</v>
      </c>
      <c r="D290" s="80" t="str">
        <f t="array" ref="D290">IF(A290="","",IF(ISLOGICAL(INDEX('Deck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90" s="80" t="str">
        <f t="shared" si="2"/>
        <v>Y</v>
      </c>
      <c r="F290" s="80">
        <f t="array" ref="F290">IF(A290="","",IF(ISNUMBER(J290),J290,IF(ISNUMBER(INDEX('Deck 1'!$A:$Z,ROW()-250,'List Setup'!$F$3)),INDEX('Deck 1'!$A:$Z,ROW()-250,'List Setup'!$F$3),0)))</f>
        <v>0.51</v>
      </c>
      <c r="G290" s="80" t="str">
        <f t="array" ref="G290">IF(A290="","",A290&amp;IF(N(INDEX('Deck 1'!$A:$Z,ROW()-250,'List Setup'!$C$3))&gt;1," (x"&amp;INDEX('Deck 1'!$A:$Z,ROW()-250,'List Setup'!$C$3)&amp;")","")&amp;IF(COUNTIF(Binders!$J$6:$J$30,TRUE())&gt;1," ["&amp;Q290&amp;"]",""))</f>
        <v>Ornithopter of Paradise [Deck 1]</v>
      </c>
      <c r="H290" s="80" t="str">
        <f t="array" ref="H290">IF(A290="","",CHAR(10)&amp;INDEX('Deck 1'!$A:$Z,ROW()-250,'List Setup'!$E$3)&amp;CHAR(10))</f>
        <v>
Foundations Commander
Aetherdrift Commander
Foundations Jumpstart
The List
Bloomburrow Commander
Commander Masters
Modern Horizons 2
</v>
      </c>
      <c r="I290" s="80" t="str">
        <f t="array" ref="I290">IF(OR(B290="",B290="(none)"),"",IF(ISNUMBER(SEARCH(CHAR(10)&amp;B290&amp;CHAR(10),H290)),B290,IFERROR(INDEX('Set Aliases'!$A$2:$A$501,MATCH(1,('Set Aliases'!$B$2:$B$501=B290)*ISNUMBER(SEARCH(CHAR(10)&amp;'Set Aliases'!$A$2:$A$501&amp;CHAR(10),H290)),0)),"")))</f>
        <v>Foundations Jumpstart</v>
      </c>
      <c r="J290" s="80">
        <f t="array" ref="J290">IF(I290="","",IFERROR(VALUE(TRIM(MID(SUBSTITUTE(INDEX('Deck 1'!$A:$Z,ROW()-250,'List Setup'!$G$3),CHAR(10),REPT(" ",100)),((SEARCH(CHAR(10)&amp;I290&amp;CHAR(10),H290)-LEN(SUBSTITUTE(LEFT(H290,SEARCH(CHAR(10)&amp;I290&amp;CHAR(10),H290)),CHAR(10),"")))-1)*100+1,100))),""))</f>
        <v>0.51</v>
      </c>
      <c r="K290" s="80">
        <f t="array" ref="K290">IF(A290="","",IF(ISNUMBER(SEARCH("Land",LEFT(IFERROR(INDEX('Deck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7</v>
      </c>
      <c r="L290" s="80" t="str">
        <f t="shared" si="3"/>
        <v>Colorless</v>
      </c>
      <c r="M290" s="80">
        <f>IF(A290="","",IF(AND(E290="Y",B290='Use at Shop'!$B$4),K290*10000000000+(MAX(0,MIN(26,CODE(MID(UPPER(A290)&amp;"    ",1,1))-64))*19683+MAX(0,MIN(26,CODE(MID(UPPER(A290)&amp;"    ",2,1))-64))*729+MAX(0,MIN(26,CODE(MID(UPPER(A290)&amp;"    ",3,1))-64))*27+MAX(0,MIN(26,CODE(MID(UPPER(A290)&amp;"    ",4,1))-64))*1)*10000+ROW(),""))</f>
        <v>73087540290</v>
      </c>
      <c r="N290" s="80">
        <f t="shared" si="5"/>
        <v>40</v>
      </c>
      <c r="O290" s="83" t="str">
        <f t="array" ref="O290">IF(A290="","",IFERROR(INDEX('Deck 1'!$A:$Z,ROW()-250,'List Setup'!$J$3)&amp;"",""))</f>
        <v>https://cards.scryfall.io/small/front/1/8/18bbdc6c-b6c9-4f89-8f0a-6266e53c1fb9.jpg?1783915400</v>
      </c>
      <c r="P290" s="2"/>
      <c r="Q290" s="80" t="str">
        <f>IF(A290="","",'List Setup'!$A$3)</f>
        <v>Deck 1</v>
      </c>
      <c r="R290" s="80" t="b">
        <f t="array" ref="R290">IF(A290="","",IFERROR(OR(INDEX(Binders!$J$6:$J$30,MATCH(Q290,Binders!$I$6:$I$30,0))=TRUE(),UPPER(INDEX(Binders!$J$6:$J$30,MATCH(Q290,Binders!$I$6:$I$30,0))&amp;"")="TRUE"),FALSE()))</f>
        <v>1</v>
      </c>
    </row>
    <row r="291" ht="15.75" customHeight="1">
      <c r="A291" s="80" t="str">
        <f t="array" ref="A291">IF(INDEX('Deck 1'!$A:$Z,ROW()-250,'List Setup'!$D$3)="","",INDEX('Deck 1'!$A:$Z,ROW()-250,'List Setup'!$D$3))</f>
        <v>Party Thrasher</v>
      </c>
      <c r="B291" s="80" t="str">
        <f t="array" ref="B291">IF(A291="","",IFERROR(INDEX('Binder Setup'!$B$2:$B$401,MIN(IF(ISNUMBER(SEARCH(CHAR(10)&amp;'Binder Setup'!$B$2:$B$401&amp;CHAR(10),$H291)),'List Setup'!$Q$2:$Q$401,999),IF(ISNUMBER(SEARCH(CHAR(10)&amp;'Set Aliases'!$A$2:$A$501&amp;CHAR(10),$H291)),'Set Aliases'!$C$2:$C$501,999))),"(none)"))</f>
        <v>Modern Horizons 3</v>
      </c>
      <c r="C291" s="80" t="str">
        <f t="shared" si="1"/>
        <v>Modern Horizons 3 Promos | Modern Horizons 3</v>
      </c>
      <c r="D291" s="80" t="str">
        <f t="array" ref="D291">IF(A291="","",IF(ISLOGICAL(INDEX('Deck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91" s="80" t="str">
        <f t="shared" si="2"/>
        <v>Y</v>
      </c>
      <c r="F291" s="80">
        <f t="array" ref="F291">IF(A291="","",IF(ISNUMBER(J291),J291,IF(ISNUMBER(INDEX('Deck 1'!$A:$Z,ROW()-250,'List Setup'!$F$3)),INDEX('Deck 1'!$A:$Z,ROW()-250,'List Setup'!$F$3),0)))</f>
        <v>0.59</v>
      </c>
      <c r="G291" s="80" t="str">
        <f t="array" ref="G291">IF(A291="","",A291&amp;IF(N(INDEX('Deck 1'!$A:$Z,ROW()-250,'List Setup'!$C$3))&gt;1," (x"&amp;INDEX('Deck 1'!$A:$Z,ROW()-250,'List Setup'!$C$3)&amp;")","")&amp;IF(COUNTIF(Binders!$J$6:$J$30,TRUE())&gt;1," ["&amp;Q291&amp;"]",""))</f>
        <v>Party Thrasher [Deck 1]</v>
      </c>
      <c r="H291" s="80" t="str">
        <f t="array" ref="H291">IF(A291="","",CHAR(10)&amp;INDEX('Deck 1'!$A:$Z,ROW()-250,'List Setup'!$E$3)&amp;CHAR(10))</f>
        <v>
Modern Horizons 3 Promos
Modern Horizons 3
</v>
      </c>
      <c r="I291" s="80" t="str">
        <f t="array" ref="I291">IF(OR(B291="",B291="(none)"),"",IF(ISNUMBER(SEARCH(CHAR(10)&amp;B291&amp;CHAR(10),H291)),B291,IFERROR(INDEX('Set Aliases'!$A$2:$A$501,MATCH(1,('Set Aliases'!$B$2:$B$501=B291)*ISNUMBER(SEARCH(CHAR(10)&amp;'Set Aliases'!$A$2:$A$501&amp;CHAR(10),H291)),0)),"")))</f>
        <v>Modern Horizons 3</v>
      </c>
      <c r="J291" s="80">
        <f t="array" ref="J291">IF(I291="","",IFERROR(VALUE(TRIM(MID(SUBSTITUTE(INDEX('Deck 1'!$A:$Z,ROW()-250,'List Setup'!$G$3),CHAR(10),REPT(" ",100)),((SEARCH(CHAR(10)&amp;I291&amp;CHAR(10),H291)-LEN(SUBSTITUTE(LEFT(H291,SEARCH(CHAR(10)&amp;I291&amp;CHAR(10),H291)),CHAR(10),"")))-1)*100+1,100))),""))</f>
        <v>0.59</v>
      </c>
      <c r="K291" s="80">
        <f t="array" ref="K291">IF(A291="","",IF(ISNUMBER(SEARCH("Land",LEFT(IFERROR(INDEX('Deck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4</v>
      </c>
      <c r="L291" s="80" t="str">
        <f t="shared" si="3"/>
        <v>Red</v>
      </c>
      <c r="M291" s="80" t="str">
        <f>IF(A291="","",IF(AND(E291="Y",B291='Use at Shop'!$B$4),K291*10000000000+(MAX(0,MIN(26,CODE(MID(UPPER(A291)&amp;"    ",1,1))-64))*19683+MAX(0,MIN(26,CODE(MID(UPPER(A291)&amp;"    ",2,1))-64))*729+MAX(0,MIN(26,CODE(MID(UPPER(A291)&amp;"    ",3,1))-64))*27+MAX(0,MIN(26,CODE(MID(UPPER(A291)&amp;"    ",4,1))-64))*1)*10000+ROW(),""))</f>
        <v/>
      </c>
      <c r="N291" s="80">
        <f t="shared" si="5"/>
        <v>41</v>
      </c>
      <c r="O291" s="83" t="str">
        <f t="array" ref="O291">IF(A291="","",IFERROR(INDEX('Deck 1'!$A:$Z,ROW()-250,'List Setup'!$J$3)&amp;"",""))</f>
        <v>https://cards.scryfall.io/small/front/b/7/b7f8bb8d-c46a-4531-9525-6981a222b468.jpg?1783911269</v>
      </c>
      <c r="P291" s="2"/>
      <c r="Q291" s="80" t="str">
        <f>IF(A291="","",'List Setup'!$A$3)</f>
        <v>Deck 1</v>
      </c>
      <c r="R291" s="80" t="b">
        <f t="array" ref="R291">IF(A291="","",IFERROR(OR(INDEX(Binders!$J$6:$J$30,MATCH(Q291,Binders!$I$6:$I$30,0))=TRUE(),UPPER(INDEX(Binders!$J$6:$J$30,MATCH(Q291,Binders!$I$6:$I$30,0))&amp;"")="TRUE"),FALSE()))</f>
        <v>1</v>
      </c>
    </row>
    <row r="292" ht="15.75" customHeight="1">
      <c r="A292" s="80" t="str">
        <f t="array" ref="A292">IF(INDEX('Deck 1'!$A:$Z,ROW()-250,'List Setup'!$D$3)="","",INDEX('Deck 1'!$A:$Z,ROW()-250,'List Setup'!$D$3))</f>
        <v>Patchwork Banner</v>
      </c>
      <c r="B292" s="80" t="str">
        <f t="array" ref="B292">IF(A292="","",IFERROR(INDEX('Binder Setup'!$B$2:$B$401,MIN(IF(ISNUMBER(SEARCH(CHAR(10)&amp;'Binder Setup'!$B$2:$B$401&amp;CHAR(10),$H292)),'List Setup'!$Q$2:$Q$401,999),IF(ISNUMBER(SEARCH(CHAR(10)&amp;'Set Aliases'!$A$2:$A$501&amp;CHAR(10),$H292)),'Set Aliases'!$C$2:$C$501,999))),"(none)"))</f>
        <v>Secret Lair Drop</v>
      </c>
      <c r="C292" s="80" t="str">
        <f t="shared" si="1"/>
        <v>Foundations Commander | Marvel Super Heroes Commander | Secrets of Strixhaven Commander | Secret Lair Drop | Media and Collaboration Promos | Bloomburrow</v>
      </c>
      <c r="D292" s="80" t="str">
        <f t="array" ref="D292">IF(A292="","",IF(ISLOGICAL(INDEX('Deck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92" s="80" t="str">
        <f t="shared" si="2"/>
        <v>Y</v>
      </c>
      <c r="F292" s="80">
        <f t="array" ref="F292">IF(A292="","",IF(ISNUMBER(J292),J292,IF(ISNUMBER(INDEX('Deck 1'!$A:$Z,ROW()-250,'List Setup'!$F$3)),INDEX('Deck 1'!$A:$Z,ROW()-250,'List Setup'!$F$3),0)))</f>
        <v>8.58</v>
      </c>
      <c r="G292" s="80" t="str">
        <f t="array" ref="G292">IF(A292="","",A292&amp;IF(N(INDEX('Deck 1'!$A:$Z,ROW()-250,'List Setup'!$C$3))&gt;1," (x"&amp;INDEX('Deck 1'!$A:$Z,ROW()-250,'List Setup'!$C$3)&amp;")","")&amp;IF(COUNTIF(Binders!$J$6:$J$30,TRUE())&gt;1," ["&amp;Q292&amp;"]",""))</f>
        <v>Patchwork Banner [Deck 1]</v>
      </c>
      <c r="H292" s="80" t="str">
        <f t="array" ref="H292">IF(A292="","",CHAR(10)&amp;INDEX('Deck 1'!$A:$Z,ROW()-250,'List Setup'!$E$3)&amp;CHAR(10))</f>
        <v>
Foundations Commander
Marvel Super Heroes Commander
Secrets of Strixhaven Commander
Secret Lair Drop
Media and Collaboration Promos
Bloomburrow
</v>
      </c>
      <c r="I292" s="80" t="str">
        <f t="array" ref="I292">IF(OR(B292="",B292="(none)"),"",IF(ISNUMBER(SEARCH(CHAR(10)&amp;B292&amp;CHAR(10),H292)),B292,IFERROR(INDEX('Set Aliases'!$A$2:$A$501,MATCH(1,('Set Aliases'!$B$2:$B$501=B292)*ISNUMBER(SEARCH(CHAR(10)&amp;'Set Aliases'!$A$2:$A$501&amp;CHAR(10),H292)),0)),"")))</f>
        <v>Secret Lair Drop</v>
      </c>
      <c r="J292" s="80">
        <f t="array" ref="J292">IF(I292="","",IFERROR(VALUE(TRIM(MID(SUBSTITUTE(INDEX('Deck 1'!$A:$Z,ROW()-250,'List Setup'!$G$3),CHAR(10),REPT(" ",100)),((SEARCH(CHAR(10)&amp;I292&amp;CHAR(10),H292)-LEN(SUBSTITUTE(LEFT(H292,SEARCH(CHAR(10)&amp;I292&amp;CHAR(10),H292)),CHAR(10),"")))-1)*100+1,100))),""))</f>
        <v>8.58</v>
      </c>
      <c r="K292" s="80">
        <f t="array" ref="K292">IF(A292="","",IF(ISNUMBER(SEARCH("Land",LEFT(IFERROR(INDEX('Deck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7</v>
      </c>
      <c r="L292" s="80" t="str">
        <f t="shared" si="3"/>
        <v>Colorless</v>
      </c>
      <c r="M292" s="80" t="str">
        <f>IF(A292="","",IF(AND(E292="Y",B292='Use at Shop'!$B$4),K292*10000000000+(MAX(0,MIN(26,CODE(MID(UPPER(A292)&amp;"    ",1,1))-64))*19683+MAX(0,MIN(26,CODE(MID(UPPER(A292)&amp;"    ",2,1))-64))*729+MAX(0,MIN(26,CODE(MID(UPPER(A292)&amp;"    ",3,1))-64))*27+MAX(0,MIN(26,CODE(MID(UPPER(A292)&amp;"    ",4,1))-64))*1)*10000+ROW(),""))</f>
        <v/>
      </c>
      <c r="N292" s="80">
        <f t="shared" si="5"/>
        <v>42</v>
      </c>
      <c r="O292" s="83" t="str">
        <f t="array" ref="O292">IF(A292="","",IFERROR(INDEX('Deck 1'!$A:$Z,ROW()-250,'List Setup'!$J$3)&amp;"",""))</f>
        <v>https://cards.scryfall.io/small/front/5/3/537ea7e7-e8e8-4736-bdd9-1085f1a7c259.jpg?1783903215</v>
      </c>
      <c r="P292" s="2"/>
      <c r="Q292" s="80" t="str">
        <f>IF(A292="","",'List Setup'!$A$3)</f>
        <v>Deck 1</v>
      </c>
      <c r="R292" s="80" t="b">
        <f t="array" ref="R292">IF(A292="","",IFERROR(OR(INDEX(Binders!$J$6:$J$30,MATCH(Q292,Binders!$I$6:$I$30,0))=TRUE(),UPPER(INDEX(Binders!$J$6:$J$30,MATCH(Q292,Binders!$I$6:$I$30,0))&amp;"")="TRUE"),FALSE()))</f>
        <v>1</v>
      </c>
    </row>
    <row r="293" ht="15.75" customHeight="1">
      <c r="A293" s="80" t="str">
        <f t="array" ref="A293">IF(INDEX('Deck 1'!$A:$Z,ROW()-250,'List Setup'!$D$3)="","",INDEX('Deck 1'!$A:$Z,ROW()-250,'List Setup'!$D$3))</f>
        <v>Pia Nalaar</v>
      </c>
      <c r="B293" s="80" t="str">
        <f t="array" ref="B293">IF(A293="","",IFERROR(INDEX('Binder Setup'!$B$2:$B$401,MIN(IF(ISNUMBER(SEARCH(CHAR(10)&amp;'Binder Setup'!$B$2:$B$401&amp;CHAR(10),$H293)),'List Setup'!$Q$2:$Q$401,999),IF(ISNUMBER(SEARCH(CHAR(10)&amp;'Set Aliases'!$A$2:$A$501&amp;CHAR(10),$H293)),'Set Aliases'!$C$2:$C$501,999))),"(none)"))</f>
        <v>Commander 2021</v>
      </c>
      <c r="C293" s="80" t="str">
        <f t="shared" si="1"/>
        <v>Commander 2021 | Kaladesh Promos | Kaladesh</v>
      </c>
      <c r="D293" s="80" t="str">
        <f t="array" ref="D293">IF(A293="","",IF(ISLOGICAL(INDEX('Deck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93" s="80" t="str">
        <f t="shared" si="2"/>
        <v>Y</v>
      </c>
      <c r="F293" s="80">
        <f t="array" ref="F293">IF(A293="","",IF(ISNUMBER(J293),J293,IF(ISNUMBER(INDEX('Deck 1'!$A:$Z,ROW()-250,'List Setup'!$F$3)),INDEX('Deck 1'!$A:$Z,ROW()-250,'List Setup'!$F$3),0)))</f>
        <v>0.27</v>
      </c>
      <c r="G293" s="80" t="str">
        <f t="array" ref="G293">IF(A293="","",A293&amp;IF(N(INDEX('Deck 1'!$A:$Z,ROW()-250,'List Setup'!$C$3))&gt;1," (x"&amp;INDEX('Deck 1'!$A:$Z,ROW()-250,'List Setup'!$C$3)&amp;")","")&amp;IF(COUNTIF(Binders!$J$6:$J$30,TRUE())&gt;1," ["&amp;Q293&amp;"]",""))</f>
        <v>Pia Nalaar [Deck 1]</v>
      </c>
      <c r="H293" s="80" t="str">
        <f t="array" ref="H293">IF(A293="","",CHAR(10)&amp;INDEX('Deck 1'!$A:$Z,ROW()-250,'List Setup'!$E$3)&amp;CHAR(10))</f>
        <v>
Commander 2021
Kaladesh Promos
Kaladesh
</v>
      </c>
      <c r="I293" s="80" t="str">
        <f t="array" ref="I293">IF(OR(B293="",B293="(none)"),"",IF(ISNUMBER(SEARCH(CHAR(10)&amp;B293&amp;CHAR(10),H293)),B293,IFERROR(INDEX('Set Aliases'!$A$2:$A$501,MATCH(1,('Set Aliases'!$B$2:$B$501=B293)*ISNUMBER(SEARCH(CHAR(10)&amp;'Set Aliases'!$A$2:$A$501&amp;CHAR(10),H293)),0)),"")))</f>
        <v>Commander 2021</v>
      </c>
      <c r="J293" s="80">
        <f t="array" ref="J293">IF(I293="","",IFERROR(VALUE(TRIM(MID(SUBSTITUTE(INDEX('Deck 1'!$A:$Z,ROW()-250,'List Setup'!$G$3),CHAR(10),REPT(" ",100)),((SEARCH(CHAR(10)&amp;I293&amp;CHAR(10),H293)-LEN(SUBSTITUTE(LEFT(H293,SEARCH(CHAR(10)&amp;I293&amp;CHAR(10),H293)),CHAR(10),"")))-1)*100+1,100))),""))</f>
        <v>0.27</v>
      </c>
      <c r="K293" s="80">
        <f t="array" ref="K293">IF(A293="","",IF(ISNUMBER(SEARCH("Land",LEFT(IFERROR(INDEX('Deck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4</v>
      </c>
      <c r="L293" s="80" t="str">
        <f t="shared" si="3"/>
        <v>Red</v>
      </c>
      <c r="M293" s="80" t="str">
        <f>IF(A293="","",IF(AND(E293="Y",B293='Use at Shop'!$B$4),K293*10000000000+(MAX(0,MIN(26,CODE(MID(UPPER(A293)&amp;"    ",1,1))-64))*19683+MAX(0,MIN(26,CODE(MID(UPPER(A293)&amp;"    ",2,1))-64))*729+MAX(0,MIN(26,CODE(MID(UPPER(A293)&amp;"    ",3,1))-64))*27+MAX(0,MIN(26,CODE(MID(UPPER(A293)&amp;"    ",4,1))-64))*1)*10000+ROW(),""))</f>
        <v/>
      </c>
      <c r="N293" s="80">
        <f t="shared" si="5"/>
        <v>43</v>
      </c>
      <c r="O293" s="83" t="str">
        <f t="array" ref="O293">IF(A293="","",IFERROR(INDEX('Deck 1'!$A:$Z,ROW()-250,'List Setup'!$J$3)&amp;"",""))</f>
        <v>https://cards.scryfall.io/small/front/9/d/9d2502c8-bf80-404c-9a9a-b843d355fcaa.jpg?1783927540</v>
      </c>
      <c r="P293" s="2"/>
      <c r="Q293" s="80" t="str">
        <f>IF(A293="","",'List Setup'!$A$3)</f>
        <v>Deck 1</v>
      </c>
      <c r="R293" s="80" t="b">
        <f t="array" ref="R293">IF(A293="","",IFERROR(OR(INDEX(Binders!$J$6:$J$30,MATCH(Q293,Binders!$I$6:$I$30,0))=TRUE(),UPPER(INDEX(Binders!$J$6:$J$30,MATCH(Q293,Binders!$I$6:$I$30,0))&amp;"")="TRUE"),FALSE()))</f>
        <v>1</v>
      </c>
    </row>
    <row r="294" ht="15.75" customHeight="1">
      <c r="A294" s="80" t="str">
        <f t="array" ref="A294">IF(INDEX('Deck 1'!$A:$Z,ROW()-250,'List Setup'!$D$3)="","",INDEX('Deck 1'!$A:$Z,ROW()-250,'List Setup'!$D$3))</f>
        <v>Pia Nalaar, Consul of Revival</v>
      </c>
      <c r="B294" s="80" t="str">
        <f t="array" ref="B294">IF(A294="","",IFERROR(INDEX('Binder Setup'!$B$2:$B$401,MIN(IF(ISNUMBER(SEARCH(CHAR(10)&amp;'Binder Setup'!$B$2:$B$401&amp;CHAR(10),$H294)),'List Setup'!$Q$2:$Q$401,999),IF(ISNUMBER(SEARCH(CHAR(10)&amp;'Set Aliases'!$A$2:$A$501&amp;CHAR(10),$H294)),'Set Aliases'!$C$2:$C$501,999))),"(none)"))</f>
        <v>March of the Machine: The Aftermath</v>
      </c>
      <c r="C294" s="80" t="str">
        <f t="shared" si="1"/>
        <v>March of the Machine: The Aftermath</v>
      </c>
      <c r="D294" s="80" t="str">
        <f t="array" ref="D294">IF(A294="","",IF(ISLOGICAL(INDEX('Deck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94" s="80" t="str">
        <f t="shared" si="2"/>
        <v>Y</v>
      </c>
      <c r="F294" s="80">
        <f t="array" ref="F294">IF(A294="","",IF(ISNUMBER(J294),J294,IF(ISNUMBER(INDEX('Deck 1'!$A:$Z,ROW()-250,'List Setup'!$F$3)),INDEX('Deck 1'!$A:$Z,ROW()-250,'List Setup'!$F$3),0)))</f>
        <v>0.52</v>
      </c>
      <c r="G294" s="80" t="str">
        <f t="array" ref="G294">IF(A294="","",A294&amp;IF(N(INDEX('Deck 1'!$A:$Z,ROW()-250,'List Setup'!$C$3))&gt;1," (x"&amp;INDEX('Deck 1'!$A:$Z,ROW()-250,'List Setup'!$C$3)&amp;")","")&amp;IF(COUNTIF(Binders!$J$6:$J$30,TRUE())&gt;1," ["&amp;Q294&amp;"]",""))</f>
        <v>Pia Nalaar, Consul of Revival [Deck 1]</v>
      </c>
      <c r="H294" s="80" t="str">
        <f t="array" ref="H294">IF(A294="","",CHAR(10)&amp;INDEX('Deck 1'!$A:$Z,ROW()-250,'List Setup'!$E$3)&amp;CHAR(10))</f>
        <v>
March of the Machine: The Aftermath
</v>
      </c>
      <c r="I294" s="80" t="str">
        <f t="array" ref="I294">IF(OR(B294="",B294="(none)"),"",IF(ISNUMBER(SEARCH(CHAR(10)&amp;B294&amp;CHAR(10),H294)),B294,IFERROR(INDEX('Set Aliases'!$A$2:$A$501,MATCH(1,('Set Aliases'!$B$2:$B$501=B294)*ISNUMBER(SEARCH(CHAR(10)&amp;'Set Aliases'!$A$2:$A$501&amp;CHAR(10),H294)),0)),"")))</f>
        <v>March of the Machine: The Aftermath</v>
      </c>
      <c r="J294" s="80">
        <f t="array" ref="J294">IF(I294="","",IFERROR(VALUE(TRIM(MID(SUBSTITUTE(INDEX('Deck 1'!$A:$Z,ROW()-250,'List Setup'!$G$3),CHAR(10),REPT(" ",100)),((SEARCH(CHAR(10)&amp;I294&amp;CHAR(10),H294)-LEN(SUBSTITUTE(LEFT(H294,SEARCH(CHAR(10)&amp;I294&amp;CHAR(10),H294)),CHAR(10),"")))-1)*100+1,100))),""))</f>
        <v>0.52</v>
      </c>
      <c r="K294" s="80">
        <f t="array" ref="K294">IF(A294="","",IF(ISNUMBER(SEARCH("Land",LEFT(IFERROR(INDEX('Deck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6</v>
      </c>
      <c r="L294" s="80" t="str">
        <f t="shared" si="3"/>
        <v>Multicolor</v>
      </c>
      <c r="M294" s="80" t="str">
        <f>IF(A294="","",IF(AND(E294="Y",B294='Use at Shop'!$B$4),K294*10000000000+(MAX(0,MIN(26,CODE(MID(UPPER(A294)&amp;"    ",1,1))-64))*19683+MAX(0,MIN(26,CODE(MID(UPPER(A294)&amp;"    ",2,1))-64))*729+MAX(0,MIN(26,CODE(MID(UPPER(A294)&amp;"    ",3,1))-64))*27+MAX(0,MIN(26,CODE(MID(UPPER(A294)&amp;"    ",4,1))-64))*1)*10000+ROW(),""))</f>
        <v/>
      </c>
      <c r="N294" s="80">
        <f t="shared" si="5"/>
        <v>44</v>
      </c>
      <c r="O294" s="83" t="str">
        <f t="array" ref="O294">IF(A294="","",IFERROR(INDEX('Deck 1'!$A:$Z,ROW()-250,'List Setup'!$J$3)&amp;"",""))</f>
        <v>https://cards.scryfall.io/small/front/0/a/0ae89461-4bce-4b49-b875-03afc2469fe7.jpg?1783916510</v>
      </c>
      <c r="P294" s="2"/>
      <c r="Q294" s="80" t="str">
        <f>IF(A294="","",'List Setup'!$A$3)</f>
        <v>Deck 1</v>
      </c>
      <c r="R294" s="80" t="b">
        <f t="array" ref="R294">IF(A294="","",IFERROR(OR(INDEX(Binders!$J$6:$J$30,MATCH(Q294,Binders!$I$6:$I$30,0))=TRUE(),UPPER(INDEX(Binders!$J$6:$J$30,MATCH(Q294,Binders!$I$6:$I$30,0))&amp;"")="TRUE"),FALSE()))</f>
        <v>1</v>
      </c>
    </row>
    <row r="295" ht="15.75" customHeight="1">
      <c r="A295" s="80" t="str">
        <f t="array" ref="A295">IF(INDEX('Deck 1'!$A:$Z,ROW()-250,'List Setup'!$D$3)="","",INDEX('Deck 1'!$A:$Z,ROW()-250,'List Setup'!$D$3))</f>
        <v>Plains</v>
      </c>
      <c r="B295" s="80" t="str">
        <f t="array" ref="B295">IF(A295="","",IFERROR(INDEX('Binder Setup'!$B$2:$B$401,MIN(IF(ISNUMBER(SEARCH(CHAR(10)&amp;'Binder Setup'!$B$2:$B$401&amp;CHAR(10),$H295)),'List Setup'!$Q$2:$Q$401,999),IF(ISNUMBER(SEARCH(CHAR(10)&amp;'Set Aliases'!$A$2:$A$501&amp;CHAR(10),$H295)),'Set Aliases'!$C$2:$C$501,999))),"(none)"))</f>
        <v>(none)</v>
      </c>
      <c r="C295" s="80" t="str">
        <f t="shared" si="1"/>
        <v/>
      </c>
      <c r="D295" s="80" t="str">
        <f t="array" ref="D295">IF(A295="","",IF(ISLOGICAL(INDEX('Deck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95" s="80" t="str">
        <f t="shared" si="2"/>
        <v>Y</v>
      </c>
      <c r="F295" s="80">
        <f t="array" ref="F295">IF(A295="","",IF(ISNUMBER(J295),J295,IF(ISNUMBER(INDEX('Deck 1'!$A:$Z,ROW()-250,'List Setup'!$F$3)),INDEX('Deck 1'!$A:$Z,ROW()-250,'List Setup'!$F$3),0)))</f>
        <v>0</v>
      </c>
      <c r="G295" s="80" t="str">
        <f t="array" ref="G295">IF(A295="","",A295&amp;IF(N(INDEX('Deck 1'!$A:$Z,ROW()-250,'List Setup'!$C$3))&gt;1," (x"&amp;INDEX('Deck 1'!$A:$Z,ROW()-250,'List Setup'!$C$3)&amp;")","")&amp;IF(COUNTIF(Binders!$J$6:$J$30,TRUE())&gt;1," ["&amp;Q295&amp;"]",""))</f>
        <v>Plains (x9) [Deck 1]</v>
      </c>
      <c r="H295" s="80" t="str">
        <f t="array" ref="H295">IF(A295="","",CHAR(10)&amp;INDEX('Deck 1'!$A:$Z,ROW()-250,'List Setup'!$E$3)&amp;CHAR(10))</f>
        <v>
</v>
      </c>
      <c r="I295" s="80" t="str">
        <f t="array" ref="I295">IF(OR(B295="",B295="(none)"),"",IF(ISNUMBER(SEARCH(CHAR(10)&amp;B295&amp;CHAR(10),H295)),B295,IFERROR(INDEX('Set Aliases'!$A$2:$A$501,MATCH(1,('Set Aliases'!$B$2:$B$501=B295)*ISNUMBER(SEARCH(CHAR(10)&amp;'Set Aliases'!$A$2:$A$501&amp;CHAR(10),H295)),0)),"")))</f>
        <v/>
      </c>
      <c r="J295" s="80" t="str">
        <f t="array" ref="J295">IF(I295="","",IFERROR(VALUE(TRIM(MID(SUBSTITUTE(INDEX('Deck 1'!$A:$Z,ROW()-250,'List Setup'!$G$3),CHAR(10),REPT(" ",100)),((SEARCH(CHAR(10)&amp;I295&amp;CHAR(10),H295)-LEN(SUBSTITUTE(LEFT(H295,SEARCH(CHAR(10)&amp;I295&amp;CHAR(10),H295)),CHAR(10),"")))-1)*100+1,100))),""))</f>
        <v/>
      </c>
      <c r="K295" s="80">
        <f t="array" ref="K295">IF(A295="","",IF(ISNUMBER(SEARCH("Land",LEFT(IFERROR(INDEX('Deck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8</v>
      </c>
      <c r="L295" s="80" t="str">
        <f t="shared" si="3"/>
        <v>Land</v>
      </c>
      <c r="M295" s="80" t="str">
        <f>IF(A295="","",IF(AND(E295="Y",B295='Use at Shop'!$B$4),K295*10000000000+(MAX(0,MIN(26,CODE(MID(UPPER(A295)&amp;"    ",1,1))-64))*19683+MAX(0,MIN(26,CODE(MID(UPPER(A295)&amp;"    ",2,1))-64))*729+MAX(0,MIN(26,CODE(MID(UPPER(A295)&amp;"    ",3,1))-64))*27+MAX(0,MIN(26,CODE(MID(UPPER(A295)&amp;"    ",4,1))-64))*1)*10000+ROW(),""))</f>
        <v/>
      </c>
      <c r="N295" s="80">
        <f t="shared" si="5"/>
        <v>45</v>
      </c>
      <c r="O295" s="83" t="str">
        <f t="array" ref="O295">IF(A295="","",IFERROR(INDEX('Deck 1'!$A:$Z,ROW()-250,'List Setup'!$J$3)&amp;"",""))</f>
        <v>https://cards.scryfall.io/small/front/0/9/09ac862f-0a51-44dd-b86f-9412b8218b13.jpg?1791578423</v>
      </c>
      <c r="P295" s="2"/>
      <c r="Q295" s="80" t="str">
        <f>IF(A295="","",'List Setup'!$A$3)</f>
        <v>Deck 1</v>
      </c>
      <c r="R295" s="80" t="b">
        <f t="array" ref="R295">IF(A295="","",IFERROR(OR(INDEX(Binders!$J$6:$J$30,MATCH(Q295,Binders!$I$6:$I$30,0))=TRUE(),UPPER(INDEX(Binders!$J$6:$J$30,MATCH(Q295,Binders!$I$6:$I$30,0))&amp;"")="TRUE"),FALSE()))</f>
        <v>1</v>
      </c>
    </row>
    <row r="296" ht="15.75" customHeight="1">
      <c r="A296" s="80" t="str">
        <f t="array" ref="A296">IF(INDEX('Deck 1'!$A:$Z,ROW()-250,'List Setup'!$D$3)="","",INDEX('Deck 1'!$A:$Z,ROW()-250,'List Setup'!$D$3))</f>
        <v>Professional Face-Breaker</v>
      </c>
      <c r="B296" s="80" t="str">
        <f t="array" ref="B296">IF(A296="","",IFERROR(INDEX('Binder Setup'!$B$2:$B$401,MIN(IF(ISNUMBER(SEARCH(CHAR(10)&amp;'Binder Setup'!$B$2:$B$401&amp;CHAR(10),$H296)),'List Setup'!$Q$2:$Q$401,999),IF(ISNUMBER(SEARCH(CHAR(10)&amp;'Set Aliases'!$A$2:$A$501&amp;CHAR(10),$H296)),'Set Aliases'!$C$2:$C$501,999))),"(none)"))</f>
        <v>Secret Lair Drop</v>
      </c>
      <c r="C296" s="80" t="str">
        <f t="shared" si="1"/>
        <v>Final Fantasy Commander | Modern Horizons 3 Commander | Secret Lair Drop | Jumpstart 2022 | Streets of New Capenna | Streets of New Capenna Promos</v>
      </c>
      <c r="D296" s="80" t="str">
        <f t="array" ref="D296">IF(A296="","",IF(ISLOGICAL(INDEX('Deck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96" s="80" t="str">
        <f t="shared" si="2"/>
        <v>Y</v>
      </c>
      <c r="F296" s="80">
        <f t="array" ref="F296">IF(A296="","",IF(ISNUMBER(J296),J296,IF(ISNUMBER(INDEX('Deck 1'!$A:$Z,ROW()-250,'List Setup'!$F$3)),INDEX('Deck 1'!$A:$Z,ROW()-250,'List Setup'!$F$3),0)))</f>
        <v>17.67</v>
      </c>
      <c r="G296" s="80" t="str">
        <f t="array" ref="G296">IF(A296="","",A296&amp;IF(N(INDEX('Deck 1'!$A:$Z,ROW()-250,'List Setup'!$C$3))&gt;1," (x"&amp;INDEX('Deck 1'!$A:$Z,ROW()-250,'List Setup'!$C$3)&amp;")","")&amp;IF(COUNTIF(Binders!$J$6:$J$30,TRUE())&gt;1," ["&amp;Q296&amp;"]",""))</f>
        <v>Professional Face-Breaker [Deck 1]</v>
      </c>
      <c r="H296" s="80" t="str">
        <f t="array" ref="H296">IF(A296="","",CHAR(10)&amp;INDEX('Deck 1'!$A:$Z,ROW()-250,'List Setup'!$E$3)&amp;CHAR(10))</f>
        <v>
Final Fantasy Commander
Modern Horizons 3 Commander
Secret Lair Drop
Jumpstart 2022
Streets of New Capenna
Streets of New Capenna Promos
</v>
      </c>
      <c r="I296" s="80" t="str">
        <f t="array" ref="I296">IF(OR(B296="",B296="(none)"),"",IF(ISNUMBER(SEARCH(CHAR(10)&amp;B296&amp;CHAR(10),H296)),B296,IFERROR(INDEX('Set Aliases'!$A$2:$A$501,MATCH(1,('Set Aliases'!$B$2:$B$501=B296)*ISNUMBER(SEARCH(CHAR(10)&amp;'Set Aliases'!$A$2:$A$501&amp;CHAR(10),H296)),0)),"")))</f>
        <v>Secret Lair Drop</v>
      </c>
      <c r="J296" s="80">
        <f t="array" ref="J296">IF(I296="","",IFERROR(VALUE(TRIM(MID(SUBSTITUTE(INDEX('Deck 1'!$A:$Z,ROW()-250,'List Setup'!$G$3),CHAR(10),REPT(" ",100)),((SEARCH(CHAR(10)&amp;I296&amp;CHAR(10),H296)-LEN(SUBSTITUTE(LEFT(H296,SEARCH(CHAR(10)&amp;I296&amp;CHAR(10),H296)),CHAR(10),"")))-1)*100+1,100))),""))</f>
        <v>17.67</v>
      </c>
      <c r="K296" s="80">
        <f t="array" ref="K296">IF(A296="","",IF(ISNUMBER(SEARCH("Land",LEFT(IFERROR(INDEX('Deck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4</v>
      </c>
      <c r="L296" s="80" t="str">
        <f t="shared" si="3"/>
        <v>Red</v>
      </c>
      <c r="M296" s="80" t="str">
        <f>IF(A296="","",IF(AND(E296="Y",B296='Use at Shop'!$B$4),K296*10000000000+(MAX(0,MIN(26,CODE(MID(UPPER(A296)&amp;"    ",1,1))-64))*19683+MAX(0,MIN(26,CODE(MID(UPPER(A296)&amp;"    ",2,1))-64))*729+MAX(0,MIN(26,CODE(MID(UPPER(A296)&amp;"    ",3,1))-64))*27+MAX(0,MIN(26,CODE(MID(UPPER(A296)&amp;"    ",4,1))-64))*1)*10000+ROW(),""))</f>
        <v/>
      </c>
      <c r="N296" s="80">
        <f t="shared" si="5"/>
        <v>46</v>
      </c>
      <c r="O296" s="83" t="str">
        <f t="array" ref="O296">IF(A296="","",IFERROR(INDEX('Deck 1'!$A:$Z,ROW()-250,'List Setup'!$J$3)&amp;"",""))</f>
        <v>https://cards.scryfall.io/small/front/4/2/42acbf52-b137-44f0-a815-2817fe8d2da2.jpg?1783923119</v>
      </c>
      <c r="P296" s="2"/>
      <c r="Q296" s="80" t="str">
        <f>IF(A296="","",'List Setup'!$A$3)</f>
        <v>Deck 1</v>
      </c>
      <c r="R296" s="80" t="b">
        <f t="array" ref="R296">IF(A296="","",IFERROR(OR(INDEX(Binders!$J$6:$J$30,MATCH(Q296,Binders!$I$6:$I$30,0))=TRUE(),UPPER(INDEX(Binders!$J$6:$J$30,MATCH(Q296,Binders!$I$6:$I$30,0))&amp;"")="TRUE"),FALSE()))</f>
        <v>1</v>
      </c>
    </row>
    <row r="297" ht="15.75" customHeight="1">
      <c r="A297" s="80" t="str">
        <f t="array" ref="A297">IF(INDEX('Deck 1'!$A:$Z,ROW()-250,'List Setup'!$D$3)="","",INDEX('Deck 1'!$A:$Z,ROW()-250,'List Setup'!$D$3))</f>
        <v>Radiant Summit</v>
      </c>
      <c r="B297" s="80" t="str">
        <f t="array" ref="B297">IF(A297="","",IFERROR(INDEX('Binder Setup'!$B$2:$B$401,MIN(IF(ISNUMBER(SEARCH(CHAR(10)&amp;'Binder Setup'!$B$2:$B$401&amp;CHAR(10),$H297)),'List Setup'!$Q$2:$Q$401,999),IF(ISNUMBER(SEARCH(CHAR(10)&amp;'Set Aliases'!$A$2:$A$501&amp;CHAR(10),$H297)),'Set Aliases'!$C$2:$C$501,999))),"(none)"))</f>
        <v>Secrets of Strixhaven Commander</v>
      </c>
      <c r="C297" s="80" t="str">
        <f t="shared" si="1"/>
        <v>Reality Fracture Commander | Marvel Super Heroes Commander | Secrets of Strixhaven Commander | Edge of Eternities Commander</v>
      </c>
      <c r="D297" s="80" t="str">
        <f t="array" ref="D297">IF(A297="","",IF(ISLOGICAL(INDEX('Deck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97" s="80" t="str">
        <f t="shared" si="2"/>
        <v>Y</v>
      </c>
      <c r="F297" s="80">
        <f t="array" ref="F297">IF(A297="","",IF(ISNUMBER(J297),J297,IF(ISNUMBER(INDEX('Deck 1'!$A:$Z,ROW()-250,'List Setup'!$F$3)),INDEX('Deck 1'!$A:$Z,ROW()-250,'List Setup'!$F$3),0)))</f>
        <v>0.49</v>
      </c>
      <c r="G297" s="80" t="str">
        <f t="array" ref="G297">IF(A297="","",A297&amp;IF(N(INDEX('Deck 1'!$A:$Z,ROW()-250,'List Setup'!$C$3))&gt;1," (x"&amp;INDEX('Deck 1'!$A:$Z,ROW()-250,'List Setup'!$C$3)&amp;")","")&amp;IF(COUNTIF(Binders!$J$6:$J$30,TRUE())&gt;1," ["&amp;Q297&amp;"]",""))</f>
        <v>Radiant Summit [Deck 1]</v>
      </c>
      <c r="H297" s="80" t="str">
        <f t="array" ref="H297">IF(A297="","",CHAR(10)&amp;INDEX('Deck 1'!$A:$Z,ROW()-250,'List Setup'!$E$3)&amp;CHAR(10))</f>
        <v>
Reality Fracture Commander
Marvel Super Heroes Commander
Secrets of Strixhaven Commander
Edge of Eternities Commander
</v>
      </c>
      <c r="I297" s="80" t="str">
        <f t="array" ref="I297">IF(OR(B297="",B297="(none)"),"",IF(ISNUMBER(SEARCH(CHAR(10)&amp;B297&amp;CHAR(10),H297)),B297,IFERROR(INDEX('Set Aliases'!$A$2:$A$501,MATCH(1,('Set Aliases'!$B$2:$B$501=B297)*ISNUMBER(SEARCH(CHAR(10)&amp;'Set Aliases'!$A$2:$A$501&amp;CHAR(10),H297)),0)),"")))</f>
        <v>Secrets of Strixhaven Commander</v>
      </c>
      <c r="J297" s="80">
        <f t="array" ref="J297">IF(I297="","",IFERROR(VALUE(TRIM(MID(SUBSTITUTE(INDEX('Deck 1'!$A:$Z,ROW()-250,'List Setup'!$G$3),CHAR(10),REPT(" ",100)),((SEARCH(CHAR(10)&amp;I297&amp;CHAR(10),H297)-LEN(SUBSTITUTE(LEFT(H297,SEARCH(CHAR(10)&amp;I297&amp;CHAR(10),H297)),CHAR(10),"")))-1)*100+1,100))),""))</f>
        <v>0.49</v>
      </c>
      <c r="K297" s="80">
        <f t="array" ref="K297">IF(A297="","",IF(ISNUMBER(SEARCH("Land",LEFT(IFERROR(INDEX('Deck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8</v>
      </c>
      <c r="L297" s="80" t="str">
        <f t="shared" si="3"/>
        <v>Land</v>
      </c>
      <c r="M297" s="80" t="str">
        <f>IF(A297="","",IF(AND(E297="Y",B297='Use at Shop'!$B$4),K297*10000000000+(MAX(0,MIN(26,CODE(MID(UPPER(A297)&amp;"    ",1,1))-64))*19683+MAX(0,MIN(26,CODE(MID(UPPER(A297)&amp;"    ",2,1))-64))*729+MAX(0,MIN(26,CODE(MID(UPPER(A297)&amp;"    ",3,1))-64))*27+MAX(0,MIN(26,CODE(MID(UPPER(A297)&amp;"    ",4,1))-64))*1)*10000+ROW(),""))</f>
        <v/>
      </c>
      <c r="N297" s="80">
        <f t="shared" si="5"/>
        <v>47</v>
      </c>
      <c r="O297" s="83" t="str">
        <f t="array" ref="O297">IF(A297="","",IFERROR(INDEX('Deck 1'!$A:$Z,ROW()-250,'List Setup'!$J$3)&amp;"",""))</f>
        <v>https://cards.scryfall.io/small/front/f/8/f8cd6aae-a1cb-43b1-aca9-09fe2778969f.jpg?1790063310</v>
      </c>
      <c r="P297" s="2"/>
      <c r="Q297" s="80" t="str">
        <f>IF(A297="","",'List Setup'!$A$3)</f>
        <v>Deck 1</v>
      </c>
      <c r="R297" s="80" t="b">
        <f t="array" ref="R297">IF(A297="","",IFERROR(OR(INDEX(Binders!$J$6:$J$30,MATCH(Q297,Binders!$I$6:$I$30,0))=TRUE(),UPPER(INDEX(Binders!$J$6:$J$30,MATCH(Q297,Binders!$I$6:$I$30,0))&amp;"")="TRUE"),FALSE()))</f>
        <v>1</v>
      </c>
    </row>
    <row r="298" ht="15.75" customHeight="1">
      <c r="A298" s="80" t="str">
        <f t="array" ref="A298">IF(INDEX('Deck 1'!$A:$Z,ROW()-250,'List Setup'!$D$3)="","",INDEX('Deck 1'!$A:$Z,ROW()-250,'List Setup'!$D$3))</f>
        <v>Reckless Fireweaver</v>
      </c>
      <c r="B298" s="80" t="str">
        <f t="array" ref="B298">IF(A298="","",IFERROR(INDEX('Binder Setup'!$B$2:$B$401,MIN(IF(ISNUMBER(SEARCH(CHAR(10)&amp;'Binder Setup'!$B$2:$B$401&amp;CHAR(10),$H298)),'List Setup'!$Q$2:$Q$401,999),IF(ISNUMBER(SEARCH(CHAR(10)&amp;'Set Aliases'!$A$2:$A$501&amp;CHAR(10),$H298)),'Set Aliases'!$C$2:$C$501,999))),"(none)"))</f>
        <v>Foundations</v>
      </c>
      <c r="C298" s="80" t="str">
        <f t="shared" si="1"/>
        <v>Aetherdrift Commander | Secret Lair Drop | Jumpstart 2022 | The List | Kaladesh</v>
      </c>
      <c r="D298" s="80" t="str">
        <f t="array" ref="D298">IF(A298="","",IF(ISLOGICAL(INDEX('Deck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98" s="80" t="str">
        <f t="shared" si="2"/>
        <v>Y</v>
      </c>
      <c r="F298" s="80">
        <f t="array" ref="F298">IF(A298="","",IF(ISNUMBER(J298),J298,IF(ISNUMBER(INDEX('Deck 1'!$A:$Z,ROW()-250,'List Setup'!$F$3)),INDEX('Deck 1'!$A:$Z,ROW()-250,'List Setup'!$F$3),0)))</f>
        <v>0.92</v>
      </c>
      <c r="G298" s="80" t="str">
        <f t="array" ref="G298">IF(A298="","",A298&amp;IF(N(INDEX('Deck 1'!$A:$Z,ROW()-250,'List Setup'!$C$3))&gt;1," (x"&amp;INDEX('Deck 1'!$A:$Z,ROW()-250,'List Setup'!$C$3)&amp;")","")&amp;IF(COUNTIF(Binders!$J$6:$J$30,TRUE())&gt;1," ["&amp;Q298&amp;"]",""))</f>
        <v>Reckless Fireweaver [Deck 1]</v>
      </c>
      <c r="H298" s="80" t="str">
        <f t="array" ref="H298">IF(A298="","",CHAR(10)&amp;INDEX('Deck 1'!$A:$Z,ROW()-250,'List Setup'!$E$3)&amp;CHAR(10))</f>
        <v>
Aetherdrift Commander
Secret Lair Drop
Jumpstart 2022
The List
Kaladesh
</v>
      </c>
      <c r="I298" s="80" t="str">
        <f t="array" ref="I298">IF(OR(B298="",B298="(none)"),"",IF(ISNUMBER(SEARCH(CHAR(10)&amp;B298&amp;CHAR(10),H298)),B298,IFERROR(INDEX('Set Aliases'!$A$2:$A$501,MATCH(1,('Set Aliases'!$B$2:$B$501=B298)*ISNUMBER(SEARCH(CHAR(10)&amp;'Set Aliases'!$A$2:$A$501&amp;CHAR(10),H298)),0)),"")))</f>
        <v>The List</v>
      </c>
      <c r="J298" s="80">
        <f t="array" ref="J298">IF(I298="","",IFERROR(VALUE(TRIM(MID(SUBSTITUTE(INDEX('Deck 1'!$A:$Z,ROW()-250,'List Setup'!$G$3),CHAR(10),REPT(" ",100)),((SEARCH(CHAR(10)&amp;I298&amp;CHAR(10),H298)-LEN(SUBSTITUTE(LEFT(H298,SEARCH(CHAR(10)&amp;I298&amp;CHAR(10),H298)),CHAR(10),"")))-1)*100+1,100))),""))</f>
        <v>0.92</v>
      </c>
      <c r="K298" s="80">
        <f t="array" ref="K298">IF(A298="","",IF(ISNUMBER(SEARCH("Land",LEFT(IFERROR(INDEX('Deck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4</v>
      </c>
      <c r="L298" s="80" t="str">
        <f t="shared" si="3"/>
        <v>Red</v>
      </c>
      <c r="M298" s="80">
        <f>IF(A298="","",IF(AND(E298="Y",B298='Use at Shop'!$B$4),K298*10000000000+(MAX(0,MIN(26,CODE(MID(UPPER(A298)&amp;"    ",1,1))-64))*19683+MAX(0,MIN(26,CODE(MID(UPPER(A298)&amp;"    ",2,1))-64))*729+MAX(0,MIN(26,CODE(MID(UPPER(A298)&amp;"    ",3,1))-64))*27+MAX(0,MIN(26,CODE(MID(UPPER(A298)&amp;"    ",4,1))-64))*1)*10000+ROW(),""))</f>
        <v>43580310298</v>
      </c>
      <c r="N298" s="80">
        <f t="shared" si="5"/>
        <v>48</v>
      </c>
      <c r="O298" s="83" t="str">
        <f t="array" ref="O298">IF(A298="","",IFERROR(INDEX('Deck 1'!$A:$Z,ROW()-250,'List Setup'!$J$3)&amp;"",""))</f>
        <v>https://cards.scryfall.io/small/front/6/3/63ffac51-62c4-4170-85b3-a43d7cfae7d7.jpg?1783937190</v>
      </c>
      <c r="P298" s="2"/>
      <c r="Q298" s="80" t="str">
        <f>IF(A298="","",'List Setup'!$A$3)</f>
        <v>Deck 1</v>
      </c>
      <c r="R298" s="80" t="b">
        <f t="array" ref="R298">IF(A298="","",IFERROR(OR(INDEX(Binders!$J$6:$J$30,MATCH(Q298,Binders!$I$6:$I$30,0))=TRUE(),UPPER(INDEX(Binders!$J$6:$J$30,MATCH(Q298,Binders!$I$6:$I$30,0))&amp;"")="TRUE"),FALSE()))</f>
        <v>1</v>
      </c>
    </row>
    <row r="299" ht="15.75" customHeight="1">
      <c r="A299" s="80" t="str">
        <f t="array" ref="A299">IF(INDEX('Deck 1'!$A:$Z,ROW()-250,'List Setup'!$D$3)="","",INDEX('Deck 1'!$A:$Z,ROW()-250,'List Setup'!$D$3))</f>
        <v>Retrofitter Foundry</v>
      </c>
      <c r="B299" s="80" t="str">
        <f t="array" ref="B299">IF(A299="","",IFERROR(INDEX('Binder Setup'!$B$2:$B$401,MIN(IF(ISNUMBER(SEARCH(CHAR(10)&amp;'Binder Setup'!$B$2:$B$401&amp;CHAR(10),$H299)),'List Setup'!$Q$2:$Q$401,999),IF(ISNUMBER(SEARCH(CHAR(10)&amp;'Set Aliases'!$A$2:$A$501&amp;CHAR(10),$H299)),'Set Aliases'!$C$2:$C$501,999))),"(none)"))</f>
        <v>Aetherdrift Commander</v>
      </c>
      <c r="C299" s="80" t="str">
        <f t="shared" si="1"/>
        <v>Secret Lair Countdown | Aetherdrift Commander | Judge Gift Cards 2023 | Commander 2018</v>
      </c>
      <c r="D299" s="80" t="str">
        <f t="array" ref="D299">IF(A299="","",IF(ISLOGICAL(INDEX('Deck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299" s="80" t="str">
        <f t="shared" si="2"/>
        <v>Y</v>
      </c>
      <c r="F299" s="80">
        <f t="array" ref="F299">IF(A299="","",IF(ISNUMBER(J299),J299,IF(ISNUMBER(INDEX('Deck 1'!$A:$Z,ROW()-250,'List Setup'!$F$3)),INDEX('Deck 1'!$A:$Z,ROW()-250,'List Setup'!$F$3),0)))</f>
        <v>0.33</v>
      </c>
      <c r="G299" s="80" t="str">
        <f t="array" ref="G299">IF(A299="","",A299&amp;IF(N(INDEX('Deck 1'!$A:$Z,ROW()-250,'List Setup'!$C$3))&gt;1," (x"&amp;INDEX('Deck 1'!$A:$Z,ROW()-250,'List Setup'!$C$3)&amp;")","")&amp;IF(COUNTIF(Binders!$J$6:$J$30,TRUE())&gt;1," ["&amp;Q299&amp;"]",""))</f>
        <v>Retrofitter Foundry [Deck 1]</v>
      </c>
      <c r="H299" s="80" t="str">
        <f t="array" ref="H299">IF(A299="","",CHAR(10)&amp;INDEX('Deck 1'!$A:$Z,ROW()-250,'List Setup'!$E$3)&amp;CHAR(10))</f>
        <v>
Secret Lair Countdown
Aetherdrift Commander
Judge Gift Cards 2023
Commander 2018
</v>
      </c>
      <c r="I299" s="80" t="str">
        <f t="array" ref="I299">IF(OR(B299="",B299="(none)"),"",IF(ISNUMBER(SEARCH(CHAR(10)&amp;B299&amp;CHAR(10),H299)),B299,IFERROR(INDEX('Set Aliases'!$A$2:$A$501,MATCH(1,('Set Aliases'!$B$2:$B$501=B299)*ISNUMBER(SEARCH(CHAR(10)&amp;'Set Aliases'!$A$2:$A$501&amp;CHAR(10),H299)),0)),"")))</f>
        <v>Aetherdrift Commander</v>
      </c>
      <c r="J299" s="80">
        <f t="array" ref="J299">IF(I299="","",IFERROR(VALUE(TRIM(MID(SUBSTITUTE(INDEX('Deck 1'!$A:$Z,ROW()-250,'List Setup'!$G$3),CHAR(10),REPT(" ",100)),((SEARCH(CHAR(10)&amp;I299&amp;CHAR(10),H299)-LEN(SUBSTITUTE(LEFT(H299,SEARCH(CHAR(10)&amp;I299&amp;CHAR(10),H299)),CHAR(10),"")))-1)*100+1,100))),""))</f>
        <v>0.33</v>
      </c>
      <c r="K299" s="80">
        <f t="array" ref="K299">IF(A299="","",IF(ISNUMBER(SEARCH("Land",LEFT(IFERROR(INDEX('Deck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7</v>
      </c>
      <c r="L299" s="80" t="str">
        <f t="shared" si="3"/>
        <v>Colorless</v>
      </c>
      <c r="M299" s="80" t="str">
        <f>IF(A299="","",IF(AND(E299="Y",B299='Use at Shop'!$B$4),K299*10000000000+(MAX(0,MIN(26,CODE(MID(UPPER(A299)&amp;"    ",1,1))-64))*19683+MAX(0,MIN(26,CODE(MID(UPPER(A299)&amp;"    ",2,1))-64))*729+MAX(0,MIN(26,CODE(MID(UPPER(A299)&amp;"    ",3,1))-64))*27+MAX(0,MIN(26,CODE(MID(UPPER(A299)&amp;"    ",4,1))-64))*1)*10000+ROW(),""))</f>
        <v/>
      </c>
      <c r="N299" s="80">
        <f t="shared" si="5"/>
        <v>49</v>
      </c>
      <c r="O299" s="83" t="str">
        <f t="array" ref="O299">IF(A299="","",IFERROR(INDEX('Deck 1'!$A:$Z,ROW()-250,'List Setup'!$J$3)&amp;"",""))</f>
        <v>https://cards.scryfall.io/small/front/5/d/5da578b8-19e6-4068-9336-e7cd33c585f1.jpg?1783934323</v>
      </c>
      <c r="P299" s="2"/>
      <c r="Q299" s="80" t="str">
        <f>IF(A299="","",'List Setup'!$A$3)</f>
        <v>Deck 1</v>
      </c>
      <c r="R299" s="80" t="b">
        <f t="array" ref="R299">IF(A299="","",IFERROR(OR(INDEX(Binders!$J$6:$J$30,MATCH(Q299,Binders!$I$6:$I$30,0))=TRUE(),UPPER(INDEX(Binders!$J$6:$J$30,MATCH(Q299,Binders!$I$6:$I$30,0))&amp;"")="TRUE"),FALSE()))</f>
        <v>1</v>
      </c>
    </row>
    <row r="300" ht="15.75" customHeight="1">
      <c r="A300" s="80" t="str">
        <f t="array" ref="A300">IF(INDEX('Deck 1'!$A:$Z,ROW()-250,'List Setup'!$D$3)="","",INDEX('Deck 1'!$A:$Z,ROW()-250,'List Setup'!$D$3))</f>
        <v>Rose, Cutthroat Raider</v>
      </c>
      <c r="B300" s="80" t="str">
        <f t="array" ref="B300">IF(A300="","",IFERROR(INDEX('Binder Setup'!$B$2:$B$401,MIN(IF(ISNUMBER(SEARCH(CHAR(10)&amp;'Binder Setup'!$B$2:$B$401&amp;CHAR(10),$H300)),'List Setup'!$Q$2:$Q$401,999),IF(ISNUMBER(SEARCH(CHAR(10)&amp;'Set Aliases'!$A$2:$A$501&amp;CHAR(10),$H300)),'Set Aliases'!$C$2:$C$501,999))),"(none)"))</f>
        <v>Commander Box</v>
      </c>
      <c r="C300" s="80" t="str">
        <f t="shared" si="1"/>
        <v>Fallout</v>
      </c>
      <c r="D300" s="80" t="str">
        <f t="array" ref="D300">IF(A300="","",IF(ISLOGICAL(INDEX('Deck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300" s="80" t="str">
        <f t="shared" si="2"/>
        <v>Y</v>
      </c>
      <c r="F300" s="80">
        <f t="array" ref="F300">IF(A300="","",IF(ISNUMBER(J300),J300,IF(ISNUMBER(INDEX('Deck 1'!$A:$Z,ROW()-250,'List Setup'!$F$3)),INDEX('Deck 1'!$A:$Z,ROW()-250,'List Setup'!$F$3),0)))</f>
        <v>0.67</v>
      </c>
      <c r="G300" s="80" t="str">
        <f t="array" ref="G300">IF(A300="","",A300&amp;IF(N(INDEX('Deck 1'!$A:$Z,ROW()-250,'List Setup'!$C$3))&gt;1," (x"&amp;INDEX('Deck 1'!$A:$Z,ROW()-250,'List Setup'!$C$3)&amp;")","")&amp;IF(COUNTIF(Binders!$J$6:$J$30,TRUE())&gt;1," ["&amp;Q300&amp;"]",""))</f>
        <v>Rose, Cutthroat Raider [Deck 1]</v>
      </c>
      <c r="H300" s="80" t="str">
        <f t="array" ref="H300">IF(A300="","",CHAR(10)&amp;INDEX('Deck 1'!$A:$Z,ROW()-250,'List Setup'!$E$3)&amp;CHAR(10))</f>
        <v>
Fallout
</v>
      </c>
      <c r="I300" s="80" t="str">
        <f t="array" ref="I300">IF(OR(B300="",B300="(none)"),"",IF(ISNUMBER(SEARCH(CHAR(10)&amp;B300&amp;CHAR(10),H300)),B300,IFERROR(INDEX('Set Aliases'!$A$2:$A$501,MATCH(1,('Set Aliases'!$B$2:$B$501=B300)*ISNUMBER(SEARCH(CHAR(10)&amp;'Set Aliases'!$A$2:$A$501&amp;CHAR(10),H300)),0)),"")))</f>
        <v>Fallout</v>
      </c>
      <c r="J300" s="80">
        <f t="array" ref="J300">IF(I300="","",IFERROR(VALUE(TRIM(MID(SUBSTITUTE(INDEX('Deck 1'!$A:$Z,ROW()-250,'List Setup'!$G$3),CHAR(10),REPT(" ",100)),((SEARCH(CHAR(10)&amp;I300&amp;CHAR(10),H300)-LEN(SUBSTITUTE(LEFT(H300,SEARCH(CHAR(10)&amp;I300&amp;CHAR(10),H300)),CHAR(10),"")))-1)*100+1,100))),""))</f>
        <v>0.67</v>
      </c>
      <c r="K300" s="80">
        <f t="array" ref="K300">IF(A300="","",IF(ISNUMBER(SEARCH("Land",LEFT(IFERROR(INDEX('Deck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4</v>
      </c>
      <c r="L300" s="80" t="str">
        <f t="shared" si="3"/>
        <v>Red</v>
      </c>
      <c r="M300" s="80" t="str">
        <f>IF(A300="","",IF(AND(E300="Y",B300='Use at Shop'!$B$4),K300*10000000000+(MAX(0,MIN(26,CODE(MID(UPPER(A300)&amp;"    ",1,1))-64))*19683+MAX(0,MIN(26,CODE(MID(UPPER(A300)&amp;"    ",2,1))-64))*729+MAX(0,MIN(26,CODE(MID(UPPER(A300)&amp;"    ",3,1))-64))*27+MAX(0,MIN(26,CODE(MID(UPPER(A300)&amp;"    ",4,1))-64))*1)*10000+ROW(),""))</f>
        <v/>
      </c>
      <c r="N300" s="80">
        <f t="shared" si="5"/>
        <v>50</v>
      </c>
      <c r="O300" s="83" t="str">
        <f t="array" ref="O300">IF(A300="","",IFERROR(INDEX('Deck 1'!$A:$Z,ROW()-250,'List Setup'!$J$3)&amp;"",""))</f>
        <v>https://cards.scryfall.io/small/front/f/8/f803a510-99fe-467a-be3b-9301497ec7ec.jpg?1783912401</v>
      </c>
      <c r="P300" s="2"/>
      <c r="Q300" s="80" t="str">
        <f>IF(A300="","",'List Setup'!$A$3)</f>
        <v>Deck 1</v>
      </c>
      <c r="R300" s="80" t="b">
        <f t="array" ref="R300">IF(A300="","",IFERROR(OR(INDEX(Binders!$J$6:$J$30,MATCH(Q300,Binders!$I$6:$I$30,0))=TRUE(),UPPER(INDEX(Binders!$J$6:$J$30,MATCH(Q300,Binders!$I$6:$I$30,0))&amp;"")="TRUE"),FALSE()))</f>
        <v>1</v>
      </c>
    </row>
    <row r="301" ht="15.75" customHeight="1">
      <c r="A301" s="80" t="str">
        <f t="array" ref="A301">IF(INDEX('Deck 1'!$A:$Z,ROW()-250,'List Setup'!$D$3)="","",INDEX('Deck 1'!$A:$Z,ROW()-250,'List Setup'!$D$3))</f>
        <v>Rugged Prairie</v>
      </c>
      <c r="B301" s="80" t="str">
        <f t="array" ref="B301">IF(A301="","",IFERROR(INDEX('Binder Setup'!$B$2:$B$401,MIN(IF(ISNUMBER(SEARCH(CHAR(10)&amp;'Binder Setup'!$B$2:$B$401&amp;CHAR(10),$H301)),'List Setup'!$Q$2:$Q$401,999),IF(ISNUMBER(SEARCH(CHAR(10)&amp;'Set Aliases'!$A$2:$A$501&amp;CHAR(10),$H301)),'Set Aliases'!$C$2:$C$501,999))),"(none)"))</f>
        <v>Commander Masters</v>
      </c>
      <c r="C301" s="80" t="str">
        <f t="shared" si="1"/>
        <v>Secrets of Strixhaven Commander | Edge of Eternities Commander | Final Fantasy Commander | Tarkir: Dragonstorm Commander | Bloomburrow Commander | Outlaws of Thunder Junction Commander | Commander Masters | New Capenna Commander | Double Masters | Masters 25 | Zendikar Expeditions | Eventide</v>
      </c>
      <c r="D301" s="80" t="str">
        <f t="array" ref="D301">IF(A301="","",IF(ISLOGICAL(INDEX('Deck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301" s="80" t="str">
        <f t="shared" si="2"/>
        <v>Y</v>
      </c>
      <c r="F301" s="80">
        <f t="array" ref="F301">IF(A301="","",IF(ISNUMBER(J301),J301,IF(ISNUMBER(INDEX('Deck 1'!$A:$Z,ROW()-250,'List Setup'!$F$3)),INDEX('Deck 1'!$A:$Z,ROW()-250,'List Setup'!$F$3),0)))</f>
        <v>0.51</v>
      </c>
      <c r="G301" s="80" t="str">
        <f t="array" ref="G301">IF(A301="","",A301&amp;IF(N(INDEX('Deck 1'!$A:$Z,ROW()-250,'List Setup'!$C$3))&gt;1," (x"&amp;INDEX('Deck 1'!$A:$Z,ROW()-250,'List Setup'!$C$3)&amp;")","")&amp;IF(COUNTIF(Binders!$J$6:$J$30,TRUE())&gt;1," ["&amp;Q301&amp;"]",""))</f>
        <v>Rugged Prairie [Deck 1]</v>
      </c>
      <c r="H301" s="80" t="str">
        <f t="array" ref="H301">IF(A301="","",CHAR(10)&amp;INDEX('Deck 1'!$A:$Z,ROW()-250,'List Setup'!$E$3)&amp;CHAR(10))</f>
        <v>
Secrets of Strixhaven Commander
Edge of Eternities Commander
Final Fantasy Commander
Tarkir: Dragonstorm Commander
Bloomburrow Commander
Outlaws of Thunder Junction Commander
Commander Masters
New Capenna Commander
Double Masters
Masters 25
Zendikar Expeditions
Eventide
</v>
      </c>
      <c r="I301" s="80" t="str">
        <f t="array" ref="I301">IF(OR(B301="",B301="(none)"),"",IF(ISNUMBER(SEARCH(CHAR(10)&amp;B301&amp;CHAR(10),H301)),B301,IFERROR(INDEX('Set Aliases'!$A$2:$A$501,MATCH(1,('Set Aliases'!$B$2:$B$501=B301)*ISNUMBER(SEARCH(CHAR(10)&amp;'Set Aliases'!$A$2:$A$501&amp;CHAR(10),H301)),0)),"")))</f>
        <v>Commander Masters</v>
      </c>
      <c r="J301" s="80">
        <f t="array" ref="J301">IF(I301="","",IFERROR(VALUE(TRIM(MID(SUBSTITUTE(INDEX('Deck 1'!$A:$Z,ROW()-250,'List Setup'!$G$3),CHAR(10),REPT(" ",100)),((SEARCH(CHAR(10)&amp;I301&amp;CHAR(10),H301)-LEN(SUBSTITUTE(LEFT(H301,SEARCH(CHAR(10)&amp;I301&amp;CHAR(10),H301)),CHAR(10),"")))-1)*100+1,100))),""))</f>
        <v>0.51</v>
      </c>
      <c r="K301" s="80">
        <f t="array" ref="K301">IF(A301="","",IF(ISNUMBER(SEARCH("Land",LEFT(IFERROR(INDEX('Deck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8</v>
      </c>
      <c r="L301" s="80" t="str">
        <f t="shared" si="3"/>
        <v>Land</v>
      </c>
      <c r="M301" s="80" t="str">
        <f>IF(A301="","",IF(AND(E301="Y",B301='Use at Shop'!$B$4),K301*10000000000+(MAX(0,MIN(26,CODE(MID(UPPER(A301)&amp;"    ",1,1))-64))*19683+MAX(0,MIN(26,CODE(MID(UPPER(A301)&amp;"    ",2,1))-64))*729+MAX(0,MIN(26,CODE(MID(UPPER(A301)&amp;"    ",3,1))-64))*27+MAX(0,MIN(26,CODE(MID(UPPER(A301)&amp;"    ",4,1))-64))*1)*10000+ROW(),""))</f>
        <v/>
      </c>
      <c r="N301" s="80">
        <f t="shared" si="5"/>
        <v>51</v>
      </c>
      <c r="O301" s="83" t="str">
        <f t="array" ref="O301">IF(A301="","",IFERROR(INDEX('Deck 1'!$A:$Z,ROW()-250,'List Setup'!$J$3)&amp;"",""))</f>
        <v>https://cards.scryfall.io/small/front/6/b/6bd21c9e-de16-4ee9-ae16-6e82b490109d.jpg?1783903721</v>
      </c>
      <c r="P301" s="2"/>
      <c r="Q301" s="80" t="str">
        <f>IF(A301="","",'List Setup'!$A$3)</f>
        <v>Deck 1</v>
      </c>
      <c r="R301" s="80" t="b">
        <f t="array" ref="R301">IF(A301="","",IFERROR(OR(INDEX(Binders!$J$6:$J$30,MATCH(Q301,Binders!$I$6:$I$30,0))=TRUE(),UPPER(INDEX(Binders!$J$6:$J$30,MATCH(Q301,Binders!$I$6:$I$30,0))&amp;"")="TRUE"),FALSE()))</f>
        <v>1</v>
      </c>
    </row>
    <row r="302" ht="15.75" customHeight="1">
      <c r="A302" s="80" t="str">
        <f t="array" ref="A302">IF(INDEX('Deck 1'!$A:$Z,ROW()-250,'List Setup'!$D$3)="","",INDEX('Deck 1'!$A:$Z,ROW()-250,'List Setup'!$D$3))</f>
        <v>Scavenger Grounds</v>
      </c>
      <c r="B302" s="80" t="str">
        <f t="array" ref="B302">IF(A302="","",IFERROR(INDEX('Binder Setup'!$B$2:$B$401,MIN(IF(ISNUMBER(SEARCH(CHAR(10)&amp;'Binder Setup'!$B$2:$B$401&amp;CHAR(10),$H302)),'List Setup'!$Q$2:$Q$401,999),IF(ISNUMBER(SEARCH(CHAR(10)&amp;'Set Aliases'!$A$2:$A$501&amp;CHAR(10),$H302)),'Set Aliases'!$C$2:$C$501,999))),"(none)"))</f>
        <v>Commander Box</v>
      </c>
      <c r="C302" s="80" t="str">
        <f t="shared" si="1"/>
        <v>Foundations Commander | Marvel Super Heroes Commander | Edge of Eternities: Stellar Sights | Final Fantasy Commander | Outlaws of Thunder Junction Commander | Fallout | Murders at Karlov Manor Commander | Commander Masters | Commander 2021 | Commander 2020 | Hour of Devastation Promos | Hour of Devastation</v>
      </c>
      <c r="D302" s="80" t="str">
        <f t="array" ref="D302">IF(A302="","",IF(ISLOGICAL(INDEX('Deck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302" s="80" t="str">
        <f t="shared" si="2"/>
        <v>Y</v>
      </c>
      <c r="F302" s="80">
        <f t="array" ref="F302">IF(A302="","",IF(ISNUMBER(J302),J302,IF(ISNUMBER(INDEX('Deck 1'!$A:$Z,ROW()-250,'List Setup'!$F$3)),INDEX('Deck 1'!$A:$Z,ROW()-250,'List Setup'!$F$3),0)))</f>
        <v>0.35</v>
      </c>
      <c r="G302" s="80" t="str">
        <f t="array" ref="G302">IF(A302="","",A302&amp;IF(N(INDEX('Deck 1'!$A:$Z,ROW()-250,'List Setup'!$C$3))&gt;1," (x"&amp;INDEX('Deck 1'!$A:$Z,ROW()-250,'List Setup'!$C$3)&amp;")","")&amp;IF(COUNTIF(Binders!$J$6:$J$30,TRUE())&gt;1," ["&amp;Q302&amp;"]",""))</f>
        <v>Scavenger Grounds [Deck 1]</v>
      </c>
      <c r="H302" s="80" t="str">
        <f t="array" ref="H302">IF(A302="","",CHAR(10)&amp;INDEX('Deck 1'!$A:$Z,ROW()-250,'List Setup'!$E$3)&amp;CHAR(10))</f>
        <v>
Foundations Commander
Marvel Super Heroes Commander
Edge of Eternities: Stellar Sights
Final Fantasy Commander
Outlaws of Thunder Junction Commander
Fallout
Murders at Karlov Manor Commander
Commander Masters
Commander 2021
Commander 2020
Hour of Devastation Promos
Hour of Devastation
</v>
      </c>
      <c r="I302" s="80" t="str">
        <f t="array" ref="I302">IF(OR(B302="",B302="(none)"),"",IF(ISNUMBER(SEARCH(CHAR(10)&amp;B302&amp;CHAR(10),H302)),B302,IFERROR(INDEX('Set Aliases'!$A$2:$A$501,MATCH(1,('Set Aliases'!$B$2:$B$501=B302)*ISNUMBER(SEARCH(CHAR(10)&amp;'Set Aliases'!$A$2:$A$501&amp;CHAR(10),H302)),0)),"")))</f>
        <v>Fallout</v>
      </c>
      <c r="J302" s="80">
        <f t="array" ref="J302">IF(I302="","",IFERROR(VALUE(TRIM(MID(SUBSTITUTE(INDEX('Deck 1'!$A:$Z,ROW()-250,'List Setup'!$G$3),CHAR(10),REPT(" ",100)),((SEARCH(CHAR(10)&amp;I302&amp;CHAR(10),H302)-LEN(SUBSTITUTE(LEFT(H302,SEARCH(CHAR(10)&amp;I302&amp;CHAR(10),H302)),CHAR(10),"")))-1)*100+1,100))),""))</f>
        <v>0.35</v>
      </c>
      <c r="K302" s="80">
        <f t="array" ref="K302">IF(A302="","",IF(ISNUMBER(SEARCH("Land",LEFT(IFERROR(INDEX('Deck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8</v>
      </c>
      <c r="L302" s="80" t="str">
        <f t="shared" si="3"/>
        <v>Land</v>
      </c>
      <c r="M302" s="80" t="str">
        <f>IF(A302="","",IF(AND(E302="Y",B302='Use at Shop'!$B$4),K302*10000000000+(MAX(0,MIN(26,CODE(MID(UPPER(A302)&amp;"    ",1,1))-64))*19683+MAX(0,MIN(26,CODE(MID(UPPER(A302)&amp;"    ",2,1))-64))*729+MAX(0,MIN(26,CODE(MID(UPPER(A302)&amp;"    ",3,1))-64))*27+MAX(0,MIN(26,CODE(MID(UPPER(A302)&amp;"    ",4,1))-64))*1)*10000+ROW(),""))</f>
        <v/>
      </c>
      <c r="N302" s="80">
        <f t="shared" si="5"/>
        <v>52</v>
      </c>
      <c r="O302" s="83" t="str">
        <f t="array" ref="O302">IF(A302="","",IFERROR(INDEX('Deck 1'!$A:$Z,ROW()-250,'List Setup'!$J$3)&amp;"",""))</f>
        <v>https://cards.scryfall.io/small/front/9/f/9fbe68ba-ffe5-4fe0-ac0a-0b3221e4f395.jpg?1783903197</v>
      </c>
      <c r="P302" s="2"/>
      <c r="Q302" s="80" t="str">
        <f>IF(A302="","",'List Setup'!$A$3)</f>
        <v>Deck 1</v>
      </c>
      <c r="R302" s="80" t="b">
        <f t="array" ref="R302">IF(A302="","",IFERROR(OR(INDEX(Binders!$J$6:$J$30,MATCH(Q302,Binders!$I$6:$I$30,0))=TRUE(),UPPER(INDEX(Binders!$J$6:$J$30,MATCH(Q302,Binders!$I$6:$I$30,0))&amp;"")="TRUE"),FALSE()))</f>
        <v>1</v>
      </c>
    </row>
    <row r="303" ht="15.75" customHeight="1">
      <c r="A303" s="80" t="str">
        <f t="array" ref="A303">IF(INDEX('Deck 1'!$A:$Z,ROW()-250,'List Setup'!$D$3)="","",INDEX('Deck 1'!$A:$Z,ROW()-250,'List Setup'!$D$3))</f>
        <v>Sentinel Sarah Lyons</v>
      </c>
      <c r="B303" s="80" t="str">
        <f t="array" ref="B303">IF(A303="","",IFERROR(INDEX('Binder Setup'!$B$2:$B$401,MIN(IF(ISNUMBER(SEARCH(CHAR(10)&amp;'Binder Setup'!$B$2:$B$401&amp;CHAR(10),$H303)),'List Setup'!$Q$2:$Q$401,999),IF(ISNUMBER(SEARCH(CHAR(10)&amp;'Set Aliases'!$A$2:$A$501&amp;CHAR(10),$H303)),'Set Aliases'!$C$2:$C$501,999))),"(none)"))</f>
        <v>Commander Box</v>
      </c>
      <c r="C303" s="80" t="str">
        <f t="shared" si="1"/>
        <v>Fallout</v>
      </c>
      <c r="D303" s="80" t="str">
        <f t="array" ref="D303">IF(A303="","",IF(ISLOGICAL(INDEX('Deck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303" s="80" t="str">
        <f t="shared" si="2"/>
        <v>Y</v>
      </c>
      <c r="F303" s="80">
        <f t="array" ref="F303">IF(A303="","",IF(ISNUMBER(J303),J303,IF(ISNUMBER(INDEX('Deck 1'!$A:$Z,ROW()-250,'List Setup'!$F$3)),INDEX('Deck 1'!$A:$Z,ROW()-250,'List Setup'!$F$3),0)))</f>
        <v>0.27</v>
      </c>
      <c r="G303" s="80" t="str">
        <f t="array" ref="G303">IF(A303="","",A303&amp;IF(N(INDEX('Deck 1'!$A:$Z,ROW()-250,'List Setup'!$C$3))&gt;1," (x"&amp;INDEX('Deck 1'!$A:$Z,ROW()-250,'List Setup'!$C$3)&amp;")","")&amp;IF(COUNTIF(Binders!$J$6:$J$30,TRUE())&gt;1," ["&amp;Q303&amp;"]",""))</f>
        <v>Sentinel Sarah Lyons [Deck 1]</v>
      </c>
      <c r="H303" s="80" t="str">
        <f t="array" ref="H303">IF(A303="","",CHAR(10)&amp;INDEX('Deck 1'!$A:$Z,ROW()-250,'List Setup'!$E$3)&amp;CHAR(10))</f>
        <v>
Fallout
</v>
      </c>
      <c r="I303" s="80" t="str">
        <f t="array" ref="I303">IF(OR(B303="",B303="(none)"),"",IF(ISNUMBER(SEARCH(CHAR(10)&amp;B303&amp;CHAR(10),H303)),B303,IFERROR(INDEX('Set Aliases'!$A$2:$A$501,MATCH(1,('Set Aliases'!$B$2:$B$501=B303)*ISNUMBER(SEARCH(CHAR(10)&amp;'Set Aliases'!$A$2:$A$501&amp;CHAR(10),H303)),0)),"")))</f>
        <v>Fallout</v>
      </c>
      <c r="J303" s="80">
        <f t="array" ref="J303">IF(I303="","",IFERROR(VALUE(TRIM(MID(SUBSTITUTE(INDEX('Deck 1'!$A:$Z,ROW()-250,'List Setup'!$G$3),CHAR(10),REPT(" ",100)),((SEARCH(CHAR(10)&amp;I303&amp;CHAR(10),H303)-LEN(SUBSTITUTE(LEFT(H303,SEARCH(CHAR(10)&amp;I303&amp;CHAR(10),H303)),CHAR(10),"")))-1)*100+1,100))),""))</f>
        <v>0.27</v>
      </c>
      <c r="K303" s="80">
        <f t="array" ref="K303">IF(A303="","",IF(ISNUMBER(SEARCH("Land",LEFT(IFERROR(INDEX('Deck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6</v>
      </c>
      <c r="L303" s="80" t="str">
        <f t="shared" si="3"/>
        <v>Multicolor</v>
      </c>
      <c r="M303" s="80" t="str">
        <f>IF(A303="","",IF(AND(E303="Y",B303='Use at Shop'!$B$4),K303*10000000000+(MAX(0,MIN(26,CODE(MID(UPPER(A303)&amp;"    ",1,1))-64))*19683+MAX(0,MIN(26,CODE(MID(UPPER(A303)&amp;"    ",2,1))-64))*729+MAX(0,MIN(26,CODE(MID(UPPER(A303)&amp;"    ",3,1))-64))*27+MAX(0,MIN(26,CODE(MID(UPPER(A303)&amp;"    ",4,1))-64))*1)*10000+ROW(),""))</f>
        <v/>
      </c>
      <c r="N303" s="80">
        <f t="shared" si="5"/>
        <v>53</v>
      </c>
      <c r="O303" s="83" t="str">
        <f t="array" ref="O303">IF(A303="","",IFERROR(INDEX('Deck 1'!$A:$Z,ROW()-250,'List Setup'!$J$3)&amp;"",""))</f>
        <v>https://cards.scryfall.io/small/front/2/3/23b76965-528c-48f9-9ee6-332b09cae664.jpg?1783912384</v>
      </c>
      <c r="P303" s="2"/>
      <c r="Q303" s="80" t="str">
        <f>IF(A303="","",'List Setup'!$A$3)</f>
        <v>Deck 1</v>
      </c>
      <c r="R303" s="80" t="b">
        <f t="array" ref="R303">IF(A303="","",IFERROR(OR(INDEX(Binders!$J$6:$J$30,MATCH(Q303,Binders!$I$6:$I$30,0))=TRUE(),UPPER(INDEX(Binders!$J$6:$J$30,MATCH(Q303,Binders!$I$6:$I$30,0))&amp;"")="TRUE"),FALSE()))</f>
        <v>1</v>
      </c>
    </row>
    <row r="304" ht="15.75" customHeight="1">
      <c r="A304" s="80" t="str">
        <f t="array" ref="A304">IF(INDEX('Deck 1'!$A:$Z,ROW()-250,'List Setup'!$D$3)="","",INDEX('Deck 1'!$A:$Z,ROW()-250,'List Setup'!$D$3))</f>
        <v>Sephara, Sky's Blade</v>
      </c>
      <c r="B304" s="80" t="str">
        <f t="array" ref="B304">IF(A304="","",IFERROR(INDEX('Binder Setup'!$B$2:$B$401,MIN(IF(ISNUMBER(SEARCH(CHAR(10)&amp;'Binder Setup'!$B$2:$B$401&amp;CHAR(10),$H304)),'List Setup'!$Q$2:$Q$401,999),IF(ISNUMBER(SEARCH(CHAR(10)&amp;'Set Aliases'!$A$2:$A$501&amp;CHAR(10),$H304)),'Set Aliases'!$C$2:$C$501,999))),"(none)"))</f>
        <v>Foundations</v>
      </c>
      <c r="C304" s="80" t="str">
        <f t="shared" si="1"/>
        <v>Foundations Commander | The List | Commander Masters | Starter Commander Decks | Core Set 2020 Promos | Core Set 2020</v>
      </c>
      <c r="D304" s="80" t="str">
        <f t="array" ref="D304">IF(A304="","",IF(ISLOGICAL(INDEX('Deck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304" s="80" t="str">
        <f t="shared" si="2"/>
        <v>Y</v>
      </c>
      <c r="F304" s="80">
        <f t="array" ref="F304">IF(A304="","",IF(ISNUMBER(J304),J304,IF(ISNUMBER(INDEX('Deck 1'!$A:$Z,ROW()-250,'List Setup'!$F$3)),INDEX('Deck 1'!$A:$Z,ROW()-250,'List Setup'!$F$3),0)))</f>
        <v>6.61</v>
      </c>
      <c r="G304" s="80" t="str">
        <f t="array" ref="G304">IF(A304="","",A304&amp;IF(N(INDEX('Deck 1'!$A:$Z,ROW()-250,'List Setup'!$C$3))&gt;1," (x"&amp;INDEX('Deck 1'!$A:$Z,ROW()-250,'List Setup'!$C$3)&amp;")","")&amp;IF(COUNTIF(Binders!$J$6:$J$30,TRUE())&gt;1," ["&amp;Q304&amp;"]",""))</f>
        <v>Sephara, Sky's Blade [Deck 1]</v>
      </c>
      <c r="H304" s="80" t="str">
        <f t="array" ref="H304">IF(A304="","",CHAR(10)&amp;INDEX('Deck 1'!$A:$Z,ROW()-250,'List Setup'!$E$3)&amp;CHAR(10))</f>
        <v>
Foundations Commander
The List
Commander Masters
Starter Commander Decks
Core Set 2020 Promos
Core Set 2020
</v>
      </c>
      <c r="I304" s="80" t="str">
        <f t="array" ref="I304">IF(OR(B304="",B304="(none)"),"",IF(ISNUMBER(SEARCH(CHAR(10)&amp;B304&amp;CHAR(10),H304)),B304,IFERROR(INDEX('Set Aliases'!$A$2:$A$501,MATCH(1,('Set Aliases'!$B$2:$B$501=B304)*ISNUMBER(SEARCH(CHAR(10)&amp;'Set Aliases'!$A$2:$A$501&amp;CHAR(10),H304)),0)),"")))</f>
        <v>The List</v>
      </c>
      <c r="J304" s="80">
        <f t="array" ref="J304">IF(I304="","",IFERROR(VALUE(TRIM(MID(SUBSTITUTE(INDEX('Deck 1'!$A:$Z,ROW()-250,'List Setup'!$G$3),CHAR(10),REPT(" ",100)),((SEARCH(CHAR(10)&amp;I304&amp;CHAR(10),H304)-LEN(SUBSTITUTE(LEFT(H304,SEARCH(CHAR(10)&amp;I304&amp;CHAR(10),H304)),CHAR(10),"")))-1)*100+1,100))),""))</f>
        <v>6.61</v>
      </c>
      <c r="K304" s="80">
        <f t="array" ref="K304">IF(A304="","",IF(ISNUMBER(SEARCH("Land",LEFT(IFERROR(INDEX('Deck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1</v>
      </c>
      <c r="L304" s="80" t="str">
        <f t="shared" si="3"/>
        <v>White</v>
      </c>
      <c r="M304" s="80">
        <f>IF(A304="","",IF(AND(E304="Y",B304='Use at Shop'!$B$4),K304*10000000000+(MAX(0,MIN(26,CODE(MID(UPPER(A304)&amp;"    ",1,1))-64))*19683+MAX(0,MIN(26,CODE(MID(UPPER(A304)&amp;"    ",2,1))-64))*729+MAX(0,MIN(26,CODE(MID(UPPER(A304)&amp;"    ",3,1))-64))*27+MAX(0,MIN(26,CODE(MID(UPPER(A304)&amp;"    ",4,1))-64))*1)*10000+ROW(),""))</f>
        <v>13780620304</v>
      </c>
      <c r="N304" s="80">
        <f t="shared" si="5"/>
        <v>54</v>
      </c>
      <c r="O304" s="83" t="str">
        <f t="array" ref="O304">IF(A304="","",IFERROR(INDEX('Deck 1'!$A:$Z,ROW()-250,'List Setup'!$J$3)&amp;"",""))</f>
        <v>https://cards.scryfall.io/small/front/7/2/729ee848-6c27-4202-b2bc-605f45209468.jpg?1783915714</v>
      </c>
      <c r="P304" s="2"/>
      <c r="Q304" s="80" t="str">
        <f>IF(A304="","",'List Setup'!$A$3)</f>
        <v>Deck 1</v>
      </c>
      <c r="R304" s="80" t="b">
        <f t="array" ref="R304">IF(A304="","",IFERROR(OR(INDEX(Binders!$J$6:$J$30,MATCH(Q304,Binders!$I$6:$I$30,0))=TRUE(),UPPER(INDEX(Binders!$J$6:$J$30,MATCH(Q304,Binders!$I$6:$I$30,0))&amp;"")="TRUE"),FALSE()))</f>
        <v>1</v>
      </c>
    </row>
    <row r="305" ht="15.75" customHeight="1">
      <c r="A305" s="80" t="str">
        <f t="array" ref="A305">IF(INDEX('Deck 1'!$A:$Z,ROW()-250,'List Setup'!$D$3)="","",INDEX('Deck 1'!$A:$Z,ROW()-250,'List Setup'!$D$3))</f>
        <v>Shadow of the Goblin</v>
      </c>
      <c r="B305" s="80" t="str">
        <f t="array" ref="B305">IF(A305="","",IFERROR(INDEX('Binder Setup'!$B$2:$B$401,MIN(IF(ISNUMBER(SEARCH(CHAR(10)&amp;'Binder Setup'!$B$2:$B$401&amp;CHAR(10),$H305)),'List Setup'!$Q$2:$Q$401,999),IF(ISNUMBER(SEARCH(CHAR(10)&amp;'Set Aliases'!$A$2:$A$501&amp;CHAR(10),$H305)),'Set Aliases'!$C$2:$C$501,999))),"(none)"))</f>
        <v>Marvel's Spider-Man</v>
      </c>
      <c r="C305" s="80" t="str">
        <f t="shared" si="1"/>
        <v>Marvel's Spider-Man Promos | Marvel's Spider-Man</v>
      </c>
      <c r="D305" s="80" t="str">
        <f t="array" ref="D305">IF(A305="","",IF(ISLOGICAL(INDEX('Deck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305" s="80" t="str">
        <f t="shared" si="2"/>
        <v>Y</v>
      </c>
      <c r="F305" s="80">
        <f t="array" ref="F305">IF(A305="","",IF(ISNUMBER(J305),J305,IF(ISNUMBER(INDEX('Deck 1'!$A:$Z,ROW()-250,'List Setup'!$F$3)),INDEX('Deck 1'!$A:$Z,ROW()-250,'List Setup'!$F$3),0)))</f>
        <v>0.68</v>
      </c>
      <c r="G305" s="80" t="str">
        <f t="array" ref="G305">IF(A305="","",A305&amp;IF(N(INDEX('Deck 1'!$A:$Z,ROW()-250,'List Setup'!$C$3))&gt;1," (x"&amp;INDEX('Deck 1'!$A:$Z,ROW()-250,'List Setup'!$C$3)&amp;")","")&amp;IF(COUNTIF(Binders!$J$6:$J$30,TRUE())&gt;1," ["&amp;Q305&amp;"]",""))</f>
        <v>Shadow of the Goblin [Deck 1]</v>
      </c>
      <c r="H305" s="80" t="str">
        <f t="array" ref="H305">IF(A305="","",CHAR(10)&amp;INDEX('Deck 1'!$A:$Z,ROW()-250,'List Setup'!$E$3)&amp;CHAR(10))</f>
        <v>
Marvel's Spider-Man Promos
Marvel's Spider-Man
</v>
      </c>
      <c r="I305" s="80" t="str">
        <f t="array" ref="I305">IF(OR(B305="",B305="(none)"),"",IF(ISNUMBER(SEARCH(CHAR(10)&amp;B305&amp;CHAR(10),H305)),B305,IFERROR(INDEX('Set Aliases'!$A$2:$A$501,MATCH(1,('Set Aliases'!$B$2:$B$501=B305)*ISNUMBER(SEARCH(CHAR(10)&amp;'Set Aliases'!$A$2:$A$501&amp;CHAR(10),H305)),0)),"")))</f>
        <v>Marvel's Spider-Man</v>
      </c>
      <c r="J305" s="80">
        <f t="array" ref="J305">IF(I305="","",IFERROR(VALUE(TRIM(MID(SUBSTITUTE(INDEX('Deck 1'!$A:$Z,ROW()-250,'List Setup'!$G$3),CHAR(10),REPT(" ",100)),((SEARCH(CHAR(10)&amp;I305&amp;CHAR(10),H305)-LEN(SUBSTITUTE(LEFT(H305,SEARCH(CHAR(10)&amp;I305&amp;CHAR(10),H305)),CHAR(10),"")))-1)*100+1,100))),""))</f>
        <v>0.68</v>
      </c>
      <c r="K305" s="80">
        <f t="array" ref="K305">IF(A305="","",IF(ISNUMBER(SEARCH("Land",LEFT(IFERROR(INDEX('Deck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4</v>
      </c>
      <c r="L305" s="80" t="str">
        <f t="shared" si="3"/>
        <v>Red</v>
      </c>
      <c r="M305" s="80" t="str">
        <f>IF(A305="","",IF(AND(E305="Y",B305='Use at Shop'!$B$4),K305*10000000000+(MAX(0,MIN(26,CODE(MID(UPPER(A305)&amp;"    ",1,1))-64))*19683+MAX(0,MIN(26,CODE(MID(UPPER(A305)&amp;"    ",2,1))-64))*729+MAX(0,MIN(26,CODE(MID(UPPER(A305)&amp;"    ",3,1))-64))*27+MAX(0,MIN(26,CODE(MID(UPPER(A305)&amp;"    ",4,1))-64))*1)*10000+ROW(),""))</f>
        <v/>
      </c>
      <c r="N305" s="80">
        <f t="shared" si="5"/>
        <v>55</v>
      </c>
      <c r="O305" s="83" t="str">
        <f t="array" ref="O305">IF(A305="","",IFERROR(INDEX('Deck 1'!$A:$Z,ROW()-250,'List Setup'!$J$3)&amp;"",""))</f>
        <v>https://cards.scryfall.io/small/front/8/5/854b6898-c480-435b-8952-a077c7977cec.jpg?1783905334</v>
      </c>
      <c r="P305" s="2"/>
      <c r="Q305" s="80" t="str">
        <f>IF(A305="","",'List Setup'!$A$3)</f>
        <v>Deck 1</v>
      </c>
      <c r="R305" s="80" t="b">
        <f t="array" ref="R305">IF(A305="","",IFERROR(OR(INDEX(Binders!$J$6:$J$30,MATCH(Q305,Binders!$I$6:$I$30,0))=TRUE(),UPPER(INDEX(Binders!$J$6:$J$30,MATCH(Q305,Binders!$I$6:$I$30,0))&amp;"")="TRUE"),FALSE()))</f>
        <v>1</v>
      </c>
    </row>
    <row r="306" ht="15.75" customHeight="1">
      <c r="A306" s="80" t="str">
        <f t="array" ref="A306">IF(INDEX('Deck 1'!$A:$Z,ROW()-250,'List Setup'!$D$3)="","",INDEX('Deck 1'!$A:$Z,ROW()-250,'List Setup'!$D$3))</f>
        <v>Spire of Industry</v>
      </c>
      <c r="B306" s="80" t="str">
        <f t="array" ref="B306">IF(A306="","",IFERROR(INDEX('Binder Setup'!$B$2:$B$401,MIN(IF(ISNUMBER(SEARCH(CHAR(10)&amp;'Binder Setup'!$B$2:$B$401&amp;CHAR(10),$H306)),'List Setup'!$Q$2:$Q$401,999),IF(ISNUMBER(SEARCH(CHAR(10)&amp;'Set Aliases'!$A$2:$A$501&amp;CHAR(10),$H306)),'Set Aliases'!$C$2:$C$501,999))),"(none)"))</f>
        <v>Commander Box</v>
      </c>
      <c r="C306" s="80" t="str">
        <f t="shared" si="1"/>
        <v>Edge of Eternities Commander | Final Fantasy Commander | Aetherdrift Commander | Fallout | Murders at Karlov Manor Commander | March of the Machine Commander | The Brothers' War Commander | Neon Dynasty Commander | Aether Revolt Promos | Aether Revolt</v>
      </c>
      <c r="D306" s="80" t="str">
        <f t="array" ref="D306">IF(A306="","",IF(ISLOGICAL(INDEX('Deck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306" s="80" t="str">
        <f t="shared" si="2"/>
        <v>Y</v>
      </c>
      <c r="F306" s="80">
        <f t="array" ref="F306">IF(A306="","",IF(ISNUMBER(J306),J306,IF(ISNUMBER(INDEX('Deck 1'!$A:$Z,ROW()-250,'List Setup'!$F$3)),INDEX('Deck 1'!$A:$Z,ROW()-250,'List Setup'!$F$3),0)))</f>
        <v>0.32</v>
      </c>
      <c r="G306" s="80" t="str">
        <f t="array" ref="G306">IF(A306="","",A306&amp;IF(N(INDEX('Deck 1'!$A:$Z,ROW()-250,'List Setup'!$C$3))&gt;1," (x"&amp;INDEX('Deck 1'!$A:$Z,ROW()-250,'List Setup'!$C$3)&amp;")","")&amp;IF(COUNTIF(Binders!$J$6:$J$30,TRUE())&gt;1," ["&amp;Q306&amp;"]",""))</f>
        <v>Spire of Industry [Deck 1]</v>
      </c>
      <c r="H306" s="80" t="str">
        <f t="array" ref="H306">IF(A306="","",CHAR(10)&amp;INDEX('Deck 1'!$A:$Z,ROW()-250,'List Setup'!$E$3)&amp;CHAR(10))</f>
        <v>
Edge of Eternities Commander
Final Fantasy Commander
Aetherdrift Commander
Fallout
Murders at Karlov Manor Commander
March of the Machine Commander
The Brothers' War Commander
Neon Dynasty Commander
Aether Revolt Promos
Aether Revolt
</v>
      </c>
      <c r="I306" s="80" t="str">
        <f t="array" ref="I306">IF(OR(B306="",B306="(none)"),"",IF(ISNUMBER(SEARCH(CHAR(10)&amp;B306&amp;CHAR(10),H306)),B306,IFERROR(INDEX('Set Aliases'!$A$2:$A$501,MATCH(1,('Set Aliases'!$B$2:$B$501=B306)*ISNUMBER(SEARCH(CHAR(10)&amp;'Set Aliases'!$A$2:$A$501&amp;CHAR(10),H306)),0)),"")))</f>
        <v>Fallout</v>
      </c>
      <c r="J306" s="80">
        <f t="array" ref="J306">IF(I306="","",IFERROR(VALUE(TRIM(MID(SUBSTITUTE(INDEX('Deck 1'!$A:$Z,ROW()-250,'List Setup'!$G$3),CHAR(10),REPT(" ",100)),((SEARCH(CHAR(10)&amp;I306&amp;CHAR(10),H306)-LEN(SUBSTITUTE(LEFT(H306,SEARCH(CHAR(10)&amp;I306&amp;CHAR(10),H306)),CHAR(10),"")))-1)*100+1,100))),""))</f>
        <v>0.32</v>
      </c>
      <c r="K306" s="80">
        <f t="array" ref="K306">IF(A306="","",IF(ISNUMBER(SEARCH("Land",LEFT(IFERROR(INDEX('Deck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8</v>
      </c>
      <c r="L306" s="80" t="str">
        <f t="shared" si="3"/>
        <v>Land</v>
      </c>
      <c r="M306" s="80" t="str">
        <f>IF(A306="","",IF(AND(E306="Y",B306='Use at Shop'!$B$4),K306*10000000000+(MAX(0,MIN(26,CODE(MID(UPPER(A306)&amp;"    ",1,1))-64))*19683+MAX(0,MIN(26,CODE(MID(UPPER(A306)&amp;"    ",2,1))-64))*729+MAX(0,MIN(26,CODE(MID(UPPER(A306)&amp;"    ",3,1))-64))*27+MAX(0,MIN(26,CODE(MID(UPPER(A306)&amp;"    ",4,1))-64))*1)*10000+ROW(),""))</f>
        <v/>
      </c>
      <c r="N306" s="80">
        <f t="shared" si="5"/>
        <v>56</v>
      </c>
      <c r="O306" s="83" t="str">
        <f t="array" ref="O306">IF(A306="","",IFERROR(INDEX('Deck 1'!$A:$Z,ROW()-250,'List Setup'!$J$3)&amp;"",""))</f>
        <v>https://cards.scryfall.io/small/front/3/5/35e9ec06-a848-4230-84a2-19cb8034e0f0.jpg?1783906004</v>
      </c>
      <c r="P306" s="2"/>
      <c r="Q306" s="80" t="str">
        <f>IF(A306="","",'List Setup'!$A$3)</f>
        <v>Deck 1</v>
      </c>
      <c r="R306" s="80" t="b">
        <f t="array" ref="R306">IF(A306="","",IFERROR(OR(INDEX(Binders!$J$6:$J$30,MATCH(Q306,Binders!$I$6:$I$30,0))=TRUE(),UPPER(INDEX(Binders!$J$6:$J$30,MATCH(Q306,Binders!$I$6:$I$30,0))&amp;"")="TRUE"),FALSE()))</f>
        <v>1</v>
      </c>
    </row>
    <row r="307" ht="15.75" customHeight="1">
      <c r="A307" s="80" t="str">
        <f t="array" ref="A307">IF(INDEX('Deck 1'!$A:$Z,ROW()-250,'List Setup'!$D$3)="","",INDEX('Deck 1'!$A:$Z,ROW()-250,'List Setup'!$D$3))</f>
        <v>Steel Overseer</v>
      </c>
      <c r="B307" s="80" t="str">
        <f t="array" ref="B307">IF(A307="","",IFERROR(INDEX('Binder Setup'!$B$2:$B$401,MIN(IF(ISNUMBER(SEARCH(CHAR(10)&amp;'Binder Setup'!$B$2:$B$401&amp;CHAR(10),$H307)),'List Setup'!$Q$2:$Q$401,999),IF(ISNUMBER(SEARCH(CHAR(10)&amp;'Set Aliases'!$A$2:$A$501&amp;CHAR(10),$H307)),'Set Aliases'!$C$2:$C$501,999))),"(none)"))</f>
        <v>Commander Box</v>
      </c>
      <c r="C307" s="80" t="str">
        <f t="shared" si="1"/>
        <v>Foundations Commander | Edge of Eternities Commander | Fallout | Jumpstart 2022 | The Brothers' War Commander | Commander 2021 | Core Set 2020 Promos | Core Set 2020 | Kaladesh Inventions | Duel Decks: Elspeth vs. Tezzeret | Magic 2011</v>
      </c>
      <c r="D307" s="80" t="str">
        <f t="array" ref="D307">IF(A307="","",IF(ISLOGICAL(INDEX('Deck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307" s="80" t="str">
        <f t="shared" si="2"/>
        <v>Y</v>
      </c>
      <c r="F307" s="80">
        <f t="array" ref="F307">IF(A307="","",IF(ISNUMBER(J307),J307,IF(ISNUMBER(INDEX('Deck 1'!$A:$Z,ROW()-250,'List Setup'!$F$3)),INDEX('Deck 1'!$A:$Z,ROW()-250,'List Setup'!$F$3),0)))</f>
        <v>0.36</v>
      </c>
      <c r="G307" s="80" t="str">
        <f t="array" ref="G307">IF(A307="","",A307&amp;IF(N(INDEX('Deck 1'!$A:$Z,ROW()-250,'List Setup'!$C$3))&gt;1," (x"&amp;INDEX('Deck 1'!$A:$Z,ROW()-250,'List Setup'!$C$3)&amp;")","")&amp;IF(COUNTIF(Binders!$J$6:$J$30,TRUE())&gt;1," ["&amp;Q307&amp;"]",""))</f>
        <v>Steel Overseer [Deck 1]</v>
      </c>
      <c r="H307" s="80" t="str">
        <f t="array" ref="H307">IF(A307="","",CHAR(10)&amp;INDEX('Deck 1'!$A:$Z,ROW()-250,'List Setup'!$E$3)&amp;CHAR(10))</f>
        <v>
Foundations Commander
Edge of Eternities Commander
Fallout
Jumpstart 2022
The Brothers' War Commander
Commander 2021
Core Set 2020 Promos
Core Set 2020
Kaladesh Inventions
Duel Decks: Elspeth vs. Tezzeret
Magic 2011
</v>
      </c>
      <c r="I307" s="80" t="str">
        <f t="array" ref="I307">IF(OR(B307="",B307="(none)"),"",IF(ISNUMBER(SEARCH(CHAR(10)&amp;B307&amp;CHAR(10),H307)),B307,IFERROR(INDEX('Set Aliases'!$A$2:$A$501,MATCH(1,('Set Aliases'!$B$2:$B$501=B307)*ISNUMBER(SEARCH(CHAR(10)&amp;'Set Aliases'!$A$2:$A$501&amp;CHAR(10),H307)),0)),"")))</f>
        <v>Fallout</v>
      </c>
      <c r="J307" s="80">
        <f t="array" ref="J307">IF(I307="","",IFERROR(VALUE(TRIM(MID(SUBSTITUTE(INDEX('Deck 1'!$A:$Z,ROW()-250,'List Setup'!$G$3),CHAR(10),REPT(" ",100)),((SEARCH(CHAR(10)&amp;I307&amp;CHAR(10),H307)-LEN(SUBSTITUTE(LEFT(H307,SEARCH(CHAR(10)&amp;I307&amp;CHAR(10),H307)),CHAR(10),"")))-1)*100+1,100))),""))</f>
        <v>0.36</v>
      </c>
      <c r="K307" s="80">
        <f t="array" ref="K307">IF(A307="","",IF(ISNUMBER(SEARCH("Land",LEFT(IFERROR(INDEX('Deck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7</v>
      </c>
      <c r="L307" s="80" t="str">
        <f t="shared" si="3"/>
        <v>Colorless</v>
      </c>
      <c r="M307" s="80" t="str">
        <f>IF(A307="","",IF(AND(E307="Y",B307='Use at Shop'!$B$4),K307*10000000000+(MAX(0,MIN(26,CODE(MID(UPPER(A307)&amp;"    ",1,1))-64))*19683+MAX(0,MIN(26,CODE(MID(UPPER(A307)&amp;"    ",2,1))-64))*729+MAX(0,MIN(26,CODE(MID(UPPER(A307)&amp;"    ",3,1))-64))*27+MAX(0,MIN(26,CODE(MID(UPPER(A307)&amp;"    ",4,1))-64))*1)*10000+ROW(),""))</f>
        <v/>
      </c>
      <c r="N307" s="80">
        <f t="shared" si="5"/>
        <v>57</v>
      </c>
      <c r="O307" s="83" t="str">
        <f t="array" ref="O307">IF(A307="","",IFERROR(INDEX('Deck 1'!$A:$Z,ROW()-250,'List Setup'!$J$3)&amp;"",""))</f>
        <v>https://cards.scryfall.io/small/front/7/6/7601fbf2-916f-44b2-837a-201fd8304613.jpg?1783906018</v>
      </c>
      <c r="P307" s="2"/>
      <c r="Q307" s="80" t="str">
        <f>IF(A307="","",'List Setup'!$A$3)</f>
        <v>Deck 1</v>
      </c>
      <c r="R307" s="80" t="b">
        <f t="array" ref="R307">IF(A307="","",IFERROR(OR(INDEX(Binders!$J$6:$J$30,MATCH(Q307,Binders!$I$6:$I$30,0))=TRUE(),UPPER(INDEX(Binders!$J$6:$J$30,MATCH(Q307,Binders!$I$6:$I$30,0))&amp;"")="TRUE"),FALSE()))</f>
        <v>1</v>
      </c>
    </row>
    <row r="308" ht="15.75" customHeight="1">
      <c r="A308" s="80" t="str">
        <f t="array" ref="A308">IF(INDEX('Deck 1'!$A:$Z,ROW()-250,'List Setup'!$D$3)="","",INDEX('Deck 1'!$A:$Z,ROW()-250,'List Setup'!$D$3))</f>
        <v>Stridehangar Automaton</v>
      </c>
      <c r="B308" s="80" t="str">
        <f t="array" ref="B308">IF(A308="","",IFERROR(INDEX('Binder Setup'!$B$2:$B$401,MIN(IF(ISNUMBER(SEARCH(CHAR(10)&amp;'Binder Setup'!$B$2:$B$401&amp;CHAR(10),$H308)),'List Setup'!$Q$2:$Q$401,999),IF(ISNUMBER(SEARCH(CHAR(10)&amp;'Set Aliases'!$A$2:$A$501&amp;CHAR(10),$H308)),'Set Aliases'!$C$2:$C$501,999))),"(none)"))</f>
        <v>Aetherdrift Commander</v>
      </c>
      <c r="C308" s="80" t="str">
        <f t="shared" si="1"/>
        <v>Aetherdrift Commander</v>
      </c>
      <c r="D308" s="80" t="str">
        <f t="array" ref="D308">IF(A308="","",IF(ISLOGICAL(INDEX('Deck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308" s="80" t="str">
        <f t="shared" si="2"/>
        <v>Y</v>
      </c>
      <c r="F308" s="80">
        <f t="array" ref="F308">IF(A308="","",IF(ISNUMBER(J308),J308,IF(ISNUMBER(INDEX('Deck 1'!$A:$Z,ROW()-250,'List Setup'!$F$3)),INDEX('Deck 1'!$A:$Z,ROW()-250,'List Setup'!$F$3),0)))</f>
        <v>2.22</v>
      </c>
      <c r="G308" s="80" t="str">
        <f t="array" ref="G308">IF(A308="","",A308&amp;IF(N(INDEX('Deck 1'!$A:$Z,ROW()-250,'List Setup'!$C$3))&gt;1," (x"&amp;INDEX('Deck 1'!$A:$Z,ROW()-250,'List Setup'!$C$3)&amp;")","")&amp;IF(COUNTIF(Binders!$J$6:$J$30,TRUE())&gt;1," ["&amp;Q308&amp;"]",""))</f>
        <v>Stridehangar Automaton [Deck 1]</v>
      </c>
      <c r="H308" s="80" t="str">
        <f t="array" ref="H308">IF(A308="","",CHAR(10)&amp;INDEX('Deck 1'!$A:$Z,ROW()-250,'List Setup'!$E$3)&amp;CHAR(10))</f>
        <v>
Aetherdrift Commander
</v>
      </c>
      <c r="I308" s="80" t="str">
        <f t="array" ref="I308">IF(OR(B308="",B308="(none)"),"",IF(ISNUMBER(SEARCH(CHAR(10)&amp;B308&amp;CHAR(10),H308)),B308,IFERROR(INDEX('Set Aliases'!$A$2:$A$501,MATCH(1,('Set Aliases'!$B$2:$B$501=B308)*ISNUMBER(SEARCH(CHAR(10)&amp;'Set Aliases'!$A$2:$A$501&amp;CHAR(10),H308)),0)),"")))</f>
        <v>Aetherdrift Commander</v>
      </c>
      <c r="J308" s="80">
        <f t="array" ref="J308">IF(I308="","",IFERROR(VALUE(TRIM(MID(SUBSTITUTE(INDEX('Deck 1'!$A:$Z,ROW()-250,'List Setup'!$G$3),CHAR(10),REPT(" ",100)),((SEARCH(CHAR(10)&amp;I308&amp;CHAR(10),H308)-LEN(SUBSTITUTE(LEFT(H308,SEARCH(CHAR(10)&amp;I308&amp;CHAR(10),H308)),CHAR(10),"")))-1)*100+1,100))),""))</f>
        <v>2.22</v>
      </c>
      <c r="K308" s="80">
        <f t="array" ref="K308">IF(A308="","",IF(ISNUMBER(SEARCH("Land",LEFT(IFERROR(INDEX('Deck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7</v>
      </c>
      <c r="L308" s="80" t="str">
        <f t="shared" si="3"/>
        <v>Colorless</v>
      </c>
      <c r="M308" s="80" t="str">
        <f>IF(A308="","",IF(AND(E308="Y",B308='Use at Shop'!$B$4),K308*10000000000+(MAX(0,MIN(26,CODE(MID(UPPER(A308)&amp;"    ",1,1))-64))*19683+MAX(0,MIN(26,CODE(MID(UPPER(A308)&amp;"    ",2,1))-64))*729+MAX(0,MIN(26,CODE(MID(UPPER(A308)&amp;"    ",3,1))-64))*27+MAX(0,MIN(26,CODE(MID(UPPER(A308)&amp;"    ",4,1))-64))*1)*10000+ROW(),""))</f>
        <v/>
      </c>
      <c r="N308" s="80">
        <f t="shared" si="5"/>
        <v>58</v>
      </c>
      <c r="O308" s="83" t="str">
        <f t="array" ref="O308">IF(A308="","",IFERROR(INDEX('Deck 1'!$A:$Z,ROW()-250,'List Setup'!$J$3)&amp;"",""))</f>
        <v>https://cards.scryfall.io/small/front/4/c/4c398d11-a2fc-43e2-96e9-7f3383e1a43c.jpg?1783907749</v>
      </c>
      <c r="P308" s="2"/>
      <c r="Q308" s="80" t="str">
        <f>IF(A308="","",'List Setup'!$A$3)</f>
        <v>Deck 1</v>
      </c>
      <c r="R308" s="80" t="b">
        <f t="array" ref="R308">IF(A308="","",IFERROR(OR(INDEX(Binders!$J$6:$J$30,MATCH(Q308,Binders!$I$6:$I$30,0))=TRUE(),UPPER(INDEX(Binders!$J$6:$J$30,MATCH(Q308,Binders!$I$6:$I$30,0))&amp;"")="TRUE"),FALSE()))</f>
        <v>1</v>
      </c>
    </row>
    <row r="309" ht="15.75" customHeight="1">
      <c r="A309" s="80" t="str">
        <f t="array" ref="A309">IF(INDEX('Deck 1'!$A:$Z,ROW()-250,'List Setup'!$D$3)="","",INDEX('Deck 1'!$A:$Z,ROW()-250,'List Setup'!$D$3))</f>
        <v>Sunbaked Canyon</v>
      </c>
      <c r="B309" s="80" t="str">
        <f t="array" ref="B309">IF(A309="","",IFERROR(INDEX('Binder Setup'!$B$2:$B$401,MIN(IF(ISNUMBER(SEARCH(CHAR(10)&amp;'Binder Setup'!$B$2:$B$401&amp;CHAR(10),$H309)),'List Setup'!$Q$2:$Q$401,999),IF(ISNUMBER(SEARCH(CHAR(10)&amp;'Set Aliases'!$A$2:$A$501&amp;CHAR(10),$H309)),'Set Aliases'!$C$2:$C$501,999))),"(none)"))</f>
        <v>Doctor Who</v>
      </c>
      <c r="C309" s="80" t="str">
        <f t="shared" si="1"/>
        <v>Avatar: The Last Airbender Eternal | Assassin's Creed | Doctor Who | Modern Horizons</v>
      </c>
      <c r="D309" s="80" t="str">
        <f t="array" ref="D309">IF(A309="","",IF(ISLOGICAL(INDEX('Deck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309" s="80" t="str">
        <f t="shared" si="2"/>
        <v>Y</v>
      </c>
      <c r="F309" s="80">
        <f t="array" ref="F309">IF(A309="","",IF(ISNUMBER(J309),J309,IF(ISNUMBER(INDEX('Deck 1'!$A:$Z,ROW()-250,'List Setup'!$F$3)),INDEX('Deck 1'!$A:$Z,ROW()-250,'List Setup'!$F$3),0)))</f>
        <v>4.17</v>
      </c>
      <c r="G309" s="80" t="str">
        <f t="array" ref="G309">IF(A309="","",A309&amp;IF(N(INDEX('Deck 1'!$A:$Z,ROW()-250,'List Setup'!$C$3))&gt;1," (x"&amp;INDEX('Deck 1'!$A:$Z,ROW()-250,'List Setup'!$C$3)&amp;")","")&amp;IF(COUNTIF(Binders!$J$6:$J$30,TRUE())&gt;1," ["&amp;Q309&amp;"]",""))</f>
        <v>Sunbaked Canyon [Deck 1]</v>
      </c>
      <c r="H309" s="80" t="str">
        <f t="array" ref="H309">IF(A309="","",CHAR(10)&amp;INDEX('Deck 1'!$A:$Z,ROW()-250,'List Setup'!$E$3)&amp;CHAR(10))</f>
        <v>
Avatar: The Last Airbender Eternal
Assassin's Creed
Doctor Who
Modern Horizons
</v>
      </c>
      <c r="I309" s="80" t="str">
        <f t="array" ref="I309">IF(OR(B309="",B309="(none)"),"",IF(ISNUMBER(SEARCH(CHAR(10)&amp;B309&amp;CHAR(10),H309)),B309,IFERROR(INDEX('Set Aliases'!$A$2:$A$501,MATCH(1,('Set Aliases'!$B$2:$B$501=B309)*ISNUMBER(SEARCH(CHAR(10)&amp;'Set Aliases'!$A$2:$A$501&amp;CHAR(10),H309)),0)),"")))</f>
        <v>Doctor Who</v>
      </c>
      <c r="J309" s="80">
        <f t="array" ref="J309">IF(I309="","",IFERROR(VALUE(TRIM(MID(SUBSTITUTE(INDEX('Deck 1'!$A:$Z,ROW()-250,'List Setup'!$G$3),CHAR(10),REPT(" ",100)),((SEARCH(CHAR(10)&amp;I309&amp;CHAR(10),H309)-LEN(SUBSTITUTE(LEFT(H309,SEARCH(CHAR(10)&amp;I309&amp;CHAR(10),H309)),CHAR(10),"")))-1)*100+1,100))),""))</f>
        <v>4.17</v>
      </c>
      <c r="K309" s="80">
        <f t="array" ref="K309">IF(A309="","",IF(ISNUMBER(SEARCH("Land",LEFT(IFERROR(INDEX('Deck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8</v>
      </c>
      <c r="L309" s="80" t="str">
        <f t="shared" si="3"/>
        <v>Land</v>
      </c>
      <c r="M309" s="80" t="str">
        <f>IF(A309="","",IF(AND(E309="Y",B309='Use at Shop'!$B$4),K309*10000000000+(MAX(0,MIN(26,CODE(MID(UPPER(A309)&amp;"    ",1,1))-64))*19683+MAX(0,MIN(26,CODE(MID(UPPER(A309)&amp;"    ",2,1))-64))*729+MAX(0,MIN(26,CODE(MID(UPPER(A309)&amp;"    ",3,1))-64))*27+MAX(0,MIN(26,CODE(MID(UPPER(A309)&amp;"    ",4,1))-64))*1)*10000+ROW(),""))</f>
        <v/>
      </c>
      <c r="N309" s="80">
        <f t="shared" si="5"/>
        <v>59</v>
      </c>
      <c r="O309" s="83" t="str">
        <f t="array" ref="O309">IF(A309="","",IFERROR(INDEX('Deck 1'!$A:$Z,ROW()-250,'List Setup'!$J$3)&amp;"",""))</f>
        <v>https://cards.scryfall.io/small/front/c/3/c36820fa-ee86-4206-9a0d-737a67cf5208.jpg?1783933065</v>
      </c>
      <c r="P309" s="2"/>
      <c r="Q309" s="80" t="str">
        <f>IF(A309="","",'List Setup'!$A$3)</f>
        <v>Deck 1</v>
      </c>
      <c r="R309" s="80" t="b">
        <f t="array" ref="R309">IF(A309="","",IFERROR(OR(INDEX(Binders!$J$6:$J$30,MATCH(Q309,Binders!$I$6:$I$30,0))=TRUE(),UPPER(INDEX(Binders!$J$6:$J$30,MATCH(Q309,Binders!$I$6:$I$30,0))&amp;"")="TRUE"),FALSE()))</f>
        <v>1</v>
      </c>
    </row>
    <row r="310" ht="15.75" customHeight="1">
      <c r="A310" s="80" t="str">
        <f t="array" ref="A310">IF(INDEX('Deck 1'!$A:$Z,ROW()-250,'List Setup'!$D$3)="","",INDEX('Deck 1'!$A:$Z,ROW()-250,'List Setup'!$D$3))</f>
        <v>Sundown Pass</v>
      </c>
      <c r="B310" s="80" t="str">
        <f t="array" ref="B310">IF(A310="","",IFERROR(INDEX('Binder Setup'!$B$2:$B$401,MIN(IF(ISNUMBER(SEARCH(CHAR(10)&amp;'Binder Setup'!$B$2:$B$401&amp;CHAR(10),$H310)),'List Setup'!$Q$2:$Q$401,999),IF(ISNUMBER(SEARCH(CHAR(10)&amp;'Set Aliases'!$A$2:$A$501&amp;CHAR(10),$H310)),'Set Aliases'!$C$2:$C$501,999))),"(none)"))</f>
        <v>Doctor Who</v>
      </c>
      <c r="C310" s="80" t="str">
        <f t="shared" si="1"/>
        <v>Secrets of Strixhaven Promos | Secrets of Strixhaven | Innistrad Remastered | Doctor Who | Innistrad: Double Feature | Innistrad: Crimson Vow Promos | Innistrad: Crimson Vow</v>
      </c>
      <c r="D310" s="80" t="str">
        <f t="array" ref="D310">IF(A310="","",IF(ISLOGICAL(INDEX('Deck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310" s="80" t="str">
        <f t="shared" si="2"/>
        <v>Y</v>
      </c>
      <c r="F310" s="80">
        <f t="array" ref="F310">IF(A310="","",IF(ISNUMBER(J310),J310,IF(ISNUMBER(INDEX('Deck 1'!$A:$Z,ROW()-250,'List Setup'!$F$3)),INDEX('Deck 1'!$A:$Z,ROW()-250,'List Setup'!$F$3),0)))</f>
        <v>3.28</v>
      </c>
      <c r="G310" s="80" t="str">
        <f t="array" ref="G310">IF(A310="","",A310&amp;IF(N(INDEX('Deck 1'!$A:$Z,ROW()-250,'List Setup'!$C$3))&gt;1," (x"&amp;INDEX('Deck 1'!$A:$Z,ROW()-250,'List Setup'!$C$3)&amp;")","")&amp;IF(COUNTIF(Binders!$J$6:$J$30,TRUE())&gt;1," ["&amp;Q310&amp;"]",""))</f>
        <v>Sundown Pass [Deck 1]</v>
      </c>
      <c r="H310" s="80" t="str">
        <f t="array" ref="H310">IF(A310="","",CHAR(10)&amp;INDEX('Deck 1'!$A:$Z,ROW()-250,'List Setup'!$E$3)&amp;CHAR(10))</f>
        <v>
Secrets of Strixhaven Promos
Secrets of Strixhaven
Innistrad Remastered
Doctor Who
Innistrad: Double Feature
Innistrad: Crimson Vow Promos
Innistrad: Crimson Vow
</v>
      </c>
      <c r="I310" s="80" t="str">
        <f t="array" ref="I310">IF(OR(B310="",B310="(none)"),"",IF(ISNUMBER(SEARCH(CHAR(10)&amp;B310&amp;CHAR(10),H310)),B310,IFERROR(INDEX('Set Aliases'!$A$2:$A$501,MATCH(1,('Set Aliases'!$B$2:$B$501=B310)*ISNUMBER(SEARCH(CHAR(10)&amp;'Set Aliases'!$A$2:$A$501&amp;CHAR(10),H310)),0)),"")))</f>
        <v>Doctor Who</v>
      </c>
      <c r="J310" s="80">
        <f t="array" ref="J310">IF(I310="","",IFERROR(VALUE(TRIM(MID(SUBSTITUTE(INDEX('Deck 1'!$A:$Z,ROW()-250,'List Setup'!$G$3),CHAR(10),REPT(" ",100)),((SEARCH(CHAR(10)&amp;I310&amp;CHAR(10),H310)-LEN(SUBSTITUTE(LEFT(H310,SEARCH(CHAR(10)&amp;I310&amp;CHAR(10),H310)),CHAR(10),"")))-1)*100+1,100))),""))</f>
        <v>3.28</v>
      </c>
      <c r="K310" s="80">
        <f t="array" ref="K310">IF(A310="","",IF(ISNUMBER(SEARCH("Land",LEFT(IFERROR(INDEX('Deck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8</v>
      </c>
      <c r="L310" s="80" t="str">
        <f t="shared" si="3"/>
        <v>Land</v>
      </c>
      <c r="M310" s="80" t="str">
        <f>IF(A310="","",IF(AND(E310="Y",B310='Use at Shop'!$B$4),K310*10000000000+(MAX(0,MIN(26,CODE(MID(UPPER(A310)&amp;"    ",1,1))-64))*19683+MAX(0,MIN(26,CODE(MID(UPPER(A310)&amp;"    ",2,1))-64))*729+MAX(0,MIN(26,CODE(MID(UPPER(A310)&amp;"    ",3,1))-64))*27+MAX(0,MIN(26,CODE(MID(UPPER(A310)&amp;"    ",4,1))-64))*1)*10000+ROW(),""))</f>
        <v/>
      </c>
      <c r="N310" s="80">
        <f t="shared" si="5"/>
        <v>60</v>
      </c>
      <c r="O310" s="83" t="str">
        <f t="array" ref="O310">IF(A310="","",IFERROR(INDEX('Deck 1'!$A:$Z,ROW()-250,'List Setup'!$J$3)&amp;"",""))</f>
        <v>https://cards.scryfall.io/small/front/b/3/b34000e9-ff20-4fb4-9d0b-03a172a92457.jpg?1783903618</v>
      </c>
      <c r="P310" s="2"/>
      <c r="Q310" s="80" t="str">
        <f>IF(A310="","",'List Setup'!$A$3)</f>
        <v>Deck 1</v>
      </c>
      <c r="R310" s="80" t="b">
        <f t="array" ref="R310">IF(A310="","",IFERROR(OR(INDEX(Binders!$J$6:$J$30,MATCH(Q310,Binders!$I$6:$I$30,0))=TRUE(),UPPER(INDEX(Binders!$J$6:$J$30,MATCH(Q310,Binders!$I$6:$I$30,0))&amp;"")="TRUE"),FALSE()))</f>
        <v>1</v>
      </c>
    </row>
    <row r="311" ht="15.75" customHeight="1">
      <c r="A311" s="80" t="str">
        <f t="array" ref="A311">IF(INDEX('Deck 1'!$A:$Z,ROW()-250,'List Setup'!$D$3)="","",INDEX('Deck 1'!$A:$Z,ROW()-250,'List Setup'!$D$3))</f>
        <v>Sunscorched Divide</v>
      </c>
      <c r="B311" s="80" t="str">
        <f t="array" ref="B311">IF(A311="","",IFERROR(INDEX('Binder Setup'!$B$2:$B$401,MIN(IF(ISNUMBER(SEARCH(CHAR(10)&amp;'Binder Setup'!$B$2:$B$401&amp;CHAR(10),$H311)),'List Setup'!$Q$2:$Q$401,999),IF(ISNUMBER(SEARCH(CHAR(10)&amp;'Set Aliases'!$A$2:$A$501&amp;CHAR(10),$H311)),'Set Aliases'!$C$2:$C$501,999))),"(none)"))</f>
        <v>Commander Box</v>
      </c>
      <c r="C311" s="80" t="str">
        <f t="shared" si="1"/>
        <v>Secrets of Strixhaven Commander | Final Fantasy Commander | Bloomburrow Commander | Outlaws of Thunder Junction Commander | Fallout</v>
      </c>
      <c r="D311" s="80" t="str">
        <f t="array" ref="D311">IF(A311="","",IF(ISLOGICAL(INDEX('Deck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311" s="80" t="str">
        <f t="shared" si="2"/>
        <v>Y</v>
      </c>
      <c r="F311" s="80">
        <f t="array" ref="F311">IF(A311="","",IF(ISNUMBER(J311),J311,IF(ISNUMBER(INDEX('Deck 1'!$A:$Z,ROW()-250,'List Setup'!$F$3)),INDEX('Deck 1'!$A:$Z,ROW()-250,'List Setup'!$F$3),0)))</f>
        <v>0.33</v>
      </c>
      <c r="G311" s="80" t="str">
        <f t="array" ref="G311">IF(A311="","",A311&amp;IF(N(INDEX('Deck 1'!$A:$Z,ROW()-250,'List Setup'!$C$3))&gt;1," (x"&amp;INDEX('Deck 1'!$A:$Z,ROW()-250,'List Setup'!$C$3)&amp;")","")&amp;IF(COUNTIF(Binders!$J$6:$J$30,TRUE())&gt;1," ["&amp;Q311&amp;"]",""))</f>
        <v>Sunscorched Divide [Deck 1]</v>
      </c>
      <c r="H311" s="80" t="str">
        <f t="array" ref="H311">IF(A311="","",CHAR(10)&amp;INDEX('Deck 1'!$A:$Z,ROW()-250,'List Setup'!$E$3)&amp;CHAR(10))</f>
        <v>
Secrets of Strixhaven Commander
Final Fantasy Commander
Bloomburrow Commander
Outlaws of Thunder Junction Commander
Fallout
</v>
      </c>
      <c r="I311" s="80" t="str">
        <f t="array" ref="I311">IF(OR(B311="",B311="(none)"),"",IF(ISNUMBER(SEARCH(CHAR(10)&amp;B311&amp;CHAR(10),H311)),B311,IFERROR(INDEX('Set Aliases'!$A$2:$A$501,MATCH(1,('Set Aliases'!$B$2:$B$501=B311)*ISNUMBER(SEARCH(CHAR(10)&amp;'Set Aliases'!$A$2:$A$501&amp;CHAR(10),H311)),0)),"")))</f>
        <v>Fallout</v>
      </c>
      <c r="J311" s="80">
        <f t="array" ref="J311">IF(I311="","",IFERROR(VALUE(TRIM(MID(SUBSTITUTE(INDEX('Deck 1'!$A:$Z,ROW()-250,'List Setup'!$G$3),CHAR(10),REPT(" ",100)),((SEARCH(CHAR(10)&amp;I311&amp;CHAR(10),H311)-LEN(SUBSTITUTE(LEFT(H311,SEARCH(CHAR(10)&amp;I311&amp;CHAR(10),H311)),CHAR(10),"")))-1)*100+1,100))),""))</f>
        <v>0.33</v>
      </c>
      <c r="K311" s="80">
        <f t="array" ref="K311">IF(A311="","",IF(ISNUMBER(SEARCH("Land",LEFT(IFERROR(INDEX('Deck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8</v>
      </c>
      <c r="L311" s="80" t="str">
        <f t="shared" si="3"/>
        <v>Land</v>
      </c>
      <c r="M311" s="80" t="str">
        <f>IF(A311="","",IF(AND(E311="Y",B311='Use at Shop'!$B$4),K311*10000000000+(MAX(0,MIN(26,CODE(MID(UPPER(A311)&amp;"    ",1,1))-64))*19683+MAX(0,MIN(26,CODE(MID(UPPER(A311)&amp;"    ",2,1))-64))*729+MAX(0,MIN(26,CODE(MID(UPPER(A311)&amp;"    ",3,1))-64))*27+MAX(0,MIN(26,CODE(MID(UPPER(A311)&amp;"    ",4,1))-64))*1)*10000+ROW(),""))</f>
        <v/>
      </c>
      <c r="N311" s="80">
        <f t="shared" si="5"/>
        <v>61</v>
      </c>
      <c r="O311" s="83" t="str">
        <f t="array" ref="O311">IF(A311="","",IFERROR(INDEX('Deck 1'!$A:$Z,ROW()-250,'List Setup'!$J$3)&amp;"",""))</f>
        <v>https://cards.scryfall.io/small/front/e/a/eae999f9-9c58-4609-8ade-aca0acf07519.jpg?1783903718</v>
      </c>
      <c r="P311" s="2"/>
      <c r="Q311" s="80" t="str">
        <f>IF(A311="","",'List Setup'!$A$3)</f>
        <v>Deck 1</v>
      </c>
      <c r="R311" s="80" t="b">
        <f t="array" ref="R311">IF(A311="","",IFERROR(OR(INDEX(Binders!$J$6:$J$30,MATCH(Q311,Binders!$I$6:$I$30,0))=TRUE(),UPPER(INDEX(Binders!$J$6:$J$30,MATCH(Q311,Binders!$I$6:$I$30,0))&amp;"")="TRUE"),FALSE()))</f>
        <v>1</v>
      </c>
    </row>
    <row r="312" ht="15.75" customHeight="1">
      <c r="A312" s="80" t="str">
        <f t="array" ref="A312">IF(INDEX('Deck 1'!$A:$Z,ROW()-250,'List Setup'!$D$3)="","",INDEX('Deck 1'!$A:$Z,ROW()-250,'List Setup'!$D$3))</f>
        <v>Talisman of Conviction</v>
      </c>
      <c r="B312" s="80" t="str">
        <f t="array" ref="B312">IF(A312="","",IFERROR(INDEX('Binder Setup'!$B$2:$B$401,MIN(IF(ISNUMBER(SEARCH(CHAR(10)&amp;'Binder Setup'!$B$2:$B$401&amp;CHAR(10),$H312)),'List Setup'!$Q$2:$Q$401,999),IF(ISNUMBER(SEARCH(CHAR(10)&amp;'Set Aliases'!$A$2:$A$501&amp;CHAR(10),$H312)),'Set Aliases'!$C$2:$C$501,999))),"(none)"))</f>
        <v>Commander Box</v>
      </c>
      <c r="C312" s="80" t="str">
        <f t="shared" si="1"/>
        <v>Marvel Super Heroes Commander | Secrets of Strixhaven Commander | Final Fantasy Commander | Tarkir: Dragonstorm Commander | Modern Horizons 3 Commander | Fallout | Murders at Karlov Manor Commander | Doctor Who | Commander Masters | Tales of Middle-earth Commander | Phyrexia: All Will Be One Commander | Secret Lair Drop | Modern Horizons 1 Timeshifts | Modern Horizons</v>
      </c>
      <c r="D312" s="80" t="str">
        <f t="array" ref="D312">IF(A312="","",IF(ISLOGICAL(INDEX('Deck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312" s="80" t="str">
        <f t="shared" si="2"/>
        <v>Y</v>
      </c>
      <c r="F312" s="80">
        <f t="array" ref="F312">IF(A312="","",IF(ISNUMBER(J312),J312,IF(ISNUMBER(INDEX('Deck 1'!$A:$Z,ROW()-250,'List Setup'!$F$3)),INDEX('Deck 1'!$A:$Z,ROW()-250,'List Setup'!$F$3),0)))</f>
        <v>0.71</v>
      </c>
      <c r="G312" s="80" t="str">
        <f t="array" ref="G312">IF(A312="","",A312&amp;IF(N(INDEX('Deck 1'!$A:$Z,ROW()-250,'List Setup'!$C$3))&gt;1," (x"&amp;INDEX('Deck 1'!$A:$Z,ROW()-250,'List Setup'!$C$3)&amp;")","")&amp;IF(COUNTIF(Binders!$J$6:$J$30,TRUE())&gt;1," ["&amp;Q312&amp;"]",""))</f>
        <v>Talisman of Conviction [Deck 1]</v>
      </c>
      <c r="H312" s="80" t="str">
        <f t="array" ref="H312">IF(A312="","",CHAR(10)&amp;INDEX('Deck 1'!$A:$Z,ROW()-250,'List Setup'!$E$3)&amp;CHAR(10))</f>
        <v>
Marvel Super Heroes Commander
Secrets of Strixhaven Commander
Final Fantasy Commander
Tarkir: Dragonstorm Commander
Modern Horizons 3 Commander
Fallout
Murders at Karlov Manor Commander
Doctor Who
Commander Masters
Tales of Middle-earth Commander
Phyrexia: All Will Be One Commander
Secret Lair Drop
Modern Horizons 1 Timeshifts
Modern Horizons
</v>
      </c>
      <c r="I312" s="80" t="str">
        <f t="array" ref="I312">IF(OR(B312="",B312="(none)"),"",IF(ISNUMBER(SEARCH(CHAR(10)&amp;B312&amp;CHAR(10),H312)),B312,IFERROR(INDEX('Set Aliases'!$A$2:$A$501,MATCH(1,('Set Aliases'!$B$2:$B$501=B312)*ISNUMBER(SEARCH(CHAR(10)&amp;'Set Aliases'!$A$2:$A$501&amp;CHAR(10),H312)),0)),"")))</f>
        <v>Fallout</v>
      </c>
      <c r="J312" s="80">
        <f t="array" ref="J312">IF(I312="","",IFERROR(VALUE(TRIM(MID(SUBSTITUTE(INDEX('Deck 1'!$A:$Z,ROW()-250,'List Setup'!$G$3),CHAR(10),REPT(" ",100)),((SEARCH(CHAR(10)&amp;I312&amp;CHAR(10),H312)-LEN(SUBSTITUTE(LEFT(H312,SEARCH(CHAR(10)&amp;I312&amp;CHAR(10),H312)),CHAR(10),"")))-1)*100+1,100))),""))</f>
        <v>0.71</v>
      </c>
      <c r="K312" s="80">
        <f t="array" ref="K312">IF(A312="","",IF(ISNUMBER(SEARCH("Land",LEFT(IFERROR(INDEX('Deck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7</v>
      </c>
      <c r="L312" s="80" t="str">
        <f t="shared" si="3"/>
        <v>Colorless</v>
      </c>
      <c r="M312" s="80" t="str">
        <f>IF(A312="","",IF(AND(E312="Y",B312='Use at Shop'!$B$4),K312*10000000000+(MAX(0,MIN(26,CODE(MID(UPPER(A312)&amp;"    ",1,1))-64))*19683+MAX(0,MIN(26,CODE(MID(UPPER(A312)&amp;"    ",2,1))-64))*729+MAX(0,MIN(26,CODE(MID(UPPER(A312)&amp;"    ",3,1))-64))*27+MAX(0,MIN(26,CODE(MID(UPPER(A312)&amp;"    ",4,1))-64))*1)*10000+ROW(),""))</f>
        <v/>
      </c>
      <c r="N312" s="80">
        <f t="shared" si="5"/>
        <v>62</v>
      </c>
      <c r="O312" s="83" t="str">
        <f t="array" ref="O312">IF(A312="","",IFERROR(INDEX('Deck 1'!$A:$Z,ROW()-250,'List Setup'!$J$3)&amp;"",""))</f>
        <v>https://cards.scryfall.io/small/front/a/3/a365885c-f7d9-4ea1-9125-5265055e5570.jpg?1783903211</v>
      </c>
      <c r="P312" s="2"/>
      <c r="Q312" s="80" t="str">
        <f>IF(A312="","",'List Setup'!$A$3)</f>
        <v>Deck 1</v>
      </c>
      <c r="R312" s="80" t="b">
        <f t="array" ref="R312">IF(A312="","",IFERROR(OR(INDEX(Binders!$J$6:$J$30,MATCH(Q312,Binders!$I$6:$I$30,0))=TRUE(),UPPER(INDEX(Binders!$J$6:$J$30,MATCH(Q312,Binders!$I$6:$I$30,0))&amp;"")="TRUE"),FALSE()))</f>
        <v>1</v>
      </c>
    </row>
    <row r="313" ht="15.75" customHeight="1">
      <c r="A313" s="80" t="str">
        <f t="array" ref="A313">IF(INDEX('Deck 1'!$A:$Z,ROW()-250,'List Setup'!$D$3)="","",INDEX('Deck 1'!$A:$Z,ROW()-250,'List Setup'!$D$3))</f>
        <v>Thopter Shop</v>
      </c>
      <c r="B313" s="80" t="str">
        <f t="array" ref="B313">IF(A313="","",IFERROR(INDEX('Binder Setup'!$B$2:$B$401,MIN(IF(ISNUMBER(SEARCH(CHAR(10)&amp;'Binder Setup'!$B$2:$B$401&amp;CHAR(10),$H313)),'List Setup'!$Q$2:$Q$401,999),IF(ISNUMBER(SEARCH(CHAR(10)&amp;'Set Aliases'!$A$2:$A$501&amp;CHAR(10),$H313)),'Set Aliases'!$C$2:$C$501,999))),"(none)"))</f>
        <v>The Brothers' War Commander</v>
      </c>
      <c r="C313" s="80" t="str">
        <f t="shared" si="1"/>
        <v>The Brothers' War Commander</v>
      </c>
      <c r="D313" s="80" t="str">
        <f t="array" ref="D313">IF(A313="","",IF(ISLOGICAL(INDEX('Deck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313" s="80" t="str">
        <f t="shared" si="2"/>
        <v>Y</v>
      </c>
      <c r="F313" s="80">
        <f t="array" ref="F313">IF(A313="","",IF(ISNUMBER(J313),J313,IF(ISNUMBER(INDEX('Deck 1'!$A:$Z,ROW()-250,'List Setup'!$F$3)),INDEX('Deck 1'!$A:$Z,ROW()-250,'List Setup'!$F$3),0)))</f>
        <v>0.47</v>
      </c>
      <c r="G313" s="80" t="str">
        <f t="array" ref="G313">IF(A313="","",A313&amp;IF(N(INDEX('Deck 1'!$A:$Z,ROW()-250,'List Setup'!$C$3))&gt;1," (x"&amp;INDEX('Deck 1'!$A:$Z,ROW()-250,'List Setup'!$C$3)&amp;")","")&amp;IF(COUNTIF(Binders!$J$6:$J$30,TRUE())&gt;1," ["&amp;Q313&amp;"]",""))</f>
        <v>Thopter Shop [Deck 1]</v>
      </c>
      <c r="H313" s="80" t="str">
        <f t="array" ref="H313">IF(A313="","",CHAR(10)&amp;INDEX('Deck 1'!$A:$Z,ROW()-250,'List Setup'!$E$3)&amp;CHAR(10))</f>
        <v>
The Brothers' War Commander
</v>
      </c>
      <c r="I313" s="80" t="str">
        <f t="array" ref="I313">IF(OR(B313="",B313="(none)"),"",IF(ISNUMBER(SEARCH(CHAR(10)&amp;B313&amp;CHAR(10),H313)),B313,IFERROR(INDEX('Set Aliases'!$A$2:$A$501,MATCH(1,('Set Aliases'!$B$2:$B$501=B313)*ISNUMBER(SEARCH(CHAR(10)&amp;'Set Aliases'!$A$2:$A$501&amp;CHAR(10),H313)),0)),"")))</f>
        <v>The Brothers' War Commander</v>
      </c>
      <c r="J313" s="80">
        <f t="array" ref="J313">IF(I313="","",IFERROR(VALUE(TRIM(MID(SUBSTITUTE(INDEX('Deck 1'!$A:$Z,ROW()-250,'List Setup'!$G$3),CHAR(10),REPT(" ",100)),((SEARCH(CHAR(10)&amp;I313&amp;CHAR(10),H313)-LEN(SUBSTITUTE(LEFT(H313,SEARCH(CHAR(10)&amp;I313&amp;CHAR(10),H313)),CHAR(10),"")))-1)*100+1,100))),""))</f>
        <v>0.47</v>
      </c>
      <c r="K313" s="80">
        <f t="array" ref="K313">IF(A313="","",IF(ISNUMBER(SEARCH("Land",LEFT(IFERROR(INDEX('Deck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7</v>
      </c>
      <c r="L313" s="80" t="str">
        <f t="shared" si="3"/>
        <v>Colorless</v>
      </c>
      <c r="M313" s="80" t="str">
        <f>IF(A313="","",IF(AND(E313="Y",B313='Use at Shop'!$B$4),K313*10000000000+(MAX(0,MIN(26,CODE(MID(UPPER(A313)&amp;"    ",1,1))-64))*19683+MAX(0,MIN(26,CODE(MID(UPPER(A313)&amp;"    ",2,1))-64))*729+MAX(0,MIN(26,CODE(MID(UPPER(A313)&amp;"    ",3,1))-64))*27+MAX(0,MIN(26,CODE(MID(UPPER(A313)&amp;"    ",4,1))-64))*1)*10000+ROW(),""))</f>
        <v/>
      </c>
      <c r="N313" s="80">
        <f t="shared" si="5"/>
        <v>63</v>
      </c>
      <c r="O313" s="83" t="str">
        <f t="array" ref="O313">IF(A313="","",IFERROR(INDEX('Deck 1'!$A:$Z,ROW()-250,'List Setup'!$J$3)&amp;"",""))</f>
        <v>https://cards.scryfall.io/small/front/e/7/e72a798b-8dab-41f4-9c2d-1d461e1b46c5.jpg?1783919718</v>
      </c>
      <c r="P313" s="2"/>
      <c r="Q313" s="80" t="str">
        <f>IF(A313="","",'List Setup'!$A$3)</f>
        <v>Deck 1</v>
      </c>
      <c r="R313" s="80" t="b">
        <f t="array" ref="R313">IF(A313="","",IFERROR(OR(INDEX(Binders!$J$6:$J$30,MATCH(Q313,Binders!$I$6:$I$30,0))=TRUE(),UPPER(INDEX(Binders!$J$6:$J$30,MATCH(Q313,Binders!$I$6:$I$30,0))&amp;"")="TRUE"),FALSE()))</f>
        <v>1</v>
      </c>
    </row>
    <row r="314" ht="15.75" customHeight="1">
      <c r="A314" s="80" t="str">
        <f t="array" ref="A314">IF(INDEX('Deck 1'!$A:$Z,ROW()-250,'List Setup'!$D$3)="","",INDEX('Deck 1'!$A:$Z,ROW()-250,'List Setup'!$D$3))</f>
        <v>Unstable Amulet</v>
      </c>
      <c r="B314" s="80" t="str">
        <f t="array" ref="B314">IF(A314="","",IFERROR(INDEX('Binder Setup'!$B$2:$B$401,MIN(IF(ISNUMBER(SEARCH(CHAR(10)&amp;'Binder Setup'!$B$2:$B$401&amp;CHAR(10),$H314)),'List Setup'!$Q$2:$Q$401,999),IF(ISNUMBER(SEARCH(CHAR(10)&amp;'Set Aliases'!$A$2:$A$501&amp;CHAR(10),$H314)),'Set Aliases'!$C$2:$C$501,999))),"(none)"))</f>
        <v>Modern Horizons 3</v>
      </c>
      <c r="C314" s="80" t="str">
        <f t="shared" si="1"/>
        <v>Modern Horizons 3</v>
      </c>
      <c r="D314" s="80" t="str">
        <f t="array" ref="D314">IF(A314="","",IF(ISLOGICAL(INDEX('Deck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314" s="80" t="str">
        <f t="shared" si="2"/>
        <v>Y</v>
      </c>
      <c r="F314" s="80">
        <f t="array" ref="F314">IF(A314="","",IF(ISNUMBER(J314),J314,IF(ISNUMBER(INDEX('Deck 1'!$A:$Z,ROW()-250,'List Setup'!$F$3)),INDEX('Deck 1'!$A:$Z,ROW()-250,'List Setup'!$F$3),0)))</f>
        <v>0.21</v>
      </c>
      <c r="G314" s="80" t="str">
        <f t="array" ref="G314">IF(A314="","",A314&amp;IF(N(INDEX('Deck 1'!$A:$Z,ROW()-250,'List Setup'!$C$3))&gt;1," (x"&amp;INDEX('Deck 1'!$A:$Z,ROW()-250,'List Setup'!$C$3)&amp;")","")&amp;IF(COUNTIF(Binders!$J$6:$J$30,TRUE())&gt;1," ["&amp;Q314&amp;"]",""))</f>
        <v>Unstable Amulet [Deck 1]</v>
      </c>
      <c r="H314" s="80" t="str">
        <f t="array" ref="H314">IF(A314="","",CHAR(10)&amp;INDEX('Deck 1'!$A:$Z,ROW()-250,'List Setup'!$E$3)&amp;CHAR(10))</f>
        <v>
Modern Horizons 3
</v>
      </c>
      <c r="I314" s="80" t="str">
        <f t="array" ref="I314">IF(OR(B314="",B314="(none)"),"",IF(ISNUMBER(SEARCH(CHAR(10)&amp;B314&amp;CHAR(10),H314)),B314,IFERROR(INDEX('Set Aliases'!$A$2:$A$501,MATCH(1,('Set Aliases'!$B$2:$B$501=B314)*ISNUMBER(SEARCH(CHAR(10)&amp;'Set Aliases'!$A$2:$A$501&amp;CHAR(10),H314)),0)),"")))</f>
        <v>Modern Horizons 3</v>
      </c>
      <c r="J314" s="80">
        <f t="array" ref="J314">IF(I314="","",IFERROR(VALUE(TRIM(MID(SUBSTITUTE(INDEX('Deck 1'!$A:$Z,ROW()-250,'List Setup'!$G$3),CHAR(10),REPT(" ",100)),((SEARCH(CHAR(10)&amp;I314&amp;CHAR(10),H314)-LEN(SUBSTITUTE(LEFT(H314,SEARCH(CHAR(10)&amp;I314&amp;CHAR(10),H314)),CHAR(10),"")))-1)*100+1,100))),""))</f>
        <v>0.21</v>
      </c>
      <c r="K314" s="80">
        <f t="array" ref="K314">IF(A314="","",IF(ISNUMBER(SEARCH("Land",LEFT(IFERROR(INDEX('Deck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4</v>
      </c>
      <c r="L314" s="80" t="str">
        <f t="shared" si="3"/>
        <v>Red</v>
      </c>
      <c r="M314" s="80" t="str">
        <f>IF(A314="","",IF(AND(E314="Y",B314='Use at Shop'!$B$4),K314*10000000000+(MAX(0,MIN(26,CODE(MID(UPPER(A314)&amp;"    ",1,1))-64))*19683+MAX(0,MIN(26,CODE(MID(UPPER(A314)&amp;"    ",2,1))-64))*729+MAX(0,MIN(26,CODE(MID(UPPER(A314)&amp;"    ",3,1))-64))*27+MAX(0,MIN(26,CODE(MID(UPPER(A314)&amp;"    ",4,1))-64))*1)*10000+ROW(),""))</f>
        <v/>
      </c>
      <c r="N314" s="80">
        <f t="shared" si="5"/>
        <v>64</v>
      </c>
      <c r="O314" s="83" t="str">
        <f t="array" ref="O314">IF(A314="","",IFERROR(INDEX('Deck 1'!$A:$Z,ROW()-250,'List Setup'!$J$3)&amp;"",""))</f>
        <v>https://cards.scryfall.io/small/front/9/d/9d9949f5-8d6c-4ea9-b203-99e8a57a6c60.jpg?1783911264</v>
      </c>
      <c r="P314" s="2"/>
      <c r="Q314" s="80" t="str">
        <f>IF(A314="","",'List Setup'!$A$3)</f>
        <v>Deck 1</v>
      </c>
      <c r="R314" s="80" t="b">
        <f t="array" ref="R314">IF(A314="","",IFERROR(OR(INDEX(Binders!$J$6:$J$30,MATCH(Q314,Binders!$I$6:$I$30,0))=TRUE(),UPPER(INDEX(Binders!$J$6:$J$30,MATCH(Q314,Binders!$I$6:$I$30,0))&amp;"")="TRUE"),FALSE()))</f>
        <v>1</v>
      </c>
    </row>
    <row r="315" ht="15.75" customHeight="1">
      <c r="A315" s="80" t="str">
        <f t="array" ref="A315">IF(INDEX('Deck 1'!$A:$Z,ROW()-250,'List Setup'!$D$3)="","",INDEX('Deck 1'!$A:$Z,ROW()-250,'List Setup'!$D$3))</f>
        <v>Weftstalker Ardent</v>
      </c>
      <c r="B315" s="80" t="str">
        <f t="array" ref="B315">IF(A315="","",IFERROR(INDEX('Binder Setup'!$B$2:$B$401,MIN(IF(ISNUMBER(SEARCH(CHAR(10)&amp;'Binder Setup'!$B$2:$B$401&amp;CHAR(10),$H315)),'List Setup'!$Q$2:$Q$401,999),IF(ISNUMBER(SEARCH(CHAR(10)&amp;'Set Aliases'!$A$2:$A$501&amp;CHAR(10),$H315)),'Set Aliases'!$C$2:$C$501,999))),"(none)"))</f>
        <v>Edge of Eternities</v>
      </c>
      <c r="C315" s="80" t="str">
        <f t="shared" si="1"/>
        <v>Edge of Eternities</v>
      </c>
      <c r="D315" s="80" t="str">
        <f t="array" ref="D315">IF(A315="","",IF(ISLOGICAL(INDEX('Deck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315" s="80" t="str">
        <f t="shared" si="2"/>
        <v>Y</v>
      </c>
      <c r="F315" s="80">
        <f t="array" ref="F315">IF(A315="","",IF(ISNUMBER(J315),J315,IF(ISNUMBER(INDEX('Deck 1'!$A:$Z,ROW()-250,'List Setup'!$F$3)),INDEX('Deck 1'!$A:$Z,ROW()-250,'List Setup'!$F$3),0)))</f>
        <v>2.69</v>
      </c>
      <c r="G315" s="80" t="str">
        <f t="array" ref="G315">IF(A315="","",A315&amp;IF(N(INDEX('Deck 1'!$A:$Z,ROW()-250,'List Setup'!$C$3))&gt;1," (x"&amp;INDEX('Deck 1'!$A:$Z,ROW()-250,'List Setup'!$C$3)&amp;")","")&amp;IF(COUNTIF(Binders!$J$6:$J$30,TRUE())&gt;1," ["&amp;Q315&amp;"]",""))</f>
        <v>Weftstalker Ardent [Deck 1]</v>
      </c>
      <c r="H315" s="80" t="str">
        <f t="array" ref="H315">IF(A315="","",CHAR(10)&amp;INDEX('Deck 1'!$A:$Z,ROW()-250,'List Setup'!$E$3)&amp;CHAR(10))</f>
        <v>
Edge of Eternities
</v>
      </c>
      <c r="I315" s="80" t="str">
        <f t="array" ref="I315">IF(OR(B315="",B315="(none)"),"",IF(ISNUMBER(SEARCH(CHAR(10)&amp;B315&amp;CHAR(10),H315)),B315,IFERROR(INDEX('Set Aliases'!$A$2:$A$501,MATCH(1,('Set Aliases'!$B$2:$B$501=B315)*ISNUMBER(SEARCH(CHAR(10)&amp;'Set Aliases'!$A$2:$A$501&amp;CHAR(10),H315)),0)),"")))</f>
        <v>Edge of Eternities</v>
      </c>
      <c r="J315" s="80">
        <f t="array" ref="J315">IF(I315="","",IFERROR(VALUE(TRIM(MID(SUBSTITUTE(INDEX('Deck 1'!$A:$Z,ROW()-250,'List Setup'!$G$3),CHAR(10),REPT(" ",100)),((SEARCH(CHAR(10)&amp;I315&amp;CHAR(10),H315)-LEN(SUBSTITUTE(LEFT(H315,SEARCH(CHAR(10)&amp;I315&amp;CHAR(10),H315)),CHAR(10),"")))-1)*100+1,100))),""))</f>
        <v>2.69</v>
      </c>
      <c r="K315" s="80">
        <f t="array" ref="K315">IF(A315="","",IF(ISNUMBER(SEARCH("Land",LEFT(IFERROR(INDEX('Deck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4</v>
      </c>
      <c r="L315" s="80" t="str">
        <f t="shared" si="3"/>
        <v>Red</v>
      </c>
      <c r="M315" s="80" t="str">
        <f>IF(A315="","",IF(AND(E315="Y",B315='Use at Shop'!$B$4),K315*10000000000+(MAX(0,MIN(26,CODE(MID(UPPER(A315)&amp;"    ",1,1))-64))*19683+MAX(0,MIN(26,CODE(MID(UPPER(A315)&amp;"    ",2,1))-64))*729+MAX(0,MIN(26,CODE(MID(UPPER(A315)&amp;"    ",3,1))-64))*27+MAX(0,MIN(26,CODE(MID(UPPER(A315)&amp;"    ",4,1))-64))*1)*10000+ROW(),""))</f>
        <v/>
      </c>
      <c r="N315" s="80">
        <f t="shared" si="5"/>
        <v>65</v>
      </c>
      <c r="O315" s="83" t="str">
        <f t="array" ref="O315">IF(A315="","",IFERROR(INDEX('Deck 1'!$A:$Z,ROW()-250,'List Setup'!$J$3)&amp;"",""))</f>
        <v>https://cards.scryfall.io/small/front/c/d/cddb48cc-8eb1-47ce-90f0-7aad1e93e2c4.jpg?1783905943</v>
      </c>
      <c r="P315" s="2"/>
      <c r="Q315" s="80" t="str">
        <f>IF(A315="","",'List Setup'!$A$3)</f>
        <v>Deck 1</v>
      </c>
      <c r="R315" s="80" t="b">
        <f t="array" ref="R315">IF(A315="","",IFERROR(OR(INDEX(Binders!$J$6:$J$30,MATCH(Q315,Binders!$I$6:$I$30,0))=TRUE(),UPPER(INDEX(Binders!$J$6:$J$30,MATCH(Q315,Binders!$I$6:$I$30,0))&amp;"")="TRUE"),FALSE()))</f>
        <v>1</v>
      </c>
    </row>
    <row r="316" ht="15.75" customHeight="1">
      <c r="A316" s="80" t="str">
        <f t="array" ref="A316">IF(INDEX('Deck 1'!$A:$Z,ROW()-250,'List Setup'!$D$3)="","",INDEX('Deck 1'!$A:$Z,ROW()-250,'List Setup'!$D$3))</f>
        <v>Welcoming Vampire</v>
      </c>
      <c r="B316" s="80" t="str">
        <f t="array" ref="B316">IF(A316="","",IFERROR(INDEX('Binder Setup'!$B$2:$B$401,MIN(IF(ISNUMBER(SEARCH(CHAR(10)&amp;'Binder Setup'!$B$2:$B$401&amp;CHAR(10),$H316)),'List Setup'!$Q$2:$Q$401,999),IF(ISNUMBER(SEARCH(CHAR(10)&amp;'Set Aliases'!$A$2:$A$501&amp;CHAR(10),$H316)),'Set Aliases'!$C$2:$C$501,999))),"(none)"))</f>
        <v>Tarkir: Dragonstorm Commander</v>
      </c>
      <c r="C316" s="80" t="str">
        <f t="shared" si="1"/>
        <v>Tarkir: Dragonstorm Commander | Innistrad: Crimson Vow Promos | Murders at Karlov Manor Commander | The Lost Caverns of Ixalan Commander | Innistrad: Double Feature | Innistrad: Crimson Vow</v>
      </c>
      <c r="D316" s="80" t="str">
        <f t="array" ref="D316">IF(A316="","",IF(ISLOGICAL(INDEX('Deck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316" s="80" t="str">
        <f t="shared" si="2"/>
        <v>Y</v>
      </c>
      <c r="F316" s="80">
        <f t="array" ref="F316">IF(A316="","",IF(ISNUMBER(J316),J316,IF(ISNUMBER(INDEX('Deck 1'!$A:$Z,ROW()-250,'List Setup'!$F$3)),INDEX('Deck 1'!$A:$Z,ROW()-250,'List Setup'!$F$3),0)))</f>
        <v>3.22</v>
      </c>
      <c r="G316" s="80" t="str">
        <f t="array" ref="G316">IF(A316="","",A316&amp;IF(N(INDEX('Deck 1'!$A:$Z,ROW()-250,'List Setup'!$C$3))&gt;1," (x"&amp;INDEX('Deck 1'!$A:$Z,ROW()-250,'List Setup'!$C$3)&amp;")","")&amp;IF(COUNTIF(Binders!$J$6:$J$30,TRUE())&gt;1," ["&amp;Q316&amp;"]",""))</f>
        <v>Welcoming Vampire [Deck 1]</v>
      </c>
      <c r="H316" s="80" t="str">
        <f t="array" ref="H316">IF(A316="","",CHAR(10)&amp;INDEX('Deck 1'!$A:$Z,ROW()-250,'List Setup'!$E$3)&amp;CHAR(10))</f>
        <v>
Tarkir: Dragonstorm Commander
Innistrad: Crimson Vow Promos
Murders at Karlov Manor Commander
The Lost Caverns of Ixalan Commander
Innistrad: Double Feature
Innistrad: Crimson Vow
</v>
      </c>
      <c r="I316" s="80" t="str">
        <f t="array" ref="I316">IF(OR(B316="",B316="(none)"),"",IF(ISNUMBER(SEARCH(CHAR(10)&amp;B316&amp;CHAR(10),H316)),B316,IFERROR(INDEX('Set Aliases'!$A$2:$A$501,MATCH(1,('Set Aliases'!$B$2:$B$501=B316)*ISNUMBER(SEARCH(CHAR(10)&amp;'Set Aliases'!$A$2:$A$501&amp;CHAR(10),H316)),0)),"")))</f>
        <v>Tarkir: Dragonstorm Commander</v>
      </c>
      <c r="J316" s="80">
        <f t="array" ref="J316">IF(I316="","",IFERROR(VALUE(TRIM(MID(SUBSTITUTE(INDEX('Deck 1'!$A:$Z,ROW()-250,'List Setup'!$G$3),CHAR(10),REPT(" ",100)),((SEARCH(CHAR(10)&amp;I316&amp;CHAR(10),H316)-LEN(SUBSTITUTE(LEFT(H316,SEARCH(CHAR(10)&amp;I316&amp;CHAR(10),H316)),CHAR(10),"")))-1)*100+1,100))),""))</f>
        <v>3.22</v>
      </c>
      <c r="K316" s="80">
        <f t="array" ref="K316">IF(A316="","",IF(ISNUMBER(SEARCH("Land",LEFT(IFERROR(INDEX('Deck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1</v>
      </c>
      <c r="L316" s="80" t="str">
        <f t="shared" si="3"/>
        <v>White</v>
      </c>
      <c r="M316" s="80" t="str">
        <f>IF(A316="","",IF(AND(E316="Y",B316='Use at Shop'!$B$4),K316*10000000000+(MAX(0,MIN(26,CODE(MID(UPPER(A316)&amp;"    ",1,1))-64))*19683+MAX(0,MIN(26,CODE(MID(UPPER(A316)&amp;"    ",2,1))-64))*729+MAX(0,MIN(26,CODE(MID(UPPER(A316)&amp;"    ",3,1))-64))*27+MAX(0,MIN(26,CODE(MID(UPPER(A316)&amp;"    ",4,1))-64))*1)*10000+ROW(),""))</f>
        <v/>
      </c>
      <c r="N316" s="80">
        <f t="shared" si="5"/>
        <v>66</v>
      </c>
      <c r="O316" s="83" t="str">
        <f t="array" ref="O316">IF(A316="","",IFERROR(INDEX('Deck 1'!$A:$Z,ROW()-250,'List Setup'!$J$3)&amp;"",""))</f>
        <v>https://cards.scryfall.io/small/front/3/5/35a69bb5-b8e6-4558-9563-10c7a3662f93.jpg?1783907112</v>
      </c>
      <c r="P316" s="2"/>
      <c r="Q316" s="80" t="str">
        <f>IF(A316="","",'List Setup'!$A$3)</f>
        <v>Deck 1</v>
      </c>
      <c r="R316" s="80" t="b">
        <f t="array" ref="R316">IF(A316="","",IFERROR(OR(INDEX(Binders!$J$6:$J$30,MATCH(Q316,Binders!$I$6:$I$30,0))=TRUE(),UPPER(INDEX(Binders!$J$6:$J$30,MATCH(Q316,Binders!$I$6:$I$30,0))&amp;"")="TRUE"),FALSE()))</f>
        <v>1</v>
      </c>
    </row>
    <row r="317" ht="15.75" customHeight="1">
      <c r="A317" s="80" t="str">
        <f t="array" ref="A317">IF(INDEX('Deck 1'!$A:$Z,ROW()-250,'List Setup'!$D$3)="","",INDEX('Deck 1'!$A:$Z,ROW()-250,'List Setup'!$D$3))</f>
        <v>Wild Wasteland</v>
      </c>
      <c r="B317" s="80" t="str">
        <f t="array" ref="B317">IF(A317="","",IFERROR(INDEX('Binder Setup'!$B$2:$B$401,MIN(IF(ISNUMBER(SEARCH(CHAR(10)&amp;'Binder Setup'!$B$2:$B$401&amp;CHAR(10),$H317)),'List Setup'!$Q$2:$Q$401,999),IF(ISNUMBER(SEARCH(CHAR(10)&amp;'Set Aliases'!$A$2:$A$501&amp;CHAR(10),$H317)),'Set Aliases'!$C$2:$C$501,999))),"(none)"))</f>
        <v>Commander Box</v>
      </c>
      <c r="C317" s="80" t="str">
        <f t="shared" si="1"/>
        <v>Fallout</v>
      </c>
      <c r="D317" s="80" t="str">
        <f t="array" ref="D317">IF(A317="","",IF(ISLOGICAL(INDEX('Deck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317" s="80" t="str">
        <f t="shared" si="2"/>
        <v>Y</v>
      </c>
      <c r="F317" s="80">
        <f t="array" ref="F317">IF(A317="","",IF(ISNUMBER(J317),J317,IF(ISNUMBER(INDEX('Deck 1'!$A:$Z,ROW()-250,'List Setup'!$F$3)),INDEX('Deck 1'!$A:$Z,ROW()-250,'List Setup'!$F$3),0)))</f>
        <v>1.08</v>
      </c>
      <c r="G317" s="80" t="str">
        <f t="array" ref="G317">IF(A317="","",A317&amp;IF(N(INDEX('Deck 1'!$A:$Z,ROW()-250,'List Setup'!$C$3))&gt;1," (x"&amp;INDEX('Deck 1'!$A:$Z,ROW()-250,'List Setup'!$C$3)&amp;")","")&amp;IF(COUNTIF(Binders!$J$6:$J$30,TRUE())&gt;1," ["&amp;Q317&amp;"]",""))</f>
        <v>Wild Wasteland [Deck 1]</v>
      </c>
      <c r="H317" s="80" t="str">
        <f t="array" ref="H317">IF(A317="","",CHAR(10)&amp;INDEX('Deck 1'!$A:$Z,ROW()-250,'List Setup'!$E$3)&amp;CHAR(10))</f>
        <v>
Fallout
</v>
      </c>
      <c r="I317" s="80" t="str">
        <f t="array" ref="I317">IF(OR(B317="",B317="(none)"),"",IF(ISNUMBER(SEARCH(CHAR(10)&amp;B317&amp;CHAR(10),H317)),B317,IFERROR(INDEX('Set Aliases'!$A$2:$A$501,MATCH(1,('Set Aliases'!$B$2:$B$501=B317)*ISNUMBER(SEARCH(CHAR(10)&amp;'Set Aliases'!$A$2:$A$501&amp;CHAR(10),H317)),0)),"")))</f>
        <v>Fallout</v>
      </c>
      <c r="J317" s="80">
        <f t="array" ref="J317">IF(I317="","",IFERROR(VALUE(TRIM(MID(SUBSTITUTE(INDEX('Deck 1'!$A:$Z,ROW()-250,'List Setup'!$G$3),CHAR(10),REPT(" ",100)),((SEARCH(CHAR(10)&amp;I317&amp;CHAR(10),H317)-LEN(SUBSTITUTE(LEFT(H317,SEARCH(CHAR(10)&amp;I317&amp;CHAR(10),H317)),CHAR(10),"")))-1)*100+1,100))),""))</f>
        <v>1.08</v>
      </c>
      <c r="K317" s="80">
        <f t="array" ref="K317">IF(A317="","",IF(ISNUMBER(SEARCH("Land",LEFT(IFERROR(INDEX('Deck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4</v>
      </c>
      <c r="L317" s="80" t="str">
        <f t="shared" si="3"/>
        <v>Red</v>
      </c>
      <c r="M317" s="80" t="str">
        <f>IF(A317="","",IF(AND(E317="Y",B317='Use at Shop'!$B$4),K317*10000000000+(MAX(0,MIN(26,CODE(MID(UPPER(A317)&amp;"    ",1,1))-64))*19683+MAX(0,MIN(26,CODE(MID(UPPER(A317)&amp;"    ",2,1))-64))*729+MAX(0,MIN(26,CODE(MID(UPPER(A317)&amp;"    ",3,1))-64))*27+MAX(0,MIN(26,CODE(MID(UPPER(A317)&amp;"    ",4,1))-64))*1)*10000+ROW(),""))</f>
        <v/>
      </c>
      <c r="N317" s="80">
        <f t="shared" si="5"/>
        <v>67</v>
      </c>
      <c r="O317" s="83" t="str">
        <f t="array" ref="O317">IF(A317="","",IFERROR(INDEX('Deck 1'!$A:$Z,ROW()-250,'List Setup'!$J$3)&amp;"",""))</f>
        <v>https://cards.scryfall.io/small/front/c/a/ca1024d6-c5f1-48f5-9081-fb90d0c46fdb.jpg?1783912401</v>
      </c>
      <c r="P317" s="2"/>
      <c r="Q317" s="80" t="str">
        <f>IF(A317="","",'List Setup'!$A$3)</f>
        <v>Deck 1</v>
      </c>
      <c r="R317" s="80" t="b">
        <f t="array" ref="R317">IF(A317="","",IFERROR(OR(INDEX(Binders!$J$6:$J$30,MATCH(Q317,Binders!$I$6:$I$30,0))=TRUE(),UPPER(INDEX(Binders!$J$6:$J$30,MATCH(Q317,Binders!$I$6:$I$30,0))&amp;"")="TRUE"),FALSE()))</f>
        <v>1</v>
      </c>
    </row>
    <row r="318" ht="15.75" customHeight="1">
      <c r="A318" s="80" t="str">
        <f t="array" ref="A318">IF(INDEX('Deck 1'!$A:$Z,ROW()-250,'List Setup'!$D$3)="","",INDEX('Deck 1'!$A:$Z,ROW()-250,'List Setup'!$D$3))</f>
        <v>Windbrisk Heights</v>
      </c>
      <c r="B318" s="80" t="str">
        <f t="array" ref="B318">IF(A318="","",IFERROR(INDEX('Binder Setup'!$B$2:$B$401,MIN(IF(ISNUMBER(SEARCH(CHAR(10)&amp;'Binder Setup'!$B$2:$B$401&amp;CHAR(10),$H318)),'List Setup'!$Q$2:$Q$401,999),IF(ISNUMBER(SEARCH(CHAR(10)&amp;'Set Aliases'!$A$2:$A$501&amp;CHAR(10),$H318)),'Set Aliases'!$C$2:$C$501,999))),"(none)"))</f>
        <v>Commander Box</v>
      </c>
      <c r="C318" s="80" t="str">
        <f t="shared" si="1"/>
        <v>Tarkir: Dragonstorm Commander | Fallout | The Lost Caverns of Ixalan Commander | Tales of Middle-earth Commander | Phyrexia: All Will Be One Commander | Commander Legends: Battle for Baldur's Gate | New Capenna Commander | Secret Lair Drop | Commander 2020 | Commander 2016 | Modern Event Deck 2014 | From the Vault: Realms | Lorwyn</v>
      </c>
      <c r="D318" s="80" t="str">
        <f t="array" ref="D318">IF(A318="","",IF(ISLOGICAL(INDEX('Deck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318" s="80" t="str">
        <f t="shared" si="2"/>
        <v>Y</v>
      </c>
      <c r="F318" s="80">
        <f t="array" ref="F318">IF(A318="","",IF(ISNUMBER(J318),J318,IF(ISNUMBER(INDEX('Deck 1'!$A:$Z,ROW()-250,'List Setup'!$F$3)),INDEX('Deck 1'!$A:$Z,ROW()-250,'List Setup'!$F$3),0)))</f>
        <v>0.33</v>
      </c>
      <c r="G318" s="80" t="str">
        <f t="array" ref="G318">IF(A318="","",A318&amp;IF(N(INDEX('Deck 1'!$A:$Z,ROW()-250,'List Setup'!$C$3))&gt;1," (x"&amp;INDEX('Deck 1'!$A:$Z,ROW()-250,'List Setup'!$C$3)&amp;")","")&amp;IF(COUNTIF(Binders!$J$6:$J$30,TRUE())&gt;1," ["&amp;Q318&amp;"]",""))</f>
        <v>Windbrisk Heights [Deck 1]</v>
      </c>
      <c r="H318" s="80" t="str">
        <f t="array" ref="H318">IF(A318="","",CHAR(10)&amp;INDEX('Deck 1'!$A:$Z,ROW()-250,'List Setup'!$E$3)&amp;CHAR(10))</f>
        <v>
Tarkir: Dragonstorm Commander
Fallout
The Lost Caverns of Ixalan Commander
Tales of Middle-earth Commander
Phyrexia: All Will Be One Commander
Commander Legends: Battle for Baldur's Gate
New Capenna Commander
Secret Lair Drop
Commander 2020
Commander 2016
Modern Event Deck 2014
From the Vault: Realms
Lorwyn
</v>
      </c>
      <c r="I318" s="80" t="str">
        <f t="array" ref="I318">IF(OR(B318="",B318="(none)"),"",IF(ISNUMBER(SEARCH(CHAR(10)&amp;B318&amp;CHAR(10),H318)),B318,IFERROR(INDEX('Set Aliases'!$A$2:$A$501,MATCH(1,('Set Aliases'!$B$2:$B$501=B318)*ISNUMBER(SEARCH(CHAR(10)&amp;'Set Aliases'!$A$2:$A$501&amp;CHAR(10),H318)),0)),"")))</f>
        <v>Fallout</v>
      </c>
      <c r="J318" s="80">
        <f t="array" ref="J318">IF(I318="","",IFERROR(VALUE(TRIM(MID(SUBSTITUTE(INDEX('Deck 1'!$A:$Z,ROW()-250,'List Setup'!$G$3),CHAR(10),REPT(" ",100)),((SEARCH(CHAR(10)&amp;I318&amp;CHAR(10),H318)-LEN(SUBSTITUTE(LEFT(H318,SEARCH(CHAR(10)&amp;I318&amp;CHAR(10),H318)),CHAR(10),"")))-1)*100+1,100))),""))</f>
        <v>0.33</v>
      </c>
      <c r="K318" s="80">
        <f t="array" ref="K318">IF(A318="","",IF(ISNUMBER(SEARCH("Land",LEFT(IFERROR(INDEX('Deck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8</v>
      </c>
      <c r="L318" s="80" t="str">
        <f t="shared" si="3"/>
        <v>Land</v>
      </c>
      <c r="M318" s="80" t="str">
        <f>IF(A318="","",IF(AND(E318="Y",B318='Use at Shop'!$B$4),K318*10000000000+(MAX(0,MIN(26,CODE(MID(UPPER(A318)&amp;"    ",1,1))-64))*19683+MAX(0,MIN(26,CODE(MID(UPPER(A318)&amp;"    ",2,1))-64))*729+MAX(0,MIN(26,CODE(MID(UPPER(A318)&amp;"    ",3,1))-64))*27+MAX(0,MIN(26,CODE(MID(UPPER(A318)&amp;"    ",4,1))-64))*1)*10000+ROW(),""))</f>
        <v/>
      </c>
      <c r="N318" s="80">
        <f t="shared" si="5"/>
        <v>68</v>
      </c>
      <c r="O318" s="83" t="str">
        <f t="array" ref="O318">IF(A318="","",IFERROR(INDEX('Deck 1'!$A:$Z,ROW()-250,'List Setup'!$J$3)&amp;"",""))</f>
        <v>https://cards.scryfall.io/small/front/d/f/df441bae-3b9c-46a9-8287-870c00d58a64.jpg?1783906957</v>
      </c>
      <c r="P318" s="2"/>
      <c r="Q318" s="80" t="str">
        <f>IF(A318="","",'List Setup'!$A$3)</f>
        <v>Deck 1</v>
      </c>
      <c r="R318" s="80" t="b">
        <f t="array" ref="R318">IF(A318="","",IFERROR(OR(INDEX(Binders!$J$6:$J$30,MATCH(Q318,Binders!$I$6:$I$30,0))=TRUE(),UPPER(INDEX(Binders!$J$6:$J$30,MATCH(Q318,Binders!$I$6:$I$30,0))&amp;"")="TRUE"),FALSE()))</f>
        <v>1</v>
      </c>
    </row>
    <row r="319" ht="15.75" customHeight="1">
      <c r="A319" s="80" t="str">
        <f t="array" ref="A319">IF(INDEX('Deck 1'!$A:$Z,ROW()-250,'List Setup'!$D$3)="","",INDEX('Deck 1'!$A:$Z,ROW()-250,'List Setup'!$D$3))</f>
        <v>Witty Roastmaster</v>
      </c>
      <c r="B319" s="80" t="str">
        <f t="array" ref="B319">IF(A319="","",IFERROR(INDEX('Binder Setup'!$B$2:$B$401,MIN(IF(ISNUMBER(SEARCH(CHAR(10)&amp;'Binder Setup'!$B$2:$B$401&amp;CHAR(10),$H319)),'List Setup'!$Q$2:$Q$401,999),IF(ISNUMBER(SEARCH(CHAR(10)&amp;'Set Aliases'!$A$2:$A$501&amp;CHAR(10),$H319)),'Set Aliases'!$C$2:$C$501,999))),"(none)"))</f>
        <v>Streets of New Capenna</v>
      </c>
      <c r="C319" s="80" t="str">
        <f t="shared" si="1"/>
        <v>Streets of New Capenna</v>
      </c>
      <c r="D319" s="80" t="str">
        <f t="array" ref="D319">IF(A319="","",IF(ISLOGICAL(INDEX('Deck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Needed</v>
      </c>
      <c r="E319" s="80" t="str">
        <f t="shared" si="2"/>
        <v>Y</v>
      </c>
      <c r="F319" s="80">
        <f t="array" ref="F319">IF(A319="","",IF(ISNUMBER(J319),J319,IF(ISNUMBER(INDEX('Deck 1'!$A:$Z,ROW()-250,'List Setup'!$F$3)),INDEX('Deck 1'!$A:$Z,ROW()-250,'List Setup'!$F$3),0)))</f>
        <v>0.93</v>
      </c>
      <c r="G319" s="80" t="str">
        <f t="array" ref="G319">IF(A319="","",A319&amp;IF(N(INDEX('Deck 1'!$A:$Z,ROW()-250,'List Setup'!$C$3))&gt;1," (x"&amp;INDEX('Deck 1'!$A:$Z,ROW()-250,'List Setup'!$C$3)&amp;")","")&amp;IF(COUNTIF(Binders!$J$6:$J$30,TRUE())&gt;1," ["&amp;Q319&amp;"]",""))</f>
        <v>Witty Roastmaster [Deck 1]</v>
      </c>
      <c r="H319" s="80" t="str">
        <f t="array" ref="H319">IF(A319="","",CHAR(10)&amp;INDEX('Deck 1'!$A:$Z,ROW()-250,'List Setup'!$E$3)&amp;CHAR(10))</f>
        <v>
Streets of New Capenna
</v>
      </c>
      <c r="I319" s="80" t="str">
        <f t="array" ref="I319">IF(OR(B319="",B319="(none)"),"",IF(ISNUMBER(SEARCH(CHAR(10)&amp;B319&amp;CHAR(10),H319)),B319,IFERROR(INDEX('Set Aliases'!$A$2:$A$501,MATCH(1,('Set Aliases'!$B$2:$B$501=B319)*ISNUMBER(SEARCH(CHAR(10)&amp;'Set Aliases'!$A$2:$A$501&amp;CHAR(10),H319)),0)),"")))</f>
        <v>Streets of New Capenna</v>
      </c>
      <c r="J319" s="80">
        <f t="array" ref="J319">IF(I319="","",IFERROR(VALUE(TRIM(MID(SUBSTITUTE(INDEX('Deck 1'!$A:$Z,ROW()-250,'List Setup'!$G$3),CHAR(10),REPT(" ",100)),((SEARCH(CHAR(10)&amp;I319&amp;CHAR(10),H319)-LEN(SUBSTITUTE(LEFT(H319,SEARCH(CHAR(10)&amp;I319&amp;CHAR(10),H319)),CHAR(10),"")))-1)*100+1,100))),""))</f>
        <v>0.93</v>
      </c>
      <c r="K319" s="80">
        <f t="array" ref="K319">IF(A319="","",IF(ISNUMBER(SEARCH("Land",LEFT(IFERROR(INDEX('Deck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4</v>
      </c>
      <c r="L319" s="80" t="str">
        <f t="shared" si="3"/>
        <v>Red</v>
      </c>
      <c r="M319" s="80" t="str">
        <f>IF(A319="","",IF(AND(E319="Y",B319='Use at Shop'!$B$4),K319*10000000000+(MAX(0,MIN(26,CODE(MID(UPPER(A319)&amp;"    ",1,1))-64))*19683+MAX(0,MIN(26,CODE(MID(UPPER(A319)&amp;"    ",2,1))-64))*729+MAX(0,MIN(26,CODE(MID(UPPER(A319)&amp;"    ",3,1))-64))*27+MAX(0,MIN(26,CODE(MID(UPPER(A319)&amp;"    ",4,1))-64))*1)*10000+ROW(),""))</f>
        <v/>
      </c>
      <c r="N319" s="80">
        <f t="shared" si="5"/>
        <v>69</v>
      </c>
      <c r="O319" s="83" t="str">
        <f t="array" ref="O319">IF(A319="","",IFERROR(INDEX('Deck 1'!$A:$Z,ROW()-250,'List Setup'!$J$3)&amp;"",""))</f>
        <v>https://cards.scryfall.io/small/front/7/1/71d13f19-482b-4a2e-9692-b7d7caf2f9f5.jpg?1783923109</v>
      </c>
      <c r="P319" s="2"/>
      <c r="Q319" s="80" t="str">
        <f>IF(A319="","",'List Setup'!$A$3)</f>
        <v>Deck 1</v>
      </c>
      <c r="R319" s="80" t="b">
        <f t="array" ref="R319">IF(A319="","",IFERROR(OR(INDEX(Binders!$J$6:$J$30,MATCH(Q319,Binders!$I$6:$I$30,0))=TRUE(),UPPER(INDEX(Binders!$J$6:$J$30,MATCH(Q319,Binders!$I$6:$I$30,0))&amp;"")="TRUE"),FALSE()))</f>
        <v>1</v>
      </c>
    </row>
    <row r="320" ht="15.75" customHeight="1">
      <c r="A320" s="80" t="str">
        <f t="array" ref="A320">IF(INDEX('Deck 1'!$A:$Z,ROW()-250,'List Setup'!$D$3)="","",INDEX('Deck 1'!$A:$Z,ROW()-250,'List Setup'!$D$3))</f>
        <v/>
      </c>
      <c r="B320" s="80" t="str">
        <f t="array" ref="B320">IF(A320="","",IFERROR(INDEX('Binder Setup'!$B$2:$B$401,MIN(IF(ISNUMBER(SEARCH(CHAR(10)&amp;'Binder Setup'!$B$2:$B$401&amp;CHAR(10),$H320)),'List Setup'!$Q$2:$Q$401,999),IF(ISNUMBER(SEARCH(CHAR(10)&amp;'Set Aliases'!$A$2:$A$501&amp;CHAR(10),$H320)),'Set Aliases'!$C$2:$C$501,999))),"(none)"))</f>
        <v/>
      </c>
      <c r="C320" s="80" t="str">
        <f t="shared" si="1"/>
        <v/>
      </c>
      <c r="D320" s="80" t="str">
        <f t="array" ref="D320">IF(A320="","",IF(ISLOGICAL(INDEX('Deck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20" s="80" t="str">
        <f t="shared" si="2"/>
        <v/>
      </c>
      <c r="F320" s="80" t="str">
        <f t="array" ref="F320">IF(A320="","",IF(ISNUMBER(J320),J320,IF(ISNUMBER(INDEX('Deck 1'!$A:$Z,ROW()-250,'List Setup'!$F$3)),INDEX('Deck 1'!$A:$Z,ROW()-250,'List Setup'!$F$3),0)))</f>
        <v/>
      </c>
      <c r="G320" s="80" t="str">
        <f t="array" ref="G320">IF(A320="","",A320&amp;IF(N(INDEX('Deck 1'!$A:$Z,ROW()-250,'List Setup'!$C$3))&gt;1," (x"&amp;INDEX('Deck 1'!$A:$Z,ROW()-250,'List Setup'!$C$3)&amp;")","")&amp;IF(COUNTIF(Binders!$J$6:$J$30,TRUE())&gt;1," ["&amp;Q320&amp;"]",""))</f>
        <v/>
      </c>
      <c r="H320" s="80" t="str">
        <f t="array" ref="H320">IF(A320="","",CHAR(10)&amp;INDEX('Deck 1'!$A:$Z,ROW()-250,'List Setup'!$E$3)&amp;CHAR(10))</f>
        <v/>
      </c>
      <c r="I320" s="80" t="str">
        <f t="array" ref="I320">IF(OR(B320="",B320="(none)"),"",IF(ISNUMBER(SEARCH(CHAR(10)&amp;B320&amp;CHAR(10),H320)),B320,IFERROR(INDEX('Set Aliases'!$A$2:$A$501,MATCH(1,('Set Aliases'!$B$2:$B$501=B320)*ISNUMBER(SEARCH(CHAR(10)&amp;'Set Aliases'!$A$2:$A$501&amp;CHAR(10),H320)),0)),"")))</f>
        <v/>
      </c>
      <c r="J320" s="80" t="str">
        <f t="array" ref="J320">IF(I320="","",IFERROR(VALUE(TRIM(MID(SUBSTITUTE(INDEX('Deck 1'!$A:$Z,ROW()-250,'List Setup'!$G$3),CHAR(10),REPT(" ",100)),((SEARCH(CHAR(10)&amp;I320&amp;CHAR(10),H320)-LEN(SUBSTITUTE(LEFT(H320,SEARCH(CHAR(10)&amp;I320&amp;CHAR(10),H320)),CHAR(10),"")))-1)*100+1,100))),""))</f>
        <v/>
      </c>
      <c r="K320" s="80" t="str">
        <f t="array" ref="K320">IF(A320="","",IF(ISNUMBER(SEARCH("Land",LEFT(IFERROR(INDEX('Deck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20" s="80" t="str">
        <f t="shared" si="3"/>
        <v/>
      </c>
      <c r="M320" s="80" t="str">
        <f>IF(A320="","",IF(AND(E320="Y",B320='Use at Shop'!$B$4),K320*10000000000+(MAX(0,MIN(26,CODE(MID(UPPER(A320)&amp;"    ",1,1))-64))*19683+MAX(0,MIN(26,CODE(MID(UPPER(A320)&amp;"    ",2,1))-64))*729+MAX(0,MIN(26,CODE(MID(UPPER(A320)&amp;"    ",3,1))-64))*27+MAX(0,MIN(26,CODE(MID(UPPER(A320)&amp;"    ",4,1))-64))*1)*10000+ROW(),""))</f>
        <v/>
      </c>
      <c r="N320" s="80" t="str">
        <f t="shared" si="5"/>
        <v/>
      </c>
      <c r="O320" s="80" t="str">
        <f t="array" ref="O320">IF(A320="","",IFERROR(INDEX('Deck 1'!$A:$Z,ROW()-250,'List Setup'!$J$3)&amp;"",""))</f>
        <v/>
      </c>
      <c r="P320" s="2"/>
      <c r="Q320" s="80" t="str">
        <f>IF(A320="","",'List Setup'!$A$3)</f>
        <v/>
      </c>
      <c r="R320" s="80" t="str">
        <f t="array" ref="R320">IF(A320="","",IFERROR(OR(INDEX(Binders!$J$6:$J$30,MATCH(Q320,Binders!$I$6:$I$30,0))=TRUE(),UPPER(INDEX(Binders!$J$6:$J$30,MATCH(Q320,Binders!$I$6:$I$30,0))&amp;"")="TRUE"),FALSE()))</f>
        <v/>
      </c>
    </row>
    <row r="321" ht="15.75" customHeight="1">
      <c r="A321" s="80" t="str">
        <f t="array" ref="A321">IF(INDEX('Deck 1'!$A:$Z,ROW()-250,'List Setup'!$D$3)="","",INDEX('Deck 1'!$A:$Z,ROW()-250,'List Setup'!$D$3))</f>
        <v/>
      </c>
      <c r="B321" s="80" t="str">
        <f t="array" ref="B321">IF(A321="","",IFERROR(INDEX('Binder Setup'!$B$2:$B$401,MIN(IF(ISNUMBER(SEARCH(CHAR(10)&amp;'Binder Setup'!$B$2:$B$401&amp;CHAR(10),$H321)),'List Setup'!$Q$2:$Q$401,999),IF(ISNUMBER(SEARCH(CHAR(10)&amp;'Set Aliases'!$A$2:$A$501&amp;CHAR(10),$H321)),'Set Aliases'!$C$2:$C$501,999))),"(none)"))</f>
        <v/>
      </c>
      <c r="C321" s="80" t="str">
        <f t="shared" si="1"/>
        <v/>
      </c>
      <c r="D321" s="80" t="str">
        <f t="array" ref="D321">IF(A321="","",IF(ISLOGICAL(INDEX('Deck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21" s="80" t="str">
        <f t="shared" si="2"/>
        <v/>
      </c>
      <c r="F321" s="80" t="str">
        <f t="array" ref="F321">IF(A321="","",IF(ISNUMBER(J321),J321,IF(ISNUMBER(INDEX('Deck 1'!$A:$Z,ROW()-250,'List Setup'!$F$3)),INDEX('Deck 1'!$A:$Z,ROW()-250,'List Setup'!$F$3),0)))</f>
        <v/>
      </c>
      <c r="G321" s="80" t="str">
        <f t="array" ref="G321">IF(A321="","",A321&amp;IF(N(INDEX('Deck 1'!$A:$Z,ROW()-250,'List Setup'!$C$3))&gt;1," (x"&amp;INDEX('Deck 1'!$A:$Z,ROW()-250,'List Setup'!$C$3)&amp;")","")&amp;IF(COUNTIF(Binders!$J$6:$J$30,TRUE())&gt;1," ["&amp;Q321&amp;"]",""))</f>
        <v/>
      </c>
      <c r="H321" s="80" t="str">
        <f t="array" ref="H321">IF(A321="","",CHAR(10)&amp;INDEX('Deck 1'!$A:$Z,ROW()-250,'List Setup'!$E$3)&amp;CHAR(10))</f>
        <v/>
      </c>
      <c r="I321" s="80" t="str">
        <f t="array" ref="I321">IF(OR(B321="",B321="(none)"),"",IF(ISNUMBER(SEARCH(CHAR(10)&amp;B321&amp;CHAR(10),H321)),B321,IFERROR(INDEX('Set Aliases'!$A$2:$A$501,MATCH(1,('Set Aliases'!$B$2:$B$501=B321)*ISNUMBER(SEARCH(CHAR(10)&amp;'Set Aliases'!$A$2:$A$501&amp;CHAR(10),H321)),0)),"")))</f>
        <v/>
      </c>
      <c r="J321" s="80" t="str">
        <f t="array" ref="J321">IF(I321="","",IFERROR(VALUE(TRIM(MID(SUBSTITUTE(INDEX('Deck 1'!$A:$Z,ROW()-250,'List Setup'!$G$3),CHAR(10),REPT(" ",100)),((SEARCH(CHAR(10)&amp;I321&amp;CHAR(10),H321)-LEN(SUBSTITUTE(LEFT(H321,SEARCH(CHAR(10)&amp;I321&amp;CHAR(10),H321)),CHAR(10),"")))-1)*100+1,100))),""))</f>
        <v/>
      </c>
      <c r="K321" s="80" t="str">
        <f t="array" ref="K321">IF(A321="","",IF(ISNUMBER(SEARCH("Land",LEFT(IFERROR(INDEX('Deck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21" s="80" t="str">
        <f t="shared" si="3"/>
        <v/>
      </c>
      <c r="M321" s="80" t="str">
        <f>IF(A321="","",IF(AND(E321="Y",B321='Use at Shop'!$B$4),K321*10000000000+(MAX(0,MIN(26,CODE(MID(UPPER(A321)&amp;"    ",1,1))-64))*19683+MAX(0,MIN(26,CODE(MID(UPPER(A321)&amp;"    ",2,1))-64))*729+MAX(0,MIN(26,CODE(MID(UPPER(A321)&amp;"    ",3,1))-64))*27+MAX(0,MIN(26,CODE(MID(UPPER(A321)&amp;"    ",4,1))-64))*1)*10000+ROW(),""))</f>
        <v/>
      </c>
      <c r="N321" s="80" t="str">
        <f t="shared" si="5"/>
        <v/>
      </c>
      <c r="O321" s="80" t="str">
        <f t="array" ref="O321">IF(A321="","",IFERROR(INDEX('Deck 1'!$A:$Z,ROW()-250,'List Setup'!$J$3)&amp;"",""))</f>
        <v/>
      </c>
      <c r="P321" s="2"/>
      <c r="Q321" s="80" t="str">
        <f>IF(A321="","",'List Setup'!$A$3)</f>
        <v/>
      </c>
      <c r="R321" s="80" t="str">
        <f t="array" ref="R321">IF(A321="","",IFERROR(OR(INDEX(Binders!$J$6:$J$30,MATCH(Q321,Binders!$I$6:$I$30,0))=TRUE(),UPPER(INDEX(Binders!$J$6:$J$30,MATCH(Q321,Binders!$I$6:$I$30,0))&amp;"")="TRUE"),FALSE()))</f>
        <v/>
      </c>
    </row>
    <row r="322" ht="15.75" customHeight="1">
      <c r="A322" s="80" t="str">
        <f t="array" ref="A322">IF(INDEX('Deck 1'!$A:$Z,ROW()-250,'List Setup'!$D$3)="","",INDEX('Deck 1'!$A:$Z,ROW()-250,'List Setup'!$D$3))</f>
        <v/>
      </c>
      <c r="B322" s="80" t="str">
        <f t="array" ref="B322">IF(A322="","",IFERROR(INDEX('Binder Setup'!$B$2:$B$401,MIN(IF(ISNUMBER(SEARCH(CHAR(10)&amp;'Binder Setup'!$B$2:$B$401&amp;CHAR(10),$H322)),'List Setup'!$Q$2:$Q$401,999),IF(ISNUMBER(SEARCH(CHAR(10)&amp;'Set Aliases'!$A$2:$A$501&amp;CHAR(10),$H322)),'Set Aliases'!$C$2:$C$501,999))),"(none)"))</f>
        <v/>
      </c>
      <c r="C322" s="80" t="str">
        <f t="shared" si="1"/>
        <v/>
      </c>
      <c r="D322" s="80" t="str">
        <f t="array" ref="D322">IF(A322="","",IF(ISLOGICAL(INDEX('Deck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22" s="80" t="str">
        <f t="shared" si="2"/>
        <v/>
      </c>
      <c r="F322" s="80" t="str">
        <f t="array" ref="F322">IF(A322="","",IF(ISNUMBER(J322),J322,IF(ISNUMBER(INDEX('Deck 1'!$A:$Z,ROW()-250,'List Setup'!$F$3)),INDEX('Deck 1'!$A:$Z,ROW()-250,'List Setup'!$F$3),0)))</f>
        <v/>
      </c>
      <c r="G322" s="80" t="str">
        <f t="array" ref="G322">IF(A322="","",A322&amp;IF(N(INDEX('Deck 1'!$A:$Z,ROW()-250,'List Setup'!$C$3))&gt;1," (x"&amp;INDEX('Deck 1'!$A:$Z,ROW()-250,'List Setup'!$C$3)&amp;")","")&amp;IF(COUNTIF(Binders!$J$6:$J$30,TRUE())&gt;1," ["&amp;Q322&amp;"]",""))</f>
        <v/>
      </c>
      <c r="H322" s="80" t="str">
        <f t="array" ref="H322">IF(A322="","",CHAR(10)&amp;INDEX('Deck 1'!$A:$Z,ROW()-250,'List Setup'!$E$3)&amp;CHAR(10))</f>
        <v/>
      </c>
      <c r="I322" s="80" t="str">
        <f t="array" ref="I322">IF(OR(B322="",B322="(none)"),"",IF(ISNUMBER(SEARCH(CHAR(10)&amp;B322&amp;CHAR(10),H322)),B322,IFERROR(INDEX('Set Aliases'!$A$2:$A$501,MATCH(1,('Set Aliases'!$B$2:$B$501=B322)*ISNUMBER(SEARCH(CHAR(10)&amp;'Set Aliases'!$A$2:$A$501&amp;CHAR(10),H322)),0)),"")))</f>
        <v/>
      </c>
      <c r="J322" s="80" t="str">
        <f t="array" ref="J322">IF(I322="","",IFERROR(VALUE(TRIM(MID(SUBSTITUTE(INDEX('Deck 1'!$A:$Z,ROW()-250,'List Setup'!$G$3),CHAR(10),REPT(" ",100)),((SEARCH(CHAR(10)&amp;I322&amp;CHAR(10),H322)-LEN(SUBSTITUTE(LEFT(H322,SEARCH(CHAR(10)&amp;I322&amp;CHAR(10),H322)),CHAR(10),"")))-1)*100+1,100))),""))</f>
        <v/>
      </c>
      <c r="K322" s="80" t="str">
        <f t="array" ref="K322">IF(A322="","",IF(ISNUMBER(SEARCH("Land",LEFT(IFERROR(INDEX('Deck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22" s="80" t="str">
        <f t="shared" si="3"/>
        <v/>
      </c>
      <c r="M322" s="80" t="str">
        <f>IF(A322="","",IF(AND(E322="Y",B322='Use at Shop'!$B$4),K322*10000000000+(MAX(0,MIN(26,CODE(MID(UPPER(A322)&amp;"    ",1,1))-64))*19683+MAX(0,MIN(26,CODE(MID(UPPER(A322)&amp;"    ",2,1))-64))*729+MAX(0,MIN(26,CODE(MID(UPPER(A322)&amp;"    ",3,1))-64))*27+MAX(0,MIN(26,CODE(MID(UPPER(A322)&amp;"    ",4,1))-64))*1)*10000+ROW(),""))</f>
        <v/>
      </c>
      <c r="N322" s="80" t="str">
        <f t="shared" si="5"/>
        <v/>
      </c>
      <c r="O322" s="80" t="str">
        <f t="array" ref="O322">IF(A322="","",IFERROR(INDEX('Deck 1'!$A:$Z,ROW()-250,'List Setup'!$J$3)&amp;"",""))</f>
        <v/>
      </c>
      <c r="P322" s="2"/>
      <c r="Q322" s="80" t="str">
        <f>IF(A322="","",'List Setup'!$A$3)</f>
        <v/>
      </c>
      <c r="R322" s="80" t="str">
        <f t="array" ref="R322">IF(A322="","",IFERROR(OR(INDEX(Binders!$J$6:$J$30,MATCH(Q322,Binders!$I$6:$I$30,0))=TRUE(),UPPER(INDEX(Binders!$J$6:$J$30,MATCH(Q322,Binders!$I$6:$I$30,0))&amp;"")="TRUE"),FALSE()))</f>
        <v/>
      </c>
    </row>
    <row r="323" ht="15.75" customHeight="1">
      <c r="A323" s="80" t="str">
        <f t="array" ref="A323">IF(INDEX('Deck 1'!$A:$Z,ROW()-250,'List Setup'!$D$3)="","",INDEX('Deck 1'!$A:$Z,ROW()-250,'List Setup'!$D$3))</f>
        <v/>
      </c>
      <c r="B323" s="80" t="str">
        <f t="array" ref="B323">IF(A323="","",IFERROR(INDEX('Binder Setup'!$B$2:$B$401,MIN(IF(ISNUMBER(SEARCH(CHAR(10)&amp;'Binder Setup'!$B$2:$B$401&amp;CHAR(10),$H323)),'List Setup'!$Q$2:$Q$401,999),IF(ISNUMBER(SEARCH(CHAR(10)&amp;'Set Aliases'!$A$2:$A$501&amp;CHAR(10),$H323)),'Set Aliases'!$C$2:$C$501,999))),"(none)"))</f>
        <v/>
      </c>
      <c r="C323" s="80" t="str">
        <f t="shared" si="1"/>
        <v/>
      </c>
      <c r="D323" s="80" t="str">
        <f t="array" ref="D323">IF(A323="","",IF(ISLOGICAL(INDEX('Deck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23" s="80" t="str">
        <f t="shared" si="2"/>
        <v/>
      </c>
      <c r="F323" s="80" t="str">
        <f t="array" ref="F323">IF(A323="","",IF(ISNUMBER(J323),J323,IF(ISNUMBER(INDEX('Deck 1'!$A:$Z,ROW()-250,'List Setup'!$F$3)),INDEX('Deck 1'!$A:$Z,ROW()-250,'List Setup'!$F$3),0)))</f>
        <v/>
      </c>
      <c r="G323" s="80" t="str">
        <f t="array" ref="G323">IF(A323="","",A323&amp;IF(N(INDEX('Deck 1'!$A:$Z,ROW()-250,'List Setup'!$C$3))&gt;1," (x"&amp;INDEX('Deck 1'!$A:$Z,ROW()-250,'List Setup'!$C$3)&amp;")","")&amp;IF(COUNTIF(Binders!$J$6:$J$30,TRUE())&gt;1," ["&amp;Q323&amp;"]",""))</f>
        <v/>
      </c>
      <c r="H323" s="80" t="str">
        <f t="array" ref="H323">IF(A323="","",CHAR(10)&amp;INDEX('Deck 1'!$A:$Z,ROW()-250,'List Setup'!$E$3)&amp;CHAR(10))</f>
        <v/>
      </c>
      <c r="I323" s="80" t="str">
        <f t="array" ref="I323">IF(OR(B323="",B323="(none)"),"",IF(ISNUMBER(SEARCH(CHAR(10)&amp;B323&amp;CHAR(10),H323)),B323,IFERROR(INDEX('Set Aliases'!$A$2:$A$501,MATCH(1,('Set Aliases'!$B$2:$B$501=B323)*ISNUMBER(SEARCH(CHAR(10)&amp;'Set Aliases'!$A$2:$A$501&amp;CHAR(10),H323)),0)),"")))</f>
        <v/>
      </c>
      <c r="J323" s="80" t="str">
        <f t="array" ref="J323">IF(I323="","",IFERROR(VALUE(TRIM(MID(SUBSTITUTE(INDEX('Deck 1'!$A:$Z,ROW()-250,'List Setup'!$G$3),CHAR(10),REPT(" ",100)),((SEARCH(CHAR(10)&amp;I323&amp;CHAR(10),H323)-LEN(SUBSTITUTE(LEFT(H323,SEARCH(CHAR(10)&amp;I323&amp;CHAR(10),H323)),CHAR(10),"")))-1)*100+1,100))),""))</f>
        <v/>
      </c>
      <c r="K323" s="80" t="str">
        <f t="array" ref="K323">IF(A323="","",IF(ISNUMBER(SEARCH("Land",LEFT(IFERROR(INDEX('Deck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23" s="80" t="str">
        <f t="shared" si="3"/>
        <v/>
      </c>
      <c r="M323" s="80" t="str">
        <f>IF(A323="","",IF(AND(E323="Y",B323='Use at Shop'!$B$4),K323*10000000000+(MAX(0,MIN(26,CODE(MID(UPPER(A323)&amp;"    ",1,1))-64))*19683+MAX(0,MIN(26,CODE(MID(UPPER(A323)&amp;"    ",2,1))-64))*729+MAX(0,MIN(26,CODE(MID(UPPER(A323)&amp;"    ",3,1))-64))*27+MAX(0,MIN(26,CODE(MID(UPPER(A323)&amp;"    ",4,1))-64))*1)*10000+ROW(),""))</f>
        <v/>
      </c>
      <c r="N323" s="80" t="str">
        <f t="shared" si="5"/>
        <v/>
      </c>
      <c r="O323" s="80" t="str">
        <f t="array" ref="O323">IF(A323="","",IFERROR(INDEX('Deck 1'!$A:$Z,ROW()-250,'List Setup'!$J$3)&amp;"",""))</f>
        <v/>
      </c>
      <c r="P323" s="2"/>
      <c r="Q323" s="80" t="str">
        <f>IF(A323="","",'List Setup'!$A$3)</f>
        <v/>
      </c>
      <c r="R323" s="80" t="str">
        <f t="array" ref="R323">IF(A323="","",IFERROR(OR(INDEX(Binders!$J$6:$J$30,MATCH(Q323,Binders!$I$6:$I$30,0))=TRUE(),UPPER(INDEX(Binders!$J$6:$J$30,MATCH(Q323,Binders!$I$6:$I$30,0))&amp;"")="TRUE"),FALSE()))</f>
        <v/>
      </c>
    </row>
    <row r="324" ht="15.75" customHeight="1">
      <c r="A324" s="80" t="str">
        <f t="array" ref="A324">IF(INDEX('Deck 1'!$A:$Z,ROW()-250,'List Setup'!$D$3)="","",INDEX('Deck 1'!$A:$Z,ROW()-250,'List Setup'!$D$3))</f>
        <v/>
      </c>
      <c r="B324" s="80" t="str">
        <f t="array" ref="B324">IF(A324="","",IFERROR(INDEX('Binder Setup'!$B$2:$B$401,MIN(IF(ISNUMBER(SEARCH(CHAR(10)&amp;'Binder Setup'!$B$2:$B$401&amp;CHAR(10),$H324)),'List Setup'!$Q$2:$Q$401,999),IF(ISNUMBER(SEARCH(CHAR(10)&amp;'Set Aliases'!$A$2:$A$501&amp;CHAR(10),$H324)),'Set Aliases'!$C$2:$C$501,999))),"(none)"))</f>
        <v/>
      </c>
      <c r="C324" s="80" t="str">
        <f t="shared" si="1"/>
        <v/>
      </c>
      <c r="D324" s="80" t="str">
        <f t="array" ref="D324">IF(A324="","",IF(ISLOGICAL(INDEX('Deck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24" s="80" t="str">
        <f t="shared" si="2"/>
        <v/>
      </c>
      <c r="F324" s="80" t="str">
        <f t="array" ref="F324">IF(A324="","",IF(ISNUMBER(J324),J324,IF(ISNUMBER(INDEX('Deck 1'!$A:$Z,ROW()-250,'List Setup'!$F$3)),INDEX('Deck 1'!$A:$Z,ROW()-250,'List Setup'!$F$3),0)))</f>
        <v/>
      </c>
      <c r="G324" s="80" t="str">
        <f t="array" ref="G324">IF(A324="","",A324&amp;IF(N(INDEX('Deck 1'!$A:$Z,ROW()-250,'List Setup'!$C$3))&gt;1," (x"&amp;INDEX('Deck 1'!$A:$Z,ROW()-250,'List Setup'!$C$3)&amp;")","")&amp;IF(COUNTIF(Binders!$J$6:$J$30,TRUE())&gt;1," ["&amp;Q324&amp;"]",""))</f>
        <v/>
      </c>
      <c r="H324" s="80" t="str">
        <f t="array" ref="H324">IF(A324="","",CHAR(10)&amp;INDEX('Deck 1'!$A:$Z,ROW()-250,'List Setup'!$E$3)&amp;CHAR(10))</f>
        <v/>
      </c>
      <c r="I324" s="80" t="str">
        <f t="array" ref="I324">IF(OR(B324="",B324="(none)"),"",IF(ISNUMBER(SEARCH(CHAR(10)&amp;B324&amp;CHAR(10),H324)),B324,IFERROR(INDEX('Set Aliases'!$A$2:$A$501,MATCH(1,('Set Aliases'!$B$2:$B$501=B324)*ISNUMBER(SEARCH(CHAR(10)&amp;'Set Aliases'!$A$2:$A$501&amp;CHAR(10),H324)),0)),"")))</f>
        <v/>
      </c>
      <c r="J324" s="80" t="str">
        <f t="array" ref="J324">IF(I324="","",IFERROR(VALUE(TRIM(MID(SUBSTITUTE(INDEX('Deck 1'!$A:$Z,ROW()-250,'List Setup'!$G$3),CHAR(10),REPT(" ",100)),((SEARCH(CHAR(10)&amp;I324&amp;CHAR(10),H324)-LEN(SUBSTITUTE(LEFT(H324,SEARCH(CHAR(10)&amp;I324&amp;CHAR(10),H324)),CHAR(10),"")))-1)*100+1,100))),""))</f>
        <v/>
      </c>
      <c r="K324" s="80" t="str">
        <f t="array" ref="K324">IF(A324="","",IF(ISNUMBER(SEARCH("Land",LEFT(IFERROR(INDEX('Deck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24" s="80" t="str">
        <f t="shared" si="3"/>
        <v/>
      </c>
      <c r="M324" s="80" t="str">
        <f>IF(A324="","",IF(AND(E324="Y",B324='Use at Shop'!$B$4),K324*10000000000+(MAX(0,MIN(26,CODE(MID(UPPER(A324)&amp;"    ",1,1))-64))*19683+MAX(0,MIN(26,CODE(MID(UPPER(A324)&amp;"    ",2,1))-64))*729+MAX(0,MIN(26,CODE(MID(UPPER(A324)&amp;"    ",3,1))-64))*27+MAX(0,MIN(26,CODE(MID(UPPER(A324)&amp;"    ",4,1))-64))*1)*10000+ROW(),""))</f>
        <v/>
      </c>
      <c r="N324" s="80" t="str">
        <f t="shared" si="5"/>
        <v/>
      </c>
      <c r="O324" s="80" t="str">
        <f t="array" ref="O324">IF(A324="","",IFERROR(INDEX('Deck 1'!$A:$Z,ROW()-250,'List Setup'!$J$3)&amp;"",""))</f>
        <v/>
      </c>
      <c r="P324" s="2"/>
      <c r="Q324" s="80" t="str">
        <f>IF(A324="","",'List Setup'!$A$3)</f>
        <v/>
      </c>
      <c r="R324" s="80" t="str">
        <f t="array" ref="R324">IF(A324="","",IFERROR(OR(INDEX(Binders!$J$6:$J$30,MATCH(Q324,Binders!$I$6:$I$30,0))=TRUE(),UPPER(INDEX(Binders!$J$6:$J$30,MATCH(Q324,Binders!$I$6:$I$30,0))&amp;"")="TRUE"),FALSE()))</f>
        <v/>
      </c>
    </row>
    <row r="325" ht="15.75" customHeight="1">
      <c r="A325" s="80" t="str">
        <f t="array" ref="A325">IF(INDEX('Deck 1'!$A:$Z,ROW()-250,'List Setup'!$D$3)="","",INDEX('Deck 1'!$A:$Z,ROW()-250,'List Setup'!$D$3))</f>
        <v/>
      </c>
      <c r="B325" s="80" t="str">
        <f t="array" ref="B325">IF(A325="","",IFERROR(INDEX('Binder Setup'!$B$2:$B$401,MIN(IF(ISNUMBER(SEARCH(CHAR(10)&amp;'Binder Setup'!$B$2:$B$401&amp;CHAR(10),$H325)),'List Setup'!$Q$2:$Q$401,999),IF(ISNUMBER(SEARCH(CHAR(10)&amp;'Set Aliases'!$A$2:$A$501&amp;CHAR(10),$H325)),'Set Aliases'!$C$2:$C$501,999))),"(none)"))</f>
        <v/>
      </c>
      <c r="C325" s="80" t="str">
        <f t="shared" si="1"/>
        <v/>
      </c>
      <c r="D325" s="80" t="str">
        <f t="array" ref="D325">IF(A325="","",IF(ISLOGICAL(INDEX('Deck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25" s="80" t="str">
        <f t="shared" si="2"/>
        <v/>
      </c>
      <c r="F325" s="80" t="str">
        <f t="array" ref="F325">IF(A325="","",IF(ISNUMBER(J325),J325,IF(ISNUMBER(INDEX('Deck 1'!$A:$Z,ROW()-250,'List Setup'!$F$3)),INDEX('Deck 1'!$A:$Z,ROW()-250,'List Setup'!$F$3),0)))</f>
        <v/>
      </c>
      <c r="G325" s="80" t="str">
        <f t="array" ref="G325">IF(A325="","",A325&amp;IF(N(INDEX('Deck 1'!$A:$Z,ROW()-250,'List Setup'!$C$3))&gt;1," (x"&amp;INDEX('Deck 1'!$A:$Z,ROW()-250,'List Setup'!$C$3)&amp;")","")&amp;IF(COUNTIF(Binders!$J$6:$J$30,TRUE())&gt;1," ["&amp;Q325&amp;"]",""))</f>
        <v/>
      </c>
      <c r="H325" s="80" t="str">
        <f t="array" ref="H325">IF(A325="","",CHAR(10)&amp;INDEX('Deck 1'!$A:$Z,ROW()-250,'List Setup'!$E$3)&amp;CHAR(10))</f>
        <v/>
      </c>
      <c r="I325" s="80" t="str">
        <f t="array" ref="I325">IF(OR(B325="",B325="(none)"),"",IF(ISNUMBER(SEARCH(CHAR(10)&amp;B325&amp;CHAR(10),H325)),B325,IFERROR(INDEX('Set Aliases'!$A$2:$A$501,MATCH(1,('Set Aliases'!$B$2:$B$501=B325)*ISNUMBER(SEARCH(CHAR(10)&amp;'Set Aliases'!$A$2:$A$501&amp;CHAR(10),H325)),0)),"")))</f>
        <v/>
      </c>
      <c r="J325" s="80" t="str">
        <f t="array" ref="J325">IF(I325="","",IFERROR(VALUE(TRIM(MID(SUBSTITUTE(INDEX('Deck 1'!$A:$Z,ROW()-250,'List Setup'!$G$3),CHAR(10),REPT(" ",100)),((SEARCH(CHAR(10)&amp;I325&amp;CHAR(10),H325)-LEN(SUBSTITUTE(LEFT(H325,SEARCH(CHAR(10)&amp;I325&amp;CHAR(10),H325)),CHAR(10),"")))-1)*100+1,100))),""))</f>
        <v/>
      </c>
      <c r="K325" s="80" t="str">
        <f t="array" ref="K325">IF(A325="","",IF(ISNUMBER(SEARCH("Land",LEFT(IFERROR(INDEX('Deck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25" s="80" t="str">
        <f t="shared" si="3"/>
        <v/>
      </c>
      <c r="M325" s="80" t="str">
        <f>IF(A325="","",IF(AND(E325="Y",B325='Use at Shop'!$B$4),K325*10000000000+(MAX(0,MIN(26,CODE(MID(UPPER(A325)&amp;"    ",1,1))-64))*19683+MAX(0,MIN(26,CODE(MID(UPPER(A325)&amp;"    ",2,1))-64))*729+MAX(0,MIN(26,CODE(MID(UPPER(A325)&amp;"    ",3,1))-64))*27+MAX(0,MIN(26,CODE(MID(UPPER(A325)&amp;"    ",4,1))-64))*1)*10000+ROW(),""))</f>
        <v/>
      </c>
      <c r="N325" s="80" t="str">
        <f t="shared" si="5"/>
        <v/>
      </c>
      <c r="O325" s="80" t="str">
        <f t="array" ref="O325">IF(A325="","",IFERROR(INDEX('Deck 1'!$A:$Z,ROW()-250,'List Setup'!$J$3)&amp;"",""))</f>
        <v/>
      </c>
      <c r="P325" s="2"/>
      <c r="Q325" s="80" t="str">
        <f>IF(A325="","",'List Setup'!$A$3)</f>
        <v/>
      </c>
      <c r="R325" s="80" t="str">
        <f t="array" ref="R325">IF(A325="","",IFERROR(OR(INDEX(Binders!$J$6:$J$30,MATCH(Q325,Binders!$I$6:$I$30,0))=TRUE(),UPPER(INDEX(Binders!$J$6:$J$30,MATCH(Q325,Binders!$I$6:$I$30,0))&amp;"")="TRUE"),FALSE()))</f>
        <v/>
      </c>
    </row>
    <row r="326" ht="15.75" customHeight="1">
      <c r="A326" s="80" t="str">
        <f t="array" ref="A326">IF(INDEX('Deck 1'!$A:$Z,ROW()-250,'List Setup'!$D$3)="","",INDEX('Deck 1'!$A:$Z,ROW()-250,'List Setup'!$D$3))</f>
        <v/>
      </c>
      <c r="B326" s="80" t="str">
        <f t="array" ref="B326">IF(A326="","",IFERROR(INDEX('Binder Setup'!$B$2:$B$401,MIN(IF(ISNUMBER(SEARCH(CHAR(10)&amp;'Binder Setup'!$B$2:$B$401&amp;CHAR(10),$H326)),'List Setup'!$Q$2:$Q$401,999),IF(ISNUMBER(SEARCH(CHAR(10)&amp;'Set Aliases'!$A$2:$A$501&amp;CHAR(10),$H326)),'Set Aliases'!$C$2:$C$501,999))),"(none)"))</f>
        <v/>
      </c>
      <c r="C326" s="80" t="str">
        <f t="shared" si="1"/>
        <v/>
      </c>
      <c r="D326" s="80" t="str">
        <f t="array" ref="D326">IF(A326="","",IF(ISLOGICAL(INDEX('Deck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26" s="80" t="str">
        <f t="shared" si="2"/>
        <v/>
      </c>
      <c r="F326" s="80" t="str">
        <f t="array" ref="F326">IF(A326="","",IF(ISNUMBER(J326),J326,IF(ISNUMBER(INDEX('Deck 1'!$A:$Z,ROW()-250,'List Setup'!$F$3)),INDEX('Deck 1'!$A:$Z,ROW()-250,'List Setup'!$F$3),0)))</f>
        <v/>
      </c>
      <c r="G326" s="80" t="str">
        <f t="array" ref="G326">IF(A326="","",A326&amp;IF(N(INDEX('Deck 1'!$A:$Z,ROW()-250,'List Setup'!$C$3))&gt;1," (x"&amp;INDEX('Deck 1'!$A:$Z,ROW()-250,'List Setup'!$C$3)&amp;")","")&amp;IF(COUNTIF(Binders!$J$6:$J$30,TRUE())&gt;1," ["&amp;Q326&amp;"]",""))</f>
        <v/>
      </c>
      <c r="H326" s="80" t="str">
        <f t="array" ref="H326">IF(A326="","",CHAR(10)&amp;INDEX('Deck 1'!$A:$Z,ROW()-250,'List Setup'!$E$3)&amp;CHAR(10))</f>
        <v/>
      </c>
      <c r="I326" s="80" t="str">
        <f t="array" ref="I326">IF(OR(B326="",B326="(none)"),"",IF(ISNUMBER(SEARCH(CHAR(10)&amp;B326&amp;CHAR(10),H326)),B326,IFERROR(INDEX('Set Aliases'!$A$2:$A$501,MATCH(1,('Set Aliases'!$B$2:$B$501=B326)*ISNUMBER(SEARCH(CHAR(10)&amp;'Set Aliases'!$A$2:$A$501&amp;CHAR(10),H326)),0)),"")))</f>
        <v/>
      </c>
      <c r="J326" s="80" t="str">
        <f t="array" ref="J326">IF(I326="","",IFERROR(VALUE(TRIM(MID(SUBSTITUTE(INDEX('Deck 1'!$A:$Z,ROW()-250,'List Setup'!$G$3),CHAR(10),REPT(" ",100)),((SEARCH(CHAR(10)&amp;I326&amp;CHAR(10),H326)-LEN(SUBSTITUTE(LEFT(H326,SEARCH(CHAR(10)&amp;I326&amp;CHAR(10),H326)),CHAR(10),"")))-1)*100+1,100))),""))</f>
        <v/>
      </c>
      <c r="K326" s="80" t="str">
        <f t="array" ref="K326">IF(A326="","",IF(ISNUMBER(SEARCH("Land",LEFT(IFERROR(INDEX('Deck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26" s="80" t="str">
        <f t="shared" si="3"/>
        <v/>
      </c>
      <c r="M326" s="80" t="str">
        <f>IF(A326="","",IF(AND(E326="Y",B326='Use at Shop'!$B$4),K326*10000000000+(MAX(0,MIN(26,CODE(MID(UPPER(A326)&amp;"    ",1,1))-64))*19683+MAX(0,MIN(26,CODE(MID(UPPER(A326)&amp;"    ",2,1))-64))*729+MAX(0,MIN(26,CODE(MID(UPPER(A326)&amp;"    ",3,1))-64))*27+MAX(0,MIN(26,CODE(MID(UPPER(A326)&amp;"    ",4,1))-64))*1)*10000+ROW(),""))</f>
        <v/>
      </c>
      <c r="N326" s="80" t="str">
        <f t="shared" si="5"/>
        <v/>
      </c>
      <c r="O326" s="80" t="str">
        <f t="array" ref="O326">IF(A326="","",IFERROR(INDEX('Deck 1'!$A:$Z,ROW()-250,'List Setup'!$J$3)&amp;"",""))</f>
        <v/>
      </c>
      <c r="P326" s="2"/>
      <c r="Q326" s="80" t="str">
        <f>IF(A326="","",'List Setup'!$A$3)</f>
        <v/>
      </c>
      <c r="R326" s="80" t="str">
        <f t="array" ref="R326">IF(A326="","",IFERROR(OR(INDEX(Binders!$J$6:$J$30,MATCH(Q326,Binders!$I$6:$I$30,0))=TRUE(),UPPER(INDEX(Binders!$J$6:$J$30,MATCH(Q326,Binders!$I$6:$I$30,0))&amp;"")="TRUE"),FALSE()))</f>
        <v/>
      </c>
    </row>
    <row r="327" ht="15.75" customHeight="1">
      <c r="A327" s="80" t="str">
        <f t="array" ref="A327">IF(INDEX('Deck 1'!$A:$Z,ROW()-250,'List Setup'!$D$3)="","",INDEX('Deck 1'!$A:$Z,ROW()-250,'List Setup'!$D$3))</f>
        <v/>
      </c>
      <c r="B327" s="80" t="str">
        <f t="array" ref="B327">IF(A327="","",IFERROR(INDEX('Binder Setup'!$B$2:$B$401,MIN(IF(ISNUMBER(SEARCH(CHAR(10)&amp;'Binder Setup'!$B$2:$B$401&amp;CHAR(10),$H327)),'List Setup'!$Q$2:$Q$401,999),IF(ISNUMBER(SEARCH(CHAR(10)&amp;'Set Aliases'!$A$2:$A$501&amp;CHAR(10),$H327)),'Set Aliases'!$C$2:$C$501,999))),"(none)"))</f>
        <v/>
      </c>
      <c r="C327" s="80" t="str">
        <f t="shared" si="1"/>
        <v/>
      </c>
      <c r="D327" s="80" t="str">
        <f t="array" ref="D327">IF(A327="","",IF(ISLOGICAL(INDEX('Deck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27" s="80" t="str">
        <f t="shared" si="2"/>
        <v/>
      </c>
      <c r="F327" s="80" t="str">
        <f t="array" ref="F327">IF(A327="","",IF(ISNUMBER(J327),J327,IF(ISNUMBER(INDEX('Deck 1'!$A:$Z,ROW()-250,'List Setup'!$F$3)),INDEX('Deck 1'!$A:$Z,ROW()-250,'List Setup'!$F$3),0)))</f>
        <v/>
      </c>
      <c r="G327" s="80" t="str">
        <f t="array" ref="G327">IF(A327="","",A327&amp;IF(N(INDEX('Deck 1'!$A:$Z,ROW()-250,'List Setup'!$C$3))&gt;1," (x"&amp;INDEX('Deck 1'!$A:$Z,ROW()-250,'List Setup'!$C$3)&amp;")","")&amp;IF(COUNTIF(Binders!$J$6:$J$30,TRUE())&gt;1," ["&amp;Q327&amp;"]",""))</f>
        <v/>
      </c>
      <c r="H327" s="80" t="str">
        <f t="array" ref="H327">IF(A327="","",CHAR(10)&amp;INDEX('Deck 1'!$A:$Z,ROW()-250,'List Setup'!$E$3)&amp;CHAR(10))</f>
        <v/>
      </c>
      <c r="I327" s="80" t="str">
        <f t="array" ref="I327">IF(OR(B327="",B327="(none)"),"",IF(ISNUMBER(SEARCH(CHAR(10)&amp;B327&amp;CHAR(10),H327)),B327,IFERROR(INDEX('Set Aliases'!$A$2:$A$501,MATCH(1,('Set Aliases'!$B$2:$B$501=B327)*ISNUMBER(SEARCH(CHAR(10)&amp;'Set Aliases'!$A$2:$A$501&amp;CHAR(10),H327)),0)),"")))</f>
        <v/>
      </c>
      <c r="J327" s="80" t="str">
        <f t="array" ref="J327">IF(I327="","",IFERROR(VALUE(TRIM(MID(SUBSTITUTE(INDEX('Deck 1'!$A:$Z,ROW()-250,'List Setup'!$G$3),CHAR(10),REPT(" ",100)),((SEARCH(CHAR(10)&amp;I327&amp;CHAR(10),H327)-LEN(SUBSTITUTE(LEFT(H327,SEARCH(CHAR(10)&amp;I327&amp;CHAR(10),H327)),CHAR(10),"")))-1)*100+1,100))),""))</f>
        <v/>
      </c>
      <c r="K327" s="80" t="str">
        <f t="array" ref="K327">IF(A327="","",IF(ISNUMBER(SEARCH("Land",LEFT(IFERROR(INDEX('Deck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27" s="80" t="str">
        <f t="shared" si="3"/>
        <v/>
      </c>
      <c r="M327" s="80" t="str">
        <f>IF(A327="","",IF(AND(E327="Y",B327='Use at Shop'!$B$4),K327*10000000000+(MAX(0,MIN(26,CODE(MID(UPPER(A327)&amp;"    ",1,1))-64))*19683+MAX(0,MIN(26,CODE(MID(UPPER(A327)&amp;"    ",2,1))-64))*729+MAX(0,MIN(26,CODE(MID(UPPER(A327)&amp;"    ",3,1))-64))*27+MAX(0,MIN(26,CODE(MID(UPPER(A327)&amp;"    ",4,1))-64))*1)*10000+ROW(),""))</f>
        <v/>
      </c>
      <c r="N327" s="80" t="str">
        <f t="shared" si="5"/>
        <v/>
      </c>
      <c r="O327" s="80" t="str">
        <f t="array" ref="O327">IF(A327="","",IFERROR(INDEX('Deck 1'!$A:$Z,ROW()-250,'List Setup'!$J$3)&amp;"",""))</f>
        <v/>
      </c>
      <c r="P327" s="2"/>
      <c r="Q327" s="80" t="str">
        <f>IF(A327="","",'List Setup'!$A$3)</f>
        <v/>
      </c>
      <c r="R327" s="80" t="str">
        <f t="array" ref="R327">IF(A327="","",IFERROR(OR(INDEX(Binders!$J$6:$J$30,MATCH(Q327,Binders!$I$6:$I$30,0))=TRUE(),UPPER(INDEX(Binders!$J$6:$J$30,MATCH(Q327,Binders!$I$6:$I$30,0))&amp;"")="TRUE"),FALSE()))</f>
        <v/>
      </c>
    </row>
    <row r="328" ht="15.75" customHeight="1">
      <c r="A328" s="80" t="str">
        <f t="array" ref="A328">IF(INDEX('Deck 1'!$A:$Z,ROW()-250,'List Setup'!$D$3)="","",INDEX('Deck 1'!$A:$Z,ROW()-250,'List Setup'!$D$3))</f>
        <v/>
      </c>
      <c r="B328" s="80" t="str">
        <f t="array" ref="B328">IF(A328="","",IFERROR(INDEX('Binder Setup'!$B$2:$B$401,MIN(IF(ISNUMBER(SEARCH(CHAR(10)&amp;'Binder Setup'!$B$2:$B$401&amp;CHAR(10),$H328)),'List Setup'!$Q$2:$Q$401,999),IF(ISNUMBER(SEARCH(CHAR(10)&amp;'Set Aliases'!$A$2:$A$501&amp;CHAR(10),$H328)),'Set Aliases'!$C$2:$C$501,999))),"(none)"))</f>
        <v/>
      </c>
      <c r="C328" s="80" t="str">
        <f t="shared" si="1"/>
        <v/>
      </c>
      <c r="D328" s="80" t="str">
        <f t="array" ref="D328">IF(A328="","",IF(ISLOGICAL(INDEX('Deck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28" s="80" t="str">
        <f t="shared" si="2"/>
        <v/>
      </c>
      <c r="F328" s="80" t="str">
        <f t="array" ref="F328">IF(A328="","",IF(ISNUMBER(J328),J328,IF(ISNUMBER(INDEX('Deck 1'!$A:$Z,ROW()-250,'List Setup'!$F$3)),INDEX('Deck 1'!$A:$Z,ROW()-250,'List Setup'!$F$3),0)))</f>
        <v/>
      </c>
      <c r="G328" s="80" t="str">
        <f t="array" ref="G328">IF(A328="","",A328&amp;IF(N(INDEX('Deck 1'!$A:$Z,ROW()-250,'List Setup'!$C$3))&gt;1," (x"&amp;INDEX('Deck 1'!$A:$Z,ROW()-250,'List Setup'!$C$3)&amp;")","")&amp;IF(COUNTIF(Binders!$J$6:$J$30,TRUE())&gt;1," ["&amp;Q328&amp;"]",""))</f>
        <v/>
      </c>
      <c r="H328" s="80" t="str">
        <f t="array" ref="H328">IF(A328="","",CHAR(10)&amp;INDEX('Deck 1'!$A:$Z,ROW()-250,'List Setup'!$E$3)&amp;CHAR(10))</f>
        <v/>
      </c>
      <c r="I328" s="80" t="str">
        <f t="array" ref="I328">IF(OR(B328="",B328="(none)"),"",IF(ISNUMBER(SEARCH(CHAR(10)&amp;B328&amp;CHAR(10),H328)),B328,IFERROR(INDEX('Set Aliases'!$A$2:$A$501,MATCH(1,('Set Aliases'!$B$2:$B$501=B328)*ISNUMBER(SEARCH(CHAR(10)&amp;'Set Aliases'!$A$2:$A$501&amp;CHAR(10),H328)),0)),"")))</f>
        <v/>
      </c>
      <c r="J328" s="80" t="str">
        <f t="array" ref="J328">IF(I328="","",IFERROR(VALUE(TRIM(MID(SUBSTITUTE(INDEX('Deck 1'!$A:$Z,ROW()-250,'List Setup'!$G$3),CHAR(10),REPT(" ",100)),((SEARCH(CHAR(10)&amp;I328&amp;CHAR(10),H328)-LEN(SUBSTITUTE(LEFT(H328,SEARCH(CHAR(10)&amp;I328&amp;CHAR(10),H328)),CHAR(10),"")))-1)*100+1,100))),""))</f>
        <v/>
      </c>
      <c r="K328" s="80" t="str">
        <f t="array" ref="K328">IF(A328="","",IF(ISNUMBER(SEARCH("Land",LEFT(IFERROR(INDEX('Deck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28" s="80" t="str">
        <f t="shared" si="3"/>
        <v/>
      </c>
      <c r="M328" s="80" t="str">
        <f>IF(A328="","",IF(AND(E328="Y",B328='Use at Shop'!$B$4),K328*10000000000+(MAX(0,MIN(26,CODE(MID(UPPER(A328)&amp;"    ",1,1))-64))*19683+MAX(0,MIN(26,CODE(MID(UPPER(A328)&amp;"    ",2,1))-64))*729+MAX(0,MIN(26,CODE(MID(UPPER(A328)&amp;"    ",3,1))-64))*27+MAX(0,MIN(26,CODE(MID(UPPER(A328)&amp;"    ",4,1))-64))*1)*10000+ROW(),""))</f>
        <v/>
      </c>
      <c r="N328" s="80" t="str">
        <f t="shared" si="5"/>
        <v/>
      </c>
      <c r="O328" s="80" t="str">
        <f t="array" ref="O328">IF(A328="","",IFERROR(INDEX('Deck 1'!$A:$Z,ROW()-250,'List Setup'!$J$3)&amp;"",""))</f>
        <v/>
      </c>
      <c r="P328" s="2"/>
      <c r="Q328" s="80" t="str">
        <f>IF(A328="","",'List Setup'!$A$3)</f>
        <v/>
      </c>
      <c r="R328" s="80" t="str">
        <f t="array" ref="R328">IF(A328="","",IFERROR(OR(INDEX(Binders!$J$6:$J$30,MATCH(Q328,Binders!$I$6:$I$30,0))=TRUE(),UPPER(INDEX(Binders!$J$6:$J$30,MATCH(Q328,Binders!$I$6:$I$30,0))&amp;"")="TRUE"),FALSE()))</f>
        <v/>
      </c>
    </row>
    <row r="329" ht="15.75" customHeight="1">
      <c r="A329" s="80" t="str">
        <f t="array" ref="A329">IF(INDEX('Deck 1'!$A:$Z,ROW()-250,'List Setup'!$D$3)="","",INDEX('Deck 1'!$A:$Z,ROW()-250,'List Setup'!$D$3))</f>
        <v/>
      </c>
      <c r="B329" s="80" t="str">
        <f t="array" ref="B329">IF(A329="","",IFERROR(INDEX('Binder Setup'!$B$2:$B$401,MIN(IF(ISNUMBER(SEARCH(CHAR(10)&amp;'Binder Setup'!$B$2:$B$401&amp;CHAR(10),$H329)),'List Setup'!$Q$2:$Q$401,999),IF(ISNUMBER(SEARCH(CHAR(10)&amp;'Set Aliases'!$A$2:$A$501&amp;CHAR(10),$H329)),'Set Aliases'!$C$2:$C$501,999))),"(none)"))</f>
        <v/>
      </c>
      <c r="C329" s="80" t="str">
        <f t="shared" si="1"/>
        <v/>
      </c>
      <c r="D329" s="80" t="str">
        <f t="array" ref="D329">IF(A329="","",IF(ISLOGICAL(INDEX('Deck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29" s="80" t="str">
        <f t="shared" si="2"/>
        <v/>
      </c>
      <c r="F329" s="80" t="str">
        <f t="array" ref="F329">IF(A329="","",IF(ISNUMBER(J329),J329,IF(ISNUMBER(INDEX('Deck 1'!$A:$Z,ROW()-250,'List Setup'!$F$3)),INDEX('Deck 1'!$A:$Z,ROW()-250,'List Setup'!$F$3),0)))</f>
        <v/>
      </c>
      <c r="G329" s="80" t="str">
        <f t="array" ref="G329">IF(A329="","",A329&amp;IF(N(INDEX('Deck 1'!$A:$Z,ROW()-250,'List Setup'!$C$3))&gt;1," (x"&amp;INDEX('Deck 1'!$A:$Z,ROW()-250,'List Setup'!$C$3)&amp;")","")&amp;IF(COUNTIF(Binders!$J$6:$J$30,TRUE())&gt;1," ["&amp;Q329&amp;"]",""))</f>
        <v/>
      </c>
      <c r="H329" s="80" t="str">
        <f t="array" ref="H329">IF(A329="","",CHAR(10)&amp;INDEX('Deck 1'!$A:$Z,ROW()-250,'List Setup'!$E$3)&amp;CHAR(10))</f>
        <v/>
      </c>
      <c r="I329" s="80" t="str">
        <f t="array" ref="I329">IF(OR(B329="",B329="(none)"),"",IF(ISNUMBER(SEARCH(CHAR(10)&amp;B329&amp;CHAR(10),H329)),B329,IFERROR(INDEX('Set Aliases'!$A$2:$A$501,MATCH(1,('Set Aliases'!$B$2:$B$501=B329)*ISNUMBER(SEARCH(CHAR(10)&amp;'Set Aliases'!$A$2:$A$501&amp;CHAR(10),H329)),0)),"")))</f>
        <v/>
      </c>
      <c r="J329" s="80" t="str">
        <f t="array" ref="J329">IF(I329="","",IFERROR(VALUE(TRIM(MID(SUBSTITUTE(INDEX('Deck 1'!$A:$Z,ROW()-250,'List Setup'!$G$3),CHAR(10),REPT(" ",100)),((SEARCH(CHAR(10)&amp;I329&amp;CHAR(10),H329)-LEN(SUBSTITUTE(LEFT(H329,SEARCH(CHAR(10)&amp;I329&amp;CHAR(10),H329)),CHAR(10),"")))-1)*100+1,100))),""))</f>
        <v/>
      </c>
      <c r="K329" s="80" t="str">
        <f t="array" ref="K329">IF(A329="","",IF(ISNUMBER(SEARCH("Land",LEFT(IFERROR(INDEX('Deck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29" s="80" t="str">
        <f t="shared" si="3"/>
        <v/>
      </c>
      <c r="M329" s="80" t="str">
        <f>IF(A329="","",IF(AND(E329="Y",B329='Use at Shop'!$B$4),K329*10000000000+(MAX(0,MIN(26,CODE(MID(UPPER(A329)&amp;"    ",1,1))-64))*19683+MAX(0,MIN(26,CODE(MID(UPPER(A329)&amp;"    ",2,1))-64))*729+MAX(0,MIN(26,CODE(MID(UPPER(A329)&amp;"    ",3,1))-64))*27+MAX(0,MIN(26,CODE(MID(UPPER(A329)&amp;"    ",4,1))-64))*1)*10000+ROW(),""))</f>
        <v/>
      </c>
      <c r="N329" s="80" t="str">
        <f t="shared" si="5"/>
        <v/>
      </c>
      <c r="O329" s="80" t="str">
        <f t="array" ref="O329">IF(A329="","",IFERROR(INDEX('Deck 1'!$A:$Z,ROW()-250,'List Setup'!$J$3)&amp;"",""))</f>
        <v/>
      </c>
      <c r="P329" s="2"/>
      <c r="Q329" s="80" t="str">
        <f>IF(A329="","",'List Setup'!$A$3)</f>
        <v/>
      </c>
      <c r="R329" s="80" t="str">
        <f t="array" ref="R329">IF(A329="","",IFERROR(OR(INDEX(Binders!$J$6:$J$30,MATCH(Q329,Binders!$I$6:$I$30,0))=TRUE(),UPPER(INDEX(Binders!$J$6:$J$30,MATCH(Q329,Binders!$I$6:$I$30,0))&amp;"")="TRUE"),FALSE()))</f>
        <v/>
      </c>
    </row>
    <row r="330" ht="15.75" customHeight="1">
      <c r="A330" s="80" t="str">
        <f t="array" ref="A330">IF(INDEX('Deck 1'!$A:$Z,ROW()-250,'List Setup'!$D$3)="","",INDEX('Deck 1'!$A:$Z,ROW()-250,'List Setup'!$D$3))</f>
        <v/>
      </c>
      <c r="B330" s="80" t="str">
        <f t="array" ref="B330">IF(A330="","",IFERROR(INDEX('Binder Setup'!$B$2:$B$401,MIN(IF(ISNUMBER(SEARCH(CHAR(10)&amp;'Binder Setup'!$B$2:$B$401&amp;CHAR(10),$H330)),'List Setup'!$Q$2:$Q$401,999),IF(ISNUMBER(SEARCH(CHAR(10)&amp;'Set Aliases'!$A$2:$A$501&amp;CHAR(10),$H330)),'Set Aliases'!$C$2:$C$501,999))),"(none)"))</f>
        <v/>
      </c>
      <c r="C330" s="80" t="str">
        <f t="shared" si="1"/>
        <v/>
      </c>
      <c r="D330" s="80" t="str">
        <f t="array" ref="D330">IF(A330="","",IF(ISLOGICAL(INDEX('Deck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30" s="80" t="str">
        <f t="shared" si="2"/>
        <v/>
      </c>
      <c r="F330" s="80" t="str">
        <f t="array" ref="F330">IF(A330="","",IF(ISNUMBER(J330),J330,IF(ISNUMBER(INDEX('Deck 1'!$A:$Z,ROW()-250,'List Setup'!$F$3)),INDEX('Deck 1'!$A:$Z,ROW()-250,'List Setup'!$F$3),0)))</f>
        <v/>
      </c>
      <c r="G330" s="80" t="str">
        <f t="array" ref="G330">IF(A330="","",A330&amp;IF(N(INDEX('Deck 1'!$A:$Z,ROW()-250,'List Setup'!$C$3))&gt;1," (x"&amp;INDEX('Deck 1'!$A:$Z,ROW()-250,'List Setup'!$C$3)&amp;")","")&amp;IF(COUNTIF(Binders!$J$6:$J$30,TRUE())&gt;1," ["&amp;Q330&amp;"]",""))</f>
        <v/>
      </c>
      <c r="H330" s="80" t="str">
        <f t="array" ref="H330">IF(A330="","",CHAR(10)&amp;INDEX('Deck 1'!$A:$Z,ROW()-250,'List Setup'!$E$3)&amp;CHAR(10))</f>
        <v/>
      </c>
      <c r="I330" s="80" t="str">
        <f t="array" ref="I330">IF(OR(B330="",B330="(none)"),"",IF(ISNUMBER(SEARCH(CHAR(10)&amp;B330&amp;CHAR(10),H330)),B330,IFERROR(INDEX('Set Aliases'!$A$2:$A$501,MATCH(1,('Set Aliases'!$B$2:$B$501=B330)*ISNUMBER(SEARCH(CHAR(10)&amp;'Set Aliases'!$A$2:$A$501&amp;CHAR(10),H330)),0)),"")))</f>
        <v/>
      </c>
      <c r="J330" s="80" t="str">
        <f t="array" ref="J330">IF(I330="","",IFERROR(VALUE(TRIM(MID(SUBSTITUTE(INDEX('Deck 1'!$A:$Z,ROW()-250,'List Setup'!$G$3),CHAR(10),REPT(" ",100)),((SEARCH(CHAR(10)&amp;I330&amp;CHAR(10),H330)-LEN(SUBSTITUTE(LEFT(H330,SEARCH(CHAR(10)&amp;I330&amp;CHAR(10),H330)),CHAR(10),"")))-1)*100+1,100))),""))</f>
        <v/>
      </c>
      <c r="K330" s="80" t="str">
        <f t="array" ref="K330">IF(A330="","",IF(ISNUMBER(SEARCH("Land",LEFT(IFERROR(INDEX('Deck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30" s="80" t="str">
        <f t="shared" si="3"/>
        <v/>
      </c>
      <c r="M330" s="80" t="str">
        <f>IF(A330="","",IF(AND(E330="Y",B330='Use at Shop'!$B$4),K330*10000000000+(MAX(0,MIN(26,CODE(MID(UPPER(A330)&amp;"    ",1,1))-64))*19683+MAX(0,MIN(26,CODE(MID(UPPER(A330)&amp;"    ",2,1))-64))*729+MAX(0,MIN(26,CODE(MID(UPPER(A330)&amp;"    ",3,1))-64))*27+MAX(0,MIN(26,CODE(MID(UPPER(A330)&amp;"    ",4,1))-64))*1)*10000+ROW(),""))</f>
        <v/>
      </c>
      <c r="N330" s="80" t="str">
        <f t="shared" si="5"/>
        <v/>
      </c>
      <c r="O330" s="80" t="str">
        <f t="array" ref="O330">IF(A330="","",IFERROR(INDEX('Deck 1'!$A:$Z,ROW()-250,'List Setup'!$J$3)&amp;"",""))</f>
        <v/>
      </c>
      <c r="P330" s="2"/>
      <c r="Q330" s="80" t="str">
        <f>IF(A330="","",'List Setup'!$A$3)</f>
        <v/>
      </c>
      <c r="R330" s="80" t="str">
        <f t="array" ref="R330">IF(A330="","",IFERROR(OR(INDEX(Binders!$J$6:$J$30,MATCH(Q330,Binders!$I$6:$I$30,0))=TRUE(),UPPER(INDEX(Binders!$J$6:$J$30,MATCH(Q330,Binders!$I$6:$I$30,0))&amp;"")="TRUE"),FALSE()))</f>
        <v/>
      </c>
    </row>
    <row r="331" ht="15.75" customHeight="1">
      <c r="A331" s="80" t="str">
        <f t="array" ref="A331">IF(INDEX('Deck 1'!$A:$Z,ROW()-250,'List Setup'!$D$3)="","",INDEX('Deck 1'!$A:$Z,ROW()-250,'List Setup'!$D$3))</f>
        <v/>
      </c>
      <c r="B331" s="80" t="str">
        <f t="array" ref="B331">IF(A331="","",IFERROR(INDEX('Binder Setup'!$B$2:$B$401,MIN(IF(ISNUMBER(SEARCH(CHAR(10)&amp;'Binder Setup'!$B$2:$B$401&amp;CHAR(10),$H331)),'List Setup'!$Q$2:$Q$401,999),IF(ISNUMBER(SEARCH(CHAR(10)&amp;'Set Aliases'!$A$2:$A$501&amp;CHAR(10),$H331)),'Set Aliases'!$C$2:$C$501,999))),"(none)"))</f>
        <v/>
      </c>
      <c r="C331" s="80" t="str">
        <f t="shared" si="1"/>
        <v/>
      </c>
      <c r="D331" s="80" t="str">
        <f t="array" ref="D331">IF(A331="","",IF(ISLOGICAL(INDEX('Deck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31" s="80" t="str">
        <f t="shared" si="2"/>
        <v/>
      </c>
      <c r="F331" s="80" t="str">
        <f t="array" ref="F331">IF(A331="","",IF(ISNUMBER(J331),J331,IF(ISNUMBER(INDEX('Deck 1'!$A:$Z,ROW()-250,'List Setup'!$F$3)),INDEX('Deck 1'!$A:$Z,ROW()-250,'List Setup'!$F$3),0)))</f>
        <v/>
      </c>
      <c r="G331" s="80" t="str">
        <f t="array" ref="G331">IF(A331="","",A331&amp;IF(N(INDEX('Deck 1'!$A:$Z,ROW()-250,'List Setup'!$C$3))&gt;1," (x"&amp;INDEX('Deck 1'!$A:$Z,ROW()-250,'List Setup'!$C$3)&amp;")","")&amp;IF(COUNTIF(Binders!$J$6:$J$30,TRUE())&gt;1," ["&amp;Q331&amp;"]",""))</f>
        <v/>
      </c>
      <c r="H331" s="80" t="str">
        <f t="array" ref="H331">IF(A331="","",CHAR(10)&amp;INDEX('Deck 1'!$A:$Z,ROW()-250,'List Setup'!$E$3)&amp;CHAR(10))</f>
        <v/>
      </c>
      <c r="I331" s="80" t="str">
        <f t="array" ref="I331">IF(OR(B331="",B331="(none)"),"",IF(ISNUMBER(SEARCH(CHAR(10)&amp;B331&amp;CHAR(10),H331)),B331,IFERROR(INDEX('Set Aliases'!$A$2:$A$501,MATCH(1,('Set Aliases'!$B$2:$B$501=B331)*ISNUMBER(SEARCH(CHAR(10)&amp;'Set Aliases'!$A$2:$A$501&amp;CHAR(10),H331)),0)),"")))</f>
        <v/>
      </c>
      <c r="J331" s="80" t="str">
        <f t="array" ref="J331">IF(I331="","",IFERROR(VALUE(TRIM(MID(SUBSTITUTE(INDEX('Deck 1'!$A:$Z,ROW()-250,'List Setup'!$G$3),CHAR(10),REPT(" ",100)),((SEARCH(CHAR(10)&amp;I331&amp;CHAR(10),H331)-LEN(SUBSTITUTE(LEFT(H331,SEARCH(CHAR(10)&amp;I331&amp;CHAR(10),H331)),CHAR(10),"")))-1)*100+1,100))),""))</f>
        <v/>
      </c>
      <c r="K331" s="80" t="str">
        <f t="array" ref="K331">IF(A331="","",IF(ISNUMBER(SEARCH("Land",LEFT(IFERROR(INDEX('Deck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31" s="80" t="str">
        <f t="shared" si="3"/>
        <v/>
      </c>
      <c r="M331" s="80" t="str">
        <f>IF(A331="","",IF(AND(E331="Y",B331='Use at Shop'!$B$4),K331*10000000000+(MAX(0,MIN(26,CODE(MID(UPPER(A331)&amp;"    ",1,1))-64))*19683+MAX(0,MIN(26,CODE(MID(UPPER(A331)&amp;"    ",2,1))-64))*729+MAX(0,MIN(26,CODE(MID(UPPER(A331)&amp;"    ",3,1))-64))*27+MAX(0,MIN(26,CODE(MID(UPPER(A331)&amp;"    ",4,1))-64))*1)*10000+ROW(),""))</f>
        <v/>
      </c>
      <c r="N331" s="80" t="str">
        <f t="shared" si="5"/>
        <v/>
      </c>
      <c r="O331" s="80" t="str">
        <f t="array" ref="O331">IF(A331="","",IFERROR(INDEX('Deck 1'!$A:$Z,ROW()-250,'List Setup'!$J$3)&amp;"",""))</f>
        <v/>
      </c>
      <c r="P331" s="2"/>
      <c r="Q331" s="80" t="str">
        <f>IF(A331="","",'List Setup'!$A$3)</f>
        <v/>
      </c>
      <c r="R331" s="80" t="str">
        <f t="array" ref="R331">IF(A331="","",IFERROR(OR(INDEX(Binders!$J$6:$J$30,MATCH(Q331,Binders!$I$6:$I$30,0))=TRUE(),UPPER(INDEX(Binders!$J$6:$J$30,MATCH(Q331,Binders!$I$6:$I$30,0))&amp;"")="TRUE"),FALSE()))</f>
        <v/>
      </c>
    </row>
    <row r="332" ht="15.75" customHeight="1">
      <c r="A332" s="80" t="str">
        <f t="array" ref="A332">IF(INDEX('Deck 1'!$A:$Z,ROW()-250,'List Setup'!$D$3)="","",INDEX('Deck 1'!$A:$Z,ROW()-250,'List Setup'!$D$3))</f>
        <v/>
      </c>
      <c r="B332" s="80" t="str">
        <f t="array" ref="B332">IF(A332="","",IFERROR(INDEX('Binder Setup'!$B$2:$B$401,MIN(IF(ISNUMBER(SEARCH(CHAR(10)&amp;'Binder Setup'!$B$2:$B$401&amp;CHAR(10),$H332)),'List Setup'!$Q$2:$Q$401,999),IF(ISNUMBER(SEARCH(CHAR(10)&amp;'Set Aliases'!$A$2:$A$501&amp;CHAR(10),$H332)),'Set Aliases'!$C$2:$C$501,999))),"(none)"))</f>
        <v/>
      </c>
      <c r="C332" s="80" t="str">
        <f t="shared" si="1"/>
        <v/>
      </c>
      <c r="D332" s="80" t="str">
        <f t="array" ref="D332">IF(A332="","",IF(ISLOGICAL(INDEX('Deck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32" s="80" t="str">
        <f t="shared" si="2"/>
        <v/>
      </c>
      <c r="F332" s="80" t="str">
        <f t="array" ref="F332">IF(A332="","",IF(ISNUMBER(J332),J332,IF(ISNUMBER(INDEX('Deck 1'!$A:$Z,ROW()-250,'List Setup'!$F$3)),INDEX('Deck 1'!$A:$Z,ROW()-250,'List Setup'!$F$3),0)))</f>
        <v/>
      </c>
      <c r="G332" s="80" t="str">
        <f t="array" ref="G332">IF(A332="","",A332&amp;IF(N(INDEX('Deck 1'!$A:$Z,ROW()-250,'List Setup'!$C$3))&gt;1," (x"&amp;INDEX('Deck 1'!$A:$Z,ROW()-250,'List Setup'!$C$3)&amp;")","")&amp;IF(COUNTIF(Binders!$J$6:$J$30,TRUE())&gt;1," ["&amp;Q332&amp;"]",""))</f>
        <v/>
      </c>
      <c r="H332" s="80" t="str">
        <f t="array" ref="H332">IF(A332="","",CHAR(10)&amp;INDEX('Deck 1'!$A:$Z,ROW()-250,'List Setup'!$E$3)&amp;CHAR(10))</f>
        <v/>
      </c>
      <c r="I332" s="80" t="str">
        <f t="array" ref="I332">IF(OR(B332="",B332="(none)"),"",IF(ISNUMBER(SEARCH(CHAR(10)&amp;B332&amp;CHAR(10),H332)),B332,IFERROR(INDEX('Set Aliases'!$A$2:$A$501,MATCH(1,('Set Aliases'!$B$2:$B$501=B332)*ISNUMBER(SEARCH(CHAR(10)&amp;'Set Aliases'!$A$2:$A$501&amp;CHAR(10),H332)),0)),"")))</f>
        <v/>
      </c>
      <c r="J332" s="80" t="str">
        <f t="array" ref="J332">IF(I332="","",IFERROR(VALUE(TRIM(MID(SUBSTITUTE(INDEX('Deck 1'!$A:$Z,ROW()-250,'List Setup'!$G$3),CHAR(10),REPT(" ",100)),((SEARCH(CHAR(10)&amp;I332&amp;CHAR(10),H332)-LEN(SUBSTITUTE(LEFT(H332,SEARCH(CHAR(10)&amp;I332&amp;CHAR(10),H332)),CHAR(10),"")))-1)*100+1,100))),""))</f>
        <v/>
      </c>
      <c r="K332" s="80" t="str">
        <f t="array" ref="K332">IF(A332="","",IF(ISNUMBER(SEARCH("Land",LEFT(IFERROR(INDEX('Deck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32" s="80" t="str">
        <f t="shared" si="3"/>
        <v/>
      </c>
      <c r="M332" s="80" t="str">
        <f>IF(A332="","",IF(AND(E332="Y",B332='Use at Shop'!$B$4),K332*10000000000+(MAX(0,MIN(26,CODE(MID(UPPER(A332)&amp;"    ",1,1))-64))*19683+MAX(0,MIN(26,CODE(MID(UPPER(A332)&amp;"    ",2,1))-64))*729+MAX(0,MIN(26,CODE(MID(UPPER(A332)&amp;"    ",3,1))-64))*27+MAX(0,MIN(26,CODE(MID(UPPER(A332)&amp;"    ",4,1))-64))*1)*10000+ROW(),""))</f>
        <v/>
      </c>
      <c r="N332" s="80" t="str">
        <f t="shared" si="5"/>
        <v/>
      </c>
      <c r="O332" s="80" t="str">
        <f t="array" ref="O332">IF(A332="","",IFERROR(INDEX('Deck 1'!$A:$Z,ROW()-250,'List Setup'!$J$3)&amp;"",""))</f>
        <v/>
      </c>
      <c r="P332" s="2"/>
      <c r="Q332" s="80" t="str">
        <f>IF(A332="","",'List Setup'!$A$3)</f>
        <v/>
      </c>
      <c r="R332" s="80" t="str">
        <f t="array" ref="R332">IF(A332="","",IFERROR(OR(INDEX(Binders!$J$6:$J$30,MATCH(Q332,Binders!$I$6:$I$30,0))=TRUE(),UPPER(INDEX(Binders!$J$6:$J$30,MATCH(Q332,Binders!$I$6:$I$30,0))&amp;"")="TRUE"),FALSE()))</f>
        <v/>
      </c>
    </row>
    <row r="333" ht="15.75" customHeight="1">
      <c r="A333" s="80" t="str">
        <f t="array" ref="A333">IF(INDEX('Deck 1'!$A:$Z,ROW()-250,'List Setup'!$D$3)="","",INDEX('Deck 1'!$A:$Z,ROW()-250,'List Setup'!$D$3))</f>
        <v/>
      </c>
      <c r="B333" s="80" t="str">
        <f t="array" ref="B333">IF(A333="","",IFERROR(INDEX('Binder Setup'!$B$2:$B$401,MIN(IF(ISNUMBER(SEARCH(CHAR(10)&amp;'Binder Setup'!$B$2:$B$401&amp;CHAR(10),$H333)),'List Setup'!$Q$2:$Q$401,999),IF(ISNUMBER(SEARCH(CHAR(10)&amp;'Set Aliases'!$A$2:$A$501&amp;CHAR(10),$H333)),'Set Aliases'!$C$2:$C$501,999))),"(none)"))</f>
        <v/>
      </c>
      <c r="C333" s="80" t="str">
        <f t="shared" si="1"/>
        <v/>
      </c>
      <c r="D333" s="80" t="str">
        <f t="array" ref="D333">IF(A333="","",IF(ISLOGICAL(INDEX('Deck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33" s="80" t="str">
        <f t="shared" si="2"/>
        <v/>
      </c>
      <c r="F333" s="80" t="str">
        <f t="array" ref="F333">IF(A333="","",IF(ISNUMBER(J333),J333,IF(ISNUMBER(INDEX('Deck 1'!$A:$Z,ROW()-250,'List Setup'!$F$3)),INDEX('Deck 1'!$A:$Z,ROW()-250,'List Setup'!$F$3),0)))</f>
        <v/>
      </c>
      <c r="G333" s="80" t="str">
        <f t="array" ref="G333">IF(A333="","",A333&amp;IF(N(INDEX('Deck 1'!$A:$Z,ROW()-250,'List Setup'!$C$3))&gt;1," (x"&amp;INDEX('Deck 1'!$A:$Z,ROW()-250,'List Setup'!$C$3)&amp;")","")&amp;IF(COUNTIF(Binders!$J$6:$J$30,TRUE())&gt;1," ["&amp;Q333&amp;"]",""))</f>
        <v/>
      </c>
      <c r="H333" s="80" t="str">
        <f t="array" ref="H333">IF(A333="","",CHAR(10)&amp;INDEX('Deck 1'!$A:$Z,ROW()-250,'List Setup'!$E$3)&amp;CHAR(10))</f>
        <v/>
      </c>
      <c r="I333" s="80" t="str">
        <f t="array" ref="I333">IF(OR(B333="",B333="(none)"),"",IF(ISNUMBER(SEARCH(CHAR(10)&amp;B333&amp;CHAR(10),H333)),B333,IFERROR(INDEX('Set Aliases'!$A$2:$A$501,MATCH(1,('Set Aliases'!$B$2:$B$501=B333)*ISNUMBER(SEARCH(CHAR(10)&amp;'Set Aliases'!$A$2:$A$501&amp;CHAR(10),H333)),0)),"")))</f>
        <v/>
      </c>
      <c r="J333" s="80" t="str">
        <f t="array" ref="J333">IF(I333="","",IFERROR(VALUE(TRIM(MID(SUBSTITUTE(INDEX('Deck 1'!$A:$Z,ROW()-250,'List Setup'!$G$3),CHAR(10),REPT(" ",100)),((SEARCH(CHAR(10)&amp;I333&amp;CHAR(10),H333)-LEN(SUBSTITUTE(LEFT(H333,SEARCH(CHAR(10)&amp;I333&amp;CHAR(10),H333)),CHAR(10),"")))-1)*100+1,100))),""))</f>
        <v/>
      </c>
      <c r="K333" s="80" t="str">
        <f t="array" ref="K333">IF(A333="","",IF(ISNUMBER(SEARCH("Land",LEFT(IFERROR(INDEX('Deck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33" s="80" t="str">
        <f t="shared" si="3"/>
        <v/>
      </c>
      <c r="M333" s="80" t="str">
        <f>IF(A333="","",IF(AND(E333="Y",B333='Use at Shop'!$B$4),K333*10000000000+(MAX(0,MIN(26,CODE(MID(UPPER(A333)&amp;"    ",1,1))-64))*19683+MAX(0,MIN(26,CODE(MID(UPPER(A333)&amp;"    ",2,1))-64))*729+MAX(0,MIN(26,CODE(MID(UPPER(A333)&amp;"    ",3,1))-64))*27+MAX(0,MIN(26,CODE(MID(UPPER(A333)&amp;"    ",4,1))-64))*1)*10000+ROW(),""))</f>
        <v/>
      </c>
      <c r="N333" s="80" t="str">
        <f t="shared" si="5"/>
        <v/>
      </c>
      <c r="O333" s="80" t="str">
        <f t="array" ref="O333">IF(A333="","",IFERROR(INDEX('Deck 1'!$A:$Z,ROW()-250,'List Setup'!$J$3)&amp;"",""))</f>
        <v/>
      </c>
      <c r="P333" s="2"/>
      <c r="Q333" s="80" t="str">
        <f>IF(A333="","",'List Setup'!$A$3)</f>
        <v/>
      </c>
      <c r="R333" s="80" t="str">
        <f t="array" ref="R333">IF(A333="","",IFERROR(OR(INDEX(Binders!$J$6:$J$30,MATCH(Q333,Binders!$I$6:$I$30,0))=TRUE(),UPPER(INDEX(Binders!$J$6:$J$30,MATCH(Q333,Binders!$I$6:$I$30,0))&amp;"")="TRUE"),FALSE()))</f>
        <v/>
      </c>
    </row>
    <row r="334" ht="15.75" customHeight="1">
      <c r="A334" s="80" t="str">
        <f t="array" ref="A334">IF(INDEX('Deck 1'!$A:$Z,ROW()-250,'List Setup'!$D$3)="","",INDEX('Deck 1'!$A:$Z,ROW()-250,'List Setup'!$D$3))</f>
        <v/>
      </c>
      <c r="B334" s="80" t="str">
        <f t="array" ref="B334">IF(A334="","",IFERROR(INDEX('Binder Setup'!$B$2:$B$401,MIN(IF(ISNUMBER(SEARCH(CHAR(10)&amp;'Binder Setup'!$B$2:$B$401&amp;CHAR(10),$H334)),'List Setup'!$Q$2:$Q$401,999),IF(ISNUMBER(SEARCH(CHAR(10)&amp;'Set Aliases'!$A$2:$A$501&amp;CHAR(10),$H334)),'Set Aliases'!$C$2:$C$501,999))),"(none)"))</f>
        <v/>
      </c>
      <c r="C334" s="80" t="str">
        <f t="shared" si="1"/>
        <v/>
      </c>
      <c r="D334" s="80" t="str">
        <f t="array" ref="D334">IF(A334="","",IF(ISLOGICAL(INDEX('Deck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34" s="80" t="str">
        <f t="shared" si="2"/>
        <v/>
      </c>
      <c r="F334" s="80" t="str">
        <f t="array" ref="F334">IF(A334="","",IF(ISNUMBER(J334),J334,IF(ISNUMBER(INDEX('Deck 1'!$A:$Z,ROW()-250,'List Setup'!$F$3)),INDEX('Deck 1'!$A:$Z,ROW()-250,'List Setup'!$F$3),0)))</f>
        <v/>
      </c>
      <c r="G334" s="80" t="str">
        <f t="array" ref="G334">IF(A334="","",A334&amp;IF(N(INDEX('Deck 1'!$A:$Z,ROW()-250,'List Setup'!$C$3))&gt;1," (x"&amp;INDEX('Deck 1'!$A:$Z,ROW()-250,'List Setup'!$C$3)&amp;")","")&amp;IF(COUNTIF(Binders!$J$6:$J$30,TRUE())&gt;1," ["&amp;Q334&amp;"]",""))</f>
        <v/>
      </c>
      <c r="H334" s="80" t="str">
        <f t="array" ref="H334">IF(A334="","",CHAR(10)&amp;INDEX('Deck 1'!$A:$Z,ROW()-250,'List Setup'!$E$3)&amp;CHAR(10))</f>
        <v/>
      </c>
      <c r="I334" s="80" t="str">
        <f t="array" ref="I334">IF(OR(B334="",B334="(none)"),"",IF(ISNUMBER(SEARCH(CHAR(10)&amp;B334&amp;CHAR(10),H334)),B334,IFERROR(INDEX('Set Aliases'!$A$2:$A$501,MATCH(1,('Set Aliases'!$B$2:$B$501=B334)*ISNUMBER(SEARCH(CHAR(10)&amp;'Set Aliases'!$A$2:$A$501&amp;CHAR(10),H334)),0)),"")))</f>
        <v/>
      </c>
      <c r="J334" s="80" t="str">
        <f t="array" ref="J334">IF(I334="","",IFERROR(VALUE(TRIM(MID(SUBSTITUTE(INDEX('Deck 1'!$A:$Z,ROW()-250,'List Setup'!$G$3),CHAR(10),REPT(" ",100)),((SEARCH(CHAR(10)&amp;I334&amp;CHAR(10),H334)-LEN(SUBSTITUTE(LEFT(H334,SEARCH(CHAR(10)&amp;I334&amp;CHAR(10),H334)),CHAR(10),"")))-1)*100+1,100))),""))</f>
        <v/>
      </c>
      <c r="K334" s="80" t="str">
        <f t="array" ref="K334">IF(A334="","",IF(ISNUMBER(SEARCH("Land",LEFT(IFERROR(INDEX('Deck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34" s="80" t="str">
        <f t="shared" si="3"/>
        <v/>
      </c>
      <c r="M334" s="80" t="str">
        <f>IF(A334="","",IF(AND(E334="Y",B334='Use at Shop'!$B$4),K334*10000000000+(MAX(0,MIN(26,CODE(MID(UPPER(A334)&amp;"    ",1,1))-64))*19683+MAX(0,MIN(26,CODE(MID(UPPER(A334)&amp;"    ",2,1))-64))*729+MAX(0,MIN(26,CODE(MID(UPPER(A334)&amp;"    ",3,1))-64))*27+MAX(0,MIN(26,CODE(MID(UPPER(A334)&amp;"    ",4,1))-64))*1)*10000+ROW(),""))</f>
        <v/>
      </c>
      <c r="N334" s="80" t="str">
        <f t="shared" si="5"/>
        <v/>
      </c>
      <c r="O334" s="80" t="str">
        <f t="array" ref="O334">IF(A334="","",IFERROR(INDEX('Deck 1'!$A:$Z,ROW()-250,'List Setup'!$J$3)&amp;"",""))</f>
        <v/>
      </c>
      <c r="P334" s="2"/>
      <c r="Q334" s="80" t="str">
        <f>IF(A334="","",'List Setup'!$A$3)</f>
        <v/>
      </c>
      <c r="R334" s="80" t="str">
        <f t="array" ref="R334">IF(A334="","",IFERROR(OR(INDEX(Binders!$J$6:$J$30,MATCH(Q334,Binders!$I$6:$I$30,0))=TRUE(),UPPER(INDEX(Binders!$J$6:$J$30,MATCH(Q334,Binders!$I$6:$I$30,0))&amp;"")="TRUE"),FALSE()))</f>
        <v/>
      </c>
    </row>
    <row r="335" ht="15.75" customHeight="1">
      <c r="A335" s="80" t="str">
        <f t="array" ref="A335">IF(INDEX('Deck 1'!$A:$Z,ROW()-250,'List Setup'!$D$3)="","",INDEX('Deck 1'!$A:$Z,ROW()-250,'List Setup'!$D$3))</f>
        <v/>
      </c>
      <c r="B335" s="80" t="str">
        <f t="array" ref="B335">IF(A335="","",IFERROR(INDEX('Binder Setup'!$B$2:$B$401,MIN(IF(ISNUMBER(SEARCH(CHAR(10)&amp;'Binder Setup'!$B$2:$B$401&amp;CHAR(10),$H335)),'List Setup'!$Q$2:$Q$401,999),IF(ISNUMBER(SEARCH(CHAR(10)&amp;'Set Aliases'!$A$2:$A$501&amp;CHAR(10),$H335)),'Set Aliases'!$C$2:$C$501,999))),"(none)"))</f>
        <v/>
      </c>
      <c r="C335" s="80" t="str">
        <f t="shared" si="1"/>
        <v/>
      </c>
      <c r="D335" s="80" t="str">
        <f t="array" ref="D335">IF(A335="","",IF(ISLOGICAL(INDEX('Deck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35" s="80" t="str">
        <f t="shared" si="2"/>
        <v/>
      </c>
      <c r="F335" s="80" t="str">
        <f t="array" ref="F335">IF(A335="","",IF(ISNUMBER(J335),J335,IF(ISNUMBER(INDEX('Deck 1'!$A:$Z,ROW()-250,'List Setup'!$F$3)),INDEX('Deck 1'!$A:$Z,ROW()-250,'List Setup'!$F$3),0)))</f>
        <v/>
      </c>
      <c r="G335" s="80" t="str">
        <f t="array" ref="G335">IF(A335="","",A335&amp;IF(N(INDEX('Deck 1'!$A:$Z,ROW()-250,'List Setup'!$C$3))&gt;1," (x"&amp;INDEX('Deck 1'!$A:$Z,ROW()-250,'List Setup'!$C$3)&amp;")","")&amp;IF(COUNTIF(Binders!$J$6:$J$30,TRUE())&gt;1," ["&amp;Q335&amp;"]",""))</f>
        <v/>
      </c>
      <c r="H335" s="80" t="str">
        <f t="array" ref="H335">IF(A335="","",CHAR(10)&amp;INDEX('Deck 1'!$A:$Z,ROW()-250,'List Setup'!$E$3)&amp;CHAR(10))</f>
        <v/>
      </c>
      <c r="I335" s="80" t="str">
        <f t="array" ref="I335">IF(OR(B335="",B335="(none)"),"",IF(ISNUMBER(SEARCH(CHAR(10)&amp;B335&amp;CHAR(10),H335)),B335,IFERROR(INDEX('Set Aliases'!$A$2:$A$501,MATCH(1,('Set Aliases'!$B$2:$B$501=B335)*ISNUMBER(SEARCH(CHAR(10)&amp;'Set Aliases'!$A$2:$A$501&amp;CHAR(10),H335)),0)),"")))</f>
        <v/>
      </c>
      <c r="J335" s="80" t="str">
        <f t="array" ref="J335">IF(I335="","",IFERROR(VALUE(TRIM(MID(SUBSTITUTE(INDEX('Deck 1'!$A:$Z,ROW()-250,'List Setup'!$G$3),CHAR(10),REPT(" ",100)),((SEARCH(CHAR(10)&amp;I335&amp;CHAR(10),H335)-LEN(SUBSTITUTE(LEFT(H335,SEARCH(CHAR(10)&amp;I335&amp;CHAR(10),H335)),CHAR(10),"")))-1)*100+1,100))),""))</f>
        <v/>
      </c>
      <c r="K335" s="80" t="str">
        <f t="array" ref="K335">IF(A335="","",IF(ISNUMBER(SEARCH("Land",LEFT(IFERROR(INDEX('Deck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35" s="80" t="str">
        <f t="shared" si="3"/>
        <v/>
      </c>
      <c r="M335" s="80" t="str">
        <f>IF(A335="","",IF(AND(E335="Y",B335='Use at Shop'!$B$4),K335*10000000000+(MAX(0,MIN(26,CODE(MID(UPPER(A335)&amp;"    ",1,1))-64))*19683+MAX(0,MIN(26,CODE(MID(UPPER(A335)&amp;"    ",2,1))-64))*729+MAX(0,MIN(26,CODE(MID(UPPER(A335)&amp;"    ",3,1))-64))*27+MAX(0,MIN(26,CODE(MID(UPPER(A335)&amp;"    ",4,1))-64))*1)*10000+ROW(),""))</f>
        <v/>
      </c>
      <c r="N335" s="80" t="str">
        <f t="shared" si="5"/>
        <v/>
      </c>
      <c r="O335" s="80" t="str">
        <f t="array" ref="O335">IF(A335="","",IFERROR(INDEX('Deck 1'!$A:$Z,ROW()-250,'List Setup'!$J$3)&amp;"",""))</f>
        <v/>
      </c>
      <c r="P335" s="2"/>
      <c r="Q335" s="80" t="str">
        <f>IF(A335="","",'List Setup'!$A$3)</f>
        <v/>
      </c>
      <c r="R335" s="80" t="str">
        <f t="array" ref="R335">IF(A335="","",IFERROR(OR(INDEX(Binders!$J$6:$J$30,MATCH(Q335,Binders!$I$6:$I$30,0))=TRUE(),UPPER(INDEX(Binders!$J$6:$J$30,MATCH(Q335,Binders!$I$6:$I$30,0))&amp;"")="TRUE"),FALSE()))</f>
        <v/>
      </c>
    </row>
    <row r="336" ht="15.75" customHeight="1">
      <c r="A336" s="80" t="str">
        <f t="array" ref="A336">IF(INDEX('Deck 1'!$A:$Z,ROW()-250,'List Setup'!$D$3)="","",INDEX('Deck 1'!$A:$Z,ROW()-250,'List Setup'!$D$3))</f>
        <v/>
      </c>
      <c r="B336" s="80" t="str">
        <f t="array" ref="B336">IF(A336="","",IFERROR(INDEX('Binder Setup'!$B$2:$B$401,MIN(IF(ISNUMBER(SEARCH(CHAR(10)&amp;'Binder Setup'!$B$2:$B$401&amp;CHAR(10),$H336)),'List Setup'!$Q$2:$Q$401,999),IF(ISNUMBER(SEARCH(CHAR(10)&amp;'Set Aliases'!$A$2:$A$501&amp;CHAR(10),$H336)),'Set Aliases'!$C$2:$C$501,999))),"(none)"))</f>
        <v/>
      </c>
      <c r="C336" s="80" t="str">
        <f t="shared" si="1"/>
        <v/>
      </c>
      <c r="D336" s="80" t="str">
        <f t="array" ref="D336">IF(A336="","",IF(ISLOGICAL(INDEX('Deck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36" s="80" t="str">
        <f t="shared" si="2"/>
        <v/>
      </c>
      <c r="F336" s="80" t="str">
        <f t="array" ref="F336">IF(A336="","",IF(ISNUMBER(J336),J336,IF(ISNUMBER(INDEX('Deck 1'!$A:$Z,ROW()-250,'List Setup'!$F$3)),INDEX('Deck 1'!$A:$Z,ROW()-250,'List Setup'!$F$3),0)))</f>
        <v/>
      </c>
      <c r="G336" s="80" t="str">
        <f t="array" ref="G336">IF(A336="","",A336&amp;IF(N(INDEX('Deck 1'!$A:$Z,ROW()-250,'List Setup'!$C$3))&gt;1," (x"&amp;INDEX('Deck 1'!$A:$Z,ROW()-250,'List Setup'!$C$3)&amp;")","")&amp;IF(COUNTIF(Binders!$J$6:$J$30,TRUE())&gt;1," ["&amp;Q336&amp;"]",""))</f>
        <v/>
      </c>
      <c r="H336" s="80" t="str">
        <f t="array" ref="H336">IF(A336="","",CHAR(10)&amp;INDEX('Deck 1'!$A:$Z,ROW()-250,'List Setup'!$E$3)&amp;CHAR(10))</f>
        <v/>
      </c>
      <c r="I336" s="80" t="str">
        <f t="array" ref="I336">IF(OR(B336="",B336="(none)"),"",IF(ISNUMBER(SEARCH(CHAR(10)&amp;B336&amp;CHAR(10),H336)),B336,IFERROR(INDEX('Set Aliases'!$A$2:$A$501,MATCH(1,('Set Aliases'!$B$2:$B$501=B336)*ISNUMBER(SEARCH(CHAR(10)&amp;'Set Aliases'!$A$2:$A$501&amp;CHAR(10),H336)),0)),"")))</f>
        <v/>
      </c>
      <c r="J336" s="80" t="str">
        <f t="array" ref="J336">IF(I336="","",IFERROR(VALUE(TRIM(MID(SUBSTITUTE(INDEX('Deck 1'!$A:$Z,ROW()-250,'List Setup'!$G$3),CHAR(10),REPT(" ",100)),((SEARCH(CHAR(10)&amp;I336&amp;CHAR(10),H336)-LEN(SUBSTITUTE(LEFT(H336,SEARCH(CHAR(10)&amp;I336&amp;CHAR(10),H336)),CHAR(10),"")))-1)*100+1,100))),""))</f>
        <v/>
      </c>
      <c r="K336" s="80" t="str">
        <f t="array" ref="K336">IF(A336="","",IF(ISNUMBER(SEARCH("Land",LEFT(IFERROR(INDEX('Deck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36" s="80" t="str">
        <f t="shared" si="3"/>
        <v/>
      </c>
      <c r="M336" s="80" t="str">
        <f>IF(A336="","",IF(AND(E336="Y",B336='Use at Shop'!$B$4),K336*10000000000+(MAX(0,MIN(26,CODE(MID(UPPER(A336)&amp;"    ",1,1))-64))*19683+MAX(0,MIN(26,CODE(MID(UPPER(A336)&amp;"    ",2,1))-64))*729+MAX(0,MIN(26,CODE(MID(UPPER(A336)&amp;"    ",3,1))-64))*27+MAX(0,MIN(26,CODE(MID(UPPER(A336)&amp;"    ",4,1))-64))*1)*10000+ROW(),""))</f>
        <v/>
      </c>
      <c r="N336" s="80" t="str">
        <f t="shared" si="5"/>
        <v/>
      </c>
      <c r="O336" s="80" t="str">
        <f t="array" ref="O336">IF(A336="","",IFERROR(INDEX('Deck 1'!$A:$Z,ROW()-250,'List Setup'!$J$3)&amp;"",""))</f>
        <v/>
      </c>
      <c r="P336" s="2"/>
      <c r="Q336" s="80" t="str">
        <f>IF(A336="","",'List Setup'!$A$3)</f>
        <v/>
      </c>
      <c r="R336" s="80" t="str">
        <f t="array" ref="R336">IF(A336="","",IFERROR(OR(INDEX(Binders!$J$6:$J$30,MATCH(Q336,Binders!$I$6:$I$30,0))=TRUE(),UPPER(INDEX(Binders!$J$6:$J$30,MATCH(Q336,Binders!$I$6:$I$30,0))&amp;"")="TRUE"),FALSE()))</f>
        <v/>
      </c>
    </row>
    <row r="337" ht="15.75" customHeight="1">
      <c r="A337" s="80" t="str">
        <f t="array" ref="A337">IF(INDEX('Deck 1'!$A:$Z,ROW()-250,'List Setup'!$D$3)="","",INDEX('Deck 1'!$A:$Z,ROW()-250,'List Setup'!$D$3))</f>
        <v/>
      </c>
      <c r="B337" s="80" t="str">
        <f t="array" ref="B337">IF(A337="","",IFERROR(INDEX('Binder Setup'!$B$2:$B$401,MIN(IF(ISNUMBER(SEARCH(CHAR(10)&amp;'Binder Setup'!$B$2:$B$401&amp;CHAR(10),$H337)),'List Setup'!$Q$2:$Q$401,999),IF(ISNUMBER(SEARCH(CHAR(10)&amp;'Set Aliases'!$A$2:$A$501&amp;CHAR(10),$H337)),'Set Aliases'!$C$2:$C$501,999))),"(none)"))</f>
        <v/>
      </c>
      <c r="C337" s="80" t="str">
        <f t="shared" si="1"/>
        <v/>
      </c>
      <c r="D337" s="80" t="str">
        <f t="array" ref="D337">IF(A337="","",IF(ISLOGICAL(INDEX('Deck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37" s="80" t="str">
        <f t="shared" si="2"/>
        <v/>
      </c>
      <c r="F337" s="80" t="str">
        <f t="array" ref="F337">IF(A337="","",IF(ISNUMBER(J337),J337,IF(ISNUMBER(INDEX('Deck 1'!$A:$Z,ROW()-250,'List Setup'!$F$3)),INDEX('Deck 1'!$A:$Z,ROW()-250,'List Setup'!$F$3),0)))</f>
        <v/>
      </c>
      <c r="G337" s="80" t="str">
        <f t="array" ref="G337">IF(A337="","",A337&amp;IF(N(INDEX('Deck 1'!$A:$Z,ROW()-250,'List Setup'!$C$3))&gt;1," (x"&amp;INDEX('Deck 1'!$A:$Z,ROW()-250,'List Setup'!$C$3)&amp;")","")&amp;IF(COUNTIF(Binders!$J$6:$J$30,TRUE())&gt;1," ["&amp;Q337&amp;"]",""))</f>
        <v/>
      </c>
      <c r="H337" s="80" t="str">
        <f t="array" ref="H337">IF(A337="","",CHAR(10)&amp;INDEX('Deck 1'!$A:$Z,ROW()-250,'List Setup'!$E$3)&amp;CHAR(10))</f>
        <v/>
      </c>
      <c r="I337" s="80" t="str">
        <f t="array" ref="I337">IF(OR(B337="",B337="(none)"),"",IF(ISNUMBER(SEARCH(CHAR(10)&amp;B337&amp;CHAR(10),H337)),B337,IFERROR(INDEX('Set Aliases'!$A$2:$A$501,MATCH(1,('Set Aliases'!$B$2:$B$501=B337)*ISNUMBER(SEARCH(CHAR(10)&amp;'Set Aliases'!$A$2:$A$501&amp;CHAR(10),H337)),0)),"")))</f>
        <v/>
      </c>
      <c r="J337" s="80" t="str">
        <f t="array" ref="J337">IF(I337="","",IFERROR(VALUE(TRIM(MID(SUBSTITUTE(INDEX('Deck 1'!$A:$Z,ROW()-250,'List Setup'!$G$3),CHAR(10),REPT(" ",100)),((SEARCH(CHAR(10)&amp;I337&amp;CHAR(10),H337)-LEN(SUBSTITUTE(LEFT(H337,SEARCH(CHAR(10)&amp;I337&amp;CHAR(10),H337)),CHAR(10),"")))-1)*100+1,100))),""))</f>
        <v/>
      </c>
      <c r="K337" s="80" t="str">
        <f t="array" ref="K337">IF(A337="","",IF(ISNUMBER(SEARCH("Land",LEFT(IFERROR(INDEX('Deck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37" s="80" t="str">
        <f t="shared" si="3"/>
        <v/>
      </c>
      <c r="M337" s="80" t="str">
        <f>IF(A337="","",IF(AND(E337="Y",B337='Use at Shop'!$B$4),K337*10000000000+(MAX(0,MIN(26,CODE(MID(UPPER(A337)&amp;"    ",1,1))-64))*19683+MAX(0,MIN(26,CODE(MID(UPPER(A337)&amp;"    ",2,1))-64))*729+MAX(0,MIN(26,CODE(MID(UPPER(A337)&amp;"    ",3,1))-64))*27+MAX(0,MIN(26,CODE(MID(UPPER(A337)&amp;"    ",4,1))-64))*1)*10000+ROW(),""))</f>
        <v/>
      </c>
      <c r="N337" s="80" t="str">
        <f t="shared" si="5"/>
        <v/>
      </c>
      <c r="O337" s="80" t="str">
        <f t="array" ref="O337">IF(A337="","",IFERROR(INDEX('Deck 1'!$A:$Z,ROW()-250,'List Setup'!$J$3)&amp;"",""))</f>
        <v/>
      </c>
      <c r="P337" s="2"/>
      <c r="Q337" s="80" t="str">
        <f>IF(A337="","",'List Setup'!$A$3)</f>
        <v/>
      </c>
      <c r="R337" s="80" t="str">
        <f t="array" ref="R337">IF(A337="","",IFERROR(OR(INDEX(Binders!$J$6:$J$30,MATCH(Q337,Binders!$I$6:$I$30,0))=TRUE(),UPPER(INDEX(Binders!$J$6:$J$30,MATCH(Q337,Binders!$I$6:$I$30,0))&amp;"")="TRUE"),FALSE()))</f>
        <v/>
      </c>
    </row>
    <row r="338" ht="15.75" customHeight="1">
      <c r="A338" s="80" t="str">
        <f t="array" ref="A338">IF(INDEX('Deck 1'!$A:$Z,ROW()-250,'List Setup'!$D$3)="","",INDEX('Deck 1'!$A:$Z,ROW()-250,'List Setup'!$D$3))</f>
        <v/>
      </c>
      <c r="B338" s="80" t="str">
        <f t="array" ref="B338">IF(A338="","",IFERROR(INDEX('Binder Setup'!$B$2:$B$401,MIN(IF(ISNUMBER(SEARCH(CHAR(10)&amp;'Binder Setup'!$B$2:$B$401&amp;CHAR(10),$H338)),'List Setup'!$Q$2:$Q$401,999),IF(ISNUMBER(SEARCH(CHAR(10)&amp;'Set Aliases'!$A$2:$A$501&amp;CHAR(10),$H338)),'Set Aliases'!$C$2:$C$501,999))),"(none)"))</f>
        <v/>
      </c>
      <c r="C338" s="80" t="str">
        <f t="shared" si="1"/>
        <v/>
      </c>
      <c r="D338" s="80" t="str">
        <f t="array" ref="D338">IF(A338="","",IF(ISLOGICAL(INDEX('Deck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38" s="80" t="str">
        <f t="shared" si="2"/>
        <v/>
      </c>
      <c r="F338" s="80" t="str">
        <f t="array" ref="F338">IF(A338="","",IF(ISNUMBER(J338),J338,IF(ISNUMBER(INDEX('Deck 1'!$A:$Z,ROW()-250,'List Setup'!$F$3)),INDEX('Deck 1'!$A:$Z,ROW()-250,'List Setup'!$F$3),0)))</f>
        <v/>
      </c>
      <c r="G338" s="80" t="str">
        <f t="array" ref="G338">IF(A338="","",A338&amp;IF(N(INDEX('Deck 1'!$A:$Z,ROW()-250,'List Setup'!$C$3))&gt;1," (x"&amp;INDEX('Deck 1'!$A:$Z,ROW()-250,'List Setup'!$C$3)&amp;")","")&amp;IF(COUNTIF(Binders!$J$6:$J$30,TRUE())&gt;1," ["&amp;Q338&amp;"]",""))</f>
        <v/>
      </c>
      <c r="H338" s="80" t="str">
        <f t="array" ref="H338">IF(A338="","",CHAR(10)&amp;INDEX('Deck 1'!$A:$Z,ROW()-250,'List Setup'!$E$3)&amp;CHAR(10))</f>
        <v/>
      </c>
      <c r="I338" s="80" t="str">
        <f t="array" ref="I338">IF(OR(B338="",B338="(none)"),"",IF(ISNUMBER(SEARCH(CHAR(10)&amp;B338&amp;CHAR(10),H338)),B338,IFERROR(INDEX('Set Aliases'!$A$2:$A$501,MATCH(1,('Set Aliases'!$B$2:$B$501=B338)*ISNUMBER(SEARCH(CHAR(10)&amp;'Set Aliases'!$A$2:$A$501&amp;CHAR(10),H338)),0)),"")))</f>
        <v/>
      </c>
      <c r="J338" s="80" t="str">
        <f t="array" ref="J338">IF(I338="","",IFERROR(VALUE(TRIM(MID(SUBSTITUTE(INDEX('Deck 1'!$A:$Z,ROW()-250,'List Setup'!$G$3),CHAR(10),REPT(" ",100)),((SEARCH(CHAR(10)&amp;I338&amp;CHAR(10),H338)-LEN(SUBSTITUTE(LEFT(H338,SEARCH(CHAR(10)&amp;I338&amp;CHAR(10),H338)),CHAR(10),"")))-1)*100+1,100))),""))</f>
        <v/>
      </c>
      <c r="K338" s="80" t="str">
        <f t="array" ref="K338">IF(A338="","",IF(ISNUMBER(SEARCH("Land",LEFT(IFERROR(INDEX('Deck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38" s="80" t="str">
        <f t="shared" si="3"/>
        <v/>
      </c>
      <c r="M338" s="80" t="str">
        <f>IF(A338="","",IF(AND(E338="Y",B338='Use at Shop'!$B$4),K338*10000000000+(MAX(0,MIN(26,CODE(MID(UPPER(A338)&amp;"    ",1,1))-64))*19683+MAX(0,MIN(26,CODE(MID(UPPER(A338)&amp;"    ",2,1))-64))*729+MAX(0,MIN(26,CODE(MID(UPPER(A338)&amp;"    ",3,1))-64))*27+MAX(0,MIN(26,CODE(MID(UPPER(A338)&amp;"    ",4,1))-64))*1)*10000+ROW(),""))</f>
        <v/>
      </c>
      <c r="N338" s="80" t="str">
        <f t="shared" si="5"/>
        <v/>
      </c>
      <c r="O338" s="80" t="str">
        <f t="array" ref="O338">IF(A338="","",IFERROR(INDEX('Deck 1'!$A:$Z,ROW()-250,'List Setup'!$J$3)&amp;"",""))</f>
        <v/>
      </c>
      <c r="P338" s="2"/>
      <c r="Q338" s="80" t="str">
        <f>IF(A338="","",'List Setup'!$A$3)</f>
        <v/>
      </c>
      <c r="R338" s="80" t="str">
        <f t="array" ref="R338">IF(A338="","",IFERROR(OR(INDEX(Binders!$J$6:$J$30,MATCH(Q338,Binders!$I$6:$I$30,0))=TRUE(),UPPER(INDEX(Binders!$J$6:$J$30,MATCH(Q338,Binders!$I$6:$I$30,0))&amp;"")="TRUE"),FALSE()))</f>
        <v/>
      </c>
    </row>
    <row r="339" ht="15.75" customHeight="1">
      <c r="A339" s="80" t="str">
        <f t="array" ref="A339">IF(INDEX('Deck 1'!$A:$Z,ROW()-250,'List Setup'!$D$3)="","",INDEX('Deck 1'!$A:$Z,ROW()-250,'List Setup'!$D$3))</f>
        <v/>
      </c>
      <c r="B339" s="80" t="str">
        <f t="array" ref="B339">IF(A339="","",IFERROR(INDEX('Binder Setup'!$B$2:$B$401,MIN(IF(ISNUMBER(SEARCH(CHAR(10)&amp;'Binder Setup'!$B$2:$B$401&amp;CHAR(10),$H339)),'List Setup'!$Q$2:$Q$401,999),IF(ISNUMBER(SEARCH(CHAR(10)&amp;'Set Aliases'!$A$2:$A$501&amp;CHAR(10),$H339)),'Set Aliases'!$C$2:$C$501,999))),"(none)"))</f>
        <v/>
      </c>
      <c r="C339" s="80" t="str">
        <f t="shared" si="1"/>
        <v/>
      </c>
      <c r="D339" s="80" t="str">
        <f t="array" ref="D339">IF(A339="","",IF(ISLOGICAL(INDEX('Deck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39" s="80" t="str">
        <f t="shared" si="2"/>
        <v/>
      </c>
      <c r="F339" s="80" t="str">
        <f t="array" ref="F339">IF(A339="","",IF(ISNUMBER(J339),J339,IF(ISNUMBER(INDEX('Deck 1'!$A:$Z,ROW()-250,'List Setup'!$F$3)),INDEX('Deck 1'!$A:$Z,ROW()-250,'List Setup'!$F$3),0)))</f>
        <v/>
      </c>
      <c r="G339" s="80" t="str">
        <f t="array" ref="G339">IF(A339="","",A339&amp;IF(N(INDEX('Deck 1'!$A:$Z,ROW()-250,'List Setup'!$C$3))&gt;1," (x"&amp;INDEX('Deck 1'!$A:$Z,ROW()-250,'List Setup'!$C$3)&amp;")","")&amp;IF(COUNTIF(Binders!$J$6:$J$30,TRUE())&gt;1," ["&amp;Q339&amp;"]",""))</f>
        <v/>
      </c>
      <c r="H339" s="80" t="str">
        <f t="array" ref="H339">IF(A339="","",CHAR(10)&amp;INDEX('Deck 1'!$A:$Z,ROW()-250,'List Setup'!$E$3)&amp;CHAR(10))</f>
        <v/>
      </c>
      <c r="I339" s="80" t="str">
        <f t="array" ref="I339">IF(OR(B339="",B339="(none)"),"",IF(ISNUMBER(SEARCH(CHAR(10)&amp;B339&amp;CHAR(10),H339)),B339,IFERROR(INDEX('Set Aliases'!$A$2:$A$501,MATCH(1,('Set Aliases'!$B$2:$B$501=B339)*ISNUMBER(SEARCH(CHAR(10)&amp;'Set Aliases'!$A$2:$A$501&amp;CHAR(10),H339)),0)),"")))</f>
        <v/>
      </c>
      <c r="J339" s="80" t="str">
        <f t="array" ref="J339">IF(I339="","",IFERROR(VALUE(TRIM(MID(SUBSTITUTE(INDEX('Deck 1'!$A:$Z,ROW()-250,'List Setup'!$G$3),CHAR(10),REPT(" ",100)),((SEARCH(CHAR(10)&amp;I339&amp;CHAR(10),H339)-LEN(SUBSTITUTE(LEFT(H339,SEARCH(CHAR(10)&amp;I339&amp;CHAR(10),H339)),CHAR(10),"")))-1)*100+1,100))),""))</f>
        <v/>
      </c>
      <c r="K339" s="80" t="str">
        <f t="array" ref="K339">IF(A339="","",IF(ISNUMBER(SEARCH("Land",LEFT(IFERROR(INDEX('Deck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39" s="80" t="str">
        <f t="shared" si="3"/>
        <v/>
      </c>
      <c r="M339" s="80" t="str">
        <f>IF(A339="","",IF(AND(E339="Y",B339='Use at Shop'!$B$4),K339*10000000000+(MAX(0,MIN(26,CODE(MID(UPPER(A339)&amp;"    ",1,1))-64))*19683+MAX(0,MIN(26,CODE(MID(UPPER(A339)&amp;"    ",2,1))-64))*729+MAX(0,MIN(26,CODE(MID(UPPER(A339)&amp;"    ",3,1))-64))*27+MAX(0,MIN(26,CODE(MID(UPPER(A339)&amp;"    ",4,1))-64))*1)*10000+ROW(),""))</f>
        <v/>
      </c>
      <c r="N339" s="80" t="str">
        <f t="shared" si="5"/>
        <v/>
      </c>
      <c r="O339" s="80" t="str">
        <f t="array" ref="O339">IF(A339="","",IFERROR(INDEX('Deck 1'!$A:$Z,ROW()-250,'List Setup'!$J$3)&amp;"",""))</f>
        <v/>
      </c>
      <c r="P339" s="2"/>
      <c r="Q339" s="80" t="str">
        <f>IF(A339="","",'List Setup'!$A$3)</f>
        <v/>
      </c>
      <c r="R339" s="80" t="str">
        <f t="array" ref="R339">IF(A339="","",IFERROR(OR(INDEX(Binders!$J$6:$J$30,MATCH(Q339,Binders!$I$6:$I$30,0))=TRUE(),UPPER(INDEX(Binders!$J$6:$J$30,MATCH(Q339,Binders!$I$6:$I$30,0))&amp;"")="TRUE"),FALSE()))</f>
        <v/>
      </c>
    </row>
    <row r="340" ht="15.75" customHeight="1">
      <c r="A340" s="80" t="str">
        <f t="array" ref="A340">IF(INDEX('Deck 1'!$A:$Z,ROW()-250,'List Setup'!$D$3)="","",INDEX('Deck 1'!$A:$Z,ROW()-250,'List Setup'!$D$3))</f>
        <v/>
      </c>
      <c r="B340" s="80" t="str">
        <f t="array" ref="B340">IF(A340="","",IFERROR(INDEX('Binder Setup'!$B$2:$B$401,MIN(IF(ISNUMBER(SEARCH(CHAR(10)&amp;'Binder Setup'!$B$2:$B$401&amp;CHAR(10),$H340)),'List Setup'!$Q$2:$Q$401,999),IF(ISNUMBER(SEARCH(CHAR(10)&amp;'Set Aliases'!$A$2:$A$501&amp;CHAR(10),$H340)),'Set Aliases'!$C$2:$C$501,999))),"(none)"))</f>
        <v/>
      </c>
      <c r="C340" s="80" t="str">
        <f t="shared" si="1"/>
        <v/>
      </c>
      <c r="D340" s="80" t="str">
        <f t="array" ref="D340">IF(A340="","",IF(ISLOGICAL(INDEX('Deck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40" s="80" t="str">
        <f t="shared" si="2"/>
        <v/>
      </c>
      <c r="F340" s="80" t="str">
        <f t="array" ref="F340">IF(A340="","",IF(ISNUMBER(J340),J340,IF(ISNUMBER(INDEX('Deck 1'!$A:$Z,ROW()-250,'List Setup'!$F$3)),INDEX('Deck 1'!$A:$Z,ROW()-250,'List Setup'!$F$3),0)))</f>
        <v/>
      </c>
      <c r="G340" s="80" t="str">
        <f t="array" ref="G340">IF(A340="","",A340&amp;IF(N(INDEX('Deck 1'!$A:$Z,ROW()-250,'List Setup'!$C$3))&gt;1," (x"&amp;INDEX('Deck 1'!$A:$Z,ROW()-250,'List Setup'!$C$3)&amp;")","")&amp;IF(COUNTIF(Binders!$J$6:$J$30,TRUE())&gt;1," ["&amp;Q340&amp;"]",""))</f>
        <v/>
      </c>
      <c r="H340" s="80" t="str">
        <f t="array" ref="H340">IF(A340="","",CHAR(10)&amp;INDEX('Deck 1'!$A:$Z,ROW()-250,'List Setup'!$E$3)&amp;CHAR(10))</f>
        <v/>
      </c>
      <c r="I340" s="80" t="str">
        <f t="array" ref="I340">IF(OR(B340="",B340="(none)"),"",IF(ISNUMBER(SEARCH(CHAR(10)&amp;B340&amp;CHAR(10),H340)),B340,IFERROR(INDEX('Set Aliases'!$A$2:$A$501,MATCH(1,('Set Aliases'!$B$2:$B$501=B340)*ISNUMBER(SEARCH(CHAR(10)&amp;'Set Aliases'!$A$2:$A$501&amp;CHAR(10),H340)),0)),"")))</f>
        <v/>
      </c>
      <c r="J340" s="80" t="str">
        <f t="array" ref="J340">IF(I340="","",IFERROR(VALUE(TRIM(MID(SUBSTITUTE(INDEX('Deck 1'!$A:$Z,ROW()-250,'List Setup'!$G$3),CHAR(10),REPT(" ",100)),((SEARCH(CHAR(10)&amp;I340&amp;CHAR(10),H340)-LEN(SUBSTITUTE(LEFT(H340,SEARCH(CHAR(10)&amp;I340&amp;CHAR(10),H340)),CHAR(10),"")))-1)*100+1,100))),""))</f>
        <v/>
      </c>
      <c r="K340" s="80" t="str">
        <f t="array" ref="K340">IF(A340="","",IF(ISNUMBER(SEARCH("Land",LEFT(IFERROR(INDEX('Deck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40" s="80" t="str">
        <f t="shared" si="3"/>
        <v/>
      </c>
      <c r="M340" s="80" t="str">
        <f>IF(A340="","",IF(AND(E340="Y",B340='Use at Shop'!$B$4),K340*10000000000+(MAX(0,MIN(26,CODE(MID(UPPER(A340)&amp;"    ",1,1))-64))*19683+MAX(0,MIN(26,CODE(MID(UPPER(A340)&amp;"    ",2,1))-64))*729+MAX(0,MIN(26,CODE(MID(UPPER(A340)&amp;"    ",3,1))-64))*27+MAX(0,MIN(26,CODE(MID(UPPER(A340)&amp;"    ",4,1))-64))*1)*10000+ROW(),""))</f>
        <v/>
      </c>
      <c r="N340" s="80" t="str">
        <f t="shared" si="5"/>
        <v/>
      </c>
      <c r="O340" s="80" t="str">
        <f t="array" ref="O340">IF(A340="","",IFERROR(INDEX('Deck 1'!$A:$Z,ROW()-250,'List Setup'!$J$3)&amp;"",""))</f>
        <v/>
      </c>
      <c r="P340" s="2"/>
      <c r="Q340" s="80" t="str">
        <f>IF(A340="","",'List Setup'!$A$3)</f>
        <v/>
      </c>
      <c r="R340" s="80" t="str">
        <f t="array" ref="R340">IF(A340="","",IFERROR(OR(INDEX(Binders!$J$6:$J$30,MATCH(Q340,Binders!$I$6:$I$30,0))=TRUE(),UPPER(INDEX(Binders!$J$6:$J$30,MATCH(Q340,Binders!$I$6:$I$30,0))&amp;"")="TRUE"),FALSE()))</f>
        <v/>
      </c>
    </row>
    <row r="341" ht="15.75" customHeight="1">
      <c r="A341" s="80" t="str">
        <f t="array" ref="A341">IF(INDEX('Deck 1'!$A:$Z,ROW()-250,'List Setup'!$D$3)="","",INDEX('Deck 1'!$A:$Z,ROW()-250,'List Setup'!$D$3))</f>
        <v/>
      </c>
      <c r="B341" s="80" t="str">
        <f t="array" ref="B341">IF(A341="","",IFERROR(INDEX('Binder Setup'!$B$2:$B$401,MIN(IF(ISNUMBER(SEARCH(CHAR(10)&amp;'Binder Setup'!$B$2:$B$401&amp;CHAR(10),$H341)),'List Setup'!$Q$2:$Q$401,999),IF(ISNUMBER(SEARCH(CHAR(10)&amp;'Set Aliases'!$A$2:$A$501&amp;CHAR(10),$H341)),'Set Aliases'!$C$2:$C$501,999))),"(none)"))</f>
        <v/>
      </c>
      <c r="C341" s="80" t="str">
        <f t="shared" si="1"/>
        <v/>
      </c>
      <c r="D341" s="80" t="str">
        <f t="array" ref="D341">IF(A341="","",IF(ISLOGICAL(INDEX('Deck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41" s="80" t="str">
        <f t="shared" si="2"/>
        <v/>
      </c>
      <c r="F341" s="80" t="str">
        <f t="array" ref="F341">IF(A341="","",IF(ISNUMBER(J341),J341,IF(ISNUMBER(INDEX('Deck 1'!$A:$Z,ROW()-250,'List Setup'!$F$3)),INDEX('Deck 1'!$A:$Z,ROW()-250,'List Setup'!$F$3),0)))</f>
        <v/>
      </c>
      <c r="G341" s="80" t="str">
        <f t="array" ref="G341">IF(A341="","",A341&amp;IF(N(INDEX('Deck 1'!$A:$Z,ROW()-250,'List Setup'!$C$3))&gt;1," (x"&amp;INDEX('Deck 1'!$A:$Z,ROW()-250,'List Setup'!$C$3)&amp;")","")&amp;IF(COUNTIF(Binders!$J$6:$J$30,TRUE())&gt;1," ["&amp;Q341&amp;"]",""))</f>
        <v/>
      </c>
      <c r="H341" s="80" t="str">
        <f t="array" ref="H341">IF(A341="","",CHAR(10)&amp;INDEX('Deck 1'!$A:$Z,ROW()-250,'List Setup'!$E$3)&amp;CHAR(10))</f>
        <v/>
      </c>
      <c r="I341" s="80" t="str">
        <f t="array" ref="I341">IF(OR(B341="",B341="(none)"),"",IF(ISNUMBER(SEARCH(CHAR(10)&amp;B341&amp;CHAR(10),H341)),B341,IFERROR(INDEX('Set Aliases'!$A$2:$A$501,MATCH(1,('Set Aliases'!$B$2:$B$501=B341)*ISNUMBER(SEARCH(CHAR(10)&amp;'Set Aliases'!$A$2:$A$501&amp;CHAR(10),H341)),0)),"")))</f>
        <v/>
      </c>
      <c r="J341" s="80" t="str">
        <f t="array" ref="J341">IF(I341="","",IFERROR(VALUE(TRIM(MID(SUBSTITUTE(INDEX('Deck 1'!$A:$Z,ROW()-250,'List Setup'!$G$3),CHAR(10),REPT(" ",100)),((SEARCH(CHAR(10)&amp;I341&amp;CHAR(10),H341)-LEN(SUBSTITUTE(LEFT(H341,SEARCH(CHAR(10)&amp;I341&amp;CHAR(10),H341)),CHAR(10),"")))-1)*100+1,100))),""))</f>
        <v/>
      </c>
      <c r="K341" s="80" t="str">
        <f t="array" ref="K341">IF(A341="","",IF(ISNUMBER(SEARCH("Land",LEFT(IFERROR(INDEX('Deck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41" s="80" t="str">
        <f t="shared" si="3"/>
        <v/>
      </c>
      <c r="M341" s="80" t="str">
        <f>IF(A341="","",IF(AND(E341="Y",B341='Use at Shop'!$B$4),K341*10000000000+(MAX(0,MIN(26,CODE(MID(UPPER(A341)&amp;"    ",1,1))-64))*19683+MAX(0,MIN(26,CODE(MID(UPPER(A341)&amp;"    ",2,1))-64))*729+MAX(0,MIN(26,CODE(MID(UPPER(A341)&amp;"    ",3,1))-64))*27+MAX(0,MIN(26,CODE(MID(UPPER(A341)&amp;"    ",4,1))-64))*1)*10000+ROW(),""))</f>
        <v/>
      </c>
      <c r="N341" s="80" t="str">
        <f t="shared" si="5"/>
        <v/>
      </c>
      <c r="O341" s="80" t="str">
        <f t="array" ref="O341">IF(A341="","",IFERROR(INDEX('Deck 1'!$A:$Z,ROW()-250,'List Setup'!$J$3)&amp;"",""))</f>
        <v/>
      </c>
      <c r="P341" s="2"/>
      <c r="Q341" s="80" t="str">
        <f>IF(A341="","",'List Setup'!$A$3)</f>
        <v/>
      </c>
      <c r="R341" s="80" t="str">
        <f t="array" ref="R341">IF(A341="","",IFERROR(OR(INDEX(Binders!$J$6:$J$30,MATCH(Q341,Binders!$I$6:$I$30,0))=TRUE(),UPPER(INDEX(Binders!$J$6:$J$30,MATCH(Q341,Binders!$I$6:$I$30,0))&amp;"")="TRUE"),FALSE()))</f>
        <v/>
      </c>
    </row>
    <row r="342" ht="15.75" customHeight="1">
      <c r="A342" s="80" t="str">
        <f t="array" ref="A342">IF(INDEX('Deck 1'!$A:$Z,ROW()-250,'List Setup'!$D$3)="","",INDEX('Deck 1'!$A:$Z,ROW()-250,'List Setup'!$D$3))</f>
        <v/>
      </c>
      <c r="B342" s="80" t="str">
        <f t="array" ref="B342">IF(A342="","",IFERROR(INDEX('Binder Setup'!$B$2:$B$401,MIN(IF(ISNUMBER(SEARCH(CHAR(10)&amp;'Binder Setup'!$B$2:$B$401&amp;CHAR(10),$H342)),'List Setup'!$Q$2:$Q$401,999),IF(ISNUMBER(SEARCH(CHAR(10)&amp;'Set Aliases'!$A$2:$A$501&amp;CHAR(10),$H342)),'Set Aliases'!$C$2:$C$501,999))),"(none)"))</f>
        <v/>
      </c>
      <c r="C342" s="80" t="str">
        <f t="shared" si="1"/>
        <v/>
      </c>
      <c r="D342" s="80" t="str">
        <f t="array" ref="D342">IF(A342="","",IF(ISLOGICAL(INDEX('Deck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42" s="80" t="str">
        <f t="shared" si="2"/>
        <v/>
      </c>
      <c r="F342" s="80" t="str">
        <f t="array" ref="F342">IF(A342="","",IF(ISNUMBER(J342),J342,IF(ISNUMBER(INDEX('Deck 1'!$A:$Z,ROW()-250,'List Setup'!$F$3)),INDEX('Deck 1'!$A:$Z,ROW()-250,'List Setup'!$F$3),0)))</f>
        <v/>
      </c>
      <c r="G342" s="80" t="str">
        <f t="array" ref="G342">IF(A342="","",A342&amp;IF(N(INDEX('Deck 1'!$A:$Z,ROW()-250,'List Setup'!$C$3))&gt;1," (x"&amp;INDEX('Deck 1'!$A:$Z,ROW()-250,'List Setup'!$C$3)&amp;")","")&amp;IF(COUNTIF(Binders!$J$6:$J$30,TRUE())&gt;1," ["&amp;Q342&amp;"]",""))</f>
        <v/>
      </c>
      <c r="H342" s="80" t="str">
        <f t="array" ref="H342">IF(A342="","",CHAR(10)&amp;INDEX('Deck 1'!$A:$Z,ROW()-250,'List Setup'!$E$3)&amp;CHAR(10))</f>
        <v/>
      </c>
      <c r="I342" s="80" t="str">
        <f t="array" ref="I342">IF(OR(B342="",B342="(none)"),"",IF(ISNUMBER(SEARCH(CHAR(10)&amp;B342&amp;CHAR(10),H342)),B342,IFERROR(INDEX('Set Aliases'!$A$2:$A$501,MATCH(1,('Set Aliases'!$B$2:$B$501=B342)*ISNUMBER(SEARCH(CHAR(10)&amp;'Set Aliases'!$A$2:$A$501&amp;CHAR(10),H342)),0)),"")))</f>
        <v/>
      </c>
      <c r="J342" s="80" t="str">
        <f t="array" ref="J342">IF(I342="","",IFERROR(VALUE(TRIM(MID(SUBSTITUTE(INDEX('Deck 1'!$A:$Z,ROW()-250,'List Setup'!$G$3),CHAR(10),REPT(" ",100)),((SEARCH(CHAR(10)&amp;I342&amp;CHAR(10),H342)-LEN(SUBSTITUTE(LEFT(H342,SEARCH(CHAR(10)&amp;I342&amp;CHAR(10),H342)),CHAR(10),"")))-1)*100+1,100))),""))</f>
        <v/>
      </c>
      <c r="K342" s="80" t="str">
        <f t="array" ref="K342">IF(A342="","",IF(ISNUMBER(SEARCH("Land",LEFT(IFERROR(INDEX('Deck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42" s="80" t="str">
        <f t="shared" si="3"/>
        <v/>
      </c>
      <c r="M342" s="80" t="str">
        <f>IF(A342="","",IF(AND(E342="Y",B342='Use at Shop'!$B$4),K342*10000000000+(MAX(0,MIN(26,CODE(MID(UPPER(A342)&amp;"    ",1,1))-64))*19683+MAX(0,MIN(26,CODE(MID(UPPER(A342)&amp;"    ",2,1))-64))*729+MAX(0,MIN(26,CODE(MID(UPPER(A342)&amp;"    ",3,1))-64))*27+MAX(0,MIN(26,CODE(MID(UPPER(A342)&amp;"    ",4,1))-64))*1)*10000+ROW(),""))</f>
        <v/>
      </c>
      <c r="N342" s="80" t="str">
        <f t="shared" si="5"/>
        <v/>
      </c>
      <c r="O342" s="80" t="str">
        <f t="array" ref="O342">IF(A342="","",IFERROR(INDEX('Deck 1'!$A:$Z,ROW()-250,'List Setup'!$J$3)&amp;"",""))</f>
        <v/>
      </c>
      <c r="P342" s="2"/>
      <c r="Q342" s="80" t="str">
        <f>IF(A342="","",'List Setup'!$A$3)</f>
        <v/>
      </c>
      <c r="R342" s="80" t="str">
        <f t="array" ref="R342">IF(A342="","",IFERROR(OR(INDEX(Binders!$J$6:$J$30,MATCH(Q342,Binders!$I$6:$I$30,0))=TRUE(),UPPER(INDEX(Binders!$J$6:$J$30,MATCH(Q342,Binders!$I$6:$I$30,0))&amp;"")="TRUE"),FALSE()))</f>
        <v/>
      </c>
    </row>
    <row r="343" ht="15.75" customHeight="1">
      <c r="A343" s="80" t="str">
        <f t="array" ref="A343">IF(INDEX('Deck 1'!$A:$Z,ROW()-250,'List Setup'!$D$3)="","",INDEX('Deck 1'!$A:$Z,ROW()-250,'List Setup'!$D$3))</f>
        <v/>
      </c>
      <c r="B343" s="80" t="str">
        <f t="array" ref="B343">IF(A343="","",IFERROR(INDEX('Binder Setup'!$B$2:$B$401,MIN(IF(ISNUMBER(SEARCH(CHAR(10)&amp;'Binder Setup'!$B$2:$B$401&amp;CHAR(10),$H343)),'List Setup'!$Q$2:$Q$401,999),IF(ISNUMBER(SEARCH(CHAR(10)&amp;'Set Aliases'!$A$2:$A$501&amp;CHAR(10),$H343)),'Set Aliases'!$C$2:$C$501,999))),"(none)"))</f>
        <v/>
      </c>
      <c r="C343" s="80" t="str">
        <f t="shared" si="1"/>
        <v/>
      </c>
      <c r="D343" s="80" t="str">
        <f t="array" ref="D343">IF(A343="","",IF(ISLOGICAL(INDEX('Deck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43" s="80" t="str">
        <f t="shared" si="2"/>
        <v/>
      </c>
      <c r="F343" s="80" t="str">
        <f t="array" ref="F343">IF(A343="","",IF(ISNUMBER(J343),J343,IF(ISNUMBER(INDEX('Deck 1'!$A:$Z,ROW()-250,'List Setup'!$F$3)),INDEX('Deck 1'!$A:$Z,ROW()-250,'List Setup'!$F$3),0)))</f>
        <v/>
      </c>
      <c r="G343" s="80" t="str">
        <f t="array" ref="G343">IF(A343="","",A343&amp;IF(N(INDEX('Deck 1'!$A:$Z,ROW()-250,'List Setup'!$C$3))&gt;1," (x"&amp;INDEX('Deck 1'!$A:$Z,ROW()-250,'List Setup'!$C$3)&amp;")","")&amp;IF(COUNTIF(Binders!$J$6:$J$30,TRUE())&gt;1," ["&amp;Q343&amp;"]",""))</f>
        <v/>
      </c>
      <c r="H343" s="80" t="str">
        <f t="array" ref="H343">IF(A343="","",CHAR(10)&amp;INDEX('Deck 1'!$A:$Z,ROW()-250,'List Setup'!$E$3)&amp;CHAR(10))</f>
        <v/>
      </c>
      <c r="I343" s="80" t="str">
        <f t="array" ref="I343">IF(OR(B343="",B343="(none)"),"",IF(ISNUMBER(SEARCH(CHAR(10)&amp;B343&amp;CHAR(10),H343)),B343,IFERROR(INDEX('Set Aliases'!$A$2:$A$501,MATCH(1,('Set Aliases'!$B$2:$B$501=B343)*ISNUMBER(SEARCH(CHAR(10)&amp;'Set Aliases'!$A$2:$A$501&amp;CHAR(10),H343)),0)),"")))</f>
        <v/>
      </c>
      <c r="J343" s="80" t="str">
        <f t="array" ref="J343">IF(I343="","",IFERROR(VALUE(TRIM(MID(SUBSTITUTE(INDEX('Deck 1'!$A:$Z,ROW()-250,'List Setup'!$G$3),CHAR(10),REPT(" ",100)),((SEARCH(CHAR(10)&amp;I343&amp;CHAR(10),H343)-LEN(SUBSTITUTE(LEFT(H343,SEARCH(CHAR(10)&amp;I343&amp;CHAR(10),H343)),CHAR(10),"")))-1)*100+1,100))),""))</f>
        <v/>
      </c>
      <c r="K343" s="80" t="str">
        <f t="array" ref="K343">IF(A343="","",IF(ISNUMBER(SEARCH("Land",LEFT(IFERROR(INDEX('Deck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43" s="80" t="str">
        <f t="shared" si="3"/>
        <v/>
      </c>
      <c r="M343" s="80" t="str">
        <f>IF(A343="","",IF(AND(E343="Y",B343='Use at Shop'!$B$4),K343*10000000000+(MAX(0,MIN(26,CODE(MID(UPPER(A343)&amp;"    ",1,1))-64))*19683+MAX(0,MIN(26,CODE(MID(UPPER(A343)&amp;"    ",2,1))-64))*729+MAX(0,MIN(26,CODE(MID(UPPER(A343)&amp;"    ",3,1))-64))*27+MAX(0,MIN(26,CODE(MID(UPPER(A343)&amp;"    ",4,1))-64))*1)*10000+ROW(),""))</f>
        <v/>
      </c>
      <c r="N343" s="80" t="str">
        <f t="shared" si="5"/>
        <v/>
      </c>
      <c r="O343" s="80" t="str">
        <f t="array" ref="O343">IF(A343="","",IFERROR(INDEX('Deck 1'!$A:$Z,ROW()-250,'List Setup'!$J$3)&amp;"",""))</f>
        <v/>
      </c>
      <c r="P343" s="2"/>
      <c r="Q343" s="80" t="str">
        <f>IF(A343="","",'List Setup'!$A$3)</f>
        <v/>
      </c>
      <c r="R343" s="80" t="str">
        <f t="array" ref="R343">IF(A343="","",IFERROR(OR(INDEX(Binders!$J$6:$J$30,MATCH(Q343,Binders!$I$6:$I$30,0))=TRUE(),UPPER(INDEX(Binders!$J$6:$J$30,MATCH(Q343,Binders!$I$6:$I$30,0))&amp;"")="TRUE"),FALSE()))</f>
        <v/>
      </c>
    </row>
    <row r="344" ht="15.75" customHeight="1">
      <c r="A344" s="80" t="str">
        <f t="array" ref="A344">IF(INDEX('Deck 1'!$A:$Z,ROW()-250,'List Setup'!$D$3)="","",INDEX('Deck 1'!$A:$Z,ROW()-250,'List Setup'!$D$3))</f>
        <v/>
      </c>
      <c r="B344" s="80" t="str">
        <f t="array" ref="B344">IF(A344="","",IFERROR(INDEX('Binder Setup'!$B$2:$B$401,MIN(IF(ISNUMBER(SEARCH(CHAR(10)&amp;'Binder Setup'!$B$2:$B$401&amp;CHAR(10),$H344)),'List Setup'!$Q$2:$Q$401,999),IF(ISNUMBER(SEARCH(CHAR(10)&amp;'Set Aliases'!$A$2:$A$501&amp;CHAR(10),$H344)),'Set Aliases'!$C$2:$C$501,999))),"(none)"))</f>
        <v/>
      </c>
      <c r="C344" s="80" t="str">
        <f t="shared" si="1"/>
        <v/>
      </c>
      <c r="D344" s="80" t="str">
        <f t="array" ref="D344">IF(A344="","",IF(ISLOGICAL(INDEX('Deck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44" s="80" t="str">
        <f t="shared" si="2"/>
        <v/>
      </c>
      <c r="F344" s="80" t="str">
        <f t="array" ref="F344">IF(A344="","",IF(ISNUMBER(J344),J344,IF(ISNUMBER(INDEX('Deck 1'!$A:$Z,ROW()-250,'List Setup'!$F$3)),INDEX('Deck 1'!$A:$Z,ROW()-250,'List Setup'!$F$3),0)))</f>
        <v/>
      </c>
      <c r="G344" s="80" t="str">
        <f t="array" ref="G344">IF(A344="","",A344&amp;IF(N(INDEX('Deck 1'!$A:$Z,ROW()-250,'List Setup'!$C$3))&gt;1," (x"&amp;INDEX('Deck 1'!$A:$Z,ROW()-250,'List Setup'!$C$3)&amp;")","")&amp;IF(COUNTIF(Binders!$J$6:$J$30,TRUE())&gt;1," ["&amp;Q344&amp;"]",""))</f>
        <v/>
      </c>
      <c r="H344" s="80" t="str">
        <f t="array" ref="H344">IF(A344="","",CHAR(10)&amp;INDEX('Deck 1'!$A:$Z,ROW()-250,'List Setup'!$E$3)&amp;CHAR(10))</f>
        <v/>
      </c>
      <c r="I344" s="80" t="str">
        <f t="array" ref="I344">IF(OR(B344="",B344="(none)"),"",IF(ISNUMBER(SEARCH(CHAR(10)&amp;B344&amp;CHAR(10),H344)),B344,IFERROR(INDEX('Set Aliases'!$A$2:$A$501,MATCH(1,('Set Aliases'!$B$2:$B$501=B344)*ISNUMBER(SEARCH(CHAR(10)&amp;'Set Aliases'!$A$2:$A$501&amp;CHAR(10),H344)),0)),"")))</f>
        <v/>
      </c>
      <c r="J344" s="80" t="str">
        <f t="array" ref="J344">IF(I344="","",IFERROR(VALUE(TRIM(MID(SUBSTITUTE(INDEX('Deck 1'!$A:$Z,ROW()-250,'List Setup'!$G$3),CHAR(10),REPT(" ",100)),((SEARCH(CHAR(10)&amp;I344&amp;CHAR(10),H344)-LEN(SUBSTITUTE(LEFT(H344,SEARCH(CHAR(10)&amp;I344&amp;CHAR(10),H344)),CHAR(10),"")))-1)*100+1,100))),""))</f>
        <v/>
      </c>
      <c r="K344" s="80" t="str">
        <f t="array" ref="K344">IF(A344="","",IF(ISNUMBER(SEARCH("Land",LEFT(IFERROR(INDEX('Deck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44" s="80" t="str">
        <f t="shared" si="3"/>
        <v/>
      </c>
      <c r="M344" s="80" t="str">
        <f>IF(A344="","",IF(AND(E344="Y",B344='Use at Shop'!$B$4),K344*10000000000+(MAX(0,MIN(26,CODE(MID(UPPER(A344)&amp;"    ",1,1))-64))*19683+MAX(0,MIN(26,CODE(MID(UPPER(A344)&amp;"    ",2,1))-64))*729+MAX(0,MIN(26,CODE(MID(UPPER(A344)&amp;"    ",3,1))-64))*27+MAX(0,MIN(26,CODE(MID(UPPER(A344)&amp;"    ",4,1))-64))*1)*10000+ROW(),""))</f>
        <v/>
      </c>
      <c r="N344" s="80" t="str">
        <f t="shared" si="5"/>
        <v/>
      </c>
      <c r="O344" s="80" t="str">
        <f t="array" ref="O344">IF(A344="","",IFERROR(INDEX('Deck 1'!$A:$Z,ROW()-250,'List Setup'!$J$3)&amp;"",""))</f>
        <v/>
      </c>
      <c r="P344" s="2"/>
      <c r="Q344" s="80" t="str">
        <f>IF(A344="","",'List Setup'!$A$3)</f>
        <v/>
      </c>
      <c r="R344" s="80" t="str">
        <f t="array" ref="R344">IF(A344="","",IFERROR(OR(INDEX(Binders!$J$6:$J$30,MATCH(Q344,Binders!$I$6:$I$30,0))=TRUE(),UPPER(INDEX(Binders!$J$6:$J$30,MATCH(Q344,Binders!$I$6:$I$30,0))&amp;"")="TRUE"),FALSE()))</f>
        <v/>
      </c>
    </row>
    <row r="345" ht="15.75" customHeight="1">
      <c r="A345" s="80" t="str">
        <f t="array" ref="A345">IF(INDEX('Deck 1'!$A:$Z,ROW()-250,'List Setup'!$D$3)="","",INDEX('Deck 1'!$A:$Z,ROW()-250,'List Setup'!$D$3))</f>
        <v/>
      </c>
      <c r="B345" s="80" t="str">
        <f t="array" ref="B345">IF(A345="","",IFERROR(INDEX('Binder Setup'!$B$2:$B$401,MIN(IF(ISNUMBER(SEARCH(CHAR(10)&amp;'Binder Setup'!$B$2:$B$401&amp;CHAR(10),$H345)),'List Setup'!$Q$2:$Q$401,999),IF(ISNUMBER(SEARCH(CHAR(10)&amp;'Set Aliases'!$A$2:$A$501&amp;CHAR(10),$H345)),'Set Aliases'!$C$2:$C$501,999))),"(none)"))</f>
        <v/>
      </c>
      <c r="C345" s="80" t="str">
        <f t="shared" si="1"/>
        <v/>
      </c>
      <c r="D345" s="80" t="str">
        <f t="array" ref="D345">IF(A345="","",IF(ISLOGICAL(INDEX('Deck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45" s="80" t="str">
        <f t="shared" si="2"/>
        <v/>
      </c>
      <c r="F345" s="80" t="str">
        <f t="array" ref="F345">IF(A345="","",IF(ISNUMBER(J345),J345,IF(ISNUMBER(INDEX('Deck 1'!$A:$Z,ROW()-250,'List Setup'!$F$3)),INDEX('Deck 1'!$A:$Z,ROW()-250,'List Setup'!$F$3),0)))</f>
        <v/>
      </c>
      <c r="G345" s="80" t="str">
        <f t="array" ref="G345">IF(A345="","",A345&amp;IF(N(INDEX('Deck 1'!$A:$Z,ROW()-250,'List Setup'!$C$3))&gt;1," (x"&amp;INDEX('Deck 1'!$A:$Z,ROW()-250,'List Setup'!$C$3)&amp;")","")&amp;IF(COUNTIF(Binders!$J$6:$J$30,TRUE())&gt;1," ["&amp;Q345&amp;"]",""))</f>
        <v/>
      </c>
      <c r="H345" s="80" t="str">
        <f t="array" ref="H345">IF(A345="","",CHAR(10)&amp;INDEX('Deck 1'!$A:$Z,ROW()-250,'List Setup'!$E$3)&amp;CHAR(10))</f>
        <v/>
      </c>
      <c r="I345" s="80" t="str">
        <f t="array" ref="I345">IF(OR(B345="",B345="(none)"),"",IF(ISNUMBER(SEARCH(CHAR(10)&amp;B345&amp;CHAR(10),H345)),B345,IFERROR(INDEX('Set Aliases'!$A$2:$A$501,MATCH(1,('Set Aliases'!$B$2:$B$501=B345)*ISNUMBER(SEARCH(CHAR(10)&amp;'Set Aliases'!$A$2:$A$501&amp;CHAR(10),H345)),0)),"")))</f>
        <v/>
      </c>
      <c r="J345" s="80" t="str">
        <f t="array" ref="J345">IF(I345="","",IFERROR(VALUE(TRIM(MID(SUBSTITUTE(INDEX('Deck 1'!$A:$Z,ROW()-250,'List Setup'!$G$3),CHAR(10),REPT(" ",100)),((SEARCH(CHAR(10)&amp;I345&amp;CHAR(10),H345)-LEN(SUBSTITUTE(LEFT(H345,SEARCH(CHAR(10)&amp;I345&amp;CHAR(10),H345)),CHAR(10),"")))-1)*100+1,100))),""))</f>
        <v/>
      </c>
      <c r="K345" s="80" t="str">
        <f t="array" ref="K345">IF(A345="","",IF(ISNUMBER(SEARCH("Land",LEFT(IFERROR(INDEX('Deck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45" s="80" t="str">
        <f t="shared" si="3"/>
        <v/>
      </c>
      <c r="M345" s="80" t="str">
        <f>IF(A345="","",IF(AND(E345="Y",B345='Use at Shop'!$B$4),K345*10000000000+(MAX(0,MIN(26,CODE(MID(UPPER(A345)&amp;"    ",1,1))-64))*19683+MAX(0,MIN(26,CODE(MID(UPPER(A345)&amp;"    ",2,1))-64))*729+MAX(0,MIN(26,CODE(MID(UPPER(A345)&amp;"    ",3,1))-64))*27+MAX(0,MIN(26,CODE(MID(UPPER(A345)&amp;"    ",4,1))-64))*1)*10000+ROW(),""))</f>
        <v/>
      </c>
      <c r="N345" s="80" t="str">
        <f t="shared" si="5"/>
        <v/>
      </c>
      <c r="O345" s="80" t="str">
        <f t="array" ref="O345">IF(A345="","",IFERROR(INDEX('Deck 1'!$A:$Z,ROW()-250,'List Setup'!$J$3)&amp;"",""))</f>
        <v/>
      </c>
      <c r="P345" s="2"/>
      <c r="Q345" s="80" t="str">
        <f>IF(A345="","",'List Setup'!$A$3)</f>
        <v/>
      </c>
      <c r="R345" s="80" t="str">
        <f t="array" ref="R345">IF(A345="","",IFERROR(OR(INDEX(Binders!$J$6:$J$30,MATCH(Q345,Binders!$I$6:$I$30,0))=TRUE(),UPPER(INDEX(Binders!$J$6:$J$30,MATCH(Q345,Binders!$I$6:$I$30,0))&amp;"")="TRUE"),FALSE()))</f>
        <v/>
      </c>
    </row>
    <row r="346" ht="15.75" customHeight="1">
      <c r="A346" s="80" t="str">
        <f t="array" ref="A346">IF(INDEX('Deck 1'!$A:$Z,ROW()-250,'List Setup'!$D$3)="","",INDEX('Deck 1'!$A:$Z,ROW()-250,'List Setup'!$D$3))</f>
        <v/>
      </c>
      <c r="B346" s="80" t="str">
        <f t="array" ref="B346">IF(A346="","",IFERROR(INDEX('Binder Setup'!$B$2:$B$401,MIN(IF(ISNUMBER(SEARCH(CHAR(10)&amp;'Binder Setup'!$B$2:$B$401&amp;CHAR(10),$H346)),'List Setup'!$Q$2:$Q$401,999),IF(ISNUMBER(SEARCH(CHAR(10)&amp;'Set Aliases'!$A$2:$A$501&amp;CHAR(10),$H346)),'Set Aliases'!$C$2:$C$501,999))),"(none)"))</f>
        <v/>
      </c>
      <c r="C346" s="80" t="str">
        <f t="shared" si="1"/>
        <v/>
      </c>
      <c r="D346" s="80" t="str">
        <f t="array" ref="D346">IF(A346="","",IF(ISLOGICAL(INDEX('Deck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46" s="80" t="str">
        <f t="shared" si="2"/>
        <v/>
      </c>
      <c r="F346" s="80" t="str">
        <f t="array" ref="F346">IF(A346="","",IF(ISNUMBER(J346),J346,IF(ISNUMBER(INDEX('Deck 1'!$A:$Z,ROW()-250,'List Setup'!$F$3)),INDEX('Deck 1'!$A:$Z,ROW()-250,'List Setup'!$F$3),0)))</f>
        <v/>
      </c>
      <c r="G346" s="80" t="str">
        <f t="array" ref="G346">IF(A346="","",A346&amp;IF(N(INDEX('Deck 1'!$A:$Z,ROW()-250,'List Setup'!$C$3))&gt;1," (x"&amp;INDEX('Deck 1'!$A:$Z,ROW()-250,'List Setup'!$C$3)&amp;")","")&amp;IF(COUNTIF(Binders!$J$6:$J$30,TRUE())&gt;1," ["&amp;Q346&amp;"]",""))</f>
        <v/>
      </c>
      <c r="H346" s="80" t="str">
        <f t="array" ref="H346">IF(A346="","",CHAR(10)&amp;INDEX('Deck 1'!$A:$Z,ROW()-250,'List Setup'!$E$3)&amp;CHAR(10))</f>
        <v/>
      </c>
      <c r="I346" s="80" t="str">
        <f t="array" ref="I346">IF(OR(B346="",B346="(none)"),"",IF(ISNUMBER(SEARCH(CHAR(10)&amp;B346&amp;CHAR(10),H346)),B346,IFERROR(INDEX('Set Aliases'!$A$2:$A$501,MATCH(1,('Set Aliases'!$B$2:$B$501=B346)*ISNUMBER(SEARCH(CHAR(10)&amp;'Set Aliases'!$A$2:$A$501&amp;CHAR(10),H346)),0)),"")))</f>
        <v/>
      </c>
      <c r="J346" s="80" t="str">
        <f t="array" ref="J346">IF(I346="","",IFERROR(VALUE(TRIM(MID(SUBSTITUTE(INDEX('Deck 1'!$A:$Z,ROW()-250,'List Setup'!$G$3),CHAR(10),REPT(" ",100)),((SEARCH(CHAR(10)&amp;I346&amp;CHAR(10),H346)-LEN(SUBSTITUTE(LEFT(H346,SEARCH(CHAR(10)&amp;I346&amp;CHAR(10),H346)),CHAR(10),"")))-1)*100+1,100))),""))</f>
        <v/>
      </c>
      <c r="K346" s="80" t="str">
        <f t="array" ref="K346">IF(A346="","",IF(ISNUMBER(SEARCH("Land",LEFT(IFERROR(INDEX('Deck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46" s="80" t="str">
        <f t="shared" si="3"/>
        <v/>
      </c>
      <c r="M346" s="80" t="str">
        <f>IF(A346="","",IF(AND(E346="Y",B346='Use at Shop'!$B$4),K346*10000000000+(MAX(0,MIN(26,CODE(MID(UPPER(A346)&amp;"    ",1,1))-64))*19683+MAX(0,MIN(26,CODE(MID(UPPER(A346)&amp;"    ",2,1))-64))*729+MAX(0,MIN(26,CODE(MID(UPPER(A346)&amp;"    ",3,1))-64))*27+MAX(0,MIN(26,CODE(MID(UPPER(A346)&amp;"    ",4,1))-64))*1)*10000+ROW(),""))</f>
        <v/>
      </c>
      <c r="N346" s="80" t="str">
        <f t="shared" si="5"/>
        <v/>
      </c>
      <c r="O346" s="80" t="str">
        <f t="array" ref="O346">IF(A346="","",IFERROR(INDEX('Deck 1'!$A:$Z,ROW()-250,'List Setup'!$J$3)&amp;"",""))</f>
        <v/>
      </c>
      <c r="P346" s="2"/>
      <c r="Q346" s="80" t="str">
        <f>IF(A346="","",'List Setup'!$A$3)</f>
        <v/>
      </c>
      <c r="R346" s="80" t="str">
        <f t="array" ref="R346">IF(A346="","",IFERROR(OR(INDEX(Binders!$J$6:$J$30,MATCH(Q346,Binders!$I$6:$I$30,0))=TRUE(),UPPER(INDEX(Binders!$J$6:$J$30,MATCH(Q346,Binders!$I$6:$I$30,0))&amp;"")="TRUE"),FALSE()))</f>
        <v/>
      </c>
    </row>
    <row r="347" ht="15.75" customHeight="1">
      <c r="A347" s="80" t="str">
        <f t="array" ref="A347">IF(INDEX('Deck 1'!$A:$Z,ROW()-250,'List Setup'!$D$3)="","",INDEX('Deck 1'!$A:$Z,ROW()-250,'List Setup'!$D$3))</f>
        <v/>
      </c>
      <c r="B347" s="80" t="str">
        <f t="array" ref="B347">IF(A347="","",IFERROR(INDEX('Binder Setup'!$B$2:$B$401,MIN(IF(ISNUMBER(SEARCH(CHAR(10)&amp;'Binder Setup'!$B$2:$B$401&amp;CHAR(10),$H347)),'List Setup'!$Q$2:$Q$401,999),IF(ISNUMBER(SEARCH(CHAR(10)&amp;'Set Aliases'!$A$2:$A$501&amp;CHAR(10),$H347)),'Set Aliases'!$C$2:$C$501,999))),"(none)"))</f>
        <v/>
      </c>
      <c r="C347" s="80" t="str">
        <f t="shared" si="1"/>
        <v/>
      </c>
      <c r="D347" s="80" t="str">
        <f t="array" ref="D347">IF(A347="","",IF(ISLOGICAL(INDEX('Deck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47" s="80" t="str">
        <f t="shared" si="2"/>
        <v/>
      </c>
      <c r="F347" s="80" t="str">
        <f t="array" ref="F347">IF(A347="","",IF(ISNUMBER(J347),J347,IF(ISNUMBER(INDEX('Deck 1'!$A:$Z,ROW()-250,'List Setup'!$F$3)),INDEX('Deck 1'!$A:$Z,ROW()-250,'List Setup'!$F$3),0)))</f>
        <v/>
      </c>
      <c r="G347" s="80" t="str">
        <f t="array" ref="G347">IF(A347="","",A347&amp;IF(N(INDEX('Deck 1'!$A:$Z,ROW()-250,'List Setup'!$C$3))&gt;1," (x"&amp;INDEX('Deck 1'!$A:$Z,ROW()-250,'List Setup'!$C$3)&amp;")","")&amp;IF(COUNTIF(Binders!$J$6:$J$30,TRUE())&gt;1," ["&amp;Q347&amp;"]",""))</f>
        <v/>
      </c>
      <c r="H347" s="80" t="str">
        <f t="array" ref="H347">IF(A347="","",CHAR(10)&amp;INDEX('Deck 1'!$A:$Z,ROW()-250,'List Setup'!$E$3)&amp;CHAR(10))</f>
        <v/>
      </c>
      <c r="I347" s="80" t="str">
        <f t="array" ref="I347">IF(OR(B347="",B347="(none)"),"",IF(ISNUMBER(SEARCH(CHAR(10)&amp;B347&amp;CHAR(10),H347)),B347,IFERROR(INDEX('Set Aliases'!$A$2:$A$501,MATCH(1,('Set Aliases'!$B$2:$B$501=B347)*ISNUMBER(SEARCH(CHAR(10)&amp;'Set Aliases'!$A$2:$A$501&amp;CHAR(10),H347)),0)),"")))</f>
        <v/>
      </c>
      <c r="J347" s="80" t="str">
        <f t="array" ref="J347">IF(I347="","",IFERROR(VALUE(TRIM(MID(SUBSTITUTE(INDEX('Deck 1'!$A:$Z,ROW()-250,'List Setup'!$G$3),CHAR(10),REPT(" ",100)),((SEARCH(CHAR(10)&amp;I347&amp;CHAR(10),H347)-LEN(SUBSTITUTE(LEFT(H347,SEARCH(CHAR(10)&amp;I347&amp;CHAR(10),H347)),CHAR(10),"")))-1)*100+1,100))),""))</f>
        <v/>
      </c>
      <c r="K347" s="80" t="str">
        <f t="array" ref="K347">IF(A347="","",IF(ISNUMBER(SEARCH("Land",LEFT(IFERROR(INDEX('Deck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47" s="80" t="str">
        <f t="shared" si="3"/>
        <v/>
      </c>
      <c r="M347" s="80" t="str">
        <f>IF(A347="","",IF(AND(E347="Y",B347='Use at Shop'!$B$4),K347*10000000000+(MAX(0,MIN(26,CODE(MID(UPPER(A347)&amp;"    ",1,1))-64))*19683+MAX(0,MIN(26,CODE(MID(UPPER(A347)&amp;"    ",2,1))-64))*729+MAX(0,MIN(26,CODE(MID(UPPER(A347)&amp;"    ",3,1))-64))*27+MAX(0,MIN(26,CODE(MID(UPPER(A347)&amp;"    ",4,1))-64))*1)*10000+ROW(),""))</f>
        <v/>
      </c>
      <c r="N347" s="80" t="str">
        <f t="shared" si="5"/>
        <v/>
      </c>
      <c r="O347" s="80" t="str">
        <f t="array" ref="O347">IF(A347="","",IFERROR(INDEX('Deck 1'!$A:$Z,ROW()-250,'List Setup'!$J$3)&amp;"",""))</f>
        <v/>
      </c>
      <c r="P347" s="2"/>
      <c r="Q347" s="80" t="str">
        <f>IF(A347="","",'List Setup'!$A$3)</f>
        <v/>
      </c>
      <c r="R347" s="80" t="str">
        <f t="array" ref="R347">IF(A347="","",IFERROR(OR(INDEX(Binders!$J$6:$J$30,MATCH(Q347,Binders!$I$6:$I$30,0))=TRUE(),UPPER(INDEX(Binders!$J$6:$J$30,MATCH(Q347,Binders!$I$6:$I$30,0))&amp;"")="TRUE"),FALSE()))</f>
        <v/>
      </c>
    </row>
    <row r="348" ht="15.75" customHeight="1">
      <c r="A348" s="80" t="str">
        <f t="array" ref="A348">IF(INDEX('Deck 1'!$A:$Z,ROW()-250,'List Setup'!$D$3)="","",INDEX('Deck 1'!$A:$Z,ROW()-250,'List Setup'!$D$3))</f>
        <v/>
      </c>
      <c r="B348" s="80" t="str">
        <f t="array" ref="B348">IF(A348="","",IFERROR(INDEX('Binder Setup'!$B$2:$B$401,MIN(IF(ISNUMBER(SEARCH(CHAR(10)&amp;'Binder Setup'!$B$2:$B$401&amp;CHAR(10),$H348)),'List Setup'!$Q$2:$Q$401,999),IF(ISNUMBER(SEARCH(CHAR(10)&amp;'Set Aliases'!$A$2:$A$501&amp;CHAR(10),$H348)),'Set Aliases'!$C$2:$C$501,999))),"(none)"))</f>
        <v/>
      </c>
      <c r="C348" s="80" t="str">
        <f t="shared" si="1"/>
        <v/>
      </c>
      <c r="D348" s="80" t="str">
        <f t="array" ref="D348">IF(A348="","",IF(ISLOGICAL(INDEX('Deck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48" s="80" t="str">
        <f t="shared" si="2"/>
        <v/>
      </c>
      <c r="F348" s="80" t="str">
        <f t="array" ref="F348">IF(A348="","",IF(ISNUMBER(J348),J348,IF(ISNUMBER(INDEX('Deck 1'!$A:$Z,ROW()-250,'List Setup'!$F$3)),INDEX('Deck 1'!$A:$Z,ROW()-250,'List Setup'!$F$3),0)))</f>
        <v/>
      </c>
      <c r="G348" s="80" t="str">
        <f t="array" ref="G348">IF(A348="","",A348&amp;IF(N(INDEX('Deck 1'!$A:$Z,ROW()-250,'List Setup'!$C$3))&gt;1," (x"&amp;INDEX('Deck 1'!$A:$Z,ROW()-250,'List Setup'!$C$3)&amp;")","")&amp;IF(COUNTIF(Binders!$J$6:$J$30,TRUE())&gt;1," ["&amp;Q348&amp;"]",""))</f>
        <v/>
      </c>
      <c r="H348" s="80" t="str">
        <f t="array" ref="H348">IF(A348="","",CHAR(10)&amp;INDEX('Deck 1'!$A:$Z,ROW()-250,'List Setup'!$E$3)&amp;CHAR(10))</f>
        <v/>
      </c>
      <c r="I348" s="80" t="str">
        <f t="array" ref="I348">IF(OR(B348="",B348="(none)"),"",IF(ISNUMBER(SEARCH(CHAR(10)&amp;B348&amp;CHAR(10),H348)),B348,IFERROR(INDEX('Set Aliases'!$A$2:$A$501,MATCH(1,('Set Aliases'!$B$2:$B$501=B348)*ISNUMBER(SEARCH(CHAR(10)&amp;'Set Aliases'!$A$2:$A$501&amp;CHAR(10),H348)),0)),"")))</f>
        <v/>
      </c>
      <c r="J348" s="80" t="str">
        <f t="array" ref="J348">IF(I348="","",IFERROR(VALUE(TRIM(MID(SUBSTITUTE(INDEX('Deck 1'!$A:$Z,ROW()-250,'List Setup'!$G$3),CHAR(10),REPT(" ",100)),((SEARCH(CHAR(10)&amp;I348&amp;CHAR(10),H348)-LEN(SUBSTITUTE(LEFT(H348,SEARCH(CHAR(10)&amp;I348&amp;CHAR(10),H348)),CHAR(10),"")))-1)*100+1,100))),""))</f>
        <v/>
      </c>
      <c r="K348" s="80" t="str">
        <f t="array" ref="K348">IF(A348="","",IF(ISNUMBER(SEARCH("Land",LEFT(IFERROR(INDEX('Deck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48" s="80" t="str">
        <f t="shared" si="3"/>
        <v/>
      </c>
      <c r="M348" s="80" t="str">
        <f>IF(A348="","",IF(AND(E348="Y",B348='Use at Shop'!$B$4),K348*10000000000+(MAX(0,MIN(26,CODE(MID(UPPER(A348)&amp;"    ",1,1))-64))*19683+MAX(0,MIN(26,CODE(MID(UPPER(A348)&amp;"    ",2,1))-64))*729+MAX(0,MIN(26,CODE(MID(UPPER(A348)&amp;"    ",3,1))-64))*27+MAX(0,MIN(26,CODE(MID(UPPER(A348)&amp;"    ",4,1))-64))*1)*10000+ROW(),""))</f>
        <v/>
      </c>
      <c r="N348" s="80" t="str">
        <f t="shared" si="5"/>
        <v/>
      </c>
      <c r="O348" s="80" t="str">
        <f t="array" ref="O348">IF(A348="","",IFERROR(INDEX('Deck 1'!$A:$Z,ROW()-250,'List Setup'!$J$3)&amp;"",""))</f>
        <v/>
      </c>
      <c r="P348" s="2"/>
      <c r="Q348" s="80" t="str">
        <f>IF(A348="","",'List Setup'!$A$3)</f>
        <v/>
      </c>
      <c r="R348" s="80" t="str">
        <f t="array" ref="R348">IF(A348="","",IFERROR(OR(INDEX(Binders!$J$6:$J$30,MATCH(Q348,Binders!$I$6:$I$30,0))=TRUE(),UPPER(INDEX(Binders!$J$6:$J$30,MATCH(Q348,Binders!$I$6:$I$30,0))&amp;"")="TRUE"),FALSE()))</f>
        <v/>
      </c>
    </row>
    <row r="349" ht="15.75" customHeight="1">
      <c r="A349" s="80" t="str">
        <f t="array" ref="A349">IF(INDEX('Deck 1'!$A:$Z,ROW()-250,'List Setup'!$D$3)="","",INDEX('Deck 1'!$A:$Z,ROW()-250,'List Setup'!$D$3))</f>
        <v/>
      </c>
      <c r="B349" s="80" t="str">
        <f t="array" ref="B349">IF(A349="","",IFERROR(INDEX('Binder Setup'!$B$2:$B$401,MIN(IF(ISNUMBER(SEARCH(CHAR(10)&amp;'Binder Setup'!$B$2:$B$401&amp;CHAR(10),$H349)),'List Setup'!$Q$2:$Q$401,999),IF(ISNUMBER(SEARCH(CHAR(10)&amp;'Set Aliases'!$A$2:$A$501&amp;CHAR(10),$H349)),'Set Aliases'!$C$2:$C$501,999))),"(none)"))</f>
        <v/>
      </c>
      <c r="C349" s="80" t="str">
        <f t="shared" si="1"/>
        <v/>
      </c>
      <c r="D349" s="80" t="str">
        <f t="array" ref="D349">IF(A349="","",IF(ISLOGICAL(INDEX('Deck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49" s="80" t="str">
        <f t="shared" si="2"/>
        <v/>
      </c>
      <c r="F349" s="80" t="str">
        <f t="array" ref="F349">IF(A349="","",IF(ISNUMBER(J349),J349,IF(ISNUMBER(INDEX('Deck 1'!$A:$Z,ROW()-250,'List Setup'!$F$3)),INDEX('Deck 1'!$A:$Z,ROW()-250,'List Setup'!$F$3),0)))</f>
        <v/>
      </c>
      <c r="G349" s="80" t="str">
        <f t="array" ref="G349">IF(A349="","",A349&amp;IF(N(INDEX('Deck 1'!$A:$Z,ROW()-250,'List Setup'!$C$3))&gt;1," (x"&amp;INDEX('Deck 1'!$A:$Z,ROW()-250,'List Setup'!$C$3)&amp;")","")&amp;IF(COUNTIF(Binders!$J$6:$J$30,TRUE())&gt;1," ["&amp;Q349&amp;"]",""))</f>
        <v/>
      </c>
      <c r="H349" s="80" t="str">
        <f t="array" ref="H349">IF(A349="","",CHAR(10)&amp;INDEX('Deck 1'!$A:$Z,ROW()-250,'List Setup'!$E$3)&amp;CHAR(10))</f>
        <v/>
      </c>
      <c r="I349" s="80" t="str">
        <f t="array" ref="I349">IF(OR(B349="",B349="(none)"),"",IF(ISNUMBER(SEARCH(CHAR(10)&amp;B349&amp;CHAR(10),H349)),B349,IFERROR(INDEX('Set Aliases'!$A$2:$A$501,MATCH(1,('Set Aliases'!$B$2:$B$501=B349)*ISNUMBER(SEARCH(CHAR(10)&amp;'Set Aliases'!$A$2:$A$501&amp;CHAR(10),H349)),0)),"")))</f>
        <v/>
      </c>
      <c r="J349" s="80" t="str">
        <f t="array" ref="J349">IF(I349="","",IFERROR(VALUE(TRIM(MID(SUBSTITUTE(INDEX('Deck 1'!$A:$Z,ROW()-250,'List Setup'!$G$3),CHAR(10),REPT(" ",100)),((SEARCH(CHAR(10)&amp;I349&amp;CHAR(10),H349)-LEN(SUBSTITUTE(LEFT(H349,SEARCH(CHAR(10)&amp;I349&amp;CHAR(10),H349)),CHAR(10),"")))-1)*100+1,100))),""))</f>
        <v/>
      </c>
      <c r="K349" s="80" t="str">
        <f t="array" ref="K349">IF(A349="","",IF(ISNUMBER(SEARCH("Land",LEFT(IFERROR(INDEX('Deck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49" s="80" t="str">
        <f t="shared" si="3"/>
        <v/>
      </c>
      <c r="M349" s="80" t="str">
        <f>IF(A349="","",IF(AND(E349="Y",B349='Use at Shop'!$B$4),K349*10000000000+(MAX(0,MIN(26,CODE(MID(UPPER(A349)&amp;"    ",1,1))-64))*19683+MAX(0,MIN(26,CODE(MID(UPPER(A349)&amp;"    ",2,1))-64))*729+MAX(0,MIN(26,CODE(MID(UPPER(A349)&amp;"    ",3,1))-64))*27+MAX(0,MIN(26,CODE(MID(UPPER(A349)&amp;"    ",4,1))-64))*1)*10000+ROW(),""))</f>
        <v/>
      </c>
      <c r="N349" s="80" t="str">
        <f t="shared" si="5"/>
        <v/>
      </c>
      <c r="O349" s="80" t="str">
        <f t="array" ref="O349">IF(A349="","",IFERROR(INDEX('Deck 1'!$A:$Z,ROW()-250,'List Setup'!$J$3)&amp;"",""))</f>
        <v/>
      </c>
      <c r="P349" s="2"/>
      <c r="Q349" s="80" t="str">
        <f>IF(A349="","",'List Setup'!$A$3)</f>
        <v/>
      </c>
      <c r="R349" s="80" t="str">
        <f t="array" ref="R349">IF(A349="","",IFERROR(OR(INDEX(Binders!$J$6:$J$30,MATCH(Q349,Binders!$I$6:$I$30,0))=TRUE(),UPPER(INDEX(Binders!$J$6:$J$30,MATCH(Q349,Binders!$I$6:$I$30,0))&amp;"")="TRUE"),FALSE()))</f>
        <v/>
      </c>
    </row>
    <row r="350" ht="15.75" customHeight="1">
      <c r="A350" s="80" t="str">
        <f t="array" ref="A350">IF(INDEX('Deck 1'!$A:$Z,ROW()-250,'List Setup'!$D$3)="","",INDEX('Deck 1'!$A:$Z,ROW()-250,'List Setup'!$D$3))</f>
        <v/>
      </c>
      <c r="B350" s="80" t="str">
        <f t="array" ref="B350">IF(A350="","",IFERROR(INDEX('Binder Setup'!$B$2:$B$401,MIN(IF(ISNUMBER(SEARCH(CHAR(10)&amp;'Binder Setup'!$B$2:$B$401&amp;CHAR(10),$H350)),'List Setup'!$Q$2:$Q$401,999),IF(ISNUMBER(SEARCH(CHAR(10)&amp;'Set Aliases'!$A$2:$A$501&amp;CHAR(10),$H350)),'Set Aliases'!$C$2:$C$501,999))),"(none)"))</f>
        <v/>
      </c>
      <c r="C350" s="80" t="str">
        <f t="shared" si="1"/>
        <v/>
      </c>
      <c r="D350" s="80" t="str">
        <f t="array" ref="D350">IF(A350="","",IF(ISLOGICAL(INDEX('Deck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50" s="80" t="str">
        <f t="shared" si="2"/>
        <v/>
      </c>
      <c r="F350" s="80" t="str">
        <f t="array" ref="F350">IF(A350="","",IF(ISNUMBER(J350),J350,IF(ISNUMBER(INDEX('Deck 1'!$A:$Z,ROW()-250,'List Setup'!$F$3)),INDEX('Deck 1'!$A:$Z,ROW()-250,'List Setup'!$F$3),0)))</f>
        <v/>
      </c>
      <c r="G350" s="80" t="str">
        <f t="array" ref="G350">IF(A350="","",A350&amp;IF(N(INDEX('Deck 1'!$A:$Z,ROW()-250,'List Setup'!$C$3))&gt;1," (x"&amp;INDEX('Deck 1'!$A:$Z,ROW()-250,'List Setup'!$C$3)&amp;")","")&amp;IF(COUNTIF(Binders!$J$6:$J$30,TRUE())&gt;1," ["&amp;Q350&amp;"]",""))</f>
        <v/>
      </c>
      <c r="H350" s="80" t="str">
        <f t="array" ref="H350">IF(A350="","",CHAR(10)&amp;INDEX('Deck 1'!$A:$Z,ROW()-250,'List Setup'!$E$3)&amp;CHAR(10))</f>
        <v/>
      </c>
      <c r="I350" s="80" t="str">
        <f t="array" ref="I350">IF(OR(B350="",B350="(none)"),"",IF(ISNUMBER(SEARCH(CHAR(10)&amp;B350&amp;CHAR(10),H350)),B350,IFERROR(INDEX('Set Aliases'!$A$2:$A$501,MATCH(1,('Set Aliases'!$B$2:$B$501=B350)*ISNUMBER(SEARCH(CHAR(10)&amp;'Set Aliases'!$A$2:$A$501&amp;CHAR(10),H350)),0)),"")))</f>
        <v/>
      </c>
      <c r="J350" s="80" t="str">
        <f t="array" ref="J350">IF(I350="","",IFERROR(VALUE(TRIM(MID(SUBSTITUTE(INDEX('Deck 1'!$A:$Z,ROW()-250,'List Setup'!$G$3),CHAR(10),REPT(" ",100)),((SEARCH(CHAR(10)&amp;I350&amp;CHAR(10),H350)-LEN(SUBSTITUTE(LEFT(H350,SEARCH(CHAR(10)&amp;I350&amp;CHAR(10),H350)),CHAR(10),"")))-1)*100+1,100))),""))</f>
        <v/>
      </c>
      <c r="K350" s="80" t="str">
        <f t="array" ref="K350">IF(A350="","",IF(ISNUMBER(SEARCH("Land",LEFT(IFERROR(INDEX('Deck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50" s="80" t="str">
        <f t="shared" si="3"/>
        <v/>
      </c>
      <c r="M350" s="80" t="str">
        <f>IF(A350="","",IF(AND(E350="Y",B350='Use at Shop'!$B$4),K350*10000000000+(MAX(0,MIN(26,CODE(MID(UPPER(A350)&amp;"    ",1,1))-64))*19683+MAX(0,MIN(26,CODE(MID(UPPER(A350)&amp;"    ",2,1))-64))*729+MAX(0,MIN(26,CODE(MID(UPPER(A350)&amp;"    ",3,1))-64))*27+MAX(0,MIN(26,CODE(MID(UPPER(A350)&amp;"    ",4,1))-64))*1)*10000+ROW(),""))</f>
        <v/>
      </c>
      <c r="N350" s="80" t="str">
        <f t="shared" si="5"/>
        <v/>
      </c>
      <c r="O350" s="80" t="str">
        <f t="array" ref="O350">IF(A350="","",IFERROR(INDEX('Deck 1'!$A:$Z,ROW()-250,'List Setup'!$J$3)&amp;"",""))</f>
        <v/>
      </c>
      <c r="P350" s="2"/>
      <c r="Q350" s="80" t="str">
        <f>IF(A350="","",'List Setup'!$A$3)</f>
        <v/>
      </c>
      <c r="R350" s="80" t="str">
        <f t="array" ref="R350">IF(A350="","",IFERROR(OR(INDEX(Binders!$J$6:$J$30,MATCH(Q350,Binders!$I$6:$I$30,0))=TRUE(),UPPER(INDEX(Binders!$J$6:$J$30,MATCH(Q350,Binders!$I$6:$I$30,0))&amp;"")="TRUE"),FALSE()))</f>
        <v/>
      </c>
    </row>
    <row r="351" ht="15.75" customHeight="1">
      <c r="A351" s="80" t="str">
        <f t="array" ref="A351">IF(INDEX('Deck 1'!$A:$Z,ROW()-250,'List Setup'!$D$3)="","",INDEX('Deck 1'!$A:$Z,ROW()-250,'List Setup'!$D$3))</f>
        <v/>
      </c>
      <c r="B351" s="80" t="str">
        <f t="array" ref="B351">IF(A351="","",IFERROR(INDEX('Binder Setup'!$B$2:$B$401,MIN(IF(ISNUMBER(SEARCH(CHAR(10)&amp;'Binder Setup'!$B$2:$B$401&amp;CHAR(10),$H351)),'List Setup'!$Q$2:$Q$401,999),IF(ISNUMBER(SEARCH(CHAR(10)&amp;'Set Aliases'!$A$2:$A$501&amp;CHAR(10),$H351)),'Set Aliases'!$C$2:$C$501,999))),"(none)"))</f>
        <v/>
      </c>
      <c r="C351" s="80" t="str">
        <f t="shared" si="1"/>
        <v/>
      </c>
      <c r="D351" s="80" t="str">
        <f t="array" ref="D351">IF(A351="","",IF(ISLOGICAL(INDEX('Deck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51" s="80" t="str">
        <f t="shared" si="2"/>
        <v/>
      </c>
      <c r="F351" s="80" t="str">
        <f t="array" ref="F351">IF(A351="","",IF(ISNUMBER(J351),J351,IF(ISNUMBER(INDEX('Deck 1'!$A:$Z,ROW()-250,'List Setup'!$F$3)),INDEX('Deck 1'!$A:$Z,ROW()-250,'List Setup'!$F$3),0)))</f>
        <v/>
      </c>
      <c r="G351" s="80" t="str">
        <f t="array" ref="G351">IF(A351="","",A351&amp;IF(N(INDEX('Deck 1'!$A:$Z,ROW()-250,'List Setup'!$C$3))&gt;1," (x"&amp;INDEX('Deck 1'!$A:$Z,ROW()-250,'List Setup'!$C$3)&amp;")","")&amp;IF(COUNTIF(Binders!$J$6:$J$30,TRUE())&gt;1," ["&amp;Q351&amp;"]",""))</f>
        <v/>
      </c>
      <c r="H351" s="80" t="str">
        <f t="array" ref="H351">IF(A351="","",CHAR(10)&amp;INDEX('Deck 1'!$A:$Z,ROW()-250,'List Setup'!$E$3)&amp;CHAR(10))</f>
        <v/>
      </c>
      <c r="I351" s="80" t="str">
        <f t="array" ref="I351">IF(OR(B351="",B351="(none)"),"",IF(ISNUMBER(SEARCH(CHAR(10)&amp;B351&amp;CHAR(10),H351)),B351,IFERROR(INDEX('Set Aliases'!$A$2:$A$501,MATCH(1,('Set Aliases'!$B$2:$B$501=B351)*ISNUMBER(SEARCH(CHAR(10)&amp;'Set Aliases'!$A$2:$A$501&amp;CHAR(10),H351)),0)),"")))</f>
        <v/>
      </c>
      <c r="J351" s="80" t="str">
        <f t="array" ref="J351">IF(I351="","",IFERROR(VALUE(TRIM(MID(SUBSTITUTE(INDEX('Deck 1'!$A:$Z,ROW()-250,'List Setup'!$G$3),CHAR(10),REPT(" ",100)),((SEARCH(CHAR(10)&amp;I351&amp;CHAR(10),H351)-LEN(SUBSTITUTE(LEFT(H351,SEARCH(CHAR(10)&amp;I351&amp;CHAR(10),H351)),CHAR(10),"")))-1)*100+1,100))),""))</f>
        <v/>
      </c>
      <c r="K351" s="80" t="str">
        <f t="array" ref="K351">IF(A351="","",IF(ISNUMBER(SEARCH("Land",LEFT(IFERROR(INDEX('Deck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51" s="80" t="str">
        <f t="shared" si="3"/>
        <v/>
      </c>
      <c r="M351" s="80" t="str">
        <f>IF(A351="","",IF(AND(E351="Y",B351='Use at Shop'!$B$4),K351*10000000000+(MAX(0,MIN(26,CODE(MID(UPPER(A351)&amp;"    ",1,1))-64))*19683+MAX(0,MIN(26,CODE(MID(UPPER(A351)&amp;"    ",2,1))-64))*729+MAX(0,MIN(26,CODE(MID(UPPER(A351)&amp;"    ",3,1))-64))*27+MAX(0,MIN(26,CODE(MID(UPPER(A351)&amp;"    ",4,1))-64))*1)*10000+ROW(),""))</f>
        <v/>
      </c>
      <c r="N351" s="80" t="str">
        <f t="shared" si="5"/>
        <v/>
      </c>
      <c r="O351" s="80" t="str">
        <f t="array" ref="O351">IF(A351="","",IFERROR(INDEX('Deck 1'!$A:$Z,ROW()-250,'List Setup'!$J$3)&amp;"",""))</f>
        <v/>
      </c>
      <c r="P351" s="2"/>
      <c r="Q351" s="80" t="str">
        <f>IF(A351="","",'List Setup'!$A$3)</f>
        <v/>
      </c>
      <c r="R351" s="80" t="str">
        <f t="array" ref="R351">IF(A351="","",IFERROR(OR(INDEX(Binders!$J$6:$J$30,MATCH(Q351,Binders!$I$6:$I$30,0))=TRUE(),UPPER(INDEX(Binders!$J$6:$J$30,MATCH(Q351,Binders!$I$6:$I$30,0))&amp;"")="TRUE"),FALSE()))</f>
        <v/>
      </c>
    </row>
    <row r="352" ht="15.75" customHeight="1">
      <c r="A352" s="80" t="str">
        <f t="array" ref="A352">IF(INDEX('Deck 1'!$A:$Z,ROW()-250,'List Setup'!$D$3)="","",INDEX('Deck 1'!$A:$Z,ROW()-250,'List Setup'!$D$3))</f>
        <v/>
      </c>
      <c r="B352" s="80" t="str">
        <f t="array" ref="B352">IF(A352="","",IFERROR(INDEX('Binder Setup'!$B$2:$B$401,MIN(IF(ISNUMBER(SEARCH(CHAR(10)&amp;'Binder Setup'!$B$2:$B$401&amp;CHAR(10),$H352)),'List Setup'!$Q$2:$Q$401,999),IF(ISNUMBER(SEARCH(CHAR(10)&amp;'Set Aliases'!$A$2:$A$501&amp;CHAR(10),$H352)),'Set Aliases'!$C$2:$C$501,999))),"(none)"))</f>
        <v/>
      </c>
      <c r="C352" s="80" t="str">
        <f t="shared" si="1"/>
        <v/>
      </c>
      <c r="D352" s="80" t="str">
        <f t="array" ref="D352">IF(A352="","",IF(ISLOGICAL(INDEX('Deck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52" s="80" t="str">
        <f t="shared" si="2"/>
        <v/>
      </c>
      <c r="F352" s="80" t="str">
        <f t="array" ref="F352">IF(A352="","",IF(ISNUMBER(J352),J352,IF(ISNUMBER(INDEX('Deck 1'!$A:$Z,ROW()-250,'List Setup'!$F$3)),INDEX('Deck 1'!$A:$Z,ROW()-250,'List Setup'!$F$3),0)))</f>
        <v/>
      </c>
      <c r="G352" s="80" t="str">
        <f t="array" ref="G352">IF(A352="","",A352&amp;IF(N(INDEX('Deck 1'!$A:$Z,ROW()-250,'List Setup'!$C$3))&gt;1," (x"&amp;INDEX('Deck 1'!$A:$Z,ROW()-250,'List Setup'!$C$3)&amp;")","")&amp;IF(COUNTIF(Binders!$J$6:$J$30,TRUE())&gt;1," ["&amp;Q352&amp;"]",""))</f>
        <v/>
      </c>
      <c r="H352" s="80" t="str">
        <f t="array" ref="H352">IF(A352="","",CHAR(10)&amp;INDEX('Deck 1'!$A:$Z,ROW()-250,'List Setup'!$E$3)&amp;CHAR(10))</f>
        <v/>
      </c>
      <c r="I352" s="80" t="str">
        <f t="array" ref="I352">IF(OR(B352="",B352="(none)"),"",IF(ISNUMBER(SEARCH(CHAR(10)&amp;B352&amp;CHAR(10),H352)),B352,IFERROR(INDEX('Set Aliases'!$A$2:$A$501,MATCH(1,('Set Aliases'!$B$2:$B$501=B352)*ISNUMBER(SEARCH(CHAR(10)&amp;'Set Aliases'!$A$2:$A$501&amp;CHAR(10),H352)),0)),"")))</f>
        <v/>
      </c>
      <c r="J352" s="80" t="str">
        <f t="array" ref="J352">IF(I352="","",IFERROR(VALUE(TRIM(MID(SUBSTITUTE(INDEX('Deck 1'!$A:$Z,ROW()-250,'List Setup'!$G$3),CHAR(10),REPT(" ",100)),((SEARCH(CHAR(10)&amp;I352&amp;CHAR(10),H352)-LEN(SUBSTITUTE(LEFT(H352,SEARCH(CHAR(10)&amp;I352&amp;CHAR(10),H352)),CHAR(10),"")))-1)*100+1,100))),""))</f>
        <v/>
      </c>
      <c r="K352" s="80" t="str">
        <f t="array" ref="K352">IF(A352="","",IF(ISNUMBER(SEARCH("Land",LEFT(IFERROR(INDEX('Deck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52" s="80" t="str">
        <f t="shared" si="3"/>
        <v/>
      </c>
      <c r="M352" s="80" t="str">
        <f>IF(A352="","",IF(AND(E352="Y",B352='Use at Shop'!$B$4),K352*10000000000+(MAX(0,MIN(26,CODE(MID(UPPER(A352)&amp;"    ",1,1))-64))*19683+MAX(0,MIN(26,CODE(MID(UPPER(A352)&amp;"    ",2,1))-64))*729+MAX(0,MIN(26,CODE(MID(UPPER(A352)&amp;"    ",3,1))-64))*27+MAX(0,MIN(26,CODE(MID(UPPER(A352)&amp;"    ",4,1))-64))*1)*10000+ROW(),""))</f>
        <v/>
      </c>
      <c r="N352" s="80" t="str">
        <f t="shared" si="5"/>
        <v/>
      </c>
      <c r="O352" s="80" t="str">
        <f t="array" ref="O352">IF(A352="","",IFERROR(INDEX('Deck 1'!$A:$Z,ROW()-250,'List Setup'!$J$3)&amp;"",""))</f>
        <v/>
      </c>
      <c r="P352" s="2"/>
      <c r="Q352" s="80" t="str">
        <f>IF(A352="","",'List Setup'!$A$3)</f>
        <v/>
      </c>
      <c r="R352" s="80" t="str">
        <f t="array" ref="R352">IF(A352="","",IFERROR(OR(INDEX(Binders!$J$6:$J$30,MATCH(Q352,Binders!$I$6:$I$30,0))=TRUE(),UPPER(INDEX(Binders!$J$6:$J$30,MATCH(Q352,Binders!$I$6:$I$30,0))&amp;"")="TRUE"),FALSE()))</f>
        <v/>
      </c>
    </row>
    <row r="353" ht="15.75" customHeight="1">
      <c r="A353" s="80" t="str">
        <f t="array" ref="A353">IF(INDEX('Deck 1'!$A:$Z,ROW()-250,'List Setup'!$D$3)="","",INDEX('Deck 1'!$A:$Z,ROW()-250,'List Setup'!$D$3))</f>
        <v/>
      </c>
      <c r="B353" s="80" t="str">
        <f t="array" ref="B353">IF(A353="","",IFERROR(INDEX('Binder Setup'!$B$2:$B$401,MIN(IF(ISNUMBER(SEARCH(CHAR(10)&amp;'Binder Setup'!$B$2:$B$401&amp;CHAR(10),$H353)),'List Setup'!$Q$2:$Q$401,999),IF(ISNUMBER(SEARCH(CHAR(10)&amp;'Set Aliases'!$A$2:$A$501&amp;CHAR(10),$H353)),'Set Aliases'!$C$2:$C$501,999))),"(none)"))</f>
        <v/>
      </c>
      <c r="C353" s="80" t="str">
        <f t="shared" si="1"/>
        <v/>
      </c>
      <c r="D353" s="80" t="str">
        <f t="array" ref="D353">IF(A353="","",IF(ISLOGICAL(INDEX('Deck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53" s="80" t="str">
        <f t="shared" si="2"/>
        <v/>
      </c>
      <c r="F353" s="80" t="str">
        <f t="array" ref="F353">IF(A353="","",IF(ISNUMBER(J353),J353,IF(ISNUMBER(INDEX('Deck 1'!$A:$Z,ROW()-250,'List Setup'!$F$3)),INDEX('Deck 1'!$A:$Z,ROW()-250,'List Setup'!$F$3),0)))</f>
        <v/>
      </c>
      <c r="G353" s="80" t="str">
        <f t="array" ref="G353">IF(A353="","",A353&amp;IF(N(INDEX('Deck 1'!$A:$Z,ROW()-250,'List Setup'!$C$3))&gt;1," (x"&amp;INDEX('Deck 1'!$A:$Z,ROW()-250,'List Setup'!$C$3)&amp;")","")&amp;IF(COUNTIF(Binders!$J$6:$J$30,TRUE())&gt;1," ["&amp;Q353&amp;"]",""))</f>
        <v/>
      </c>
      <c r="H353" s="80" t="str">
        <f t="array" ref="H353">IF(A353="","",CHAR(10)&amp;INDEX('Deck 1'!$A:$Z,ROW()-250,'List Setup'!$E$3)&amp;CHAR(10))</f>
        <v/>
      </c>
      <c r="I353" s="80" t="str">
        <f t="array" ref="I353">IF(OR(B353="",B353="(none)"),"",IF(ISNUMBER(SEARCH(CHAR(10)&amp;B353&amp;CHAR(10),H353)),B353,IFERROR(INDEX('Set Aliases'!$A$2:$A$501,MATCH(1,('Set Aliases'!$B$2:$B$501=B353)*ISNUMBER(SEARCH(CHAR(10)&amp;'Set Aliases'!$A$2:$A$501&amp;CHAR(10),H353)),0)),"")))</f>
        <v/>
      </c>
      <c r="J353" s="80" t="str">
        <f t="array" ref="J353">IF(I353="","",IFERROR(VALUE(TRIM(MID(SUBSTITUTE(INDEX('Deck 1'!$A:$Z,ROW()-250,'List Setup'!$G$3),CHAR(10),REPT(" ",100)),((SEARCH(CHAR(10)&amp;I353&amp;CHAR(10),H353)-LEN(SUBSTITUTE(LEFT(H353,SEARCH(CHAR(10)&amp;I353&amp;CHAR(10),H353)),CHAR(10),"")))-1)*100+1,100))),""))</f>
        <v/>
      </c>
      <c r="K353" s="80" t="str">
        <f t="array" ref="K353">IF(A353="","",IF(ISNUMBER(SEARCH("Land",LEFT(IFERROR(INDEX('Deck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53" s="80" t="str">
        <f t="shared" si="3"/>
        <v/>
      </c>
      <c r="M353" s="80" t="str">
        <f>IF(A353="","",IF(AND(E353="Y",B353='Use at Shop'!$B$4),K353*10000000000+(MAX(0,MIN(26,CODE(MID(UPPER(A353)&amp;"    ",1,1))-64))*19683+MAX(0,MIN(26,CODE(MID(UPPER(A353)&amp;"    ",2,1))-64))*729+MAX(0,MIN(26,CODE(MID(UPPER(A353)&amp;"    ",3,1))-64))*27+MAX(0,MIN(26,CODE(MID(UPPER(A353)&amp;"    ",4,1))-64))*1)*10000+ROW(),""))</f>
        <v/>
      </c>
      <c r="N353" s="80" t="str">
        <f t="shared" si="5"/>
        <v/>
      </c>
      <c r="O353" s="80" t="str">
        <f t="array" ref="O353">IF(A353="","",IFERROR(INDEX('Deck 1'!$A:$Z,ROW()-250,'List Setup'!$J$3)&amp;"",""))</f>
        <v/>
      </c>
      <c r="P353" s="2"/>
      <c r="Q353" s="80" t="str">
        <f>IF(A353="","",'List Setup'!$A$3)</f>
        <v/>
      </c>
      <c r="R353" s="80" t="str">
        <f t="array" ref="R353">IF(A353="","",IFERROR(OR(INDEX(Binders!$J$6:$J$30,MATCH(Q353,Binders!$I$6:$I$30,0))=TRUE(),UPPER(INDEX(Binders!$J$6:$J$30,MATCH(Q353,Binders!$I$6:$I$30,0))&amp;"")="TRUE"),FALSE()))</f>
        <v/>
      </c>
    </row>
    <row r="354" ht="15.75" customHeight="1">
      <c r="A354" s="80" t="str">
        <f t="array" ref="A354">IF(INDEX('Deck 1'!$A:$Z,ROW()-250,'List Setup'!$D$3)="","",INDEX('Deck 1'!$A:$Z,ROW()-250,'List Setup'!$D$3))</f>
        <v/>
      </c>
      <c r="B354" s="80" t="str">
        <f t="array" ref="B354">IF(A354="","",IFERROR(INDEX('Binder Setup'!$B$2:$B$401,MIN(IF(ISNUMBER(SEARCH(CHAR(10)&amp;'Binder Setup'!$B$2:$B$401&amp;CHAR(10),$H354)),'List Setup'!$Q$2:$Q$401,999),IF(ISNUMBER(SEARCH(CHAR(10)&amp;'Set Aliases'!$A$2:$A$501&amp;CHAR(10),$H354)),'Set Aliases'!$C$2:$C$501,999))),"(none)"))</f>
        <v/>
      </c>
      <c r="C354" s="80" t="str">
        <f t="shared" si="1"/>
        <v/>
      </c>
      <c r="D354" s="80" t="str">
        <f t="array" ref="D354">IF(A354="","",IF(ISLOGICAL(INDEX('Deck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54" s="80" t="str">
        <f t="shared" si="2"/>
        <v/>
      </c>
      <c r="F354" s="80" t="str">
        <f t="array" ref="F354">IF(A354="","",IF(ISNUMBER(J354),J354,IF(ISNUMBER(INDEX('Deck 1'!$A:$Z,ROW()-250,'List Setup'!$F$3)),INDEX('Deck 1'!$A:$Z,ROW()-250,'List Setup'!$F$3),0)))</f>
        <v/>
      </c>
      <c r="G354" s="80" t="str">
        <f t="array" ref="G354">IF(A354="","",A354&amp;IF(N(INDEX('Deck 1'!$A:$Z,ROW()-250,'List Setup'!$C$3))&gt;1," (x"&amp;INDEX('Deck 1'!$A:$Z,ROW()-250,'List Setup'!$C$3)&amp;")","")&amp;IF(COUNTIF(Binders!$J$6:$J$30,TRUE())&gt;1," ["&amp;Q354&amp;"]",""))</f>
        <v/>
      </c>
      <c r="H354" s="80" t="str">
        <f t="array" ref="H354">IF(A354="","",CHAR(10)&amp;INDEX('Deck 1'!$A:$Z,ROW()-250,'List Setup'!$E$3)&amp;CHAR(10))</f>
        <v/>
      </c>
      <c r="I354" s="80" t="str">
        <f t="array" ref="I354">IF(OR(B354="",B354="(none)"),"",IF(ISNUMBER(SEARCH(CHAR(10)&amp;B354&amp;CHAR(10),H354)),B354,IFERROR(INDEX('Set Aliases'!$A$2:$A$501,MATCH(1,('Set Aliases'!$B$2:$B$501=B354)*ISNUMBER(SEARCH(CHAR(10)&amp;'Set Aliases'!$A$2:$A$501&amp;CHAR(10),H354)),0)),"")))</f>
        <v/>
      </c>
      <c r="J354" s="80" t="str">
        <f t="array" ref="J354">IF(I354="","",IFERROR(VALUE(TRIM(MID(SUBSTITUTE(INDEX('Deck 1'!$A:$Z,ROW()-250,'List Setup'!$G$3),CHAR(10),REPT(" ",100)),((SEARCH(CHAR(10)&amp;I354&amp;CHAR(10),H354)-LEN(SUBSTITUTE(LEFT(H354,SEARCH(CHAR(10)&amp;I354&amp;CHAR(10),H354)),CHAR(10),"")))-1)*100+1,100))),""))</f>
        <v/>
      </c>
      <c r="K354" s="80" t="str">
        <f t="array" ref="K354">IF(A354="","",IF(ISNUMBER(SEARCH("Land",LEFT(IFERROR(INDEX('Deck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54" s="80" t="str">
        <f t="shared" si="3"/>
        <v/>
      </c>
      <c r="M354" s="80" t="str">
        <f>IF(A354="","",IF(AND(E354="Y",B354='Use at Shop'!$B$4),K354*10000000000+(MAX(0,MIN(26,CODE(MID(UPPER(A354)&amp;"    ",1,1))-64))*19683+MAX(0,MIN(26,CODE(MID(UPPER(A354)&amp;"    ",2,1))-64))*729+MAX(0,MIN(26,CODE(MID(UPPER(A354)&amp;"    ",3,1))-64))*27+MAX(0,MIN(26,CODE(MID(UPPER(A354)&amp;"    ",4,1))-64))*1)*10000+ROW(),""))</f>
        <v/>
      </c>
      <c r="N354" s="80" t="str">
        <f t="shared" si="5"/>
        <v/>
      </c>
      <c r="O354" s="80" t="str">
        <f t="array" ref="O354">IF(A354="","",IFERROR(INDEX('Deck 1'!$A:$Z,ROW()-250,'List Setup'!$J$3)&amp;"",""))</f>
        <v/>
      </c>
      <c r="P354" s="2"/>
      <c r="Q354" s="80" t="str">
        <f>IF(A354="","",'List Setup'!$A$3)</f>
        <v/>
      </c>
      <c r="R354" s="80" t="str">
        <f t="array" ref="R354">IF(A354="","",IFERROR(OR(INDEX(Binders!$J$6:$J$30,MATCH(Q354,Binders!$I$6:$I$30,0))=TRUE(),UPPER(INDEX(Binders!$J$6:$J$30,MATCH(Q354,Binders!$I$6:$I$30,0))&amp;"")="TRUE"),FALSE()))</f>
        <v/>
      </c>
    </row>
    <row r="355" ht="15.75" customHeight="1">
      <c r="A355" s="80" t="str">
        <f t="array" ref="A355">IF(INDEX('Deck 1'!$A:$Z,ROW()-250,'List Setup'!$D$3)="","",INDEX('Deck 1'!$A:$Z,ROW()-250,'List Setup'!$D$3))</f>
        <v/>
      </c>
      <c r="B355" s="80" t="str">
        <f t="array" ref="B355">IF(A355="","",IFERROR(INDEX('Binder Setup'!$B$2:$B$401,MIN(IF(ISNUMBER(SEARCH(CHAR(10)&amp;'Binder Setup'!$B$2:$B$401&amp;CHAR(10),$H355)),'List Setup'!$Q$2:$Q$401,999),IF(ISNUMBER(SEARCH(CHAR(10)&amp;'Set Aliases'!$A$2:$A$501&amp;CHAR(10),$H355)),'Set Aliases'!$C$2:$C$501,999))),"(none)"))</f>
        <v/>
      </c>
      <c r="C355" s="80" t="str">
        <f t="shared" si="1"/>
        <v/>
      </c>
      <c r="D355" s="80" t="str">
        <f t="array" ref="D355">IF(A355="","",IF(ISLOGICAL(INDEX('Deck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55" s="80" t="str">
        <f t="shared" si="2"/>
        <v/>
      </c>
      <c r="F355" s="80" t="str">
        <f t="array" ref="F355">IF(A355="","",IF(ISNUMBER(J355),J355,IF(ISNUMBER(INDEX('Deck 1'!$A:$Z,ROW()-250,'List Setup'!$F$3)),INDEX('Deck 1'!$A:$Z,ROW()-250,'List Setup'!$F$3),0)))</f>
        <v/>
      </c>
      <c r="G355" s="80" t="str">
        <f t="array" ref="G355">IF(A355="","",A355&amp;IF(N(INDEX('Deck 1'!$A:$Z,ROW()-250,'List Setup'!$C$3))&gt;1," (x"&amp;INDEX('Deck 1'!$A:$Z,ROW()-250,'List Setup'!$C$3)&amp;")","")&amp;IF(COUNTIF(Binders!$J$6:$J$30,TRUE())&gt;1," ["&amp;Q355&amp;"]",""))</f>
        <v/>
      </c>
      <c r="H355" s="80" t="str">
        <f t="array" ref="H355">IF(A355="","",CHAR(10)&amp;INDEX('Deck 1'!$A:$Z,ROW()-250,'List Setup'!$E$3)&amp;CHAR(10))</f>
        <v/>
      </c>
      <c r="I355" s="80" t="str">
        <f t="array" ref="I355">IF(OR(B355="",B355="(none)"),"",IF(ISNUMBER(SEARCH(CHAR(10)&amp;B355&amp;CHAR(10),H355)),B355,IFERROR(INDEX('Set Aliases'!$A$2:$A$501,MATCH(1,('Set Aliases'!$B$2:$B$501=B355)*ISNUMBER(SEARCH(CHAR(10)&amp;'Set Aliases'!$A$2:$A$501&amp;CHAR(10),H355)),0)),"")))</f>
        <v/>
      </c>
      <c r="J355" s="80" t="str">
        <f t="array" ref="J355">IF(I355="","",IFERROR(VALUE(TRIM(MID(SUBSTITUTE(INDEX('Deck 1'!$A:$Z,ROW()-250,'List Setup'!$G$3),CHAR(10),REPT(" ",100)),((SEARCH(CHAR(10)&amp;I355&amp;CHAR(10),H355)-LEN(SUBSTITUTE(LEFT(H355,SEARCH(CHAR(10)&amp;I355&amp;CHAR(10),H355)),CHAR(10),"")))-1)*100+1,100))),""))</f>
        <v/>
      </c>
      <c r="K355" s="80" t="str">
        <f t="array" ref="K355">IF(A355="","",IF(ISNUMBER(SEARCH("Land",LEFT(IFERROR(INDEX('Deck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55" s="80" t="str">
        <f t="shared" si="3"/>
        <v/>
      </c>
      <c r="M355" s="80" t="str">
        <f>IF(A355="","",IF(AND(E355="Y",B355='Use at Shop'!$B$4),K355*10000000000+(MAX(0,MIN(26,CODE(MID(UPPER(A355)&amp;"    ",1,1))-64))*19683+MAX(0,MIN(26,CODE(MID(UPPER(A355)&amp;"    ",2,1))-64))*729+MAX(0,MIN(26,CODE(MID(UPPER(A355)&amp;"    ",3,1))-64))*27+MAX(0,MIN(26,CODE(MID(UPPER(A355)&amp;"    ",4,1))-64))*1)*10000+ROW(),""))</f>
        <v/>
      </c>
      <c r="N355" s="80" t="str">
        <f t="shared" si="5"/>
        <v/>
      </c>
      <c r="O355" s="80" t="str">
        <f t="array" ref="O355">IF(A355="","",IFERROR(INDEX('Deck 1'!$A:$Z,ROW()-250,'List Setup'!$J$3)&amp;"",""))</f>
        <v/>
      </c>
      <c r="P355" s="2"/>
      <c r="Q355" s="80" t="str">
        <f>IF(A355="","",'List Setup'!$A$3)</f>
        <v/>
      </c>
      <c r="R355" s="80" t="str">
        <f t="array" ref="R355">IF(A355="","",IFERROR(OR(INDEX(Binders!$J$6:$J$30,MATCH(Q355,Binders!$I$6:$I$30,0))=TRUE(),UPPER(INDEX(Binders!$J$6:$J$30,MATCH(Q355,Binders!$I$6:$I$30,0))&amp;"")="TRUE"),FALSE()))</f>
        <v/>
      </c>
    </row>
    <row r="356" ht="15.75" customHeight="1">
      <c r="A356" s="80" t="str">
        <f t="array" ref="A356">IF(INDEX('Deck 1'!$A:$Z,ROW()-250,'List Setup'!$D$3)="","",INDEX('Deck 1'!$A:$Z,ROW()-250,'List Setup'!$D$3))</f>
        <v/>
      </c>
      <c r="B356" s="80" t="str">
        <f t="array" ref="B356">IF(A356="","",IFERROR(INDEX('Binder Setup'!$B$2:$B$401,MIN(IF(ISNUMBER(SEARCH(CHAR(10)&amp;'Binder Setup'!$B$2:$B$401&amp;CHAR(10),$H356)),'List Setup'!$Q$2:$Q$401,999),IF(ISNUMBER(SEARCH(CHAR(10)&amp;'Set Aliases'!$A$2:$A$501&amp;CHAR(10),$H356)),'Set Aliases'!$C$2:$C$501,999))),"(none)"))</f>
        <v/>
      </c>
      <c r="C356" s="80" t="str">
        <f t="shared" si="1"/>
        <v/>
      </c>
      <c r="D356" s="80" t="str">
        <f t="array" ref="D356">IF(A356="","",IF(ISLOGICAL(INDEX('Deck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56" s="80" t="str">
        <f t="shared" si="2"/>
        <v/>
      </c>
      <c r="F356" s="80" t="str">
        <f t="array" ref="F356">IF(A356="","",IF(ISNUMBER(J356),J356,IF(ISNUMBER(INDEX('Deck 1'!$A:$Z,ROW()-250,'List Setup'!$F$3)),INDEX('Deck 1'!$A:$Z,ROW()-250,'List Setup'!$F$3),0)))</f>
        <v/>
      </c>
      <c r="G356" s="80" t="str">
        <f t="array" ref="G356">IF(A356="","",A356&amp;IF(N(INDEX('Deck 1'!$A:$Z,ROW()-250,'List Setup'!$C$3))&gt;1," (x"&amp;INDEX('Deck 1'!$A:$Z,ROW()-250,'List Setup'!$C$3)&amp;")","")&amp;IF(COUNTIF(Binders!$J$6:$J$30,TRUE())&gt;1," ["&amp;Q356&amp;"]",""))</f>
        <v/>
      </c>
      <c r="H356" s="80" t="str">
        <f t="array" ref="H356">IF(A356="","",CHAR(10)&amp;INDEX('Deck 1'!$A:$Z,ROW()-250,'List Setup'!$E$3)&amp;CHAR(10))</f>
        <v/>
      </c>
      <c r="I356" s="80" t="str">
        <f t="array" ref="I356">IF(OR(B356="",B356="(none)"),"",IF(ISNUMBER(SEARCH(CHAR(10)&amp;B356&amp;CHAR(10),H356)),B356,IFERROR(INDEX('Set Aliases'!$A$2:$A$501,MATCH(1,('Set Aliases'!$B$2:$B$501=B356)*ISNUMBER(SEARCH(CHAR(10)&amp;'Set Aliases'!$A$2:$A$501&amp;CHAR(10),H356)),0)),"")))</f>
        <v/>
      </c>
      <c r="J356" s="80" t="str">
        <f t="array" ref="J356">IF(I356="","",IFERROR(VALUE(TRIM(MID(SUBSTITUTE(INDEX('Deck 1'!$A:$Z,ROW()-250,'List Setup'!$G$3),CHAR(10),REPT(" ",100)),((SEARCH(CHAR(10)&amp;I356&amp;CHAR(10),H356)-LEN(SUBSTITUTE(LEFT(H356,SEARCH(CHAR(10)&amp;I356&amp;CHAR(10),H356)),CHAR(10),"")))-1)*100+1,100))),""))</f>
        <v/>
      </c>
      <c r="K356" s="80" t="str">
        <f t="array" ref="K356">IF(A356="","",IF(ISNUMBER(SEARCH("Land",LEFT(IFERROR(INDEX('Deck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56" s="80" t="str">
        <f t="shared" si="3"/>
        <v/>
      </c>
      <c r="M356" s="80" t="str">
        <f>IF(A356="","",IF(AND(E356="Y",B356='Use at Shop'!$B$4),K356*10000000000+(MAX(0,MIN(26,CODE(MID(UPPER(A356)&amp;"    ",1,1))-64))*19683+MAX(0,MIN(26,CODE(MID(UPPER(A356)&amp;"    ",2,1))-64))*729+MAX(0,MIN(26,CODE(MID(UPPER(A356)&amp;"    ",3,1))-64))*27+MAX(0,MIN(26,CODE(MID(UPPER(A356)&amp;"    ",4,1))-64))*1)*10000+ROW(),""))</f>
        <v/>
      </c>
      <c r="N356" s="80" t="str">
        <f t="shared" si="5"/>
        <v/>
      </c>
      <c r="O356" s="80" t="str">
        <f t="array" ref="O356">IF(A356="","",IFERROR(INDEX('Deck 1'!$A:$Z,ROW()-250,'List Setup'!$J$3)&amp;"",""))</f>
        <v/>
      </c>
      <c r="P356" s="2"/>
      <c r="Q356" s="80" t="str">
        <f>IF(A356="","",'List Setup'!$A$3)</f>
        <v/>
      </c>
      <c r="R356" s="80" t="str">
        <f t="array" ref="R356">IF(A356="","",IFERROR(OR(INDEX(Binders!$J$6:$J$30,MATCH(Q356,Binders!$I$6:$I$30,0))=TRUE(),UPPER(INDEX(Binders!$J$6:$J$30,MATCH(Q356,Binders!$I$6:$I$30,0))&amp;"")="TRUE"),FALSE()))</f>
        <v/>
      </c>
    </row>
    <row r="357" ht="15.75" customHeight="1">
      <c r="A357" s="80" t="str">
        <f t="array" ref="A357">IF(INDEX('Deck 1'!$A:$Z,ROW()-250,'List Setup'!$D$3)="","",INDEX('Deck 1'!$A:$Z,ROW()-250,'List Setup'!$D$3))</f>
        <v/>
      </c>
      <c r="B357" s="80" t="str">
        <f t="array" ref="B357">IF(A357="","",IFERROR(INDEX('Binder Setup'!$B$2:$B$401,MIN(IF(ISNUMBER(SEARCH(CHAR(10)&amp;'Binder Setup'!$B$2:$B$401&amp;CHAR(10),$H357)),'List Setup'!$Q$2:$Q$401,999),IF(ISNUMBER(SEARCH(CHAR(10)&amp;'Set Aliases'!$A$2:$A$501&amp;CHAR(10),$H357)),'Set Aliases'!$C$2:$C$501,999))),"(none)"))</f>
        <v/>
      </c>
      <c r="C357" s="80" t="str">
        <f t="shared" si="1"/>
        <v/>
      </c>
      <c r="D357" s="80" t="str">
        <f t="array" ref="D357">IF(A357="","",IF(ISLOGICAL(INDEX('Deck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57" s="80" t="str">
        <f t="shared" si="2"/>
        <v/>
      </c>
      <c r="F357" s="80" t="str">
        <f t="array" ref="F357">IF(A357="","",IF(ISNUMBER(J357),J357,IF(ISNUMBER(INDEX('Deck 1'!$A:$Z,ROW()-250,'List Setup'!$F$3)),INDEX('Deck 1'!$A:$Z,ROW()-250,'List Setup'!$F$3),0)))</f>
        <v/>
      </c>
      <c r="G357" s="80" t="str">
        <f t="array" ref="G357">IF(A357="","",A357&amp;IF(N(INDEX('Deck 1'!$A:$Z,ROW()-250,'List Setup'!$C$3))&gt;1," (x"&amp;INDEX('Deck 1'!$A:$Z,ROW()-250,'List Setup'!$C$3)&amp;")","")&amp;IF(COUNTIF(Binders!$J$6:$J$30,TRUE())&gt;1," ["&amp;Q357&amp;"]",""))</f>
        <v/>
      </c>
      <c r="H357" s="80" t="str">
        <f t="array" ref="H357">IF(A357="","",CHAR(10)&amp;INDEX('Deck 1'!$A:$Z,ROW()-250,'List Setup'!$E$3)&amp;CHAR(10))</f>
        <v/>
      </c>
      <c r="I357" s="80" t="str">
        <f t="array" ref="I357">IF(OR(B357="",B357="(none)"),"",IF(ISNUMBER(SEARCH(CHAR(10)&amp;B357&amp;CHAR(10),H357)),B357,IFERROR(INDEX('Set Aliases'!$A$2:$A$501,MATCH(1,('Set Aliases'!$B$2:$B$501=B357)*ISNUMBER(SEARCH(CHAR(10)&amp;'Set Aliases'!$A$2:$A$501&amp;CHAR(10),H357)),0)),"")))</f>
        <v/>
      </c>
      <c r="J357" s="80" t="str">
        <f t="array" ref="J357">IF(I357="","",IFERROR(VALUE(TRIM(MID(SUBSTITUTE(INDEX('Deck 1'!$A:$Z,ROW()-250,'List Setup'!$G$3),CHAR(10),REPT(" ",100)),((SEARCH(CHAR(10)&amp;I357&amp;CHAR(10),H357)-LEN(SUBSTITUTE(LEFT(H357,SEARCH(CHAR(10)&amp;I357&amp;CHAR(10),H357)),CHAR(10),"")))-1)*100+1,100))),""))</f>
        <v/>
      </c>
      <c r="K357" s="80" t="str">
        <f t="array" ref="K357">IF(A357="","",IF(ISNUMBER(SEARCH("Land",LEFT(IFERROR(INDEX('Deck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57" s="80" t="str">
        <f t="shared" si="3"/>
        <v/>
      </c>
      <c r="M357" s="80" t="str">
        <f>IF(A357="","",IF(AND(E357="Y",B357='Use at Shop'!$B$4),K357*10000000000+(MAX(0,MIN(26,CODE(MID(UPPER(A357)&amp;"    ",1,1))-64))*19683+MAX(0,MIN(26,CODE(MID(UPPER(A357)&amp;"    ",2,1))-64))*729+MAX(0,MIN(26,CODE(MID(UPPER(A357)&amp;"    ",3,1))-64))*27+MAX(0,MIN(26,CODE(MID(UPPER(A357)&amp;"    ",4,1))-64))*1)*10000+ROW(),""))</f>
        <v/>
      </c>
      <c r="N357" s="80" t="str">
        <f t="shared" si="5"/>
        <v/>
      </c>
      <c r="O357" s="80" t="str">
        <f t="array" ref="O357">IF(A357="","",IFERROR(INDEX('Deck 1'!$A:$Z,ROW()-250,'List Setup'!$J$3)&amp;"",""))</f>
        <v/>
      </c>
      <c r="P357" s="2"/>
      <c r="Q357" s="80" t="str">
        <f>IF(A357="","",'List Setup'!$A$3)</f>
        <v/>
      </c>
      <c r="R357" s="80" t="str">
        <f t="array" ref="R357">IF(A357="","",IFERROR(OR(INDEX(Binders!$J$6:$J$30,MATCH(Q357,Binders!$I$6:$I$30,0))=TRUE(),UPPER(INDEX(Binders!$J$6:$J$30,MATCH(Q357,Binders!$I$6:$I$30,0))&amp;"")="TRUE"),FALSE()))</f>
        <v/>
      </c>
    </row>
    <row r="358" ht="15.75" customHeight="1">
      <c r="A358" s="80" t="str">
        <f t="array" ref="A358">IF(INDEX('Deck 1'!$A:$Z,ROW()-250,'List Setup'!$D$3)="","",INDEX('Deck 1'!$A:$Z,ROW()-250,'List Setup'!$D$3))</f>
        <v/>
      </c>
      <c r="B358" s="80" t="str">
        <f t="array" ref="B358">IF(A358="","",IFERROR(INDEX('Binder Setup'!$B$2:$B$401,MIN(IF(ISNUMBER(SEARCH(CHAR(10)&amp;'Binder Setup'!$B$2:$B$401&amp;CHAR(10),$H358)),'List Setup'!$Q$2:$Q$401,999),IF(ISNUMBER(SEARCH(CHAR(10)&amp;'Set Aliases'!$A$2:$A$501&amp;CHAR(10),$H358)),'Set Aliases'!$C$2:$C$501,999))),"(none)"))</f>
        <v/>
      </c>
      <c r="C358" s="80" t="str">
        <f t="shared" si="1"/>
        <v/>
      </c>
      <c r="D358" s="80" t="str">
        <f t="array" ref="D358">IF(A358="","",IF(ISLOGICAL(INDEX('Deck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58" s="80" t="str">
        <f t="shared" si="2"/>
        <v/>
      </c>
      <c r="F358" s="80" t="str">
        <f t="array" ref="F358">IF(A358="","",IF(ISNUMBER(J358),J358,IF(ISNUMBER(INDEX('Deck 1'!$A:$Z,ROW()-250,'List Setup'!$F$3)),INDEX('Deck 1'!$A:$Z,ROW()-250,'List Setup'!$F$3),0)))</f>
        <v/>
      </c>
      <c r="G358" s="80" t="str">
        <f t="array" ref="G358">IF(A358="","",A358&amp;IF(N(INDEX('Deck 1'!$A:$Z,ROW()-250,'List Setup'!$C$3))&gt;1," (x"&amp;INDEX('Deck 1'!$A:$Z,ROW()-250,'List Setup'!$C$3)&amp;")","")&amp;IF(COUNTIF(Binders!$J$6:$J$30,TRUE())&gt;1," ["&amp;Q358&amp;"]",""))</f>
        <v/>
      </c>
      <c r="H358" s="80" t="str">
        <f t="array" ref="H358">IF(A358="","",CHAR(10)&amp;INDEX('Deck 1'!$A:$Z,ROW()-250,'List Setup'!$E$3)&amp;CHAR(10))</f>
        <v/>
      </c>
      <c r="I358" s="80" t="str">
        <f t="array" ref="I358">IF(OR(B358="",B358="(none)"),"",IF(ISNUMBER(SEARCH(CHAR(10)&amp;B358&amp;CHAR(10),H358)),B358,IFERROR(INDEX('Set Aliases'!$A$2:$A$501,MATCH(1,('Set Aliases'!$B$2:$B$501=B358)*ISNUMBER(SEARCH(CHAR(10)&amp;'Set Aliases'!$A$2:$A$501&amp;CHAR(10),H358)),0)),"")))</f>
        <v/>
      </c>
      <c r="J358" s="80" t="str">
        <f t="array" ref="J358">IF(I358="","",IFERROR(VALUE(TRIM(MID(SUBSTITUTE(INDEX('Deck 1'!$A:$Z,ROW()-250,'List Setup'!$G$3),CHAR(10),REPT(" ",100)),((SEARCH(CHAR(10)&amp;I358&amp;CHAR(10),H358)-LEN(SUBSTITUTE(LEFT(H358,SEARCH(CHAR(10)&amp;I358&amp;CHAR(10),H358)),CHAR(10),"")))-1)*100+1,100))),""))</f>
        <v/>
      </c>
      <c r="K358" s="80" t="str">
        <f t="array" ref="K358">IF(A358="","",IF(ISNUMBER(SEARCH("Land",LEFT(IFERROR(INDEX('Deck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58" s="80" t="str">
        <f t="shared" si="3"/>
        <v/>
      </c>
      <c r="M358" s="80" t="str">
        <f>IF(A358="","",IF(AND(E358="Y",B358='Use at Shop'!$B$4),K358*10000000000+(MAX(0,MIN(26,CODE(MID(UPPER(A358)&amp;"    ",1,1))-64))*19683+MAX(0,MIN(26,CODE(MID(UPPER(A358)&amp;"    ",2,1))-64))*729+MAX(0,MIN(26,CODE(MID(UPPER(A358)&amp;"    ",3,1))-64))*27+MAX(0,MIN(26,CODE(MID(UPPER(A358)&amp;"    ",4,1))-64))*1)*10000+ROW(),""))</f>
        <v/>
      </c>
      <c r="N358" s="80" t="str">
        <f t="shared" si="5"/>
        <v/>
      </c>
      <c r="O358" s="80" t="str">
        <f t="array" ref="O358">IF(A358="","",IFERROR(INDEX('Deck 1'!$A:$Z,ROW()-250,'List Setup'!$J$3)&amp;"",""))</f>
        <v/>
      </c>
      <c r="P358" s="2"/>
      <c r="Q358" s="80" t="str">
        <f>IF(A358="","",'List Setup'!$A$3)</f>
        <v/>
      </c>
      <c r="R358" s="80" t="str">
        <f t="array" ref="R358">IF(A358="","",IFERROR(OR(INDEX(Binders!$J$6:$J$30,MATCH(Q358,Binders!$I$6:$I$30,0))=TRUE(),UPPER(INDEX(Binders!$J$6:$J$30,MATCH(Q358,Binders!$I$6:$I$30,0))&amp;"")="TRUE"),FALSE()))</f>
        <v/>
      </c>
    </row>
    <row r="359" ht="15.75" customHeight="1">
      <c r="A359" s="80" t="str">
        <f t="array" ref="A359">IF(INDEX('Deck 1'!$A:$Z,ROW()-250,'List Setup'!$D$3)="","",INDEX('Deck 1'!$A:$Z,ROW()-250,'List Setup'!$D$3))</f>
        <v/>
      </c>
      <c r="B359" s="80" t="str">
        <f t="array" ref="B359">IF(A359="","",IFERROR(INDEX('Binder Setup'!$B$2:$B$401,MIN(IF(ISNUMBER(SEARCH(CHAR(10)&amp;'Binder Setup'!$B$2:$B$401&amp;CHAR(10),$H359)),'List Setup'!$Q$2:$Q$401,999),IF(ISNUMBER(SEARCH(CHAR(10)&amp;'Set Aliases'!$A$2:$A$501&amp;CHAR(10),$H359)),'Set Aliases'!$C$2:$C$501,999))),"(none)"))</f>
        <v/>
      </c>
      <c r="C359" s="80" t="str">
        <f t="shared" si="1"/>
        <v/>
      </c>
      <c r="D359" s="80" t="str">
        <f t="array" ref="D359">IF(A359="","",IF(ISLOGICAL(INDEX('Deck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59" s="80" t="str">
        <f t="shared" si="2"/>
        <v/>
      </c>
      <c r="F359" s="80" t="str">
        <f t="array" ref="F359">IF(A359="","",IF(ISNUMBER(J359),J359,IF(ISNUMBER(INDEX('Deck 1'!$A:$Z,ROW()-250,'List Setup'!$F$3)),INDEX('Deck 1'!$A:$Z,ROW()-250,'List Setup'!$F$3),0)))</f>
        <v/>
      </c>
      <c r="G359" s="80" t="str">
        <f t="array" ref="G359">IF(A359="","",A359&amp;IF(N(INDEX('Deck 1'!$A:$Z,ROW()-250,'List Setup'!$C$3))&gt;1," (x"&amp;INDEX('Deck 1'!$A:$Z,ROW()-250,'List Setup'!$C$3)&amp;")","")&amp;IF(COUNTIF(Binders!$J$6:$J$30,TRUE())&gt;1," ["&amp;Q359&amp;"]",""))</f>
        <v/>
      </c>
      <c r="H359" s="80" t="str">
        <f t="array" ref="H359">IF(A359="","",CHAR(10)&amp;INDEX('Deck 1'!$A:$Z,ROW()-250,'List Setup'!$E$3)&amp;CHAR(10))</f>
        <v/>
      </c>
      <c r="I359" s="80" t="str">
        <f t="array" ref="I359">IF(OR(B359="",B359="(none)"),"",IF(ISNUMBER(SEARCH(CHAR(10)&amp;B359&amp;CHAR(10),H359)),B359,IFERROR(INDEX('Set Aliases'!$A$2:$A$501,MATCH(1,('Set Aliases'!$B$2:$B$501=B359)*ISNUMBER(SEARCH(CHAR(10)&amp;'Set Aliases'!$A$2:$A$501&amp;CHAR(10),H359)),0)),"")))</f>
        <v/>
      </c>
      <c r="J359" s="80" t="str">
        <f t="array" ref="J359">IF(I359="","",IFERROR(VALUE(TRIM(MID(SUBSTITUTE(INDEX('Deck 1'!$A:$Z,ROW()-250,'List Setup'!$G$3),CHAR(10),REPT(" ",100)),((SEARCH(CHAR(10)&amp;I359&amp;CHAR(10),H359)-LEN(SUBSTITUTE(LEFT(H359,SEARCH(CHAR(10)&amp;I359&amp;CHAR(10),H359)),CHAR(10),"")))-1)*100+1,100))),""))</f>
        <v/>
      </c>
      <c r="K359" s="80" t="str">
        <f t="array" ref="K359">IF(A359="","",IF(ISNUMBER(SEARCH("Land",LEFT(IFERROR(INDEX('Deck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59" s="80" t="str">
        <f t="shared" si="3"/>
        <v/>
      </c>
      <c r="M359" s="80" t="str">
        <f>IF(A359="","",IF(AND(E359="Y",B359='Use at Shop'!$B$4),K359*10000000000+(MAX(0,MIN(26,CODE(MID(UPPER(A359)&amp;"    ",1,1))-64))*19683+MAX(0,MIN(26,CODE(MID(UPPER(A359)&amp;"    ",2,1))-64))*729+MAX(0,MIN(26,CODE(MID(UPPER(A359)&amp;"    ",3,1))-64))*27+MAX(0,MIN(26,CODE(MID(UPPER(A359)&amp;"    ",4,1))-64))*1)*10000+ROW(),""))</f>
        <v/>
      </c>
      <c r="N359" s="80" t="str">
        <f t="shared" si="5"/>
        <v/>
      </c>
      <c r="O359" s="80" t="str">
        <f t="array" ref="O359">IF(A359="","",IFERROR(INDEX('Deck 1'!$A:$Z,ROW()-250,'List Setup'!$J$3)&amp;"",""))</f>
        <v/>
      </c>
      <c r="P359" s="2"/>
      <c r="Q359" s="80" t="str">
        <f>IF(A359="","",'List Setup'!$A$3)</f>
        <v/>
      </c>
      <c r="R359" s="80" t="str">
        <f t="array" ref="R359">IF(A359="","",IFERROR(OR(INDEX(Binders!$J$6:$J$30,MATCH(Q359,Binders!$I$6:$I$30,0))=TRUE(),UPPER(INDEX(Binders!$J$6:$J$30,MATCH(Q359,Binders!$I$6:$I$30,0))&amp;"")="TRUE"),FALSE()))</f>
        <v/>
      </c>
    </row>
    <row r="360" ht="15.75" customHeight="1">
      <c r="A360" s="80" t="str">
        <f t="array" ref="A360">IF(INDEX('Deck 1'!$A:$Z,ROW()-250,'List Setup'!$D$3)="","",INDEX('Deck 1'!$A:$Z,ROW()-250,'List Setup'!$D$3))</f>
        <v/>
      </c>
      <c r="B360" s="80" t="str">
        <f t="array" ref="B360">IF(A360="","",IFERROR(INDEX('Binder Setup'!$B$2:$B$401,MIN(IF(ISNUMBER(SEARCH(CHAR(10)&amp;'Binder Setup'!$B$2:$B$401&amp;CHAR(10),$H360)),'List Setup'!$Q$2:$Q$401,999),IF(ISNUMBER(SEARCH(CHAR(10)&amp;'Set Aliases'!$A$2:$A$501&amp;CHAR(10),$H360)),'Set Aliases'!$C$2:$C$501,999))),"(none)"))</f>
        <v/>
      </c>
      <c r="C360" s="80" t="str">
        <f t="shared" si="1"/>
        <v/>
      </c>
      <c r="D360" s="80" t="str">
        <f t="array" ref="D360">IF(A360="","",IF(ISLOGICAL(INDEX('Deck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60" s="80" t="str">
        <f t="shared" si="2"/>
        <v/>
      </c>
      <c r="F360" s="80" t="str">
        <f t="array" ref="F360">IF(A360="","",IF(ISNUMBER(J360),J360,IF(ISNUMBER(INDEX('Deck 1'!$A:$Z,ROW()-250,'List Setup'!$F$3)),INDEX('Deck 1'!$A:$Z,ROW()-250,'List Setup'!$F$3),0)))</f>
        <v/>
      </c>
      <c r="G360" s="80" t="str">
        <f t="array" ref="G360">IF(A360="","",A360&amp;IF(N(INDEX('Deck 1'!$A:$Z,ROW()-250,'List Setup'!$C$3))&gt;1," (x"&amp;INDEX('Deck 1'!$A:$Z,ROW()-250,'List Setup'!$C$3)&amp;")","")&amp;IF(COUNTIF(Binders!$J$6:$J$30,TRUE())&gt;1," ["&amp;Q360&amp;"]",""))</f>
        <v/>
      </c>
      <c r="H360" s="80" t="str">
        <f t="array" ref="H360">IF(A360="","",CHAR(10)&amp;INDEX('Deck 1'!$A:$Z,ROW()-250,'List Setup'!$E$3)&amp;CHAR(10))</f>
        <v/>
      </c>
      <c r="I360" s="80" t="str">
        <f t="array" ref="I360">IF(OR(B360="",B360="(none)"),"",IF(ISNUMBER(SEARCH(CHAR(10)&amp;B360&amp;CHAR(10),H360)),B360,IFERROR(INDEX('Set Aliases'!$A$2:$A$501,MATCH(1,('Set Aliases'!$B$2:$B$501=B360)*ISNUMBER(SEARCH(CHAR(10)&amp;'Set Aliases'!$A$2:$A$501&amp;CHAR(10),H360)),0)),"")))</f>
        <v/>
      </c>
      <c r="J360" s="80" t="str">
        <f t="array" ref="J360">IF(I360="","",IFERROR(VALUE(TRIM(MID(SUBSTITUTE(INDEX('Deck 1'!$A:$Z,ROW()-250,'List Setup'!$G$3),CHAR(10),REPT(" ",100)),((SEARCH(CHAR(10)&amp;I360&amp;CHAR(10),H360)-LEN(SUBSTITUTE(LEFT(H360,SEARCH(CHAR(10)&amp;I360&amp;CHAR(10),H360)),CHAR(10),"")))-1)*100+1,100))),""))</f>
        <v/>
      </c>
      <c r="K360" s="80" t="str">
        <f t="array" ref="K360">IF(A360="","",IF(ISNUMBER(SEARCH("Land",LEFT(IFERROR(INDEX('Deck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60" s="80" t="str">
        <f t="shared" si="3"/>
        <v/>
      </c>
      <c r="M360" s="80" t="str">
        <f>IF(A360="","",IF(AND(E360="Y",B360='Use at Shop'!$B$4),K360*10000000000+(MAX(0,MIN(26,CODE(MID(UPPER(A360)&amp;"    ",1,1))-64))*19683+MAX(0,MIN(26,CODE(MID(UPPER(A360)&amp;"    ",2,1))-64))*729+MAX(0,MIN(26,CODE(MID(UPPER(A360)&amp;"    ",3,1))-64))*27+MAX(0,MIN(26,CODE(MID(UPPER(A360)&amp;"    ",4,1))-64))*1)*10000+ROW(),""))</f>
        <v/>
      </c>
      <c r="N360" s="80" t="str">
        <f t="shared" si="5"/>
        <v/>
      </c>
      <c r="O360" s="80" t="str">
        <f t="array" ref="O360">IF(A360="","",IFERROR(INDEX('Deck 1'!$A:$Z,ROW()-250,'List Setup'!$J$3)&amp;"",""))</f>
        <v/>
      </c>
      <c r="P360" s="2"/>
      <c r="Q360" s="80" t="str">
        <f>IF(A360="","",'List Setup'!$A$3)</f>
        <v/>
      </c>
      <c r="R360" s="80" t="str">
        <f t="array" ref="R360">IF(A360="","",IFERROR(OR(INDEX(Binders!$J$6:$J$30,MATCH(Q360,Binders!$I$6:$I$30,0))=TRUE(),UPPER(INDEX(Binders!$J$6:$J$30,MATCH(Q360,Binders!$I$6:$I$30,0))&amp;"")="TRUE"),FALSE()))</f>
        <v/>
      </c>
    </row>
    <row r="361" ht="15.75" customHeight="1">
      <c r="A361" s="80" t="str">
        <f t="array" ref="A361">IF(INDEX('Deck 1'!$A:$Z,ROW()-250,'List Setup'!$D$3)="","",INDEX('Deck 1'!$A:$Z,ROW()-250,'List Setup'!$D$3))</f>
        <v/>
      </c>
      <c r="B361" s="80" t="str">
        <f t="array" ref="B361">IF(A361="","",IFERROR(INDEX('Binder Setup'!$B$2:$B$401,MIN(IF(ISNUMBER(SEARCH(CHAR(10)&amp;'Binder Setup'!$B$2:$B$401&amp;CHAR(10),$H361)),'List Setup'!$Q$2:$Q$401,999),IF(ISNUMBER(SEARCH(CHAR(10)&amp;'Set Aliases'!$A$2:$A$501&amp;CHAR(10),$H361)),'Set Aliases'!$C$2:$C$501,999))),"(none)"))</f>
        <v/>
      </c>
      <c r="C361" s="80" t="str">
        <f t="shared" si="1"/>
        <v/>
      </c>
      <c r="D361" s="80" t="str">
        <f t="array" ref="D361">IF(A361="","",IF(ISLOGICAL(INDEX('Deck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61" s="80" t="str">
        <f t="shared" si="2"/>
        <v/>
      </c>
      <c r="F361" s="80" t="str">
        <f t="array" ref="F361">IF(A361="","",IF(ISNUMBER(J361),J361,IF(ISNUMBER(INDEX('Deck 1'!$A:$Z,ROW()-250,'List Setup'!$F$3)),INDEX('Deck 1'!$A:$Z,ROW()-250,'List Setup'!$F$3),0)))</f>
        <v/>
      </c>
      <c r="G361" s="80" t="str">
        <f t="array" ref="G361">IF(A361="","",A361&amp;IF(N(INDEX('Deck 1'!$A:$Z,ROW()-250,'List Setup'!$C$3))&gt;1," (x"&amp;INDEX('Deck 1'!$A:$Z,ROW()-250,'List Setup'!$C$3)&amp;")","")&amp;IF(COUNTIF(Binders!$J$6:$J$30,TRUE())&gt;1," ["&amp;Q361&amp;"]",""))</f>
        <v/>
      </c>
      <c r="H361" s="80" t="str">
        <f t="array" ref="H361">IF(A361="","",CHAR(10)&amp;INDEX('Deck 1'!$A:$Z,ROW()-250,'List Setup'!$E$3)&amp;CHAR(10))</f>
        <v/>
      </c>
      <c r="I361" s="80" t="str">
        <f t="array" ref="I361">IF(OR(B361="",B361="(none)"),"",IF(ISNUMBER(SEARCH(CHAR(10)&amp;B361&amp;CHAR(10),H361)),B361,IFERROR(INDEX('Set Aliases'!$A$2:$A$501,MATCH(1,('Set Aliases'!$B$2:$B$501=B361)*ISNUMBER(SEARCH(CHAR(10)&amp;'Set Aliases'!$A$2:$A$501&amp;CHAR(10),H361)),0)),"")))</f>
        <v/>
      </c>
      <c r="J361" s="80" t="str">
        <f t="array" ref="J361">IF(I361="","",IFERROR(VALUE(TRIM(MID(SUBSTITUTE(INDEX('Deck 1'!$A:$Z,ROW()-250,'List Setup'!$G$3),CHAR(10),REPT(" ",100)),((SEARCH(CHAR(10)&amp;I361&amp;CHAR(10),H361)-LEN(SUBSTITUTE(LEFT(H361,SEARCH(CHAR(10)&amp;I361&amp;CHAR(10),H361)),CHAR(10),"")))-1)*100+1,100))),""))</f>
        <v/>
      </c>
      <c r="K361" s="80" t="str">
        <f t="array" ref="K361">IF(A361="","",IF(ISNUMBER(SEARCH("Land",LEFT(IFERROR(INDEX('Deck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61" s="80" t="str">
        <f t="shared" si="3"/>
        <v/>
      </c>
      <c r="M361" s="80" t="str">
        <f>IF(A361="","",IF(AND(E361="Y",B361='Use at Shop'!$B$4),K361*10000000000+(MAX(0,MIN(26,CODE(MID(UPPER(A361)&amp;"    ",1,1))-64))*19683+MAX(0,MIN(26,CODE(MID(UPPER(A361)&amp;"    ",2,1))-64))*729+MAX(0,MIN(26,CODE(MID(UPPER(A361)&amp;"    ",3,1))-64))*27+MAX(0,MIN(26,CODE(MID(UPPER(A361)&amp;"    ",4,1))-64))*1)*10000+ROW(),""))</f>
        <v/>
      </c>
      <c r="N361" s="80" t="str">
        <f t="shared" si="5"/>
        <v/>
      </c>
      <c r="O361" s="80" t="str">
        <f t="array" ref="O361">IF(A361="","",IFERROR(INDEX('Deck 1'!$A:$Z,ROW()-250,'List Setup'!$J$3)&amp;"",""))</f>
        <v/>
      </c>
      <c r="P361" s="2"/>
      <c r="Q361" s="80" t="str">
        <f>IF(A361="","",'List Setup'!$A$3)</f>
        <v/>
      </c>
      <c r="R361" s="80" t="str">
        <f t="array" ref="R361">IF(A361="","",IFERROR(OR(INDEX(Binders!$J$6:$J$30,MATCH(Q361,Binders!$I$6:$I$30,0))=TRUE(),UPPER(INDEX(Binders!$J$6:$J$30,MATCH(Q361,Binders!$I$6:$I$30,0))&amp;"")="TRUE"),FALSE()))</f>
        <v/>
      </c>
    </row>
    <row r="362" ht="15.75" customHeight="1">
      <c r="A362" s="80" t="str">
        <f t="array" ref="A362">IF(INDEX('Deck 1'!$A:$Z,ROW()-250,'List Setup'!$D$3)="","",INDEX('Deck 1'!$A:$Z,ROW()-250,'List Setup'!$D$3))</f>
        <v/>
      </c>
      <c r="B362" s="80" t="str">
        <f t="array" ref="B362">IF(A362="","",IFERROR(INDEX('Binder Setup'!$B$2:$B$401,MIN(IF(ISNUMBER(SEARCH(CHAR(10)&amp;'Binder Setup'!$B$2:$B$401&amp;CHAR(10),$H362)),'List Setup'!$Q$2:$Q$401,999),IF(ISNUMBER(SEARCH(CHAR(10)&amp;'Set Aliases'!$A$2:$A$501&amp;CHAR(10),$H362)),'Set Aliases'!$C$2:$C$501,999))),"(none)"))</f>
        <v/>
      </c>
      <c r="C362" s="80" t="str">
        <f t="shared" si="1"/>
        <v/>
      </c>
      <c r="D362" s="80" t="str">
        <f t="array" ref="D362">IF(A362="","",IF(ISLOGICAL(INDEX('Deck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62" s="80" t="str">
        <f t="shared" si="2"/>
        <v/>
      </c>
      <c r="F362" s="80" t="str">
        <f t="array" ref="F362">IF(A362="","",IF(ISNUMBER(J362),J362,IF(ISNUMBER(INDEX('Deck 1'!$A:$Z,ROW()-250,'List Setup'!$F$3)),INDEX('Deck 1'!$A:$Z,ROW()-250,'List Setup'!$F$3),0)))</f>
        <v/>
      </c>
      <c r="G362" s="80" t="str">
        <f t="array" ref="G362">IF(A362="","",A362&amp;IF(N(INDEX('Deck 1'!$A:$Z,ROW()-250,'List Setup'!$C$3))&gt;1," (x"&amp;INDEX('Deck 1'!$A:$Z,ROW()-250,'List Setup'!$C$3)&amp;")","")&amp;IF(COUNTIF(Binders!$J$6:$J$30,TRUE())&gt;1," ["&amp;Q362&amp;"]",""))</f>
        <v/>
      </c>
      <c r="H362" s="80" t="str">
        <f t="array" ref="H362">IF(A362="","",CHAR(10)&amp;INDEX('Deck 1'!$A:$Z,ROW()-250,'List Setup'!$E$3)&amp;CHAR(10))</f>
        <v/>
      </c>
      <c r="I362" s="80" t="str">
        <f t="array" ref="I362">IF(OR(B362="",B362="(none)"),"",IF(ISNUMBER(SEARCH(CHAR(10)&amp;B362&amp;CHAR(10),H362)),B362,IFERROR(INDEX('Set Aliases'!$A$2:$A$501,MATCH(1,('Set Aliases'!$B$2:$B$501=B362)*ISNUMBER(SEARCH(CHAR(10)&amp;'Set Aliases'!$A$2:$A$501&amp;CHAR(10),H362)),0)),"")))</f>
        <v/>
      </c>
      <c r="J362" s="80" t="str">
        <f t="array" ref="J362">IF(I362="","",IFERROR(VALUE(TRIM(MID(SUBSTITUTE(INDEX('Deck 1'!$A:$Z,ROW()-250,'List Setup'!$G$3),CHAR(10),REPT(" ",100)),((SEARCH(CHAR(10)&amp;I362&amp;CHAR(10),H362)-LEN(SUBSTITUTE(LEFT(H362,SEARCH(CHAR(10)&amp;I362&amp;CHAR(10),H362)),CHAR(10),"")))-1)*100+1,100))),""))</f>
        <v/>
      </c>
      <c r="K362" s="80" t="str">
        <f t="array" ref="K362">IF(A362="","",IF(ISNUMBER(SEARCH("Land",LEFT(IFERROR(INDEX('Deck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62" s="80" t="str">
        <f t="shared" si="3"/>
        <v/>
      </c>
      <c r="M362" s="80" t="str">
        <f>IF(A362="","",IF(AND(E362="Y",B362='Use at Shop'!$B$4),K362*10000000000+(MAX(0,MIN(26,CODE(MID(UPPER(A362)&amp;"    ",1,1))-64))*19683+MAX(0,MIN(26,CODE(MID(UPPER(A362)&amp;"    ",2,1))-64))*729+MAX(0,MIN(26,CODE(MID(UPPER(A362)&amp;"    ",3,1))-64))*27+MAX(0,MIN(26,CODE(MID(UPPER(A362)&amp;"    ",4,1))-64))*1)*10000+ROW(),""))</f>
        <v/>
      </c>
      <c r="N362" s="80" t="str">
        <f t="shared" si="5"/>
        <v/>
      </c>
      <c r="O362" s="80" t="str">
        <f t="array" ref="O362">IF(A362="","",IFERROR(INDEX('Deck 1'!$A:$Z,ROW()-250,'List Setup'!$J$3)&amp;"",""))</f>
        <v/>
      </c>
      <c r="P362" s="2"/>
      <c r="Q362" s="80" t="str">
        <f>IF(A362="","",'List Setup'!$A$3)</f>
        <v/>
      </c>
      <c r="R362" s="80" t="str">
        <f t="array" ref="R362">IF(A362="","",IFERROR(OR(INDEX(Binders!$J$6:$J$30,MATCH(Q362,Binders!$I$6:$I$30,0))=TRUE(),UPPER(INDEX(Binders!$J$6:$J$30,MATCH(Q362,Binders!$I$6:$I$30,0))&amp;"")="TRUE"),FALSE()))</f>
        <v/>
      </c>
    </row>
    <row r="363" ht="15.75" customHeight="1">
      <c r="A363" s="80" t="str">
        <f t="array" ref="A363">IF(INDEX('Deck 1'!$A:$Z,ROW()-250,'List Setup'!$D$3)="","",INDEX('Deck 1'!$A:$Z,ROW()-250,'List Setup'!$D$3))</f>
        <v/>
      </c>
      <c r="B363" s="80" t="str">
        <f t="array" ref="B363">IF(A363="","",IFERROR(INDEX('Binder Setup'!$B$2:$B$401,MIN(IF(ISNUMBER(SEARCH(CHAR(10)&amp;'Binder Setup'!$B$2:$B$401&amp;CHAR(10),$H363)),'List Setup'!$Q$2:$Q$401,999),IF(ISNUMBER(SEARCH(CHAR(10)&amp;'Set Aliases'!$A$2:$A$501&amp;CHAR(10),$H363)),'Set Aliases'!$C$2:$C$501,999))),"(none)"))</f>
        <v/>
      </c>
      <c r="C363" s="80" t="str">
        <f t="shared" si="1"/>
        <v/>
      </c>
      <c r="D363" s="80" t="str">
        <f t="array" ref="D363">IF(A363="","",IF(ISLOGICAL(INDEX('Deck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63" s="80" t="str">
        <f t="shared" si="2"/>
        <v/>
      </c>
      <c r="F363" s="80" t="str">
        <f t="array" ref="F363">IF(A363="","",IF(ISNUMBER(J363),J363,IF(ISNUMBER(INDEX('Deck 1'!$A:$Z,ROW()-250,'List Setup'!$F$3)),INDEX('Deck 1'!$A:$Z,ROW()-250,'List Setup'!$F$3),0)))</f>
        <v/>
      </c>
      <c r="G363" s="80" t="str">
        <f t="array" ref="G363">IF(A363="","",A363&amp;IF(N(INDEX('Deck 1'!$A:$Z,ROW()-250,'List Setup'!$C$3))&gt;1," (x"&amp;INDEX('Deck 1'!$A:$Z,ROW()-250,'List Setup'!$C$3)&amp;")","")&amp;IF(COUNTIF(Binders!$J$6:$J$30,TRUE())&gt;1," ["&amp;Q363&amp;"]",""))</f>
        <v/>
      </c>
      <c r="H363" s="80" t="str">
        <f t="array" ref="H363">IF(A363="","",CHAR(10)&amp;INDEX('Deck 1'!$A:$Z,ROW()-250,'List Setup'!$E$3)&amp;CHAR(10))</f>
        <v/>
      </c>
      <c r="I363" s="80" t="str">
        <f t="array" ref="I363">IF(OR(B363="",B363="(none)"),"",IF(ISNUMBER(SEARCH(CHAR(10)&amp;B363&amp;CHAR(10),H363)),B363,IFERROR(INDEX('Set Aliases'!$A$2:$A$501,MATCH(1,('Set Aliases'!$B$2:$B$501=B363)*ISNUMBER(SEARCH(CHAR(10)&amp;'Set Aliases'!$A$2:$A$501&amp;CHAR(10),H363)),0)),"")))</f>
        <v/>
      </c>
      <c r="J363" s="80" t="str">
        <f t="array" ref="J363">IF(I363="","",IFERROR(VALUE(TRIM(MID(SUBSTITUTE(INDEX('Deck 1'!$A:$Z,ROW()-250,'List Setup'!$G$3),CHAR(10),REPT(" ",100)),((SEARCH(CHAR(10)&amp;I363&amp;CHAR(10),H363)-LEN(SUBSTITUTE(LEFT(H363,SEARCH(CHAR(10)&amp;I363&amp;CHAR(10),H363)),CHAR(10),"")))-1)*100+1,100))),""))</f>
        <v/>
      </c>
      <c r="K363" s="80" t="str">
        <f t="array" ref="K363">IF(A363="","",IF(ISNUMBER(SEARCH("Land",LEFT(IFERROR(INDEX('Deck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63" s="80" t="str">
        <f t="shared" si="3"/>
        <v/>
      </c>
      <c r="M363" s="80" t="str">
        <f>IF(A363="","",IF(AND(E363="Y",B363='Use at Shop'!$B$4),K363*10000000000+(MAX(0,MIN(26,CODE(MID(UPPER(A363)&amp;"    ",1,1))-64))*19683+MAX(0,MIN(26,CODE(MID(UPPER(A363)&amp;"    ",2,1))-64))*729+MAX(0,MIN(26,CODE(MID(UPPER(A363)&amp;"    ",3,1))-64))*27+MAX(0,MIN(26,CODE(MID(UPPER(A363)&amp;"    ",4,1))-64))*1)*10000+ROW(),""))</f>
        <v/>
      </c>
      <c r="N363" s="80" t="str">
        <f t="shared" si="5"/>
        <v/>
      </c>
      <c r="O363" s="80" t="str">
        <f t="array" ref="O363">IF(A363="","",IFERROR(INDEX('Deck 1'!$A:$Z,ROW()-250,'List Setup'!$J$3)&amp;"",""))</f>
        <v/>
      </c>
      <c r="P363" s="2"/>
      <c r="Q363" s="80" t="str">
        <f>IF(A363="","",'List Setup'!$A$3)</f>
        <v/>
      </c>
      <c r="R363" s="80" t="str">
        <f t="array" ref="R363">IF(A363="","",IFERROR(OR(INDEX(Binders!$J$6:$J$30,MATCH(Q363,Binders!$I$6:$I$30,0))=TRUE(),UPPER(INDEX(Binders!$J$6:$J$30,MATCH(Q363,Binders!$I$6:$I$30,0))&amp;"")="TRUE"),FALSE()))</f>
        <v/>
      </c>
    </row>
    <row r="364" ht="15.75" customHeight="1">
      <c r="A364" s="80" t="str">
        <f t="array" ref="A364">IF(INDEX('Deck 1'!$A:$Z,ROW()-250,'List Setup'!$D$3)="","",INDEX('Deck 1'!$A:$Z,ROW()-250,'List Setup'!$D$3))</f>
        <v/>
      </c>
      <c r="B364" s="80" t="str">
        <f t="array" ref="B364">IF(A364="","",IFERROR(INDEX('Binder Setup'!$B$2:$B$401,MIN(IF(ISNUMBER(SEARCH(CHAR(10)&amp;'Binder Setup'!$B$2:$B$401&amp;CHAR(10),$H364)),'List Setup'!$Q$2:$Q$401,999),IF(ISNUMBER(SEARCH(CHAR(10)&amp;'Set Aliases'!$A$2:$A$501&amp;CHAR(10),$H364)),'Set Aliases'!$C$2:$C$501,999))),"(none)"))</f>
        <v/>
      </c>
      <c r="C364" s="80" t="str">
        <f t="shared" si="1"/>
        <v/>
      </c>
      <c r="D364" s="80" t="str">
        <f t="array" ref="D364">IF(A364="","",IF(ISLOGICAL(INDEX('Deck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64" s="80" t="str">
        <f t="shared" si="2"/>
        <v/>
      </c>
      <c r="F364" s="80" t="str">
        <f t="array" ref="F364">IF(A364="","",IF(ISNUMBER(J364),J364,IF(ISNUMBER(INDEX('Deck 1'!$A:$Z,ROW()-250,'List Setup'!$F$3)),INDEX('Deck 1'!$A:$Z,ROW()-250,'List Setup'!$F$3),0)))</f>
        <v/>
      </c>
      <c r="G364" s="80" t="str">
        <f t="array" ref="G364">IF(A364="","",A364&amp;IF(N(INDEX('Deck 1'!$A:$Z,ROW()-250,'List Setup'!$C$3))&gt;1," (x"&amp;INDEX('Deck 1'!$A:$Z,ROW()-250,'List Setup'!$C$3)&amp;")","")&amp;IF(COUNTIF(Binders!$J$6:$J$30,TRUE())&gt;1," ["&amp;Q364&amp;"]",""))</f>
        <v/>
      </c>
      <c r="H364" s="80" t="str">
        <f t="array" ref="H364">IF(A364="","",CHAR(10)&amp;INDEX('Deck 1'!$A:$Z,ROW()-250,'List Setup'!$E$3)&amp;CHAR(10))</f>
        <v/>
      </c>
      <c r="I364" s="80" t="str">
        <f t="array" ref="I364">IF(OR(B364="",B364="(none)"),"",IF(ISNUMBER(SEARCH(CHAR(10)&amp;B364&amp;CHAR(10),H364)),B364,IFERROR(INDEX('Set Aliases'!$A$2:$A$501,MATCH(1,('Set Aliases'!$B$2:$B$501=B364)*ISNUMBER(SEARCH(CHAR(10)&amp;'Set Aliases'!$A$2:$A$501&amp;CHAR(10),H364)),0)),"")))</f>
        <v/>
      </c>
      <c r="J364" s="80" t="str">
        <f t="array" ref="J364">IF(I364="","",IFERROR(VALUE(TRIM(MID(SUBSTITUTE(INDEX('Deck 1'!$A:$Z,ROW()-250,'List Setup'!$G$3),CHAR(10),REPT(" ",100)),((SEARCH(CHAR(10)&amp;I364&amp;CHAR(10),H364)-LEN(SUBSTITUTE(LEFT(H364,SEARCH(CHAR(10)&amp;I364&amp;CHAR(10),H364)),CHAR(10),"")))-1)*100+1,100))),""))</f>
        <v/>
      </c>
      <c r="K364" s="80" t="str">
        <f t="array" ref="K364">IF(A364="","",IF(ISNUMBER(SEARCH("Land",LEFT(IFERROR(INDEX('Deck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64" s="80" t="str">
        <f t="shared" si="3"/>
        <v/>
      </c>
      <c r="M364" s="80" t="str">
        <f>IF(A364="","",IF(AND(E364="Y",B364='Use at Shop'!$B$4),K364*10000000000+(MAX(0,MIN(26,CODE(MID(UPPER(A364)&amp;"    ",1,1))-64))*19683+MAX(0,MIN(26,CODE(MID(UPPER(A364)&amp;"    ",2,1))-64))*729+MAX(0,MIN(26,CODE(MID(UPPER(A364)&amp;"    ",3,1))-64))*27+MAX(0,MIN(26,CODE(MID(UPPER(A364)&amp;"    ",4,1))-64))*1)*10000+ROW(),""))</f>
        <v/>
      </c>
      <c r="N364" s="80" t="str">
        <f t="shared" si="5"/>
        <v/>
      </c>
      <c r="O364" s="80" t="str">
        <f t="array" ref="O364">IF(A364="","",IFERROR(INDEX('Deck 1'!$A:$Z,ROW()-250,'List Setup'!$J$3)&amp;"",""))</f>
        <v/>
      </c>
      <c r="P364" s="2"/>
      <c r="Q364" s="80" t="str">
        <f>IF(A364="","",'List Setup'!$A$3)</f>
        <v/>
      </c>
      <c r="R364" s="80" t="str">
        <f t="array" ref="R364">IF(A364="","",IFERROR(OR(INDEX(Binders!$J$6:$J$30,MATCH(Q364,Binders!$I$6:$I$30,0))=TRUE(),UPPER(INDEX(Binders!$J$6:$J$30,MATCH(Q364,Binders!$I$6:$I$30,0))&amp;"")="TRUE"),FALSE()))</f>
        <v/>
      </c>
    </row>
    <row r="365" ht="15.75" customHeight="1">
      <c r="A365" s="80" t="str">
        <f t="array" ref="A365">IF(INDEX('Deck 1'!$A:$Z,ROW()-250,'List Setup'!$D$3)="","",INDEX('Deck 1'!$A:$Z,ROW()-250,'List Setup'!$D$3))</f>
        <v/>
      </c>
      <c r="B365" s="80" t="str">
        <f t="array" ref="B365">IF(A365="","",IFERROR(INDEX('Binder Setup'!$B$2:$B$401,MIN(IF(ISNUMBER(SEARCH(CHAR(10)&amp;'Binder Setup'!$B$2:$B$401&amp;CHAR(10),$H365)),'List Setup'!$Q$2:$Q$401,999),IF(ISNUMBER(SEARCH(CHAR(10)&amp;'Set Aliases'!$A$2:$A$501&amp;CHAR(10),$H365)),'Set Aliases'!$C$2:$C$501,999))),"(none)"))</f>
        <v/>
      </c>
      <c r="C365" s="80" t="str">
        <f t="shared" si="1"/>
        <v/>
      </c>
      <c r="D365" s="80" t="str">
        <f t="array" ref="D365">IF(A365="","",IF(ISLOGICAL(INDEX('Deck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65" s="80" t="str">
        <f t="shared" si="2"/>
        <v/>
      </c>
      <c r="F365" s="80" t="str">
        <f t="array" ref="F365">IF(A365="","",IF(ISNUMBER(J365),J365,IF(ISNUMBER(INDEX('Deck 1'!$A:$Z,ROW()-250,'List Setup'!$F$3)),INDEX('Deck 1'!$A:$Z,ROW()-250,'List Setup'!$F$3),0)))</f>
        <v/>
      </c>
      <c r="G365" s="80" t="str">
        <f t="array" ref="G365">IF(A365="","",A365&amp;IF(N(INDEX('Deck 1'!$A:$Z,ROW()-250,'List Setup'!$C$3))&gt;1," (x"&amp;INDEX('Deck 1'!$A:$Z,ROW()-250,'List Setup'!$C$3)&amp;")","")&amp;IF(COUNTIF(Binders!$J$6:$J$30,TRUE())&gt;1," ["&amp;Q365&amp;"]",""))</f>
        <v/>
      </c>
      <c r="H365" s="80" t="str">
        <f t="array" ref="H365">IF(A365="","",CHAR(10)&amp;INDEX('Deck 1'!$A:$Z,ROW()-250,'List Setup'!$E$3)&amp;CHAR(10))</f>
        <v/>
      </c>
      <c r="I365" s="80" t="str">
        <f t="array" ref="I365">IF(OR(B365="",B365="(none)"),"",IF(ISNUMBER(SEARCH(CHAR(10)&amp;B365&amp;CHAR(10),H365)),B365,IFERROR(INDEX('Set Aliases'!$A$2:$A$501,MATCH(1,('Set Aliases'!$B$2:$B$501=B365)*ISNUMBER(SEARCH(CHAR(10)&amp;'Set Aliases'!$A$2:$A$501&amp;CHAR(10),H365)),0)),"")))</f>
        <v/>
      </c>
      <c r="J365" s="80" t="str">
        <f t="array" ref="J365">IF(I365="","",IFERROR(VALUE(TRIM(MID(SUBSTITUTE(INDEX('Deck 1'!$A:$Z,ROW()-250,'List Setup'!$G$3),CHAR(10),REPT(" ",100)),((SEARCH(CHAR(10)&amp;I365&amp;CHAR(10),H365)-LEN(SUBSTITUTE(LEFT(H365,SEARCH(CHAR(10)&amp;I365&amp;CHAR(10),H365)),CHAR(10),"")))-1)*100+1,100))),""))</f>
        <v/>
      </c>
      <c r="K365" s="80" t="str">
        <f t="array" ref="K365">IF(A365="","",IF(ISNUMBER(SEARCH("Land",LEFT(IFERROR(INDEX('Deck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65" s="80" t="str">
        <f t="shared" si="3"/>
        <v/>
      </c>
      <c r="M365" s="80" t="str">
        <f>IF(A365="","",IF(AND(E365="Y",B365='Use at Shop'!$B$4),K365*10000000000+(MAX(0,MIN(26,CODE(MID(UPPER(A365)&amp;"    ",1,1))-64))*19683+MAX(0,MIN(26,CODE(MID(UPPER(A365)&amp;"    ",2,1))-64))*729+MAX(0,MIN(26,CODE(MID(UPPER(A365)&amp;"    ",3,1))-64))*27+MAX(0,MIN(26,CODE(MID(UPPER(A365)&amp;"    ",4,1))-64))*1)*10000+ROW(),""))</f>
        <v/>
      </c>
      <c r="N365" s="80" t="str">
        <f t="shared" si="5"/>
        <v/>
      </c>
      <c r="O365" s="80" t="str">
        <f t="array" ref="O365">IF(A365="","",IFERROR(INDEX('Deck 1'!$A:$Z,ROW()-250,'List Setup'!$J$3)&amp;"",""))</f>
        <v/>
      </c>
      <c r="P365" s="2"/>
      <c r="Q365" s="80" t="str">
        <f>IF(A365="","",'List Setup'!$A$3)</f>
        <v/>
      </c>
      <c r="R365" s="80" t="str">
        <f t="array" ref="R365">IF(A365="","",IFERROR(OR(INDEX(Binders!$J$6:$J$30,MATCH(Q365,Binders!$I$6:$I$30,0))=TRUE(),UPPER(INDEX(Binders!$J$6:$J$30,MATCH(Q365,Binders!$I$6:$I$30,0))&amp;"")="TRUE"),FALSE()))</f>
        <v/>
      </c>
    </row>
    <row r="366" ht="15.75" customHeight="1">
      <c r="A366" s="80" t="str">
        <f t="array" ref="A366">IF(INDEX('Deck 1'!$A:$Z,ROW()-250,'List Setup'!$D$3)="","",INDEX('Deck 1'!$A:$Z,ROW()-250,'List Setup'!$D$3))</f>
        <v/>
      </c>
      <c r="B366" s="80" t="str">
        <f t="array" ref="B366">IF(A366="","",IFERROR(INDEX('Binder Setup'!$B$2:$B$401,MIN(IF(ISNUMBER(SEARCH(CHAR(10)&amp;'Binder Setup'!$B$2:$B$401&amp;CHAR(10),$H366)),'List Setup'!$Q$2:$Q$401,999),IF(ISNUMBER(SEARCH(CHAR(10)&amp;'Set Aliases'!$A$2:$A$501&amp;CHAR(10),$H366)),'Set Aliases'!$C$2:$C$501,999))),"(none)"))</f>
        <v/>
      </c>
      <c r="C366" s="80" t="str">
        <f t="shared" si="1"/>
        <v/>
      </c>
      <c r="D366" s="80" t="str">
        <f t="array" ref="D366">IF(A366="","",IF(ISLOGICAL(INDEX('Deck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66" s="80" t="str">
        <f t="shared" si="2"/>
        <v/>
      </c>
      <c r="F366" s="80" t="str">
        <f t="array" ref="F366">IF(A366="","",IF(ISNUMBER(J366),J366,IF(ISNUMBER(INDEX('Deck 1'!$A:$Z,ROW()-250,'List Setup'!$F$3)),INDEX('Deck 1'!$A:$Z,ROW()-250,'List Setup'!$F$3),0)))</f>
        <v/>
      </c>
      <c r="G366" s="80" t="str">
        <f t="array" ref="G366">IF(A366="","",A366&amp;IF(N(INDEX('Deck 1'!$A:$Z,ROW()-250,'List Setup'!$C$3))&gt;1," (x"&amp;INDEX('Deck 1'!$A:$Z,ROW()-250,'List Setup'!$C$3)&amp;")","")&amp;IF(COUNTIF(Binders!$J$6:$J$30,TRUE())&gt;1," ["&amp;Q366&amp;"]",""))</f>
        <v/>
      </c>
      <c r="H366" s="80" t="str">
        <f t="array" ref="H366">IF(A366="","",CHAR(10)&amp;INDEX('Deck 1'!$A:$Z,ROW()-250,'List Setup'!$E$3)&amp;CHAR(10))</f>
        <v/>
      </c>
      <c r="I366" s="80" t="str">
        <f t="array" ref="I366">IF(OR(B366="",B366="(none)"),"",IF(ISNUMBER(SEARCH(CHAR(10)&amp;B366&amp;CHAR(10),H366)),B366,IFERROR(INDEX('Set Aliases'!$A$2:$A$501,MATCH(1,('Set Aliases'!$B$2:$B$501=B366)*ISNUMBER(SEARCH(CHAR(10)&amp;'Set Aliases'!$A$2:$A$501&amp;CHAR(10),H366)),0)),"")))</f>
        <v/>
      </c>
      <c r="J366" s="80" t="str">
        <f t="array" ref="J366">IF(I366="","",IFERROR(VALUE(TRIM(MID(SUBSTITUTE(INDEX('Deck 1'!$A:$Z,ROW()-250,'List Setup'!$G$3),CHAR(10),REPT(" ",100)),((SEARCH(CHAR(10)&amp;I366&amp;CHAR(10),H366)-LEN(SUBSTITUTE(LEFT(H366,SEARCH(CHAR(10)&amp;I366&amp;CHAR(10),H366)),CHAR(10),"")))-1)*100+1,100))),""))</f>
        <v/>
      </c>
      <c r="K366" s="80" t="str">
        <f t="array" ref="K366">IF(A366="","",IF(ISNUMBER(SEARCH("Land",LEFT(IFERROR(INDEX('Deck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66" s="80" t="str">
        <f t="shared" si="3"/>
        <v/>
      </c>
      <c r="M366" s="80" t="str">
        <f>IF(A366="","",IF(AND(E366="Y",B366='Use at Shop'!$B$4),K366*10000000000+(MAX(0,MIN(26,CODE(MID(UPPER(A366)&amp;"    ",1,1))-64))*19683+MAX(0,MIN(26,CODE(MID(UPPER(A366)&amp;"    ",2,1))-64))*729+MAX(0,MIN(26,CODE(MID(UPPER(A366)&amp;"    ",3,1))-64))*27+MAX(0,MIN(26,CODE(MID(UPPER(A366)&amp;"    ",4,1))-64))*1)*10000+ROW(),""))</f>
        <v/>
      </c>
      <c r="N366" s="80" t="str">
        <f t="shared" si="5"/>
        <v/>
      </c>
      <c r="O366" s="80" t="str">
        <f t="array" ref="O366">IF(A366="","",IFERROR(INDEX('Deck 1'!$A:$Z,ROW()-250,'List Setup'!$J$3)&amp;"",""))</f>
        <v/>
      </c>
      <c r="P366" s="2"/>
      <c r="Q366" s="80" t="str">
        <f>IF(A366="","",'List Setup'!$A$3)</f>
        <v/>
      </c>
      <c r="R366" s="80" t="str">
        <f t="array" ref="R366">IF(A366="","",IFERROR(OR(INDEX(Binders!$J$6:$J$30,MATCH(Q366,Binders!$I$6:$I$30,0))=TRUE(),UPPER(INDEX(Binders!$J$6:$J$30,MATCH(Q366,Binders!$I$6:$I$30,0))&amp;"")="TRUE"),FALSE()))</f>
        <v/>
      </c>
    </row>
    <row r="367" ht="15.75" customHeight="1">
      <c r="A367" s="80" t="str">
        <f t="array" ref="A367">IF(INDEX('Deck 1'!$A:$Z,ROW()-250,'List Setup'!$D$3)="","",INDEX('Deck 1'!$A:$Z,ROW()-250,'List Setup'!$D$3))</f>
        <v/>
      </c>
      <c r="B367" s="80" t="str">
        <f t="array" ref="B367">IF(A367="","",IFERROR(INDEX('Binder Setup'!$B$2:$B$401,MIN(IF(ISNUMBER(SEARCH(CHAR(10)&amp;'Binder Setup'!$B$2:$B$401&amp;CHAR(10),$H367)),'List Setup'!$Q$2:$Q$401,999),IF(ISNUMBER(SEARCH(CHAR(10)&amp;'Set Aliases'!$A$2:$A$501&amp;CHAR(10),$H367)),'Set Aliases'!$C$2:$C$501,999))),"(none)"))</f>
        <v/>
      </c>
      <c r="C367" s="80" t="str">
        <f t="shared" si="1"/>
        <v/>
      </c>
      <c r="D367" s="80" t="str">
        <f t="array" ref="D367">IF(A367="","",IF(ISLOGICAL(INDEX('Deck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67" s="80" t="str">
        <f t="shared" si="2"/>
        <v/>
      </c>
      <c r="F367" s="80" t="str">
        <f t="array" ref="F367">IF(A367="","",IF(ISNUMBER(J367),J367,IF(ISNUMBER(INDEX('Deck 1'!$A:$Z,ROW()-250,'List Setup'!$F$3)),INDEX('Deck 1'!$A:$Z,ROW()-250,'List Setup'!$F$3),0)))</f>
        <v/>
      </c>
      <c r="G367" s="80" t="str">
        <f t="array" ref="G367">IF(A367="","",A367&amp;IF(N(INDEX('Deck 1'!$A:$Z,ROW()-250,'List Setup'!$C$3))&gt;1," (x"&amp;INDEX('Deck 1'!$A:$Z,ROW()-250,'List Setup'!$C$3)&amp;")","")&amp;IF(COUNTIF(Binders!$J$6:$J$30,TRUE())&gt;1," ["&amp;Q367&amp;"]",""))</f>
        <v/>
      </c>
      <c r="H367" s="80" t="str">
        <f t="array" ref="H367">IF(A367="","",CHAR(10)&amp;INDEX('Deck 1'!$A:$Z,ROW()-250,'List Setup'!$E$3)&amp;CHAR(10))</f>
        <v/>
      </c>
      <c r="I367" s="80" t="str">
        <f t="array" ref="I367">IF(OR(B367="",B367="(none)"),"",IF(ISNUMBER(SEARCH(CHAR(10)&amp;B367&amp;CHAR(10),H367)),B367,IFERROR(INDEX('Set Aliases'!$A$2:$A$501,MATCH(1,('Set Aliases'!$B$2:$B$501=B367)*ISNUMBER(SEARCH(CHAR(10)&amp;'Set Aliases'!$A$2:$A$501&amp;CHAR(10),H367)),0)),"")))</f>
        <v/>
      </c>
      <c r="J367" s="80" t="str">
        <f t="array" ref="J367">IF(I367="","",IFERROR(VALUE(TRIM(MID(SUBSTITUTE(INDEX('Deck 1'!$A:$Z,ROW()-250,'List Setup'!$G$3),CHAR(10),REPT(" ",100)),((SEARCH(CHAR(10)&amp;I367&amp;CHAR(10),H367)-LEN(SUBSTITUTE(LEFT(H367,SEARCH(CHAR(10)&amp;I367&amp;CHAR(10),H367)),CHAR(10),"")))-1)*100+1,100))),""))</f>
        <v/>
      </c>
      <c r="K367" s="80" t="str">
        <f t="array" ref="K367">IF(A367="","",IF(ISNUMBER(SEARCH("Land",LEFT(IFERROR(INDEX('Deck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67" s="80" t="str">
        <f t="shared" si="3"/>
        <v/>
      </c>
      <c r="M367" s="80" t="str">
        <f>IF(A367="","",IF(AND(E367="Y",B367='Use at Shop'!$B$4),K367*10000000000+(MAX(0,MIN(26,CODE(MID(UPPER(A367)&amp;"    ",1,1))-64))*19683+MAX(0,MIN(26,CODE(MID(UPPER(A367)&amp;"    ",2,1))-64))*729+MAX(0,MIN(26,CODE(MID(UPPER(A367)&amp;"    ",3,1))-64))*27+MAX(0,MIN(26,CODE(MID(UPPER(A367)&amp;"    ",4,1))-64))*1)*10000+ROW(),""))</f>
        <v/>
      </c>
      <c r="N367" s="80" t="str">
        <f t="shared" si="5"/>
        <v/>
      </c>
      <c r="O367" s="80" t="str">
        <f t="array" ref="O367">IF(A367="","",IFERROR(INDEX('Deck 1'!$A:$Z,ROW()-250,'List Setup'!$J$3)&amp;"",""))</f>
        <v/>
      </c>
      <c r="P367" s="2"/>
      <c r="Q367" s="80" t="str">
        <f>IF(A367="","",'List Setup'!$A$3)</f>
        <v/>
      </c>
      <c r="R367" s="80" t="str">
        <f t="array" ref="R367">IF(A367="","",IFERROR(OR(INDEX(Binders!$J$6:$J$30,MATCH(Q367,Binders!$I$6:$I$30,0))=TRUE(),UPPER(INDEX(Binders!$J$6:$J$30,MATCH(Q367,Binders!$I$6:$I$30,0))&amp;"")="TRUE"),FALSE()))</f>
        <v/>
      </c>
    </row>
    <row r="368" ht="15.75" customHeight="1">
      <c r="A368" s="80" t="str">
        <f t="array" ref="A368">IF(INDEX('Deck 1'!$A:$Z,ROW()-250,'List Setup'!$D$3)="","",INDEX('Deck 1'!$A:$Z,ROW()-250,'List Setup'!$D$3))</f>
        <v/>
      </c>
      <c r="B368" s="80" t="str">
        <f t="array" ref="B368">IF(A368="","",IFERROR(INDEX('Binder Setup'!$B$2:$B$401,MIN(IF(ISNUMBER(SEARCH(CHAR(10)&amp;'Binder Setup'!$B$2:$B$401&amp;CHAR(10),$H368)),'List Setup'!$Q$2:$Q$401,999),IF(ISNUMBER(SEARCH(CHAR(10)&amp;'Set Aliases'!$A$2:$A$501&amp;CHAR(10),$H368)),'Set Aliases'!$C$2:$C$501,999))),"(none)"))</f>
        <v/>
      </c>
      <c r="C368" s="80" t="str">
        <f t="shared" si="1"/>
        <v/>
      </c>
      <c r="D368" s="80" t="str">
        <f t="array" ref="D368">IF(A368="","",IF(ISLOGICAL(INDEX('Deck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68" s="80" t="str">
        <f t="shared" si="2"/>
        <v/>
      </c>
      <c r="F368" s="80" t="str">
        <f t="array" ref="F368">IF(A368="","",IF(ISNUMBER(J368),J368,IF(ISNUMBER(INDEX('Deck 1'!$A:$Z,ROW()-250,'List Setup'!$F$3)),INDEX('Deck 1'!$A:$Z,ROW()-250,'List Setup'!$F$3),0)))</f>
        <v/>
      </c>
      <c r="G368" s="80" t="str">
        <f t="array" ref="G368">IF(A368="","",A368&amp;IF(N(INDEX('Deck 1'!$A:$Z,ROW()-250,'List Setup'!$C$3))&gt;1," (x"&amp;INDEX('Deck 1'!$A:$Z,ROW()-250,'List Setup'!$C$3)&amp;")","")&amp;IF(COUNTIF(Binders!$J$6:$J$30,TRUE())&gt;1," ["&amp;Q368&amp;"]",""))</f>
        <v/>
      </c>
      <c r="H368" s="80" t="str">
        <f t="array" ref="H368">IF(A368="","",CHAR(10)&amp;INDEX('Deck 1'!$A:$Z,ROW()-250,'List Setup'!$E$3)&amp;CHAR(10))</f>
        <v/>
      </c>
      <c r="I368" s="80" t="str">
        <f t="array" ref="I368">IF(OR(B368="",B368="(none)"),"",IF(ISNUMBER(SEARCH(CHAR(10)&amp;B368&amp;CHAR(10),H368)),B368,IFERROR(INDEX('Set Aliases'!$A$2:$A$501,MATCH(1,('Set Aliases'!$B$2:$B$501=B368)*ISNUMBER(SEARCH(CHAR(10)&amp;'Set Aliases'!$A$2:$A$501&amp;CHAR(10),H368)),0)),"")))</f>
        <v/>
      </c>
      <c r="J368" s="80" t="str">
        <f t="array" ref="J368">IF(I368="","",IFERROR(VALUE(TRIM(MID(SUBSTITUTE(INDEX('Deck 1'!$A:$Z,ROW()-250,'List Setup'!$G$3),CHAR(10),REPT(" ",100)),((SEARCH(CHAR(10)&amp;I368&amp;CHAR(10),H368)-LEN(SUBSTITUTE(LEFT(H368,SEARCH(CHAR(10)&amp;I368&amp;CHAR(10),H368)),CHAR(10),"")))-1)*100+1,100))),""))</f>
        <v/>
      </c>
      <c r="K368" s="80" t="str">
        <f t="array" ref="K368">IF(A368="","",IF(ISNUMBER(SEARCH("Land",LEFT(IFERROR(INDEX('Deck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68" s="80" t="str">
        <f t="shared" si="3"/>
        <v/>
      </c>
      <c r="M368" s="80" t="str">
        <f>IF(A368="","",IF(AND(E368="Y",B368='Use at Shop'!$B$4),K368*10000000000+(MAX(0,MIN(26,CODE(MID(UPPER(A368)&amp;"    ",1,1))-64))*19683+MAX(0,MIN(26,CODE(MID(UPPER(A368)&amp;"    ",2,1))-64))*729+MAX(0,MIN(26,CODE(MID(UPPER(A368)&amp;"    ",3,1))-64))*27+MAX(0,MIN(26,CODE(MID(UPPER(A368)&amp;"    ",4,1))-64))*1)*10000+ROW(),""))</f>
        <v/>
      </c>
      <c r="N368" s="80" t="str">
        <f t="shared" si="5"/>
        <v/>
      </c>
      <c r="O368" s="80" t="str">
        <f t="array" ref="O368">IF(A368="","",IFERROR(INDEX('Deck 1'!$A:$Z,ROW()-250,'List Setup'!$J$3)&amp;"",""))</f>
        <v/>
      </c>
      <c r="P368" s="2"/>
      <c r="Q368" s="80" t="str">
        <f>IF(A368="","",'List Setup'!$A$3)</f>
        <v/>
      </c>
      <c r="R368" s="80" t="str">
        <f t="array" ref="R368">IF(A368="","",IFERROR(OR(INDEX(Binders!$J$6:$J$30,MATCH(Q368,Binders!$I$6:$I$30,0))=TRUE(),UPPER(INDEX(Binders!$J$6:$J$30,MATCH(Q368,Binders!$I$6:$I$30,0))&amp;"")="TRUE"),FALSE()))</f>
        <v/>
      </c>
    </row>
    <row r="369" ht="15.75" customHeight="1">
      <c r="A369" s="80" t="str">
        <f t="array" ref="A369">IF(INDEX('Deck 1'!$A:$Z,ROW()-250,'List Setup'!$D$3)="","",INDEX('Deck 1'!$A:$Z,ROW()-250,'List Setup'!$D$3))</f>
        <v/>
      </c>
      <c r="B369" s="80" t="str">
        <f t="array" ref="B369">IF(A369="","",IFERROR(INDEX('Binder Setup'!$B$2:$B$401,MIN(IF(ISNUMBER(SEARCH(CHAR(10)&amp;'Binder Setup'!$B$2:$B$401&amp;CHAR(10),$H369)),'List Setup'!$Q$2:$Q$401,999),IF(ISNUMBER(SEARCH(CHAR(10)&amp;'Set Aliases'!$A$2:$A$501&amp;CHAR(10),$H369)),'Set Aliases'!$C$2:$C$501,999))),"(none)"))</f>
        <v/>
      </c>
      <c r="C369" s="80" t="str">
        <f t="shared" si="1"/>
        <v/>
      </c>
      <c r="D369" s="80" t="str">
        <f t="array" ref="D369">IF(A369="","",IF(ISLOGICAL(INDEX('Deck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69" s="80" t="str">
        <f t="shared" si="2"/>
        <v/>
      </c>
      <c r="F369" s="80" t="str">
        <f t="array" ref="F369">IF(A369="","",IF(ISNUMBER(J369),J369,IF(ISNUMBER(INDEX('Deck 1'!$A:$Z,ROW()-250,'List Setup'!$F$3)),INDEX('Deck 1'!$A:$Z,ROW()-250,'List Setup'!$F$3),0)))</f>
        <v/>
      </c>
      <c r="G369" s="80" t="str">
        <f t="array" ref="G369">IF(A369="","",A369&amp;IF(N(INDEX('Deck 1'!$A:$Z,ROW()-250,'List Setup'!$C$3))&gt;1," (x"&amp;INDEX('Deck 1'!$A:$Z,ROW()-250,'List Setup'!$C$3)&amp;")","")&amp;IF(COUNTIF(Binders!$J$6:$J$30,TRUE())&gt;1," ["&amp;Q369&amp;"]",""))</f>
        <v/>
      </c>
      <c r="H369" s="80" t="str">
        <f t="array" ref="H369">IF(A369="","",CHAR(10)&amp;INDEX('Deck 1'!$A:$Z,ROW()-250,'List Setup'!$E$3)&amp;CHAR(10))</f>
        <v/>
      </c>
      <c r="I369" s="80" t="str">
        <f t="array" ref="I369">IF(OR(B369="",B369="(none)"),"",IF(ISNUMBER(SEARCH(CHAR(10)&amp;B369&amp;CHAR(10),H369)),B369,IFERROR(INDEX('Set Aliases'!$A$2:$A$501,MATCH(1,('Set Aliases'!$B$2:$B$501=B369)*ISNUMBER(SEARCH(CHAR(10)&amp;'Set Aliases'!$A$2:$A$501&amp;CHAR(10),H369)),0)),"")))</f>
        <v/>
      </c>
      <c r="J369" s="80" t="str">
        <f t="array" ref="J369">IF(I369="","",IFERROR(VALUE(TRIM(MID(SUBSTITUTE(INDEX('Deck 1'!$A:$Z,ROW()-250,'List Setup'!$G$3),CHAR(10),REPT(" ",100)),((SEARCH(CHAR(10)&amp;I369&amp;CHAR(10),H369)-LEN(SUBSTITUTE(LEFT(H369,SEARCH(CHAR(10)&amp;I369&amp;CHAR(10),H369)),CHAR(10),"")))-1)*100+1,100))),""))</f>
        <v/>
      </c>
      <c r="K369" s="80" t="str">
        <f t="array" ref="K369">IF(A369="","",IF(ISNUMBER(SEARCH("Land",LEFT(IFERROR(INDEX('Deck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69" s="80" t="str">
        <f t="shared" si="3"/>
        <v/>
      </c>
      <c r="M369" s="80" t="str">
        <f>IF(A369="","",IF(AND(E369="Y",B369='Use at Shop'!$B$4),K369*10000000000+(MAX(0,MIN(26,CODE(MID(UPPER(A369)&amp;"    ",1,1))-64))*19683+MAX(0,MIN(26,CODE(MID(UPPER(A369)&amp;"    ",2,1))-64))*729+MAX(0,MIN(26,CODE(MID(UPPER(A369)&amp;"    ",3,1))-64))*27+MAX(0,MIN(26,CODE(MID(UPPER(A369)&amp;"    ",4,1))-64))*1)*10000+ROW(),""))</f>
        <v/>
      </c>
      <c r="N369" s="80" t="str">
        <f t="shared" si="5"/>
        <v/>
      </c>
      <c r="O369" s="80" t="str">
        <f t="array" ref="O369">IF(A369="","",IFERROR(INDEX('Deck 1'!$A:$Z,ROW()-250,'List Setup'!$J$3)&amp;"",""))</f>
        <v/>
      </c>
      <c r="P369" s="2"/>
      <c r="Q369" s="80" t="str">
        <f>IF(A369="","",'List Setup'!$A$3)</f>
        <v/>
      </c>
      <c r="R369" s="80" t="str">
        <f t="array" ref="R369">IF(A369="","",IFERROR(OR(INDEX(Binders!$J$6:$J$30,MATCH(Q369,Binders!$I$6:$I$30,0))=TRUE(),UPPER(INDEX(Binders!$J$6:$J$30,MATCH(Q369,Binders!$I$6:$I$30,0))&amp;"")="TRUE"),FALSE()))</f>
        <v/>
      </c>
    </row>
    <row r="370" ht="15.75" customHeight="1">
      <c r="A370" s="80" t="str">
        <f t="array" ref="A370">IF(INDEX('Deck 1'!$A:$Z,ROW()-250,'List Setup'!$D$3)="","",INDEX('Deck 1'!$A:$Z,ROW()-250,'List Setup'!$D$3))</f>
        <v/>
      </c>
      <c r="B370" s="80" t="str">
        <f t="array" ref="B370">IF(A370="","",IFERROR(INDEX('Binder Setup'!$B$2:$B$401,MIN(IF(ISNUMBER(SEARCH(CHAR(10)&amp;'Binder Setup'!$B$2:$B$401&amp;CHAR(10),$H370)),'List Setup'!$Q$2:$Q$401,999),IF(ISNUMBER(SEARCH(CHAR(10)&amp;'Set Aliases'!$A$2:$A$501&amp;CHAR(10),$H370)),'Set Aliases'!$C$2:$C$501,999))),"(none)"))</f>
        <v/>
      </c>
      <c r="C370" s="80" t="str">
        <f t="shared" si="1"/>
        <v/>
      </c>
      <c r="D370" s="80" t="str">
        <f t="array" ref="D370">IF(A370="","",IF(ISLOGICAL(INDEX('Deck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70" s="80" t="str">
        <f t="shared" si="2"/>
        <v/>
      </c>
      <c r="F370" s="80" t="str">
        <f t="array" ref="F370">IF(A370="","",IF(ISNUMBER(J370),J370,IF(ISNUMBER(INDEX('Deck 1'!$A:$Z,ROW()-250,'List Setup'!$F$3)),INDEX('Deck 1'!$A:$Z,ROW()-250,'List Setup'!$F$3),0)))</f>
        <v/>
      </c>
      <c r="G370" s="80" t="str">
        <f t="array" ref="G370">IF(A370="","",A370&amp;IF(N(INDEX('Deck 1'!$A:$Z,ROW()-250,'List Setup'!$C$3))&gt;1," (x"&amp;INDEX('Deck 1'!$A:$Z,ROW()-250,'List Setup'!$C$3)&amp;")","")&amp;IF(COUNTIF(Binders!$J$6:$J$30,TRUE())&gt;1," ["&amp;Q370&amp;"]",""))</f>
        <v/>
      </c>
      <c r="H370" s="80" t="str">
        <f t="array" ref="H370">IF(A370="","",CHAR(10)&amp;INDEX('Deck 1'!$A:$Z,ROW()-250,'List Setup'!$E$3)&amp;CHAR(10))</f>
        <v/>
      </c>
      <c r="I370" s="80" t="str">
        <f t="array" ref="I370">IF(OR(B370="",B370="(none)"),"",IF(ISNUMBER(SEARCH(CHAR(10)&amp;B370&amp;CHAR(10),H370)),B370,IFERROR(INDEX('Set Aliases'!$A$2:$A$501,MATCH(1,('Set Aliases'!$B$2:$B$501=B370)*ISNUMBER(SEARCH(CHAR(10)&amp;'Set Aliases'!$A$2:$A$501&amp;CHAR(10),H370)),0)),"")))</f>
        <v/>
      </c>
      <c r="J370" s="80" t="str">
        <f t="array" ref="J370">IF(I370="","",IFERROR(VALUE(TRIM(MID(SUBSTITUTE(INDEX('Deck 1'!$A:$Z,ROW()-250,'List Setup'!$G$3),CHAR(10),REPT(" ",100)),((SEARCH(CHAR(10)&amp;I370&amp;CHAR(10),H370)-LEN(SUBSTITUTE(LEFT(H370,SEARCH(CHAR(10)&amp;I370&amp;CHAR(10),H370)),CHAR(10),"")))-1)*100+1,100))),""))</f>
        <v/>
      </c>
      <c r="K370" s="80" t="str">
        <f t="array" ref="K370">IF(A370="","",IF(ISNUMBER(SEARCH("Land",LEFT(IFERROR(INDEX('Deck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70" s="80" t="str">
        <f t="shared" si="3"/>
        <v/>
      </c>
      <c r="M370" s="80" t="str">
        <f>IF(A370="","",IF(AND(E370="Y",B370='Use at Shop'!$B$4),K370*10000000000+(MAX(0,MIN(26,CODE(MID(UPPER(A370)&amp;"    ",1,1))-64))*19683+MAX(0,MIN(26,CODE(MID(UPPER(A370)&amp;"    ",2,1))-64))*729+MAX(0,MIN(26,CODE(MID(UPPER(A370)&amp;"    ",3,1))-64))*27+MAX(0,MIN(26,CODE(MID(UPPER(A370)&amp;"    ",4,1))-64))*1)*10000+ROW(),""))</f>
        <v/>
      </c>
      <c r="N370" s="80" t="str">
        <f t="shared" si="5"/>
        <v/>
      </c>
      <c r="O370" s="80" t="str">
        <f t="array" ref="O370">IF(A370="","",IFERROR(INDEX('Deck 1'!$A:$Z,ROW()-250,'List Setup'!$J$3)&amp;"",""))</f>
        <v/>
      </c>
      <c r="P370" s="2"/>
      <c r="Q370" s="80" t="str">
        <f>IF(A370="","",'List Setup'!$A$3)</f>
        <v/>
      </c>
      <c r="R370" s="80" t="str">
        <f t="array" ref="R370">IF(A370="","",IFERROR(OR(INDEX(Binders!$J$6:$J$30,MATCH(Q370,Binders!$I$6:$I$30,0))=TRUE(),UPPER(INDEX(Binders!$J$6:$J$30,MATCH(Q370,Binders!$I$6:$I$30,0))&amp;"")="TRUE"),FALSE()))</f>
        <v/>
      </c>
    </row>
    <row r="371" ht="15.75" customHeight="1">
      <c r="A371" s="80" t="str">
        <f t="array" ref="A371">IF(INDEX('Deck 1'!$A:$Z,ROW()-250,'List Setup'!$D$3)="","",INDEX('Deck 1'!$A:$Z,ROW()-250,'List Setup'!$D$3))</f>
        <v/>
      </c>
      <c r="B371" s="80" t="str">
        <f t="array" ref="B371">IF(A371="","",IFERROR(INDEX('Binder Setup'!$B$2:$B$401,MIN(IF(ISNUMBER(SEARCH(CHAR(10)&amp;'Binder Setup'!$B$2:$B$401&amp;CHAR(10),$H371)),'List Setup'!$Q$2:$Q$401,999),IF(ISNUMBER(SEARCH(CHAR(10)&amp;'Set Aliases'!$A$2:$A$501&amp;CHAR(10),$H371)),'Set Aliases'!$C$2:$C$501,999))),"(none)"))</f>
        <v/>
      </c>
      <c r="C371" s="80" t="str">
        <f t="shared" si="1"/>
        <v/>
      </c>
      <c r="D371" s="80" t="str">
        <f t="array" ref="D371">IF(A371="","",IF(ISLOGICAL(INDEX('Deck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71" s="80" t="str">
        <f t="shared" si="2"/>
        <v/>
      </c>
      <c r="F371" s="80" t="str">
        <f t="array" ref="F371">IF(A371="","",IF(ISNUMBER(J371),J371,IF(ISNUMBER(INDEX('Deck 1'!$A:$Z,ROW()-250,'List Setup'!$F$3)),INDEX('Deck 1'!$A:$Z,ROW()-250,'List Setup'!$F$3),0)))</f>
        <v/>
      </c>
      <c r="G371" s="80" t="str">
        <f t="array" ref="G371">IF(A371="","",A371&amp;IF(N(INDEX('Deck 1'!$A:$Z,ROW()-250,'List Setup'!$C$3))&gt;1," (x"&amp;INDEX('Deck 1'!$A:$Z,ROW()-250,'List Setup'!$C$3)&amp;")","")&amp;IF(COUNTIF(Binders!$J$6:$J$30,TRUE())&gt;1," ["&amp;Q371&amp;"]",""))</f>
        <v/>
      </c>
      <c r="H371" s="80" t="str">
        <f t="array" ref="H371">IF(A371="","",CHAR(10)&amp;INDEX('Deck 1'!$A:$Z,ROW()-250,'List Setup'!$E$3)&amp;CHAR(10))</f>
        <v/>
      </c>
      <c r="I371" s="80" t="str">
        <f t="array" ref="I371">IF(OR(B371="",B371="(none)"),"",IF(ISNUMBER(SEARCH(CHAR(10)&amp;B371&amp;CHAR(10),H371)),B371,IFERROR(INDEX('Set Aliases'!$A$2:$A$501,MATCH(1,('Set Aliases'!$B$2:$B$501=B371)*ISNUMBER(SEARCH(CHAR(10)&amp;'Set Aliases'!$A$2:$A$501&amp;CHAR(10),H371)),0)),"")))</f>
        <v/>
      </c>
      <c r="J371" s="80" t="str">
        <f t="array" ref="J371">IF(I371="","",IFERROR(VALUE(TRIM(MID(SUBSTITUTE(INDEX('Deck 1'!$A:$Z,ROW()-250,'List Setup'!$G$3),CHAR(10),REPT(" ",100)),((SEARCH(CHAR(10)&amp;I371&amp;CHAR(10),H371)-LEN(SUBSTITUTE(LEFT(H371,SEARCH(CHAR(10)&amp;I371&amp;CHAR(10),H371)),CHAR(10),"")))-1)*100+1,100))),""))</f>
        <v/>
      </c>
      <c r="K371" s="80" t="str">
        <f t="array" ref="K371">IF(A371="","",IF(ISNUMBER(SEARCH("Land",LEFT(IFERROR(INDEX('Deck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71" s="80" t="str">
        <f t="shared" si="3"/>
        <v/>
      </c>
      <c r="M371" s="80" t="str">
        <f>IF(A371="","",IF(AND(E371="Y",B371='Use at Shop'!$B$4),K371*10000000000+(MAX(0,MIN(26,CODE(MID(UPPER(A371)&amp;"    ",1,1))-64))*19683+MAX(0,MIN(26,CODE(MID(UPPER(A371)&amp;"    ",2,1))-64))*729+MAX(0,MIN(26,CODE(MID(UPPER(A371)&amp;"    ",3,1))-64))*27+MAX(0,MIN(26,CODE(MID(UPPER(A371)&amp;"    ",4,1))-64))*1)*10000+ROW(),""))</f>
        <v/>
      </c>
      <c r="N371" s="80" t="str">
        <f t="shared" si="5"/>
        <v/>
      </c>
      <c r="O371" s="80" t="str">
        <f t="array" ref="O371">IF(A371="","",IFERROR(INDEX('Deck 1'!$A:$Z,ROW()-250,'List Setup'!$J$3)&amp;"",""))</f>
        <v/>
      </c>
      <c r="P371" s="2"/>
      <c r="Q371" s="80" t="str">
        <f>IF(A371="","",'List Setup'!$A$3)</f>
        <v/>
      </c>
      <c r="R371" s="80" t="str">
        <f t="array" ref="R371">IF(A371="","",IFERROR(OR(INDEX(Binders!$J$6:$J$30,MATCH(Q371,Binders!$I$6:$I$30,0))=TRUE(),UPPER(INDEX(Binders!$J$6:$J$30,MATCH(Q371,Binders!$I$6:$I$30,0))&amp;"")="TRUE"),FALSE()))</f>
        <v/>
      </c>
    </row>
    <row r="372" ht="15.75" customHeight="1">
      <c r="A372" s="80" t="str">
        <f t="array" ref="A372">IF(INDEX('Deck 1'!$A:$Z,ROW()-250,'List Setup'!$D$3)="","",INDEX('Deck 1'!$A:$Z,ROW()-250,'List Setup'!$D$3))</f>
        <v/>
      </c>
      <c r="B372" s="80" t="str">
        <f t="array" ref="B372">IF(A372="","",IFERROR(INDEX('Binder Setup'!$B$2:$B$401,MIN(IF(ISNUMBER(SEARCH(CHAR(10)&amp;'Binder Setup'!$B$2:$B$401&amp;CHAR(10),$H372)),'List Setup'!$Q$2:$Q$401,999),IF(ISNUMBER(SEARCH(CHAR(10)&amp;'Set Aliases'!$A$2:$A$501&amp;CHAR(10),$H372)),'Set Aliases'!$C$2:$C$501,999))),"(none)"))</f>
        <v/>
      </c>
      <c r="C372" s="80" t="str">
        <f t="shared" si="1"/>
        <v/>
      </c>
      <c r="D372" s="80" t="str">
        <f t="array" ref="D372">IF(A372="","",IF(ISLOGICAL(INDEX('Deck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72" s="80" t="str">
        <f t="shared" si="2"/>
        <v/>
      </c>
      <c r="F372" s="80" t="str">
        <f t="array" ref="F372">IF(A372="","",IF(ISNUMBER(J372),J372,IF(ISNUMBER(INDEX('Deck 1'!$A:$Z,ROW()-250,'List Setup'!$F$3)),INDEX('Deck 1'!$A:$Z,ROW()-250,'List Setup'!$F$3),0)))</f>
        <v/>
      </c>
      <c r="G372" s="80" t="str">
        <f t="array" ref="G372">IF(A372="","",A372&amp;IF(N(INDEX('Deck 1'!$A:$Z,ROW()-250,'List Setup'!$C$3))&gt;1," (x"&amp;INDEX('Deck 1'!$A:$Z,ROW()-250,'List Setup'!$C$3)&amp;")","")&amp;IF(COUNTIF(Binders!$J$6:$J$30,TRUE())&gt;1," ["&amp;Q372&amp;"]",""))</f>
        <v/>
      </c>
      <c r="H372" s="80" t="str">
        <f t="array" ref="H372">IF(A372="","",CHAR(10)&amp;INDEX('Deck 1'!$A:$Z,ROW()-250,'List Setup'!$E$3)&amp;CHAR(10))</f>
        <v/>
      </c>
      <c r="I372" s="80" t="str">
        <f t="array" ref="I372">IF(OR(B372="",B372="(none)"),"",IF(ISNUMBER(SEARCH(CHAR(10)&amp;B372&amp;CHAR(10),H372)),B372,IFERROR(INDEX('Set Aliases'!$A$2:$A$501,MATCH(1,('Set Aliases'!$B$2:$B$501=B372)*ISNUMBER(SEARCH(CHAR(10)&amp;'Set Aliases'!$A$2:$A$501&amp;CHAR(10),H372)),0)),"")))</f>
        <v/>
      </c>
      <c r="J372" s="80" t="str">
        <f t="array" ref="J372">IF(I372="","",IFERROR(VALUE(TRIM(MID(SUBSTITUTE(INDEX('Deck 1'!$A:$Z,ROW()-250,'List Setup'!$G$3),CHAR(10),REPT(" ",100)),((SEARCH(CHAR(10)&amp;I372&amp;CHAR(10),H372)-LEN(SUBSTITUTE(LEFT(H372,SEARCH(CHAR(10)&amp;I372&amp;CHAR(10),H372)),CHAR(10),"")))-1)*100+1,100))),""))</f>
        <v/>
      </c>
      <c r="K372" s="80" t="str">
        <f t="array" ref="K372">IF(A372="","",IF(ISNUMBER(SEARCH("Land",LEFT(IFERROR(INDEX('Deck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72" s="80" t="str">
        <f t="shared" si="3"/>
        <v/>
      </c>
      <c r="M372" s="80" t="str">
        <f>IF(A372="","",IF(AND(E372="Y",B372='Use at Shop'!$B$4),K372*10000000000+(MAX(0,MIN(26,CODE(MID(UPPER(A372)&amp;"    ",1,1))-64))*19683+MAX(0,MIN(26,CODE(MID(UPPER(A372)&amp;"    ",2,1))-64))*729+MAX(0,MIN(26,CODE(MID(UPPER(A372)&amp;"    ",3,1))-64))*27+MAX(0,MIN(26,CODE(MID(UPPER(A372)&amp;"    ",4,1))-64))*1)*10000+ROW(),""))</f>
        <v/>
      </c>
      <c r="N372" s="80" t="str">
        <f t="shared" si="5"/>
        <v/>
      </c>
      <c r="O372" s="80" t="str">
        <f t="array" ref="O372">IF(A372="","",IFERROR(INDEX('Deck 1'!$A:$Z,ROW()-250,'List Setup'!$J$3)&amp;"",""))</f>
        <v/>
      </c>
      <c r="P372" s="2"/>
      <c r="Q372" s="80" t="str">
        <f>IF(A372="","",'List Setup'!$A$3)</f>
        <v/>
      </c>
      <c r="R372" s="80" t="str">
        <f t="array" ref="R372">IF(A372="","",IFERROR(OR(INDEX(Binders!$J$6:$J$30,MATCH(Q372,Binders!$I$6:$I$30,0))=TRUE(),UPPER(INDEX(Binders!$J$6:$J$30,MATCH(Q372,Binders!$I$6:$I$30,0))&amp;"")="TRUE"),FALSE()))</f>
        <v/>
      </c>
    </row>
    <row r="373" ht="15.75" customHeight="1">
      <c r="A373" s="80" t="str">
        <f t="array" ref="A373">IF(INDEX('Deck 1'!$A:$Z,ROW()-250,'List Setup'!$D$3)="","",INDEX('Deck 1'!$A:$Z,ROW()-250,'List Setup'!$D$3))</f>
        <v/>
      </c>
      <c r="B373" s="80" t="str">
        <f t="array" ref="B373">IF(A373="","",IFERROR(INDEX('Binder Setup'!$B$2:$B$401,MIN(IF(ISNUMBER(SEARCH(CHAR(10)&amp;'Binder Setup'!$B$2:$B$401&amp;CHAR(10),$H373)),'List Setup'!$Q$2:$Q$401,999),IF(ISNUMBER(SEARCH(CHAR(10)&amp;'Set Aliases'!$A$2:$A$501&amp;CHAR(10),$H373)),'Set Aliases'!$C$2:$C$501,999))),"(none)"))</f>
        <v/>
      </c>
      <c r="C373" s="80" t="str">
        <f t="shared" si="1"/>
        <v/>
      </c>
      <c r="D373" s="80" t="str">
        <f t="array" ref="D373">IF(A373="","",IF(ISLOGICAL(INDEX('Deck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73" s="80" t="str">
        <f t="shared" si="2"/>
        <v/>
      </c>
      <c r="F373" s="80" t="str">
        <f t="array" ref="F373">IF(A373="","",IF(ISNUMBER(J373),J373,IF(ISNUMBER(INDEX('Deck 1'!$A:$Z,ROW()-250,'List Setup'!$F$3)),INDEX('Deck 1'!$A:$Z,ROW()-250,'List Setup'!$F$3),0)))</f>
        <v/>
      </c>
      <c r="G373" s="80" t="str">
        <f t="array" ref="G373">IF(A373="","",A373&amp;IF(N(INDEX('Deck 1'!$A:$Z,ROW()-250,'List Setup'!$C$3))&gt;1," (x"&amp;INDEX('Deck 1'!$A:$Z,ROW()-250,'List Setup'!$C$3)&amp;")","")&amp;IF(COUNTIF(Binders!$J$6:$J$30,TRUE())&gt;1," ["&amp;Q373&amp;"]",""))</f>
        <v/>
      </c>
      <c r="H373" s="80" t="str">
        <f t="array" ref="H373">IF(A373="","",CHAR(10)&amp;INDEX('Deck 1'!$A:$Z,ROW()-250,'List Setup'!$E$3)&amp;CHAR(10))</f>
        <v/>
      </c>
      <c r="I373" s="80" t="str">
        <f t="array" ref="I373">IF(OR(B373="",B373="(none)"),"",IF(ISNUMBER(SEARCH(CHAR(10)&amp;B373&amp;CHAR(10),H373)),B373,IFERROR(INDEX('Set Aliases'!$A$2:$A$501,MATCH(1,('Set Aliases'!$B$2:$B$501=B373)*ISNUMBER(SEARCH(CHAR(10)&amp;'Set Aliases'!$A$2:$A$501&amp;CHAR(10),H373)),0)),"")))</f>
        <v/>
      </c>
      <c r="J373" s="80" t="str">
        <f t="array" ref="J373">IF(I373="","",IFERROR(VALUE(TRIM(MID(SUBSTITUTE(INDEX('Deck 1'!$A:$Z,ROW()-250,'List Setup'!$G$3),CHAR(10),REPT(" ",100)),((SEARCH(CHAR(10)&amp;I373&amp;CHAR(10),H373)-LEN(SUBSTITUTE(LEFT(H373,SEARCH(CHAR(10)&amp;I373&amp;CHAR(10),H373)),CHAR(10),"")))-1)*100+1,100))),""))</f>
        <v/>
      </c>
      <c r="K373" s="80" t="str">
        <f t="array" ref="K373">IF(A373="","",IF(ISNUMBER(SEARCH("Land",LEFT(IFERROR(INDEX('Deck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73" s="80" t="str">
        <f t="shared" si="3"/>
        <v/>
      </c>
      <c r="M373" s="80" t="str">
        <f>IF(A373="","",IF(AND(E373="Y",B373='Use at Shop'!$B$4),K373*10000000000+(MAX(0,MIN(26,CODE(MID(UPPER(A373)&amp;"    ",1,1))-64))*19683+MAX(0,MIN(26,CODE(MID(UPPER(A373)&amp;"    ",2,1))-64))*729+MAX(0,MIN(26,CODE(MID(UPPER(A373)&amp;"    ",3,1))-64))*27+MAX(0,MIN(26,CODE(MID(UPPER(A373)&amp;"    ",4,1))-64))*1)*10000+ROW(),""))</f>
        <v/>
      </c>
      <c r="N373" s="80" t="str">
        <f t="shared" si="5"/>
        <v/>
      </c>
      <c r="O373" s="80" t="str">
        <f t="array" ref="O373">IF(A373="","",IFERROR(INDEX('Deck 1'!$A:$Z,ROW()-250,'List Setup'!$J$3)&amp;"",""))</f>
        <v/>
      </c>
      <c r="P373" s="2"/>
      <c r="Q373" s="80" t="str">
        <f>IF(A373="","",'List Setup'!$A$3)</f>
        <v/>
      </c>
      <c r="R373" s="80" t="str">
        <f t="array" ref="R373">IF(A373="","",IFERROR(OR(INDEX(Binders!$J$6:$J$30,MATCH(Q373,Binders!$I$6:$I$30,0))=TRUE(),UPPER(INDEX(Binders!$J$6:$J$30,MATCH(Q373,Binders!$I$6:$I$30,0))&amp;"")="TRUE"),FALSE()))</f>
        <v/>
      </c>
    </row>
    <row r="374" ht="15.75" customHeight="1">
      <c r="A374" s="80" t="str">
        <f t="array" ref="A374">IF(INDEX('Deck 1'!$A:$Z,ROW()-250,'List Setup'!$D$3)="","",INDEX('Deck 1'!$A:$Z,ROW()-250,'List Setup'!$D$3))</f>
        <v/>
      </c>
      <c r="B374" s="80" t="str">
        <f t="array" ref="B374">IF(A374="","",IFERROR(INDEX('Binder Setup'!$B$2:$B$401,MIN(IF(ISNUMBER(SEARCH(CHAR(10)&amp;'Binder Setup'!$B$2:$B$401&amp;CHAR(10),$H374)),'List Setup'!$Q$2:$Q$401,999),IF(ISNUMBER(SEARCH(CHAR(10)&amp;'Set Aliases'!$A$2:$A$501&amp;CHAR(10),$H374)),'Set Aliases'!$C$2:$C$501,999))),"(none)"))</f>
        <v/>
      </c>
      <c r="C374" s="80" t="str">
        <f t="shared" si="1"/>
        <v/>
      </c>
      <c r="D374" s="80" t="str">
        <f t="array" ref="D374">IF(A374="","",IF(ISLOGICAL(INDEX('Deck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74" s="80" t="str">
        <f t="shared" si="2"/>
        <v/>
      </c>
      <c r="F374" s="80" t="str">
        <f t="array" ref="F374">IF(A374="","",IF(ISNUMBER(J374),J374,IF(ISNUMBER(INDEX('Deck 1'!$A:$Z,ROW()-250,'List Setup'!$F$3)),INDEX('Deck 1'!$A:$Z,ROW()-250,'List Setup'!$F$3),0)))</f>
        <v/>
      </c>
      <c r="G374" s="80" t="str">
        <f t="array" ref="G374">IF(A374="","",A374&amp;IF(N(INDEX('Deck 1'!$A:$Z,ROW()-250,'List Setup'!$C$3))&gt;1," (x"&amp;INDEX('Deck 1'!$A:$Z,ROW()-250,'List Setup'!$C$3)&amp;")","")&amp;IF(COUNTIF(Binders!$J$6:$J$30,TRUE())&gt;1," ["&amp;Q374&amp;"]",""))</f>
        <v/>
      </c>
      <c r="H374" s="80" t="str">
        <f t="array" ref="H374">IF(A374="","",CHAR(10)&amp;INDEX('Deck 1'!$A:$Z,ROW()-250,'List Setup'!$E$3)&amp;CHAR(10))</f>
        <v/>
      </c>
      <c r="I374" s="80" t="str">
        <f t="array" ref="I374">IF(OR(B374="",B374="(none)"),"",IF(ISNUMBER(SEARCH(CHAR(10)&amp;B374&amp;CHAR(10),H374)),B374,IFERROR(INDEX('Set Aliases'!$A$2:$A$501,MATCH(1,('Set Aliases'!$B$2:$B$501=B374)*ISNUMBER(SEARCH(CHAR(10)&amp;'Set Aliases'!$A$2:$A$501&amp;CHAR(10),H374)),0)),"")))</f>
        <v/>
      </c>
      <c r="J374" s="80" t="str">
        <f t="array" ref="J374">IF(I374="","",IFERROR(VALUE(TRIM(MID(SUBSTITUTE(INDEX('Deck 1'!$A:$Z,ROW()-250,'List Setup'!$G$3),CHAR(10),REPT(" ",100)),((SEARCH(CHAR(10)&amp;I374&amp;CHAR(10),H374)-LEN(SUBSTITUTE(LEFT(H374,SEARCH(CHAR(10)&amp;I374&amp;CHAR(10),H374)),CHAR(10),"")))-1)*100+1,100))),""))</f>
        <v/>
      </c>
      <c r="K374" s="80" t="str">
        <f t="array" ref="K374">IF(A374="","",IF(ISNUMBER(SEARCH("Land",LEFT(IFERROR(INDEX('Deck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74" s="80" t="str">
        <f t="shared" si="3"/>
        <v/>
      </c>
      <c r="M374" s="80" t="str">
        <f>IF(A374="","",IF(AND(E374="Y",B374='Use at Shop'!$B$4),K374*10000000000+(MAX(0,MIN(26,CODE(MID(UPPER(A374)&amp;"    ",1,1))-64))*19683+MAX(0,MIN(26,CODE(MID(UPPER(A374)&amp;"    ",2,1))-64))*729+MAX(0,MIN(26,CODE(MID(UPPER(A374)&amp;"    ",3,1))-64))*27+MAX(0,MIN(26,CODE(MID(UPPER(A374)&amp;"    ",4,1))-64))*1)*10000+ROW(),""))</f>
        <v/>
      </c>
      <c r="N374" s="80" t="str">
        <f t="shared" si="5"/>
        <v/>
      </c>
      <c r="O374" s="80" t="str">
        <f t="array" ref="O374">IF(A374="","",IFERROR(INDEX('Deck 1'!$A:$Z,ROW()-250,'List Setup'!$J$3)&amp;"",""))</f>
        <v/>
      </c>
      <c r="P374" s="2"/>
      <c r="Q374" s="80" t="str">
        <f>IF(A374="","",'List Setup'!$A$3)</f>
        <v/>
      </c>
      <c r="R374" s="80" t="str">
        <f t="array" ref="R374">IF(A374="","",IFERROR(OR(INDEX(Binders!$J$6:$J$30,MATCH(Q374,Binders!$I$6:$I$30,0))=TRUE(),UPPER(INDEX(Binders!$J$6:$J$30,MATCH(Q374,Binders!$I$6:$I$30,0))&amp;"")="TRUE"),FALSE()))</f>
        <v/>
      </c>
    </row>
    <row r="375" ht="15.75" customHeight="1">
      <c r="A375" s="80" t="str">
        <f t="array" ref="A375">IF(INDEX('Deck 1'!$A:$Z,ROW()-250,'List Setup'!$D$3)="","",INDEX('Deck 1'!$A:$Z,ROW()-250,'List Setup'!$D$3))</f>
        <v/>
      </c>
      <c r="B375" s="80" t="str">
        <f t="array" ref="B375">IF(A375="","",IFERROR(INDEX('Binder Setup'!$B$2:$B$401,MIN(IF(ISNUMBER(SEARCH(CHAR(10)&amp;'Binder Setup'!$B$2:$B$401&amp;CHAR(10),$H375)),'List Setup'!$Q$2:$Q$401,999),IF(ISNUMBER(SEARCH(CHAR(10)&amp;'Set Aliases'!$A$2:$A$501&amp;CHAR(10),$H375)),'Set Aliases'!$C$2:$C$501,999))),"(none)"))</f>
        <v/>
      </c>
      <c r="C375" s="80" t="str">
        <f t="shared" si="1"/>
        <v/>
      </c>
      <c r="D375" s="80" t="str">
        <f t="array" ref="D375">IF(A375="","",IF(ISLOGICAL(INDEX('Deck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75" s="80" t="str">
        <f t="shared" si="2"/>
        <v/>
      </c>
      <c r="F375" s="80" t="str">
        <f t="array" ref="F375">IF(A375="","",IF(ISNUMBER(J375),J375,IF(ISNUMBER(INDEX('Deck 1'!$A:$Z,ROW()-250,'List Setup'!$F$3)),INDEX('Deck 1'!$A:$Z,ROW()-250,'List Setup'!$F$3),0)))</f>
        <v/>
      </c>
      <c r="G375" s="80" t="str">
        <f t="array" ref="G375">IF(A375="","",A375&amp;IF(N(INDEX('Deck 1'!$A:$Z,ROW()-250,'List Setup'!$C$3))&gt;1," (x"&amp;INDEX('Deck 1'!$A:$Z,ROW()-250,'List Setup'!$C$3)&amp;")","")&amp;IF(COUNTIF(Binders!$J$6:$J$30,TRUE())&gt;1," ["&amp;Q375&amp;"]",""))</f>
        <v/>
      </c>
      <c r="H375" s="80" t="str">
        <f t="array" ref="H375">IF(A375="","",CHAR(10)&amp;INDEX('Deck 1'!$A:$Z,ROW()-250,'List Setup'!$E$3)&amp;CHAR(10))</f>
        <v/>
      </c>
      <c r="I375" s="80" t="str">
        <f t="array" ref="I375">IF(OR(B375="",B375="(none)"),"",IF(ISNUMBER(SEARCH(CHAR(10)&amp;B375&amp;CHAR(10),H375)),B375,IFERROR(INDEX('Set Aliases'!$A$2:$A$501,MATCH(1,('Set Aliases'!$B$2:$B$501=B375)*ISNUMBER(SEARCH(CHAR(10)&amp;'Set Aliases'!$A$2:$A$501&amp;CHAR(10),H375)),0)),"")))</f>
        <v/>
      </c>
      <c r="J375" s="80" t="str">
        <f t="array" ref="J375">IF(I375="","",IFERROR(VALUE(TRIM(MID(SUBSTITUTE(INDEX('Deck 1'!$A:$Z,ROW()-250,'List Setup'!$G$3),CHAR(10),REPT(" ",100)),((SEARCH(CHAR(10)&amp;I375&amp;CHAR(10),H375)-LEN(SUBSTITUTE(LEFT(H375,SEARCH(CHAR(10)&amp;I375&amp;CHAR(10),H375)),CHAR(10),"")))-1)*100+1,100))),""))</f>
        <v/>
      </c>
      <c r="K375" s="80" t="str">
        <f t="array" ref="K375">IF(A375="","",IF(ISNUMBER(SEARCH("Land",LEFT(IFERROR(INDEX('Deck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75" s="80" t="str">
        <f t="shared" si="3"/>
        <v/>
      </c>
      <c r="M375" s="80" t="str">
        <f>IF(A375="","",IF(AND(E375="Y",B375='Use at Shop'!$B$4),K375*10000000000+(MAX(0,MIN(26,CODE(MID(UPPER(A375)&amp;"    ",1,1))-64))*19683+MAX(0,MIN(26,CODE(MID(UPPER(A375)&amp;"    ",2,1))-64))*729+MAX(0,MIN(26,CODE(MID(UPPER(A375)&amp;"    ",3,1))-64))*27+MAX(0,MIN(26,CODE(MID(UPPER(A375)&amp;"    ",4,1))-64))*1)*10000+ROW(),""))</f>
        <v/>
      </c>
      <c r="N375" s="80" t="str">
        <f t="shared" si="5"/>
        <v/>
      </c>
      <c r="O375" s="80" t="str">
        <f t="array" ref="O375">IF(A375="","",IFERROR(INDEX('Deck 1'!$A:$Z,ROW()-250,'List Setup'!$J$3)&amp;"",""))</f>
        <v/>
      </c>
      <c r="P375" s="2"/>
      <c r="Q375" s="80" t="str">
        <f>IF(A375="","",'List Setup'!$A$3)</f>
        <v/>
      </c>
      <c r="R375" s="80" t="str">
        <f t="array" ref="R375">IF(A375="","",IFERROR(OR(INDEX(Binders!$J$6:$J$30,MATCH(Q375,Binders!$I$6:$I$30,0))=TRUE(),UPPER(INDEX(Binders!$J$6:$J$30,MATCH(Q375,Binders!$I$6:$I$30,0))&amp;"")="TRUE"),FALSE()))</f>
        <v/>
      </c>
    </row>
    <row r="376" ht="15.75" customHeight="1">
      <c r="A376" s="80" t="str">
        <f t="array" ref="A376">IF(INDEX('Deck 1'!$A:$Z,ROW()-250,'List Setup'!$D$3)="","",INDEX('Deck 1'!$A:$Z,ROW()-250,'List Setup'!$D$3))</f>
        <v/>
      </c>
      <c r="B376" s="80" t="str">
        <f t="array" ref="B376">IF(A376="","",IFERROR(INDEX('Binder Setup'!$B$2:$B$401,MIN(IF(ISNUMBER(SEARCH(CHAR(10)&amp;'Binder Setup'!$B$2:$B$401&amp;CHAR(10),$H376)),'List Setup'!$Q$2:$Q$401,999),IF(ISNUMBER(SEARCH(CHAR(10)&amp;'Set Aliases'!$A$2:$A$501&amp;CHAR(10),$H376)),'Set Aliases'!$C$2:$C$501,999))),"(none)"))</f>
        <v/>
      </c>
      <c r="C376" s="80" t="str">
        <f t="shared" si="1"/>
        <v/>
      </c>
      <c r="D376" s="80" t="str">
        <f t="array" ref="D376">IF(A376="","",IF(ISLOGICAL(INDEX('Deck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76" s="80" t="str">
        <f t="shared" si="2"/>
        <v/>
      </c>
      <c r="F376" s="80" t="str">
        <f t="array" ref="F376">IF(A376="","",IF(ISNUMBER(J376),J376,IF(ISNUMBER(INDEX('Deck 1'!$A:$Z,ROW()-250,'List Setup'!$F$3)),INDEX('Deck 1'!$A:$Z,ROW()-250,'List Setup'!$F$3),0)))</f>
        <v/>
      </c>
      <c r="G376" s="80" t="str">
        <f t="array" ref="G376">IF(A376="","",A376&amp;IF(N(INDEX('Deck 1'!$A:$Z,ROW()-250,'List Setup'!$C$3))&gt;1," (x"&amp;INDEX('Deck 1'!$A:$Z,ROW()-250,'List Setup'!$C$3)&amp;")","")&amp;IF(COUNTIF(Binders!$J$6:$J$30,TRUE())&gt;1," ["&amp;Q376&amp;"]",""))</f>
        <v/>
      </c>
      <c r="H376" s="80" t="str">
        <f t="array" ref="H376">IF(A376="","",CHAR(10)&amp;INDEX('Deck 1'!$A:$Z,ROW()-250,'List Setup'!$E$3)&amp;CHAR(10))</f>
        <v/>
      </c>
      <c r="I376" s="80" t="str">
        <f t="array" ref="I376">IF(OR(B376="",B376="(none)"),"",IF(ISNUMBER(SEARCH(CHAR(10)&amp;B376&amp;CHAR(10),H376)),B376,IFERROR(INDEX('Set Aliases'!$A$2:$A$501,MATCH(1,('Set Aliases'!$B$2:$B$501=B376)*ISNUMBER(SEARCH(CHAR(10)&amp;'Set Aliases'!$A$2:$A$501&amp;CHAR(10),H376)),0)),"")))</f>
        <v/>
      </c>
      <c r="J376" s="80" t="str">
        <f t="array" ref="J376">IF(I376="","",IFERROR(VALUE(TRIM(MID(SUBSTITUTE(INDEX('Deck 1'!$A:$Z,ROW()-250,'List Setup'!$G$3),CHAR(10),REPT(" ",100)),((SEARCH(CHAR(10)&amp;I376&amp;CHAR(10),H376)-LEN(SUBSTITUTE(LEFT(H376,SEARCH(CHAR(10)&amp;I376&amp;CHAR(10),H376)),CHAR(10),"")))-1)*100+1,100))),""))</f>
        <v/>
      </c>
      <c r="K376" s="80" t="str">
        <f t="array" ref="K376">IF(A376="","",IF(ISNUMBER(SEARCH("Land",LEFT(IFERROR(INDEX('Deck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76" s="80" t="str">
        <f t="shared" si="3"/>
        <v/>
      </c>
      <c r="M376" s="80" t="str">
        <f>IF(A376="","",IF(AND(E376="Y",B376='Use at Shop'!$B$4),K376*10000000000+(MAX(0,MIN(26,CODE(MID(UPPER(A376)&amp;"    ",1,1))-64))*19683+MAX(0,MIN(26,CODE(MID(UPPER(A376)&amp;"    ",2,1))-64))*729+MAX(0,MIN(26,CODE(MID(UPPER(A376)&amp;"    ",3,1))-64))*27+MAX(0,MIN(26,CODE(MID(UPPER(A376)&amp;"    ",4,1))-64))*1)*10000+ROW(),""))</f>
        <v/>
      </c>
      <c r="N376" s="80" t="str">
        <f t="shared" si="5"/>
        <v/>
      </c>
      <c r="O376" s="80" t="str">
        <f t="array" ref="O376">IF(A376="","",IFERROR(INDEX('Deck 1'!$A:$Z,ROW()-250,'List Setup'!$J$3)&amp;"",""))</f>
        <v/>
      </c>
      <c r="P376" s="2"/>
      <c r="Q376" s="80" t="str">
        <f>IF(A376="","",'List Setup'!$A$3)</f>
        <v/>
      </c>
      <c r="R376" s="80" t="str">
        <f t="array" ref="R376">IF(A376="","",IFERROR(OR(INDEX(Binders!$J$6:$J$30,MATCH(Q376,Binders!$I$6:$I$30,0))=TRUE(),UPPER(INDEX(Binders!$J$6:$J$30,MATCH(Q376,Binders!$I$6:$I$30,0))&amp;"")="TRUE"),FALSE()))</f>
        <v/>
      </c>
    </row>
    <row r="377" ht="15.75" customHeight="1">
      <c r="A377" s="80" t="str">
        <f t="array" ref="A377">IF(INDEX('Deck 1'!$A:$Z,ROW()-250,'List Setup'!$D$3)="","",INDEX('Deck 1'!$A:$Z,ROW()-250,'List Setup'!$D$3))</f>
        <v/>
      </c>
      <c r="B377" s="80" t="str">
        <f t="array" ref="B377">IF(A377="","",IFERROR(INDEX('Binder Setup'!$B$2:$B$401,MIN(IF(ISNUMBER(SEARCH(CHAR(10)&amp;'Binder Setup'!$B$2:$B$401&amp;CHAR(10),$H377)),'List Setup'!$Q$2:$Q$401,999),IF(ISNUMBER(SEARCH(CHAR(10)&amp;'Set Aliases'!$A$2:$A$501&amp;CHAR(10),$H377)),'Set Aliases'!$C$2:$C$501,999))),"(none)"))</f>
        <v/>
      </c>
      <c r="C377" s="80" t="str">
        <f t="shared" si="1"/>
        <v/>
      </c>
      <c r="D377" s="80" t="str">
        <f t="array" ref="D377">IF(A377="","",IF(ISLOGICAL(INDEX('Deck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77" s="80" t="str">
        <f t="shared" si="2"/>
        <v/>
      </c>
      <c r="F377" s="80" t="str">
        <f t="array" ref="F377">IF(A377="","",IF(ISNUMBER(J377),J377,IF(ISNUMBER(INDEX('Deck 1'!$A:$Z,ROW()-250,'List Setup'!$F$3)),INDEX('Deck 1'!$A:$Z,ROW()-250,'List Setup'!$F$3),0)))</f>
        <v/>
      </c>
      <c r="G377" s="80" t="str">
        <f t="array" ref="G377">IF(A377="","",A377&amp;IF(N(INDEX('Deck 1'!$A:$Z,ROW()-250,'List Setup'!$C$3))&gt;1," (x"&amp;INDEX('Deck 1'!$A:$Z,ROW()-250,'List Setup'!$C$3)&amp;")","")&amp;IF(COUNTIF(Binders!$J$6:$J$30,TRUE())&gt;1," ["&amp;Q377&amp;"]",""))</f>
        <v/>
      </c>
      <c r="H377" s="80" t="str">
        <f t="array" ref="H377">IF(A377="","",CHAR(10)&amp;INDEX('Deck 1'!$A:$Z,ROW()-250,'List Setup'!$E$3)&amp;CHAR(10))</f>
        <v/>
      </c>
      <c r="I377" s="80" t="str">
        <f t="array" ref="I377">IF(OR(B377="",B377="(none)"),"",IF(ISNUMBER(SEARCH(CHAR(10)&amp;B377&amp;CHAR(10),H377)),B377,IFERROR(INDEX('Set Aliases'!$A$2:$A$501,MATCH(1,('Set Aliases'!$B$2:$B$501=B377)*ISNUMBER(SEARCH(CHAR(10)&amp;'Set Aliases'!$A$2:$A$501&amp;CHAR(10),H377)),0)),"")))</f>
        <v/>
      </c>
      <c r="J377" s="80" t="str">
        <f t="array" ref="J377">IF(I377="","",IFERROR(VALUE(TRIM(MID(SUBSTITUTE(INDEX('Deck 1'!$A:$Z,ROW()-250,'List Setup'!$G$3),CHAR(10),REPT(" ",100)),((SEARCH(CHAR(10)&amp;I377&amp;CHAR(10),H377)-LEN(SUBSTITUTE(LEFT(H377,SEARCH(CHAR(10)&amp;I377&amp;CHAR(10),H377)),CHAR(10),"")))-1)*100+1,100))),""))</f>
        <v/>
      </c>
      <c r="K377" s="80" t="str">
        <f t="array" ref="K377">IF(A377="","",IF(ISNUMBER(SEARCH("Land",LEFT(IFERROR(INDEX('Deck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77" s="80" t="str">
        <f t="shared" si="3"/>
        <v/>
      </c>
      <c r="M377" s="80" t="str">
        <f>IF(A377="","",IF(AND(E377="Y",B377='Use at Shop'!$B$4),K377*10000000000+(MAX(0,MIN(26,CODE(MID(UPPER(A377)&amp;"    ",1,1))-64))*19683+MAX(0,MIN(26,CODE(MID(UPPER(A377)&amp;"    ",2,1))-64))*729+MAX(0,MIN(26,CODE(MID(UPPER(A377)&amp;"    ",3,1))-64))*27+MAX(0,MIN(26,CODE(MID(UPPER(A377)&amp;"    ",4,1))-64))*1)*10000+ROW(),""))</f>
        <v/>
      </c>
      <c r="N377" s="80" t="str">
        <f t="shared" si="5"/>
        <v/>
      </c>
      <c r="O377" s="80" t="str">
        <f t="array" ref="O377">IF(A377="","",IFERROR(INDEX('Deck 1'!$A:$Z,ROW()-250,'List Setup'!$J$3)&amp;"",""))</f>
        <v/>
      </c>
      <c r="P377" s="2"/>
      <c r="Q377" s="80" t="str">
        <f>IF(A377="","",'List Setup'!$A$3)</f>
        <v/>
      </c>
      <c r="R377" s="80" t="str">
        <f t="array" ref="R377">IF(A377="","",IFERROR(OR(INDEX(Binders!$J$6:$J$30,MATCH(Q377,Binders!$I$6:$I$30,0))=TRUE(),UPPER(INDEX(Binders!$J$6:$J$30,MATCH(Q377,Binders!$I$6:$I$30,0))&amp;"")="TRUE"),FALSE()))</f>
        <v/>
      </c>
    </row>
    <row r="378" ht="15.75" customHeight="1">
      <c r="A378" s="80" t="str">
        <f t="array" ref="A378">IF(INDEX('Deck 1'!$A:$Z,ROW()-250,'List Setup'!$D$3)="","",INDEX('Deck 1'!$A:$Z,ROW()-250,'List Setup'!$D$3))</f>
        <v/>
      </c>
      <c r="B378" s="80" t="str">
        <f t="array" ref="B378">IF(A378="","",IFERROR(INDEX('Binder Setup'!$B$2:$B$401,MIN(IF(ISNUMBER(SEARCH(CHAR(10)&amp;'Binder Setup'!$B$2:$B$401&amp;CHAR(10),$H378)),'List Setup'!$Q$2:$Q$401,999),IF(ISNUMBER(SEARCH(CHAR(10)&amp;'Set Aliases'!$A$2:$A$501&amp;CHAR(10),$H378)),'Set Aliases'!$C$2:$C$501,999))),"(none)"))</f>
        <v/>
      </c>
      <c r="C378" s="80" t="str">
        <f t="shared" si="1"/>
        <v/>
      </c>
      <c r="D378" s="80" t="str">
        <f t="array" ref="D378">IF(A378="","",IF(ISLOGICAL(INDEX('Deck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78" s="80" t="str">
        <f t="shared" si="2"/>
        <v/>
      </c>
      <c r="F378" s="80" t="str">
        <f t="array" ref="F378">IF(A378="","",IF(ISNUMBER(J378),J378,IF(ISNUMBER(INDEX('Deck 1'!$A:$Z,ROW()-250,'List Setup'!$F$3)),INDEX('Deck 1'!$A:$Z,ROW()-250,'List Setup'!$F$3),0)))</f>
        <v/>
      </c>
      <c r="G378" s="80" t="str">
        <f t="array" ref="G378">IF(A378="","",A378&amp;IF(N(INDEX('Deck 1'!$A:$Z,ROW()-250,'List Setup'!$C$3))&gt;1," (x"&amp;INDEX('Deck 1'!$A:$Z,ROW()-250,'List Setup'!$C$3)&amp;")","")&amp;IF(COUNTIF(Binders!$J$6:$J$30,TRUE())&gt;1," ["&amp;Q378&amp;"]",""))</f>
        <v/>
      </c>
      <c r="H378" s="80" t="str">
        <f t="array" ref="H378">IF(A378="","",CHAR(10)&amp;INDEX('Deck 1'!$A:$Z,ROW()-250,'List Setup'!$E$3)&amp;CHAR(10))</f>
        <v/>
      </c>
      <c r="I378" s="80" t="str">
        <f t="array" ref="I378">IF(OR(B378="",B378="(none)"),"",IF(ISNUMBER(SEARCH(CHAR(10)&amp;B378&amp;CHAR(10),H378)),B378,IFERROR(INDEX('Set Aliases'!$A$2:$A$501,MATCH(1,('Set Aliases'!$B$2:$B$501=B378)*ISNUMBER(SEARCH(CHAR(10)&amp;'Set Aliases'!$A$2:$A$501&amp;CHAR(10),H378)),0)),"")))</f>
        <v/>
      </c>
      <c r="J378" s="80" t="str">
        <f t="array" ref="J378">IF(I378="","",IFERROR(VALUE(TRIM(MID(SUBSTITUTE(INDEX('Deck 1'!$A:$Z,ROW()-250,'List Setup'!$G$3),CHAR(10),REPT(" ",100)),((SEARCH(CHAR(10)&amp;I378&amp;CHAR(10),H378)-LEN(SUBSTITUTE(LEFT(H378,SEARCH(CHAR(10)&amp;I378&amp;CHAR(10),H378)),CHAR(10),"")))-1)*100+1,100))),""))</f>
        <v/>
      </c>
      <c r="K378" s="80" t="str">
        <f t="array" ref="K378">IF(A378="","",IF(ISNUMBER(SEARCH("Land",LEFT(IFERROR(INDEX('Deck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78" s="80" t="str">
        <f t="shared" si="3"/>
        <v/>
      </c>
      <c r="M378" s="80" t="str">
        <f>IF(A378="","",IF(AND(E378="Y",B378='Use at Shop'!$B$4),K378*10000000000+(MAX(0,MIN(26,CODE(MID(UPPER(A378)&amp;"    ",1,1))-64))*19683+MAX(0,MIN(26,CODE(MID(UPPER(A378)&amp;"    ",2,1))-64))*729+MAX(0,MIN(26,CODE(MID(UPPER(A378)&amp;"    ",3,1))-64))*27+MAX(0,MIN(26,CODE(MID(UPPER(A378)&amp;"    ",4,1))-64))*1)*10000+ROW(),""))</f>
        <v/>
      </c>
      <c r="N378" s="80" t="str">
        <f t="shared" si="5"/>
        <v/>
      </c>
      <c r="O378" s="80" t="str">
        <f t="array" ref="O378">IF(A378="","",IFERROR(INDEX('Deck 1'!$A:$Z,ROW()-250,'List Setup'!$J$3)&amp;"",""))</f>
        <v/>
      </c>
      <c r="P378" s="2"/>
      <c r="Q378" s="80" t="str">
        <f>IF(A378="","",'List Setup'!$A$3)</f>
        <v/>
      </c>
      <c r="R378" s="80" t="str">
        <f t="array" ref="R378">IF(A378="","",IFERROR(OR(INDEX(Binders!$J$6:$J$30,MATCH(Q378,Binders!$I$6:$I$30,0))=TRUE(),UPPER(INDEX(Binders!$J$6:$J$30,MATCH(Q378,Binders!$I$6:$I$30,0))&amp;"")="TRUE"),FALSE()))</f>
        <v/>
      </c>
    </row>
    <row r="379" ht="15.75" customHeight="1">
      <c r="A379" s="80" t="str">
        <f t="array" ref="A379">IF(INDEX('Deck 1'!$A:$Z,ROW()-250,'List Setup'!$D$3)="","",INDEX('Deck 1'!$A:$Z,ROW()-250,'List Setup'!$D$3))</f>
        <v/>
      </c>
      <c r="B379" s="80" t="str">
        <f t="array" ref="B379">IF(A379="","",IFERROR(INDEX('Binder Setup'!$B$2:$B$401,MIN(IF(ISNUMBER(SEARCH(CHAR(10)&amp;'Binder Setup'!$B$2:$B$401&amp;CHAR(10),$H379)),'List Setup'!$Q$2:$Q$401,999),IF(ISNUMBER(SEARCH(CHAR(10)&amp;'Set Aliases'!$A$2:$A$501&amp;CHAR(10),$H379)),'Set Aliases'!$C$2:$C$501,999))),"(none)"))</f>
        <v/>
      </c>
      <c r="C379" s="80" t="str">
        <f t="shared" si="1"/>
        <v/>
      </c>
      <c r="D379" s="80" t="str">
        <f t="array" ref="D379">IF(A379="","",IF(ISLOGICAL(INDEX('Deck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79" s="80" t="str">
        <f t="shared" si="2"/>
        <v/>
      </c>
      <c r="F379" s="80" t="str">
        <f t="array" ref="F379">IF(A379="","",IF(ISNUMBER(J379),J379,IF(ISNUMBER(INDEX('Deck 1'!$A:$Z,ROW()-250,'List Setup'!$F$3)),INDEX('Deck 1'!$A:$Z,ROW()-250,'List Setup'!$F$3),0)))</f>
        <v/>
      </c>
      <c r="G379" s="80" t="str">
        <f t="array" ref="G379">IF(A379="","",A379&amp;IF(N(INDEX('Deck 1'!$A:$Z,ROW()-250,'List Setup'!$C$3))&gt;1," (x"&amp;INDEX('Deck 1'!$A:$Z,ROW()-250,'List Setup'!$C$3)&amp;")","")&amp;IF(COUNTIF(Binders!$J$6:$J$30,TRUE())&gt;1," ["&amp;Q379&amp;"]",""))</f>
        <v/>
      </c>
      <c r="H379" s="80" t="str">
        <f t="array" ref="H379">IF(A379="","",CHAR(10)&amp;INDEX('Deck 1'!$A:$Z,ROW()-250,'List Setup'!$E$3)&amp;CHAR(10))</f>
        <v/>
      </c>
      <c r="I379" s="80" t="str">
        <f t="array" ref="I379">IF(OR(B379="",B379="(none)"),"",IF(ISNUMBER(SEARCH(CHAR(10)&amp;B379&amp;CHAR(10),H379)),B379,IFERROR(INDEX('Set Aliases'!$A$2:$A$501,MATCH(1,('Set Aliases'!$B$2:$B$501=B379)*ISNUMBER(SEARCH(CHAR(10)&amp;'Set Aliases'!$A$2:$A$501&amp;CHAR(10),H379)),0)),"")))</f>
        <v/>
      </c>
      <c r="J379" s="80" t="str">
        <f t="array" ref="J379">IF(I379="","",IFERROR(VALUE(TRIM(MID(SUBSTITUTE(INDEX('Deck 1'!$A:$Z,ROW()-250,'List Setup'!$G$3),CHAR(10),REPT(" ",100)),((SEARCH(CHAR(10)&amp;I379&amp;CHAR(10),H379)-LEN(SUBSTITUTE(LEFT(H379,SEARCH(CHAR(10)&amp;I379&amp;CHAR(10),H379)),CHAR(10),"")))-1)*100+1,100))),""))</f>
        <v/>
      </c>
      <c r="K379" s="80" t="str">
        <f t="array" ref="K379">IF(A379="","",IF(ISNUMBER(SEARCH("Land",LEFT(IFERROR(INDEX('Deck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79" s="80" t="str">
        <f t="shared" si="3"/>
        <v/>
      </c>
      <c r="M379" s="80" t="str">
        <f>IF(A379="","",IF(AND(E379="Y",B379='Use at Shop'!$B$4),K379*10000000000+(MAX(0,MIN(26,CODE(MID(UPPER(A379)&amp;"    ",1,1))-64))*19683+MAX(0,MIN(26,CODE(MID(UPPER(A379)&amp;"    ",2,1))-64))*729+MAX(0,MIN(26,CODE(MID(UPPER(A379)&amp;"    ",3,1))-64))*27+MAX(0,MIN(26,CODE(MID(UPPER(A379)&amp;"    ",4,1))-64))*1)*10000+ROW(),""))</f>
        <v/>
      </c>
      <c r="N379" s="80" t="str">
        <f t="shared" si="5"/>
        <v/>
      </c>
      <c r="O379" s="80" t="str">
        <f t="array" ref="O379">IF(A379="","",IFERROR(INDEX('Deck 1'!$A:$Z,ROW()-250,'List Setup'!$J$3)&amp;"",""))</f>
        <v/>
      </c>
      <c r="P379" s="2"/>
      <c r="Q379" s="80" t="str">
        <f>IF(A379="","",'List Setup'!$A$3)</f>
        <v/>
      </c>
      <c r="R379" s="80" t="str">
        <f t="array" ref="R379">IF(A379="","",IFERROR(OR(INDEX(Binders!$J$6:$J$30,MATCH(Q379,Binders!$I$6:$I$30,0))=TRUE(),UPPER(INDEX(Binders!$J$6:$J$30,MATCH(Q379,Binders!$I$6:$I$30,0))&amp;"")="TRUE"),FALSE()))</f>
        <v/>
      </c>
    </row>
    <row r="380" ht="15.75" customHeight="1">
      <c r="A380" s="80" t="str">
        <f t="array" ref="A380">IF(INDEX('Deck 1'!$A:$Z,ROW()-250,'List Setup'!$D$3)="","",INDEX('Deck 1'!$A:$Z,ROW()-250,'List Setup'!$D$3))</f>
        <v/>
      </c>
      <c r="B380" s="80" t="str">
        <f t="array" ref="B380">IF(A380="","",IFERROR(INDEX('Binder Setup'!$B$2:$B$401,MIN(IF(ISNUMBER(SEARCH(CHAR(10)&amp;'Binder Setup'!$B$2:$B$401&amp;CHAR(10),$H380)),'List Setup'!$Q$2:$Q$401,999),IF(ISNUMBER(SEARCH(CHAR(10)&amp;'Set Aliases'!$A$2:$A$501&amp;CHAR(10),$H380)),'Set Aliases'!$C$2:$C$501,999))),"(none)"))</f>
        <v/>
      </c>
      <c r="C380" s="80" t="str">
        <f t="shared" si="1"/>
        <v/>
      </c>
      <c r="D380" s="80" t="str">
        <f t="array" ref="D380">IF(A380="","",IF(ISLOGICAL(INDEX('Deck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80" s="80" t="str">
        <f t="shared" si="2"/>
        <v/>
      </c>
      <c r="F380" s="80" t="str">
        <f t="array" ref="F380">IF(A380="","",IF(ISNUMBER(J380),J380,IF(ISNUMBER(INDEX('Deck 1'!$A:$Z,ROW()-250,'List Setup'!$F$3)),INDEX('Deck 1'!$A:$Z,ROW()-250,'List Setup'!$F$3),0)))</f>
        <v/>
      </c>
      <c r="G380" s="80" t="str">
        <f t="array" ref="G380">IF(A380="","",A380&amp;IF(N(INDEX('Deck 1'!$A:$Z,ROW()-250,'List Setup'!$C$3))&gt;1," (x"&amp;INDEX('Deck 1'!$A:$Z,ROW()-250,'List Setup'!$C$3)&amp;")","")&amp;IF(COUNTIF(Binders!$J$6:$J$30,TRUE())&gt;1," ["&amp;Q380&amp;"]",""))</f>
        <v/>
      </c>
      <c r="H380" s="80" t="str">
        <f t="array" ref="H380">IF(A380="","",CHAR(10)&amp;INDEX('Deck 1'!$A:$Z,ROW()-250,'List Setup'!$E$3)&amp;CHAR(10))</f>
        <v/>
      </c>
      <c r="I380" s="80" t="str">
        <f t="array" ref="I380">IF(OR(B380="",B380="(none)"),"",IF(ISNUMBER(SEARCH(CHAR(10)&amp;B380&amp;CHAR(10),H380)),B380,IFERROR(INDEX('Set Aliases'!$A$2:$A$501,MATCH(1,('Set Aliases'!$B$2:$B$501=B380)*ISNUMBER(SEARCH(CHAR(10)&amp;'Set Aliases'!$A$2:$A$501&amp;CHAR(10),H380)),0)),"")))</f>
        <v/>
      </c>
      <c r="J380" s="80" t="str">
        <f t="array" ref="J380">IF(I380="","",IFERROR(VALUE(TRIM(MID(SUBSTITUTE(INDEX('Deck 1'!$A:$Z,ROW()-250,'List Setup'!$G$3),CHAR(10),REPT(" ",100)),((SEARCH(CHAR(10)&amp;I380&amp;CHAR(10),H380)-LEN(SUBSTITUTE(LEFT(H380,SEARCH(CHAR(10)&amp;I380&amp;CHAR(10),H380)),CHAR(10),"")))-1)*100+1,100))),""))</f>
        <v/>
      </c>
      <c r="K380" s="80" t="str">
        <f t="array" ref="K380">IF(A380="","",IF(ISNUMBER(SEARCH("Land",LEFT(IFERROR(INDEX('Deck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80" s="80" t="str">
        <f t="shared" si="3"/>
        <v/>
      </c>
      <c r="M380" s="80" t="str">
        <f>IF(A380="","",IF(AND(E380="Y",B380='Use at Shop'!$B$4),K380*10000000000+(MAX(0,MIN(26,CODE(MID(UPPER(A380)&amp;"    ",1,1))-64))*19683+MAX(0,MIN(26,CODE(MID(UPPER(A380)&amp;"    ",2,1))-64))*729+MAX(0,MIN(26,CODE(MID(UPPER(A380)&amp;"    ",3,1))-64))*27+MAX(0,MIN(26,CODE(MID(UPPER(A380)&amp;"    ",4,1))-64))*1)*10000+ROW(),""))</f>
        <v/>
      </c>
      <c r="N380" s="80" t="str">
        <f t="shared" si="5"/>
        <v/>
      </c>
      <c r="O380" s="80" t="str">
        <f t="array" ref="O380">IF(A380="","",IFERROR(INDEX('Deck 1'!$A:$Z,ROW()-250,'List Setup'!$J$3)&amp;"",""))</f>
        <v/>
      </c>
      <c r="P380" s="2"/>
      <c r="Q380" s="80" t="str">
        <f>IF(A380="","",'List Setup'!$A$3)</f>
        <v/>
      </c>
      <c r="R380" s="80" t="str">
        <f t="array" ref="R380">IF(A380="","",IFERROR(OR(INDEX(Binders!$J$6:$J$30,MATCH(Q380,Binders!$I$6:$I$30,0))=TRUE(),UPPER(INDEX(Binders!$J$6:$J$30,MATCH(Q380,Binders!$I$6:$I$30,0))&amp;"")="TRUE"),FALSE()))</f>
        <v/>
      </c>
    </row>
    <row r="381" ht="15.75" customHeight="1">
      <c r="A381" s="80" t="str">
        <f t="array" ref="A381">IF(INDEX('Deck 1'!$A:$Z,ROW()-250,'List Setup'!$D$3)="","",INDEX('Deck 1'!$A:$Z,ROW()-250,'List Setup'!$D$3))</f>
        <v/>
      </c>
      <c r="B381" s="80" t="str">
        <f t="array" ref="B381">IF(A381="","",IFERROR(INDEX('Binder Setup'!$B$2:$B$401,MIN(IF(ISNUMBER(SEARCH(CHAR(10)&amp;'Binder Setup'!$B$2:$B$401&amp;CHAR(10),$H381)),'List Setup'!$Q$2:$Q$401,999),IF(ISNUMBER(SEARCH(CHAR(10)&amp;'Set Aliases'!$A$2:$A$501&amp;CHAR(10),$H381)),'Set Aliases'!$C$2:$C$501,999))),"(none)"))</f>
        <v/>
      </c>
      <c r="C381" s="80" t="str">
        <f t="shared" si="1"/>
        <v/>
      </c>
      <c r="D381" s="80" t="str">
        <f t="array" ref="D381">IF(A381="","",IF(ISLOGICAL(INDEX('Deck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81" s="80" t="str">
        <f t="shared" si="2"/>
        <v/>
      </c>
      <c r="F381" s="80" t="str">
        <f t="array" ref="F381">IF(A381="","",IF(ISNUMBER(J381),J381,IF(ISNUMBER(INDEX('Deck 1'!$A:$Z,ROW()-250,'List Setup'!$F$3)),INDEX('Deck 1'!$A:$Z,ROW()-250,'List Setup'!$F$3),0)))</f>
        <v/>
      </c>
      <c r="G381" s="80" t="str">
        <f t="array" ref="G381">IF(A381="","",A381&amp;IF(N(INDEX('Deck 1'!$A:$Z,ROW()-250,'List Setup'!$C$3))&gt;1," (x"&amp;INDEX('Deck 1'!$A:$Z,ROW()-250,'List Setup'!$C$3)&amp;")","")&amp;IF(COUNTIF(Binders!$J$6:$J$30,TRUE())&gt;1," ["&amp;Q381&amp;"]",""))</f>
        <v/>
      </c>
      <c r="H381" s="80" t="str">
        <f t="array" ref="H381">IF(A381="","",CHAR(10)&amp;INDEX('Deck 1'!$A:$Z,ROW()-250,'List Setup'!$E$3)&amp;CHAR(10))</f>
        <v/>
      </c>
      <c r="I381" s="80" t="str">
        <f t="array" ref="I381">IF(OR(B381="",B381="(none)"),"",IF(ISNUMBER(SEARCH(CHAR(10)&amp;B381&amp;CHAR(10),H381)),B381,IFERROR(INDEX('Set Aliases'!$A$2:$A$501,MATCH(1,('Set Aliases'!$B$2:$B$501=B381)*ISNUMBER(SEARCH(CHAR(10)&amp;'Set Aliases'!$A$2:$A$501&amp;CHAR(10),H381)),0)),"")))</f>
        <v/>
      </c>
      <c r="J381" s="80" t="str">
        <f t="array" ref="J381">IF(I381="","",IFERROR(VALUE(TRIM(MID(SUBSTITUTE(INDEX('Deck 1'!$A:$Z,ROW()-250,'List Setup'!$G$3),CHAR(10),REPT(" ",100)),((SEARCH(CHAR(10)&amp;I381&amp;CHAR(10),H381)-LEN(SUBSTITUTE(LEFT(H381,SEARCH(CHAR(10)&amp;I381&amp;CHAR(10),H381)),CHAR(10),"")))-1)*100+1,100))),""))</f>
        <v/>
      </c>
      <c r="K381" s="80" t="str">
        <f t="array" ref="K381">IF(A381="","",IF(ISNUMBER(SEARCH("Land",LEFT(IFERROR(INDEX('Deck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81" s="80" t="str">
        <f t="shared" si="3"/>
        <v/>
      </c>
      <c r="M381" s="80" t="str">
        <f>IF(A381="","",IF(AND(E381="Y",B381='Use at Shop'!$B$4),K381*10000000000+(MAX(0,MIN(26,CODE(MID(UPPER(A381)&amp;"    ",1,1))-64))*19683+MAX(0,MIN(26,CODE(MID(UPPER(A381)&amp;"    ",2,1))-64))*729+MAX(0,MIN(26,CODE(MID(UPPER(A381)&amp;"    ",3,1))-64))*27+MAX(0,MIN(26,CODE(MID(UPPER(A381)&amp;"    ",4,1))-64))*1)*10000+ROW(),""))</f>
        <v/>
      </c>
      <c r="N381" s="80" t="str">
        <f t="shared" si="5"/>
        <v/>
      </c>
      <c r="O381" s="80" t="str">
        <f t="array" ref="O381">IF(A381="","",IFERROR(INDEX('Deck 1'!$A:$Z,ROW()-250,'List Setup'!$J$3)&amp;"",""))</f>
        <v/>
      </c>
      <c r="P381" s="2"/>
      <c r="Q381" s="80" t="str">
        <f>IF(A381="","",'List Setup'!$A$3)</f>
        <v/>
      </c>
      <c r="R381" s="80" t="str">
        <f t="array" ref="R381">IF(A381="","",IFERROR(OR(INDEX(Binders!$J$6:$J$30,MATCH(Q381,Binders!$I$6:$I$30,0))=TRUE(),UPPER(INDEX(Binders!$J$6:$J$30,MATCH(Q381,Binders!$I$6:$I$30,0))&amp;"")="TRUE"),FALSE()))</f>
        <v/>
      </c>
    </row>
    <row r="382" ht="15.75" customHeight="1">
      <c r="A382" s="80" t="str">
        <f t="array" ref="A382">IF(INDEX('Deck 1'!$A:$Z,ROW()-250,'List Setup'!$D$3)="","",INDEX('Deck 1'!$A:$Z,ROW()-250,'List Setup'!$D$3))</f>
        <v/>
      </c>
      <c r="B382" s="80" t="str">
        <f t="array" ref="B382">IF(A382="","",IFERROR(INDEX('Binder Setup'!$B$2:$B$401,MIN(IF(ISNUMBER(SEARCH(CHAR(10)&amp;'Binder Setup'!$B$2:$B$401&amp;CHAR(10),$H382)),'List Setup'!$Q$2:$Q$401,999),IF(ISNUMBER(SEARCH(CHAR(10)&amp;'Set Aliases'!$A$2:$A$501&amp;CHAR(10),$H382)),'Set Aliases'!$C$2:$C$501,999))),"(none)"))</f>
        <v/>
      </c>
      <c r="C382" s="80" t="str">
        <f t="shared" si="1"/>
        <v/>
      </c>
      <c r="D382" s="80" t="str">
        <f t="array" ref="D382">IF(A382="","",IF(ISLOGICAL(INDEX('Deck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82" s="80" t="str">
        <f t="shared" si="2"/>
        <v/>
      </c>
      <c r="F382" s="80" t="str">
        <f t="array" ref="F382">IF(A382="","",IF(ISNUMBER(J382),J382,IF(ISNUMBER(INDEX('Deck 1'!$A:$Z,ROW()-250,'List Setup'!$F$3)),INDEX('Deck 1'!$A:$Z,ROW()-250,'List Setup'!$F$3),0)))</f>
        <v/>
      </c>
      <c r="G382" s="80" t="str">
        <f t="array" ref="G382">IF(A382="","",A382&amp;IF(N(INDEX('Deck 1'!$A:$Z,ROW()-250,'List Setup'!$C$3))&gt;1," (x"&amp;INDEX('Deck 1'!$A:$Z,ROW()-250,'List Setup'!$C$3)&amp;")","")&amp;IF(COUNTIF(Binders!$J$6:$J$30,TRUE())&gt;1," ["&amp;Q382&amp;"]",""))</f>
        <v/>
      </c>
      <c r="H382" s="80" t="str">
        <f t="array" ref="H382">IF(A382="","",CHAR(10)&amp;INDEX('Deck 1'!$A:$Z,ROW()-250,'List Setup'!$E$3)&amp;CHAR(10))</f>
        <v/>
      </c>
      <c r="I382" s="80" t="str">
        <f t="array" ref="I382">IF(OR(B382="",B382="(none)"),"",IF(ISNUMBER(SEARCH(CHAR(10)&amp;B382&amp;CHAR(10),H382)),B382,IFERROR(INDEX('Set Aliases'!$A$2:$A$501,MATCH(1,('Set Aliases'!$B$2:$B$501=B382)*ISNUMBER(SEARCH(CHAR(10)&amp;'Set Aliases'!$A$2:$A$501&amp;CHAR(10),H382)),0)),"")))</f>
        <v/>
      </c>
      <c r="J382" s="80" t="str">
        <f t="array" ref="J382">IF(I382="","",IFERROR(VALUE(TRIM(MID(SUBSTITUTE(INDEX('Deck 1'!$A:$Z,ROW()-250,'List Setup'!$G$3),CHAR(10),REPT(" ",100)),((SEARCH(CHAR(10)&amp;I382&amp;CHAR(10),H382)-LEN(SUBSTITUTE(LEFT(H382,SEARCH(CHAR(10)&amp;I382&amp;CHAR(10),H382)),CHAR(10),"")))-1)*100+1,100))),""))</f>
        <v/>
      </c>
      <c r="K382" s="80" t="str">
        <f t="array" ref="K382">IF(A382="","",IF(ISNUMBER(SEARCH("Land",LEFT(IFERROR(INDEX('Deck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82" s="80" t="str">
        <f t="shared" si="3"/>
        <v/>
      </c>
      <c r="M382" s="80" t="str">
        <f>IF(A382="","",IF(AND(E382="Y",B382='Use at Shop'!$B$4),K382*10000000000+(MAX(0,MIN(26,CODE(MID(UPPER(A382)&amp;"    ",1,1))-64))*19683+MAX(0,MIN(26,CODE(MID(UPPER(A382)&amp;"    ",2,1))-64))*729+MAX(0,MIN(26,CODE(MID(UPPER(A382)&amp;"    ",3,1))-64))*27+MAX(0,MIN(26,CODE(MID(UPPER(A382)&amp;"    ",4,1))-64))*1)*10000+ROW(),""))</f>
        <v/>
      </c>
      <c r="N382" s="80" t="str">
        <f t="shared" si="5"/>
        <v/>
      </c>
      <c r="O382" s="80" t="str">
        <f t="array" ref="O382">IF(A382="","",IFERROR(INDEX('Deck 1'!$A:$Z,ROW()-250,'List Setup'!$J$3)&amp;"",""))</f>
        <v/>
      </c>
      <c r="P382" s="2"/>
      <c r="Q382" s="80" t="str">
        <f>IF(A382="","",'List Setup'!$A$3)</f>
        <v/>
      </c>
      <c r="R382" s="80" t="str">
        <f t="array" ref="R382">IF(A382="","",IFERROR(OR(INDEX(Binders!$J$6:$J$30,MATCH(Q382,Binders!$I$6:$I$30,0))=TRUE(),UPPER(INDEX(Binders!$J$6:$J$30,MATCH(Q382,Binders!$I$6:$I$30,0))&amp;"")="TRUE"),FALSE()))</f>
        <v/>
      </c>
    </row>
    <row r="383" ht="15.75" customHeight="1">
      <c r="A383" s="80" t="str">
        <f t="array" ref="A383">IF(INDEX('Deck 1'!$A:$Z,ROW()-250,'List Setup'!$D$3)="","",INDEX('Deck 1'!$A:$Z,ROW()-250,'List Setup'!$D$3))</f>
        <v/>
      </c>
      <c r="B383" s="80" t="str">
        <f t="array" ref="B383">IF(A383="","",IFERROR(INDEX('Binder Setup'!$B$2:$B$401,MIN(IF(ISNUMBER(SEARCH(CHAR(10)&amp;'Binder Setup'!$B$2:$B$401&amp;CHAR(10),$H383)),'List Setup'!$Q$2:$Q$401,999),IF(ISNUMBER(SEARCH(CHAR(10)&amp;'Set Aliases'!$A$2:$A$501&amp;CHAR(10),$H383)),'Set Aliases'!$C$2:$C$501,999))),"(none)"))</f>
        <v/>
      </c>
      <c r="C383" s="80" t="str">
        <f t="shared" si="1"/>
        <v/>
      </c>
      <c r="D383" s="80" t="str">
        <f t="array" ref="D383">IF(A383="","",IF(ISLOGICAL(INDEX('Deck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83" s="80" t="str">
        <f t="shared" si="2"/>
        <v/>
      </c>
      <c r="F383" s="80" t="str">
        <f t="array" ref="F383">IF(A383="","",IF(ISNUMBER(J383),J383,IF(ISNUMBER(INDEX('Deck 1'!$A:$Z,ROW()-250,'List Setup'!$F$3)),INDEX('Deck 1'!$A:$Z,ROW()-250,'List Setup'!$F$3),0)))</f>
        <v/>
      </c>
      <c r="G383" s="80" t="str">
        <f t="array" ref="G383">IF(A383="","",A383&amp;IF(N(INDEX('Deck 1'!$A:$Z,ROW()-250,'List Setup'!$C$3))&gt;1," (x"&amp;INDEX('Deck 1'!$A:$Z,ROW()-250,'List Setup'!$C$3)&amp;")","")&amp;IF(COUNTIF(Binders!$J$6:$J$30,TRUE())&gt;1," ["&amp;Q383&amp;"]",""))</f>
        <v/>
      </c>
      <c r="H383" s="80" t="str">
        <f t="array" ref="H383">IF(A383="","",CHAR(10)&amp;INDEX('Deck 1'!$A:$Z,ROW()-250,'List Setup'!$E$3)&amp;CHAR(10))</f>
        <v/>
      </c>
      <c r="I383" s="80" t="str">
        <f t="array" ref="I383">IF(OR(B383="",B383="(none)"),"",IF(ISNUMBER(SEARCH(CHAR(10)&amp;B383&amp;CHAR(10),H383)),B383,IFERROR(INDEX('Set Aliases'!$A$2:$A$501,MATCH(1,('Set Aliases'!$B$2:$B$501=B383)*ISNUMBER(SEARCH(CHAR(10)&amp;'Set Aliases'!$A$2:$A$501&amp;CHAR(10),H383)),0)),"")))</f>
        <v/>
      </c>
      <c r="J383" s="80" t="str">
        <f t="array" ref="J383">IF(I383="","",IFERROR(VALUE(TRIM(MID(SUBSTITUTE(INDEX('Deck 1'!$A:$Z,ROW()-250,'List Setup'!$G$3),CHAR(10),REPT(" ",100)),((SEARCH(CHAR(10)&amp;I383&amp;CHAR(10),H383)-LEN(SUBSTITUTE(LEFT(H383,SEARCH(CHAR(10)&amp;I383&amp;CHAR(10),H383)),CHAR(10),"")))-1)*100+1,100))),""))</f>
        <v/>
      </c>
      <c r="K383" s="80" t="str">
        <f t="array" ref="K383">IF(A383="","",IF(ISNUMBER(SEARCH("Land",LEFT(IFERROR(INDEX('Deck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83" s="80" t="str">
        <f t="shared" si="3"/>
        <v/>
      </c>
      <c r="M383" s="80" t="str">
        <f>IF(A383="","",IF(AND(E383="Y",B383='Use at Shop'!$B$4),K383*10000000000+(MAX(0,MIN(26,CODE(MID(UPPER(A383)&amp;"    ",1,1))-64))*19683+MAX(0,MIN(26,CODE(MID(UPPER(A383)&amp;"    ",2,1))-64))*729+MAX(0,MIN(26,CODE(MID(UPPER(A383)&amp;"    ",3,1))-64))*27+MAX(0,MIN(26,CODE(MID(UPPER(A383)&amp;"    ",4,1))-64))*1)*10000+ROW(),""))</f>
        <v/>
      </c>
      <c r="N383" s="80" t="str">
        <f t="shared" si="5"/>
        <v/>
      </c>
      <c r="O383" s="80" t="str">
        <f t="array" ref="O383">IF(A383="","",IFERROR(INDEX('Deck 1'!$A:$Z,ROW()-250,'List Setup'!$J$3)&amp;"",""))</f>
        <v/>
      </c>
      <c r="P383" s="2"/>
      <c r="Q383" s="80" t="str">
        <f>IF(A383="","",'List Setup'!$A$3)</f>
        <v/>
      </c>
      <c r="R383" s="80" t="str">
        <f t="array" ref="R383">IF(A383="","",IFERROR(OR(INDEX(Binders!$J$6:$J$30,MATCH(Q383,Binders!$I$6:$I$30,0))=TRUE(),UPPER(INDEX(Binders!$J$6:$J$30,MATCH(Q383,Binders!$I$6:$I$30,0))&amp;"")="TRUE"),FALSE()))</f>
        <v/>
      </c>
    </row>
    <row r="384" ht="15.75" customHeight="1">
      <c r="A384" s="80" t="str">
        <f t="array" ref="A384">IF(INDEX('Deck 1'!$A:$Z,ROW()-250,'List Setup'!$D$3)="","",INDEX('Deck 1'!$A:$Z,ROW()-250,'List Setup'!$D$3))</f>
        <v/>
      </c>
      <c r="B384" s="80" t="str">
        <f t="array" ref="B384">IF(A384="","",IFERROR(INDEX('Binder Setup'!$B$2:$B$401,MIN(IF(ISNUMBER(SEARCH(CHAR(10)&amp;'Binder Setup'!$B$2:$B$401&amp;CHAR(10),$H384)),'List Setup'!$Q$2:$Q$401,999),IF(ISNUMBER(SEARCH(CHAR(10)&amp;'Set Aliases'!$A$2:$A$501&amp;CHAR(10),$H384)),'Set Aliases'!$C$2:$C$501,999))),"(none)"))</f>
        <v/>
      </c>
      <c r="C384" s="80" t="str">
        <f t="shared" si="1"/>
        <v/>
      </c>
      <c r="D384" s="80" t="str">
        <f t="array" ref="D384">IF(A384="","",IF(ISLOGICAL(INDEX('Deck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84" s="80" t="str">
        <f t="shared" si="2"/>
        <v/>
      </c>
      <c r="F384" s="80" t="str">
        <f t="array" ref="F384">IF(A384="","",IF(ISNUMBER(J384),J384,IF(ISNUMBER(INDEX('Deck 1'!$A:$Z,ROW()-250,'List Setup'!$F$3)),INDEX('Deck 1'!$A:$Z,ROW()-250,'List Setup'!$F$3),0)))</f>
        <v/>
      </c>
      <c r="G384" s="80" t="str">
        <f t="array" ref="G384">IF(A384="","",A384&amp;IF(N(INDEX('Deck 1'!$A:$Z,ROW()-250,'List Setup'!$C$3))&gt;1," (x"&amp;INDEX('Deck 1'!$A:$Z,ROW()-250,'List Setup'!$C$3)&amp;")","")&amp;IF(COUNTIF(Binders!$J$6:$J$30,TRUE())&gt;1," ["&amp;Q384&amp;"]",""))</f>
        <v/>
      </c>
      <c r="H384" s="80" t="str">
        <f t="array" ref="H384">IF(A384="","",CHAR(10)&amp;INDEX('Deck 1'!$A:$Z,ROW()-250,'List Setup'!$E$3)&amp;CHAR(10))</f>
        <v/>
      </c>
      <c r="I384" s="80" t="str">
        <f t="array" ref="I384">IF(OR(B384="",B384="(none)"),"",IF(ISNUMBER(SEARCH(CHAR(10)&amp;B384&amp;CHAR(10),H384)),B384,IFERROR(INDEX('Set Aliases'!$A$2:$A$501,MATCH(1,('Set Aliases'!$B$2:$B$501=B384)*ISNUMBER(SEARCH(CHAR(10)&amp;'Set Aliases'!$A$2:$A$501&amp;CHAR(10),H384)),0)),"")))</f>
        <v/>
      </c>
      <c r="J384" s="80" t="str">
        <f t="array" ref="J384">IF(I384="","",IFERROR(VALUE(TRIM(MID(SUBSTITUTE(INDEX('Deck 1'!$A:$Z,ROW()-250,'List Setup'!$G$3),CHAR(10),REPT(" ",100)),((SEARCH(CHAR(10)&amp;I384&amp;CHAR(10),H384)-LEN(SUBSTITUTE(LEFT(H384,SEARCH(CHAR(10)&amp;I384&amp;CHAR(10),H384)),CHAR(10),"")))-1)*100+1,100))),""))</f>
        <v/>
      </c>
      <c r="K384" s="80" t="str">
        <f t="array" ref="K384">IF(A384="","",IF(ISNUMBER(SEARCH("Land",LEFT(IFERROR(INDEX('Deck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84" s="80" t="str">
        <f t="shared" si="3"/>
        <v/>
      </c>
      <c r="M384" s="80" t="str">
        <f>IF(A384="","",IF(AND(E384="Y",B384='Use at Shop'!$B$4),K384*10000000000+(MAX(0,MIN(26,CODE(MID(UPPER(A384)&amp;"    ",1,1))-64))*19683+MAX(0,MIN(26,CODE(MID(UPPER(A384)&amp;"    ",2,1))-64))*729+MAX(0,MIN(26,CODE(MID(UPPER(A384)&amp;"    ",3,1))-64))*27+MAX(0,MIN(26,CODE(MID(UPPER(A384)&amp;"    ",4,1))-64))*1)*10000+ROW(),""))</f>
        <v/>
      </c>
      <c r="N384" s="80" t="str">
        <f t="shared" si="5"/>
        <v/>
      </c>
      <c r="O384" s="80" t="str">
        <f t="array" ref="O384">IF(A384="","",IFERROR(INDEX('Deck 1'!$A:$Z,ROW()-250,'List Setup'!$J$3)&amp;"",""))</f>
        <v/>
      </c>
      <c r="P384" s="2"/>
      <c r="Q384" s="80" t="str">
        <f>IF(A384="","",'List Setup'!$A$3)</f>
        <v/>
      </c>
      <c r="R384" s="80" t="str">
        <f t="array" ref="R384">IF(A384="","",IFERROR(OR(INDEX(Binders!$J$6:$J$30,MATCH(Q384,Binders!$I$6:$I$30,0))=TRUE(),UPPER(INDEX(Binders!$J$6:$J$30,MATCH(Q384,Binders!$I$6:$I$30,0))&amp;"")="TRUE"),FALSE()))</f>
        <v/>
      </c>
    </row>
    <row r="385" ht="15.75" customHeight="1">
      <c r="A385" s="80" t="str">
        <f t="array" ref="A385">IF(INDEX('Deck 1'!$A:$Z,ROW()-250,'List Setup'!$D$3)="","",INDEX('Deck 1'!$A:$Z,ROW()-250,'List Setup'!$D$3))</f>
        <v/>
      </c>
      <c r="B385" s="80" t="str">
        <f t="array" ref="B385">IF(A385="","",IFERROR(INDEX('Binder Setup'!$B$2:$B$401,MIN(IF(ISNUMBER(SEARCH(CHAR(10)&amp;'Binder Setup'!$B$2:$B$401&amp;CHAR(10),$H385)),'List Setup'!$Q$2:$Q$401,999),IF(ISNUMBER(SEARCH(CHAR(10)&amp;'Set Aliases'!$A$2:$A$501&amp;CHAR(10),$H385)),'Set Aliases'!$C$2:$C$501,999))),"(none)"))</f>
        <v/>
      </c>
      <c r="C385" s="80" t="str">
        <f t="shared" si="1"/>
        <v/>
      </c>
      <c r="D385" s="80" t="str">
        <f t="array" ref="D385">IF(A385="","",IF(ISLOGICAL(INDEX('Deck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85" s="80" t="str">
        <f t="shared" si="2"/>
        <v/>
      </c>
      <c r="F385" s="80" t="str">
        <f t="array" ref="F385">IF(A385="","",IF(ISNUMBER(J385),J385,IF(ISNUMBER(INDEX('Deck 1'!$A:$Z,ROW()-250,'List Setup'!$F$3)),INDEX('Deck 1'!$A:$Z,ROW()-250,'List Setup'!$F$3),0)))</f>
        <v/>
      </c>
      <c r="G385" s="80" t="str">
        <f t="array" ref="G385">IF(A385="","",A385&amp;IF(N(INDEX('Deck 1'!$A:$Z,ROW()-250,'List Setup'!$C$3))&gt;1," (x"&amp;INDEX('Deck 1'!$A:$Z,ROW()-250,'List Setup'!$C$3)&amp;")","")&amp;IF(COUNTIF(Binders!$J$6:$J$30,TRUE())&gt;1," ["&amp;Q385&amp;"]",""))</f>
        <v/>
      </c>
      <c r="H385" s="80" t="str">
        <f t="array" ref="H385">IF(A385="","",CHAR(10)&amp;INDEX('Deck 1'!$A:$Z,ROW()-250,'List Setup'!$E$3)&amp;CHAR(10))</f>
        <v/>
      </c>
      <c r="I385" s="80" t="str">
        <f t="array" ref="I385">IF(OR(B385="",B385="(none)"),"",IF(ISNUMBER(SEARCH(CHAR(10)&amp;B385&amp;CHAR(10),H385)),B385,IFERROR(INDEX('Set Aliases'!$A$2:$A$501,MATCH(1,('Set Aliases'!$B$2:$B$501=B385)*ISNUMBER(SEARCH(CHAR(10)&amp;'Set Aliases'!$A$2:$A$501&amp;CHAR(10),H385)),0)),"")))</f>
        <v/>
      </c>
      <c r="J385" s="80" t="str">
        <f t="array" ref="J385">IF(I385="","",IFERROR(VALUE(TRIM(MID(SUBSTITUTE(INDEX('Deck 1'!$A:$Z,ROW()-250,'List Setup'!$G$3),CHAR(10),REPT(" ",100)),((SEARCH(CHAR(10)&amp;I385&amp;CHAR(10),H385)-LEN(SUBSTITUTE(LEFT(H385,SEARCH(CHAR(10)&amp;I385&amp;CHAR(10),H385)),CHAR(10),"")))-1)*100+1,100))),""))</f>
        <v/>
      </c>
      <c r="K385" s="80" t="str">
        <f t="array" ref="K385">IF(A385="","",IF(ISNUMBER(SEARCH("Land",LEFT(IFERROR(INDEX('Deck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85" s="80" t="str">
        <f t="shared" si="3"/>
        <v/>
      </c>
      <c r="M385" s="80" t="str">
        <f>IF(A385="","",IF(AND(E385="Y",B385='Use at Shop'!$B$4),K385*10000000000+(MAX(0,MIN(26,CODE(MID(UPPER(A385)&amp;"    ",1,1))-64))*19683+MAX(0,MIN(26,CODE(MID(UPPER(A385)&amp;"    ",2,1))-64))*729+MAX(0,MIN(26,CODE(MID(UPPER(A385)&amp;"    ",3,1))-64))*27+MAX(0,MIN(26,CODE(MID(UPPER(A385)&amp;"    ",4,1))-64))*1)*10000+ROW(),""))</f>
        <v/>
      </c>
      <c r="N385" s="80" t="str">
        <f t="shared" si="5"/>
        <v/>
      </c>
      <c r="O385" s="80" t="str">
        <f t="array" ref="O385">IF(A385="","",IFERROR(INDEX('Deck 1'!$A:$Z,ROW()-250,'List Setup'!$J$3)&amp;"",""))</f>
        <v/>
      </c>
      <c r="P385" s="2"/>
      <c r="Q385" s="80" t="str">
        <f>IF(A385="","",'List Setup'!$A$3)</f>
        <v/>
      </c>
      <c r="R385" s="80" t="str">
        <f t="array" ref="R385">IF(A385="","",IFERROR(OR(INDEX(Binders!$J$6:$J$30,MATCH(Q385,Binders!$I$6:$I$30,0))=TRUE(),UPPER(INDEX(Binders!$J$6:$J$30,MATCH(Q385,Binders!$I$6:$I$30,0))&amp;"")="TRUE"),FALSE()))</f>
        <v/>
      </c>
    </row>
    <row r="386" ht="15.75" customHeight="1">
      <c r="A386" s="80" t="str">
        <f t="array" ref="A386">IF(INDEX('Deck 1'!$A:$Z,ROW()-250,'List Setup'!$D$3)="","",INDEX('Deck 1'!$A:$Z,ROW()-250,'List Setup'!$D$3))</f>
        <v/>
      </c>
      <c r="B386" s="80" t="str">
        <f t="array" ref="B386">IF(A386="","",IFERROR(INDEX('Binder Setup'!$B$2:$B$401,MIN(IF(ISNUMBER(SEARCH(CHAR(10)&amp;'Binder Setup'!$B$2:$B$401&amp;CHAR(10),$H386)),'List Setup'!$Q$2:$Q$401,999),IF(ISNUMBER(SEARCH(CHAR(10)&amp;'Set Aliases'!$A$2:$A$501&amp;CHAR(10),$H386)),'Set Aliases'!$C$2:$C$501,999))),"(none)"))</f>
        <v/>
      </c>
      <c r="C386" s="80" t="str">
        <f t="shared" si="1"/>
        <v/>
      </c>
      <c r="D386" s="80" t="str">
        <f t="array" ref="D386">IF(A386="","",IF(ISLOGICAL(INDEX('Deck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86" s="80" t="str">
        <f t="shared" si="2"/>
        <v/>
      </c>
      <c r="F386" s="80" t="str">
        <f t="array" ref="F386">IF(A386="","",IF(ISNUMBER(J386),J386,IF(ISNUMBER(INDEX('Deck 1'!$A:$Z,ROW()-250,'List Setup'!$F$3)),INDEX('Deck 1'!$A:$Z,ROW()-250,'List Setup'!$F$3),0)))</f>
        <v/>
      </c>
      <c r="G386" s="80" t="str">
        <f t="array" ref="G386">IF(A386="","",A386&amp;IF(N(INDEX('Deck 1'!$A:$Z,ROW()-250,'List Setup'!$C$3))&gt;1," (x"&amp;INDEX('Deck 1'!$A:$Z,ROW()-250,'List Setup'!$C$3)&amp;")","")&amp;IF(COUNTIF(Binders!$J$6:$J$30,TRUE())&gt;1," ["&amp;Q386&amp;"]",""))</f>
        <v/>
      </c>
      <c r="H386" s="80" t="str">
        <f t="array" ref="H386">IF(A386="","",CHAR(10)&amp;INDEX('Deck 1'!$A:$Z,ROW()-250,'List Setup'!$E$3)&amp;CHAR(10))</f>
        <v/>
      </c>
      <c r="I386" s="80" t="str">
        <f t="array" ref="I386">IF(OR(B386="",B386="(none)"),"",IF(ISNUMBER(SEARCH(CHAR(10)&amp;B386&amp;CHAR(10),H386)),B386,IFERROR(INDEX('Set Aliases'!$A$2:$A$501,MATCH(1,('Set Aliases'!$B$2:$B$501=B386)*ISNUMBER(SEARCH(CHAR(10)&amp;'Set Aliases'!$A$2:$A$501&amp;CHAR(10),H386)),0)),"")))</f>
        <v/>
      </c>
      <c r="J386" s="80" t="str">
        <f t="array" ref="J386">IF(I386="","",IFERROR(VALUE(TRIM(MID(SUBSTITUTE(INDEX('Deck 1'!$A:$Z,ROW()-250,'List Setup'!$G$3),CHAR(10),REPT(" ",100)),((SEARCH(CHAR(10)&amp;I386&amp;CHAR(10),H386)-LEN(SUBSTITUTE(LEFT(H386,SEARCH(CHAR(10)&amp;I386&amp;CHAR(10),H386)),CHAR(10),"")))-1)*100+1,100))),""))</f>
        <v/>
      </c>
      <c r="K386" s="80" t="str">
        <f t="array" ref="K386">IF(A386="","",IF(ISNUMBER(SEARCH("Land",LEFT(IFERROR(INDEX('Deck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86" s="80" t="str">
        <f t="shared" si="3"/>
        <v/>
      </c>
      <c r="M386" s="80" t="str">
        <f>IF(A386="","",IF(AND(E386="Y",B386='Use at Shop'!$B$4),K386*10000000000+(MAX(0,MIN(26,CODE(MID(UPPER(A386)&amp;"    ",1,1))-64))*19683+MAX(0,MIN(26,CODE(MID(UPPER(A386)&amp;"    ",2,1))-64))*729+MAX(0,MIN(26,CODE(MID(UPPER(A386)&amp;"    ",3,1))-64))*27+MAX(0,MIN(26,CODE(MID(UPPER(A386)&amp;"    ",4,1))-64))*1)*10000+ROW(),""))</f>
        <v/>
      </c>
      <c r="N386" s="80" t="str">
        <f t="shared" si="5"/>
        <v/>
      </c>
      <c r="O386" s="80" t="str">
        <f t="array" ref="O386">IF(A386="","",IFERROR(INDEX('Deck 1'!$A:$Z,ROW()-250,'List Setup'!$J$3)&amp;"",""))</f>
        <v/>
      </c>
      <c r="P386" s="2"/>
      <c r="Q386" s="80" t="str">
        <f>IF(A386="","",'List Setup'!$A$3)</f>
        <v/>
      </c>
      <c r="R386" s="80" t="str">
        <f t="array" ref="R386">IF(A386="","",IFERROR(OR(INDEX(Binders!$J$6:$J$30,MATCH(Q386,Binders!$I$6:$I$30,0))=TRUE(),UPPER(INDEX(Binders!$J$6:$J$30,MATCH(Q386,Binders!$I$6:$I$30,0))&amp;"")="TRUE"),FALSE()))</f>
        <v/>
      </c>
    </row>
    <row r="387" ht="15.75" customHeight="1">
      <c r="A387" s="80" t="str">
        <f t="array" ref="A387">IF(INDEX('Deck 1'!$A:$Z,ROW()-250,'List Setup'!$D$3)="","",INDEX('Deck 1'!$A:$Z,ROW()-250,'List Setup'!$D$3))</f>
        <v/>
      </c>
      <c r="B387" s="80" t="str">
        <f t="array" ref="B387">IF(A387="","",IFERROR(INDEX('Binder Setup'!$B$2:$B$401,MIN(IF(ISNUMBER(SEARCH(CHAR(10)&amp;'Binder Setup'!$B$2:$B$401&amp;CHAR(10),$H387)),'List Setup'!$Q$2:$Q$401,999),IF(ISNUMBER(SEARCH(CHAR(10)&amp;'Set Aliases'!$A$2:$A$501&amp;CHAR(10),$H387)),'Set Aliases'!$C$2:$C$501,999))),"(none)"))</f>
        <v/>
      </c>
      <c r="C387" s="80" t="str">
        <f t="shared" si="1"/>
        <v/>
      </c>
      <c r="D387" s="80" t="str">
        <f t="array" ref="D387">IF(A387="","",IF(ISLOGICAL(INDEX('Deck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87" s="80" t="str">
        <f t="shared" si="2"/>
        <v/>
      </c>
      <c r="F387" s="80" t="str">
        <f t="array" ref="F387">IF(A387="","",IF(ISNUMBER(J387),J387,IF(ISNUMBER(INDEX('Deck 1'!$A:$Z,ROW()-250,'List Setup'!$F$3)),INDEX('Deck 1'!$A:$Z,ROW()-250,'List Setup'!$F$3),0)))</f>
        <v/>
      </c>
      <c r="G387" s="80" t="str">
        <f t="array" ref="G387">IF(A387="","",A387&amp;IF(N(INDEX('Deck 1'!$A:$Z,ROW()-250,'List Setup'!$C$3))&gt;1," (x"&amp;INDEX('Deck 1'!$A:$Z,ROW()-250,'List Setup'!$C$3)&amp;")","")&amp;IF(COUNTIF(Binders!$J$6:$J$30,TRUE())&gt;1," ["&amp;Q387&amp;"]",""))</f>
        <v/>
      </c>
      <c r="H387" s="80" t="str">
        <f t="array" ref="H387">IF(A387="","",CHAR(10)&amp;INDEX('Deck 1'!$A:$Z,ROW()-250,'List Setup'!$E$3)&amp;CHAR(10))</f>
        <v/>
      </c>
      <c r="I387" s="80" t="str">
        <f t="array" ref="I387">IF(OR(B387="",B387="(none)"),"",IF(ISNUMBER(SEARCH(CHAR(10)&amp;B387&amp;CHAR(10),H387)),B387,IFERROR(INDEX('Set Aliases'!$A$2:$A$501,MATCH(1,('Set Aliases'!$B$2:$B$501=B387)*ISNUMBER(SEARCH(CHAR(10)&amp;'Set Aliases'!$A$2:$A$501&amp;CHAR(10),H387)),0)),"")))</f>
        <v/>
      </c>
      <c r="J387" s="80" t="str">
        <f t="array" ref="J387">IF(I387="","",IFERROR(VALUE(TRIM(MID(SUBSTITUTE(INDEX('Deck 1'!$A:$Z,ROW()-250,'List Setup'!$G$3),CHAR(10),REPT(" ",100)),((SEARCH(CHAR(10)&amp;I387&amp;CHAR(10),H387)-LEN(SUBSTITUTE(LEFT(H387,SEARCH(CHAR(10)&amp;I387&amp;CHAR(10),H387)),CHAR(10),"")))-1)*100+1,100))),""))</f>
        <v/>
      </c>
      <c r="K387" s="80" t="str">
        <f t="array" ref="K387">IF(A387="","",IF(ISNUMBER(SEARCH("Land",LEFT(IFERROR(INDEX('Deck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87" s="80" t="str">
        <f t="shared" si="3"/>
        <v/>
      </c>
      <c r="M387" s="80" t="str">
        <f>IF(A387="","",IF(AND(E387="Y",B387='Use at Shop'!$B$4),K387*10000000000+(MAX(0,MIN(26,CODE(MID(UPPER(A387)&amp;"    ",1,1))-64))*19683+MAX(0,MIN(26,CODE(MID(UPPER(A387)&amp;"    ",2,1))-64))*729+MAX(0,MIN(26,CODE(MID(UPPER(A387)&amp;"    ",3,1))-64))*27+MAX(0,MIN(26,CODE(MID(UPPER(A387)&amp;"    ",4,1))-64))*1)*10000+ROW(),""))</f>
        <v/>
      </c>
      <c r="N387" s="80" t="str">
        <f t="shared" si="5"/>
        <v/>
      </c>
      <c r="O387" s="80" t="str">
        <f t="array" ref="O387">IF(A387="","",IFERROR(INDEX('Deck 1'!$A:$Z,ROW()-250,'List Setup'!$J$3)&amp;"",""))</f>
        <v/>
      </c>
      <c r="P387" s="2"/>
      <c r="Q387" s="80" t="str">
        <f>IF(A387="","",'List Setup'!$A$3)</f>
        <v/>
      </c>
      <c r="R387" s="80" t="str">
        <f t="array" ref="R387">IF(A387="","",IFERROR(OR(INDEX(Binders!$J$6:$J$30,MATCH(Q387,Binders!$I$6:$I$30,0))=TRUE(),UPPER(INDEX(Binders!$J$6:$J$30,MATCH(Q387,Binders!$I$6:$I$30,0))&amp;"")="TRUE"),FALSE()))</f>
        <v/>
      </c>
    </row>
    <row r="388" ht="15.75" customHeight="1">
      <c r="A388" s="80" t="str">
        <f t="array" ref="A388">IF(INDEX('Deck 1'!$A:$Z,ROW()-250,'List Setup'!$D$3)="","",INDEX('Deck 1'!$A:$Z,ROW()-250,'List Setup'!$D$3))</f>
        <v/>
      </c>
      <c r="B388" s="80" t="str">
        <f t="array" ref="B388">IF(A388="","",IFERROR(INDEX('Binder Setup'!$B$2:$B$401,MIN(IF(ISNUMBER(SEARCH(CHAR(10)&amp;'Binder Setup'!$B$2:$B$401&amp;CHAR(10),$H388)),'List Setup'!$Q$2:$Q$401,999),IF(ISNUMBER(SEARCH(CHAR(10)&amp;'Set Aliases'!$A$2:$A$501&amp;CHAR(10),$H388)),'Set Aliases'!$C$2:$C$501,999))),"(none)"))</f>
        <v/>
      </c>
      <c r="C388" s="80" t="str">
        <f t="shared" si="1"/>
        <v/>
      </c>
      <c r="D388" s="80" t="str">
        <f t="array" ref="D388">IF(A388="","",IF(ISLOGICAL(INDEX('Deck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88" s="80" t="str">
        <f t="shared" si="2"/>
        <v/>
      </c>
      <c r="F388" s="80" t="str">
        <f t="array" ref="F388">IF(A388="","",IF(ISNUMBER(J388),J388,IF(ISNUMBER(INDEX('Deck 1'!$A:$Z,ROW()-250,'List Setup'!$F$3)),INDEX('Deck 1'!$A:$Z,ROW()-250,'List Setup'!$F$3),0)))</f>
        <v/>
      </c>
      <c r="G388" s="80" t="str">
        <f t="array" ref="G388">IF(A388="","",A388&amp;IF(N(INDEX('Deck 1'!$A:$Z,ROW()-250,'List Setup'!$C$3))&gt;1," (x"&amp;INDEX('Deck 1'!$A:$Z,ROW()-250,'List Setup'!$C$3)&amp;")","")&amp;IF(COUNTIF(Binders!$J$6:$J$30,TRUE())&gt;1," ["&amp;Q388&amp;"]",""))</f>
        <v/>
      </c>
      <c r="H388" s="80" t="str">
        <f t="array" ref="H388">IF(A388="","",CHAR(10)&amp;INDEX('Deck 1'!$A:$Z,ROW()-250,'List Setup'!$E$3)&amp;CHAR(10))</f>
        <v/>
      </c>
      <c r="I388" s="80" t="str">
        <f t="array" ref="I388">IF(OR(B388="",B388="(none)"),"",IF(ISNUMBER(SEARCH(CHAR(10)&amp;B388&amp;CHAR(10),H388)),B388,IFERROR(INDEX('Set Aliases'!$A$2:$A$501,MATCH(1,('Set Aliases'!$B$2:$B$501=B388)*ISNUMBER(SEARCH(CHAR(10)&amp;'Set Aliases'!$A$2:$A$501&amp;CHAR(10),H388)),0)),"")))</f>
        <v/>
      </c>
      <c r="J388" s="80" t="str">
        <f t="array" ref="J388">IF(I388="","",IFERROR(VALUE(TRIM(MID(SUBSTITUTE(INDEX('Deck 1'!$A:$Z,ROW()-250,'List Setup'!$G$3),CHAR(10),REPT(" ",100)),((SEARCH(CHAR(10)&amp;I388&amp;CHAR(10),H388)-LEN(SUBSTITUTE(LEFT(H388,SEARCH(CHAR(10)&amp;I388&amp;CHAR(10),H388)),CHAR(10),"")))-1)*100+1,100))),""))</f>
        <v/>
      </c>
      <c r="K388" s="80" t="str">
        <f t="array" ref="K388">IF(A388="","",IF(ISNUMBER(SEARCH("Land",LEFT(IFERROR(INDEX('Deck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88" s="80" t="str">
        <f t="shared" si="3"/>
        <v/>
      </c>
      <c r="M388" s="80" t="str">
        <f>IF(A388="","",IF(AND(E388="Y",B388='Use at Shop'!$B$4),K388*10000000000+(MAX(0,MIN(26,CODE(MID(UPPER(A388)&amp;"    ",1,1))-64))*19683+MAX(0,MIN(26,CODE(MID(UPPER(A388)&amp;"    ",2,1))-64))*729+MAX(0,MIN(26,CODE(MID(UPPER(A388)&amp;"    ",3,1))-64))*27+MAX(0,MIN(26,CODE(MID(UPPER(A388)&amp;"    ",4,1))-64))*1)*10000+ROW(),""))</f>
        <v/>
      </c>
      <c r="N388" s="80" t="str">
        <f t="shared" si="5"/>
        <v/>
      </c>
      <c r="O388" s="80" t="str">
        <f t="array" ref="O388">IF(A388="","",IFERROR(INDEX('Deck 1'!$A:$Z,ROW()-250,'List Setup'!$J$3)&amp;"",""))</f>
        <v/>
      </c>
      <c r="P388" s="2"/>
      <c r="Q388" s="80" t="str">
        <f>IF(A388="","",'List Setup'!$A$3)</f>
        <v/>
      </c>
      <c r="R388" s="80" t="str">
        <f t="array" ref="R388">IF(A388="","",IFERROR(OR(INDEX(Binders!$J$6:$J$30,MATCH(Q388,Binders!$I$6:$I$30,0))=TRUE(),UPPER(INDEX(Binders!$J$6:$J$30,MATCH(Q388,Binders!$I$6:$I$30,0))&amp;"")="TRUE"),FALSE()))</f>
        <v/>
      </c>
    </row>
    <row r="389" ht="15.75" customHeight="1">
      <c r="A389" s="80" t="str">
        <f t="array" ref="A389">IF(INDEX('Deck 1'!$A:$Z,ROW()-250,'List Setup'!$D$3)="","",INDEX('Deck 1'!$A:$Z,ROW()-250,'List Setup'!$D$3))</f>
        <v/>
      </c>
      <c r="B389" s="80" t="str">
        <f t="array" ref="B389">IF(A389="","",IFERROR(INDEX('Binder Setup'!$B$2:$B$401,MIN(IF(ISNUMBER(SEARCH(CHAR(10)&amp;'Binder Setup'!$B$2:$B$401&amp;CHAR(10),$H389)),'List Setup'!$Q$2:$Q$401,999),IF(ISNUMBER(SEARCH(CHAR(10)&amp;'Set Aliases'!$A$2:$A$501&amp;CHAR(10),$H389)),'Set Aliases'!$C$2:$C$501,999))),"(none)"))</f>
        <v/>
      </c>
      <c r="C389" s="80" t="str">
        <f t="shared" si="1"/>
        <v/>
      </c>
      <c r="D389" s="80" t="str">
        <f t="array" ref="D389">IF(A389="","",IF(ISLOGICAL(INDEX('Deck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89" s="80" t="str">
        <f t="shared" si="2"/>
        <v/>
      </c>
      <c r="F389" s="80" t="str">
        <f t="array" ref="F389">IF(A389="","",IF(ISNUMBER(J389),J389,IF(ISNUMBER(INDEX('Deck 1'!$A:$Z,ROW()-250,'List Setup'!$F$3)),INDEX('Deck 1'!$A:$Z,ROW()-250,'List Setup'!$F$3),0)))</f>
        <v/>
      </c>
      <c r="G389" s="80" t="str">
        <f t="array" ref="G389">IF(A389="","",A389&amp;IF(N(INDEX('Deck 1'!$A:$Z,ROW()-250,'List Setup'!$C$3))&gt;1," (x"&amp;INDEX('Deck 1'!$A:$Z,ROW()-250,'List Setup'!$C$3)&amp;")","")&amp;IF(COUNTIF(Binders!$J$6:$J$30,TRUE())&gt;1," ["&amp;Q389&amp;"]",""))</f>
        <v/>
      </c>
      <c r="H389" s="80" t="str">
        <f t="array" ref="H389">IF(A389="","",CHAR(10)&amp;INDEX('Deck 1'!$A:$Z,ROW()-250,'List Setup'!$E$3)&amp;CHAR(10))</f>
        <v/>
      </c>
      <c r="I389" s="80" t="str">
        <f t="array" ref="I389">IF(OR(B389="",B389="(none)"),"",IF(ISNUMBER(SEARCH(CHAR(10)&amp;B389&amp;CHAR(10),H389)),B389,IFERROR(INDEX('Set Aliases'!$A$2:$A$501,MATCH(1,('Set Aliases'!$B$2:$B$501=B389)*ISNUMBER(SEARCH(CHAR(10)&amp;'Set Aliases'!$A$2:$A$501&amp;CHAR(10),H389)),0)),"")))</f>
        <v/>
      </c>
      <c r="J389" s="80" t="str">
        <f t="array" ref="J389">IF(I389="","",IFERROR(VALUE(TRIM(MID(SUBSTITUTE(INDEX('Deck 1'!$A:$Z,ROW()-250,'List Setup'!$G$3),CHAR(10),REPT(" ",100)),((SEARCH(CHAR(10)&amp;I389&amp;CHAR(10),H389)-LEN(SUBSTITUTE(LEFT(H389,SEARCH(CHAR(10)&amp;I389&amp;CHAR(10),H389)),CHAR(10),"")))-1)*100+1,100))),""))</f>
        <v/>
      </c>
      <c r="K389" s="80" t="str">
        <f t="array" ref="K389">IF(A389="","",IF(ISNUMBER(SEARCH("Land",LEFT(IFERROR(INDEX('Deck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89" s="80" t="str">
        <f t="shared" si="3"/>
        <v/>
      </c>
      <c r="M389" s="80" t="str">
        <f>IF(A389="","",IF(AND(E389="Y",B389='Use at Shop'!$B$4),K389*10000000000+(MAX(0,MIN(26,CODE(MID(UPPER(A389)&amp;"    ",1,1))-64))*19683+MAX(0,MIN(26,CODE(MID(UPPER(A389)&amp;"    ",2,1))-64))*729+MAX(0,MIN(26,CODE(MID(UPPER(A389)&amp;"    ",3,1))-64))*27+MAX(0,MIN(26,CODE(MID(UPPER(A389)&amp;"    ",4,1))-64))*1)*10000+ROW(),""))</f>
        <v/>
      </c>
      <c r="N389" s="80" t="str">
        <f t="shared" si="5"/>
        <v/>
      </c>
      <c r="O389" s="80" t="str">
        <f t="array" ref="O389">IF(A389="","",IFERROR(INDEX('Deck 1'!$A:$Z,ROW()-250,'List Setup'!$J$3)&amp;"",""))</f>
        <v/>
      </c>
      <c r="P389" s="2"/>
      <c r="Q389" s="80" t="str">
        <f>IF(A389="","",'List Setup'!$A$3)</f>
        <v/>
      </c>
      <c r="R389" s="80" t="str">
        <f t="array" ref="R389">IF(A389="","",IFERROR(OR(INDEX(Binders!$J$6:$J$30,MATCH(Q389,Binders!$I$6:$I$30,0))=TRUE(),UPPER(INDEX(Binders!$J$6:$J$30,MATCH(Q389,Binders!$I$6:$I$30,0))&amp;"")="TRUE"),FALSE()))</f>
        <v/>
      </c>
    </row>
    <row r="390" ht="15.75" customHeight="1">
      <c r="A390" s="80" t="str">
        <f t="array" ref="A390">IF(INDEX('Deck 1'!$A:$Z,ROW()-250,'List Setup'!$D$3)="","",INDEX('Deck 1'!$A:$Z,ROW()-250,'List Setup'!$D$3))</f>
        <v/>
      </c>
      <c r="B390" s="80" t="str">
        <f t="array" ref="B390">IF(A390="","",IFERROR(INDEX('Binder Setup'!$B$2:$B$401,MIN(IF(ISNUMBER(SEARCH(CHAR(10)&amp;'Binder Setup'!$B$2:$B$401&amp;CHAR(10),$H390)),'List Setup'!$Q$2:$Q$401,999),IF(ISNUMBER(SEARCH(CHAR(10)&amp;'Set Aliases'!$A$2:$A$501&amp;CHAR(10),$H390)),'Set Aliases'!$C$2:$C$501,999))),"(none)"))</f>
        <v/>
      </c>
      <c r="C390" s="80" t="str">
        <f t="shared" si="1"/>
        <v/>
      </c>
      <c r="D390" s="80" t="str">
        <f t="array" ref="D390">IF(A390="","",IF(ISLOGICAL(INDEX('Deck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90" s="80" t="str">
        <f t="shared" si="2"/>
        <v/>
      </c>
      <c r="F390" s="80" t="str">
        <f t="array" ref="F390">IF(A390="","",IF(ISNUMBER(J390),J390,IF(ISNUMBER(INDEX('Deck 1'!$A:$Z,ROW()-250,'List Setup'!$F$3)),INDEX('Deck 1'!$A:$Z,ROW()-250,'List Setup'!$F$3),0)))</f>
        <v/>
      </c>
      <c r="G390" s="80" t="str">
        <f t="array" ref="G390">IF(A390="","",A390&amp;IF(N(INDEX('Deck 1'!$A:$Z,ROW()-250,'List Setup'!$C$3))&gt;1," (x"&amp;INDEX('Deck 1'!$A:$Z,ROW()-250,'List Setup'!$C$3)&amp;")","")&amp;IF(COUNTIF(Binders!$J$6:$J$30,TRUE())&gt;1," ["&amp;Q390&amp;"]",""))</f>
        <v/>
      </c>
      <c r="H390" s="80" t="str">
        <f t="array" ref="H390">IF(A390="","",CHAR(10)&amp;INDEX('Deck 1'!$A:$Z,ROW()-250,'List Setup'!$E$3)&amp;CHAR(10))</f>
        <v/>
      </c>
      <c r="I390" s="80" t="str">
        <f t="array" ref="I390">IF(OR(B390="",B390="(none)"),"",IF(ISNUMBER(SEARCH(CHAR(10)&amp;B390&amp;CHAR(10),H390)),B390,IFERROR(INDEX('Set Aliases'!$A$2:$A$501,MATCH(1,('Set Aliases'!$B$2:$B$501=B390)*ISNUMBER(SEARCH(CHAR(10)&amp;'Set Aliases'!$A$2:$A$501&amp;CHAR(10),H390)),0)),"")))</f>
        <v/>
      </c>
      <c r="J390" s="80" t="str">
        <f t="array" ref="J390">IF(I390="","",IFERROR(VALUE(TRIM(MID(SUBSTITUTE(INDEX('Deck 1'!$A:$Z,ROW()-250,'List Setup'!$G$3),CHAR(10),REPT(" ",100)),((SEARCH(CHAR(10)&amp;I390&amp;CHAR(10),H390)-LEN(SUBSTITUTE(LEFT(H390,SEARCH(CHAR(10)&amp;I390&amp;CHAR(10),H390)),CHAR(10),"")))-1)*100+1,100))),""))</f>
        <v/>
      </c>
      <c r="K390" s="80" t="str">
        <f t="array" ref="K390">IF(A390="","",IF(ISNUMBER(SEARCH("Land",LEFT(IFERROR(INDEX('Deck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90" s="80" t="str">
        <f t="shared" si="3"/>
        <v/>
      </c>
      <c r="M390" s="80" t="str">
        <f>IF(A390="","",IF(AND(E390="Y",B390='Use at Shop'!$B$4),K390*10000000000+(MAX(0,MIN(26,CODE(MID(UPPER(A390)&amp;"    ",1,1))-64))*19683+MAX(0,MIN(26,CODE(MID(UPPER(A390)&amp;"    ",2,1))-64))*729+MAX(0,MIN(26,CODE(MID(UPPER(A390)&amp;"    ",3,1))-64))*27+MAX(0,MIN(26,CODE(MID(UPPER(A390)&amp;"    ",4,1))-64))*1)*10000+ROW(),""))</f>
        <v/>
      </c>
      <c r="N390" s="80" t="str">
        <f t="shared" si="5"/>
        <v/>
      </c>
      <c r="O390" s="80" t="str">
        <f t="array" ref="O390">IF(A390="","",IFERROR(INDEX('Deck 1'!$A:$Z,ROW()-250,'List Setup'!$J$3)&amp;"",""))</f>
        <v/>
      </c>
      <c r="P390" s="2"/>
      <c r="Q390" s="80" t="str">
        <f>IF(A390="","",'List Setup'!$A$3)</f>
        <v/>
      </c>
      <c r="R390" s="80" t="str">
        <f t="array" ref="R390">IF(A390="","",IFERROR(OR(INDEX(Binders!$J$6:$J$30,MATCH(Q390,Binders!$I$6:$I$30,0))=TRUE(),UPPER(INDEX(Binders!$J$6:$J$30,MATCH(Q390,Binders!$I$6:$I$30,0))&amp;"")="TRUE"),FALSE()))</f>
        <v/>
      </c>
    </row>
    <row r="391" ht="15.75" customHeight="1">
      <c r="A391" s="80" t="str">
        <f t="array" ref="A391">IF(INDEX('Deck 1'!$A:$Z,ROW()-250,'List Setup'!$D$3)="","",INDEX('Deck 1'!$A:$Z,ROW()-250,'List Setup'!$D$3))</f>
        <v/>
      </c>
      <c r="B391" s="80" t="str">
        <f t="array" ref="B391">IF(A391="","",IFERROR(INDEX('Binder Setup'!$B$2:$B$401,MIN(IF(ISNUMBER(SEARCH(CHAR(10)&amp;'Binder Setup'!$B$2:$B$401&amp;CHAR(10),$H391)),'List Setup'!$Q$2:$Q$401,999),IF(ISNUMBER(SEARCH(CHAR(10)&amp;'Set Aliases'!$A$2:$A$501&amp;CHAR(10),$H391)),'Set Aliases'!$C$2:$C$501,999))),"(none)"))</f>
        <v/>
      </c>
      <c r="C391" s="80" t="str">
        <f t="shared" si="1"/>
        <v/>
      </c>
      <c r="D391" s="80" t="str">
        <f t="array" ref="D391">IF(A391="","",IF(ISLOGICAL(INDEX('Deck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91" s="80" t="str">
        <f t="shared" si="2"/>
        <v/>
      </c>
      <c r="F391" s="80" t="str">
        <f t="array" ref="F391">IF(A391="","",IF(ISNUMBER(J391),J391,IF(ISNUMBER(INDEX('Deck 1'!$A:$Z,ROW()-250,'List Setup'!$F$3)),INDEX('Deck 1'!$A:$Z,ROW()-250,'List Setup'!$F$3),0)))</f>
        <v/>
      </c>
      <c r="G391" s="80" t="str">
        <f t="array" ref="G391">IF(A391="","",A391&amp;IF(N(INDEX('Deck 1'!$A:$Z,ROW()-250,'List Setup'!$C$3))&gt;1," (x"&amp;INDEX('Deck 1'!$A:$Z,ROW()-250,'List Setup'!$C$3)&amp;")","")&amp;IF(COUNTIF(Binders!$J$6:$J$30,TRUE())&gt;1," ["&amp;Q391&amp;"]",""))</f>
        <v/>
      </c>
      <c r="H391" s="80" t="str">
        <f t="array" ref="H391">IF(A391="","",CHAR(10)&amp;INDEX('Deck 1'!$A:$Z,ROW()-250,'List Setup'!$E$3)&amp;CHAR(10))</f>
        <v/>
      </c>
      <c r="I391" s="80" t="str">
        <f t="array" ref="I391">IF(OR(B391="",B391="(none)"),"",IF(ISNUMBER(SEARCH(CHAR(10)&amp;B391&amp;CHAR(10),H391)),B391,IFERROR(INDEX('Set Aliases'!$A$2:$A$501,MATCH(1,('Set Aliases'!$B$2:$B$501=B391)*ISNUMBER(SEARCH(CHAR(10)&amp;'Set Aliases'!$A$2:$A$501&amp;CHAR(10),H391)),0)),"")))</f>
        <v/>
      </c>
      <c r="J391" s="80" t="str">
        <f t="array" ref="J391">IF(I391="","",IFERROR(VALUE(TRIM(MID(SUBSTITUTE(INDEX('Deck 1'!$A:$Z,ROW()-250,'List Setup'!$G$3),CHAR(10),REPT(" ",100)),((SEARCH(CHAR(10)&amp;I391&amp;CHAR(10),H391)-LEN(SUBSTITUTE(LEFT(H391,SEARCH(CHAR(10)&amp;I391&amp;CHAR(10),H391)),CHAR(10),"")))-1)*100+1,100))),""))</f>
        <v/>
      </c>
      <c r="K391" s="80" t="str">
        <f t="array" ref="K391">IF(A391="","",IF(ISNUMBER(SEARCH("Land",LEFT(IFERROR(INDEX('Deck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91" s="80" t="str">
        <f t="shared" si="3"/>
        <v/>
      </c>
      <c r="M391" s="80" t="str">
        <f>IF(A391="","",IF(AND(E391="Y",B391='Use at Shop'!$B$4),K391*10000000000+(MAX(0,MIN(26,CODE(MID(UPPER(A391)&amp;"    ",1,1))-64))*19683+MAX(0,MIN(26,CODE(MID(UPPER(A391)&amp;"    ",2,1))-64))*729+MAX(0,MIN(26,CODE(MID(UPPER(A391)&amp;"    ",3,1))-64))*27+MAX(0,MIN(26,CODE(MID(UPPER(A391)&amp;"    ",4,1))-64))*1)*10000+ROW(),""))</f>
        <v/>
      </c>
      <c r="N391" s="80" t="str">
        <f t="shared" si="5"/>
        <v/>
      </c>
      <c r="O391" s="80" t="str">
        <f t="array" ref="O391">IF(A391="","",IFERROR(INDEX('Deck 1'!$A:$Z,ROW()-250,'List Setup'!$J$3)&amp;"",""))</f>
        <v/>
      </c>
      <c r="P391" s="2"/>
      <c r="Q391" s="80" t="str">
        <f>IF(A391="","",'List Setup'!$A$3)</f>
        <v/>
      </c>
      <c r="R391" s="80" t="str">
        <f t="array" ref="R391">IF(A391="","",IFERROR(OR(INDEX(Binders!$J$6:$J$30,MATCH(Q391,Binders!$I$6:$I$30,0))=TRUE(),UPPER(INDEX(Binders!$J$6:$J$30,MATCH(Q391,Binders!$I$6:$I$30,0))&amp;"")="TRUE"),FALSE()))</f>
        <v/>
      </c>
    </row>
    <row r="392" ht="15.75" customHeight="1">
      <c r="A392" s="80" t="str">
        <f t="array" ref="A392">IF(INDEX('Deck 1'!$A:$Z,ROW()-250,'List Setup'!$D$3)="","",INDEX('Deck 1'!$A:$Z,ROW()-250,'List Setup'!$D$3))</f>
        <v/>
      </c>
      <c r="B392" s="80" t="str">
        <f t="array" ref="B392">IF(A392="","",IFERROR(INDEX('Binder Setup'!$B$2:$B$401,MIN(IF(ISNUMBER(SEARCH(CHAR(10)&amp;'Binder Setup'!$B$2:$B$401&amp;CHAR(10),$H392)),'List Setup'!$Q$2:$Q$401,999),IF(ISNUMBER(SEARCH(CHAR(10)&amp;'Set Aliases'!$A$2:$A$501&amp;CHAR(10),$H392)),'Set Aliases'!$C$2:$C$501,999))),"(none)"))</f>
        <v/>
      </c>
      <c r="C392" s="80" t="str">
        <f t="shared" si="1"/>
        <v/>
      </c>
      <c r="D392" s="80" t="str">
        <f t="array" ref="D392">IF(A392="","",IF(ISLOGICAL(INDEX('Deck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92" s="80" t="str">
        <f t="shared" si="2"/>
        <v/>
      </c>
      <c r="F392" s="80" t="str">
        <f t="array" ref="F392">IF(A392="","",IF(ISNUMBER(J392),J392,IF(ISNUMBER(INDEX('Deck 1'!$A:$Z,ROW()-250,'List Setup'!$F$3)),INDEX('Deck 1'!$A:$Z,ROW()-250,'List Setup'!$F$3),0)))</f>
        <v/>
      </c>
      <c r="G392" s="80" t="str">
        <f t="array" ref="G392">IF(A392="","",A392&amp;IF(N(INDEX('Deck 1'!$A:$Z,ROW()-250,'List Setup'!$C$3))&gt;1," (x"&amp;INDEX('Deck 1'!$A:$Z,ROW()-250,'List Setup'!$C$3)&amp;")","")&amp;IF(COUNTIF(Binders!$J$6:$J$30,TRUE())&gt;1," ["&amp;Q392&amp;"]",""))</f>
        <v/>
      </c>
      <c r="H392" s="80" t="str">
        <f t="array" ref="H392">IF(A392="","",CHAR(10)&amp;INDEX('Deck 1'!$A:$Z,ROW()-250,'List Setup'!$E$3)&amp;CHAR(10))</f>
        <v/>
      </c>
      <c r="I392" s="80" t="str">
        <f t="array" ref="I392">IF(OR(B392="",B392="(none)"),"",IF(ISNUMBER(SEARCH(CHAR(10)&amp;B392&amp;CHAR(10),H392)),B392,IFERROR(INDEX('Set Aliases'!$A$2:$A$501,MATCH(1,('Set Aliases'!$B$2:$B$501=B392)*ISNUMBER(SEARCH(CHAR(10)&amp;'Set Aliases'!$A$2:$A$501&amp;CHAR(10),H392)),0)),"")))</f>
        <v/>
      </c>
      <c r="J392" s="80" t="str">
        <f t="array" ref="J392">IF(I392="","",IFERROR(VALUE(TRIM(MID(SUBSTITUTE(INDEX('Deck 1'!$A:$Z,ROW()-250,'List Setup'!$G$3),CHAR(10),REPT(" ",100)),((SEARCH(CHAR(10)&amp;I392&amp;CHAR(10),H392)-LEN(SUBSTITUTE(LEFT(H392,SEARCH(CHAR(10)&amp;I392&amp;CHAR(10),H392)),CHAR(10),"")))-1)*100+1,100))),""))</f>
        <v/>
      </c>
      <c r="K392" s="80" t="str">
        <f t="array" ref="K392">IF(A392="","",IF(ISNUMBER(SEARCH("Land",LEFT(IFERROR(INDEX('Deck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92" s="80" t="str">
        <f t="shared" si="3"/>
        <v/>
      </c>
      <c r="M392" s="80" t="str">
        <f>IF(A392="","",IF(AND(E392="Y",B392='Use at Shop'!$B$4),K392*10000000000+(MAX(0,MIN(26,CODE(MID(UPPER(A392)&amp;"    ",1,1))-64))*19683+MAX(0,MIN(26,CODE(MID(UPPER(A392)&amp;"    ",2,1))-64))*729+MAX(0,MIN(26,CODE(MID(UPPER(A392)&amp;"    ",3,1))-64))*27+MAX(0,MIN(26,CODE(MID(UPPER(A392)&amp;"    ",4,1))-64))*1)*10000+ROW(),""))</f>
        <v/>
      </c>
      <c r="N392" s="80" t="str">
        <f t="shared" si="5"/>
        <v/>
      </c>
      <c r="O392" s="80" t="str">
        <f t="array" ref="O392">IF(A392="","",IFERROR(INDEX('Deck 1'!$A:$Z,ROW()-250,'List Setup'!$J$3)&amp;"",""))</f>
        <v/>
      </c>
      <c r="P392" s="2"/>
      <c r="Q392" s="80" t="str">
        <f>IF(A392="","",'List Setup'!$A$3)</f>
        <v/>
      </c>
      <c r="R392" s="80" t="str">
        <f t="array" ref="R392">IF(A392="","",IFERROR(OR(INDEX(Binders!$J$6:$J$30,MATCH(Q392,Binders!$I$6:$I$30,0))=TRUE(),UPPER(INDEX(Binders!$J$6:$J$30,MATCH(Q392,Binders!$I$6:$I$30,0))&amp;"")="TRUE"),FALSE()))</f>
        <v/>
      </c>
    </row>
    <row r="393" ht="15.75" customHeight="1">
      <c r="A393" s="80" t="str">
        <f t="array" ref="A393">IF(INDEX('Deck 1'!$A:$Z,ROW()-250,'List Setup'!$D$3)="","",INDEX('Deck 1'!$A:$Z,ROW()-250,'List Setup'!$D$3))</f>
        <v/>
      </c>
      <c r="B393" s="80" t="str">
        <f t="array" ref="B393">IF(A393="","",IFERROR(INDEX('Binder Setup'!$B$2:$B$401,MIN(IF(ISNUMBER(SEARCH(CHAR(10)&amp;'Binder Setup'!$B$2:$B$401&amp;CHAR(10),$H393)),'List Setup'!$Q$2:$Q$401,999),IF(ISNUMBER(SEARCH(CHAR(10)&amp;'Set Aliases'!$A$2:$A$501&amp;CHAR(10),$H393)),'Set Aliases'!$C$2:$C$501,999))),"(none)"))</f>
        <v/>
      </c>
      <c r="C393" s="80" t="str">
        <f t="shared" si="1"/>
        <v/>
      </c>
      <c r="D393" s="80" t="str">
        <f t="array" ref="D393">IF(A393="","",IF(ISLOGICAL(INDEX('Deck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93" s="80" t="str">
        <f t="shared" si="2"/>
        <v/>
      </c>
      <c r="F393" s="80" t="str">
        <f t="array" ref="F393">IF(A393="","",IF(ISNUMBER(J393),J393,IF(ISNUMBER(INDEX('Deck 1'!$A:$Z,ROW()-250,'List Setup'!$F$3)),INDEX('Deck 1'!$A:$Z,ROW()-250,'List Setup'!$F$3),0)))</f>
        <v/>
      </c>
      <c r="G393" s="80" t="str">
        <f t="array" ref="G393">IF(A393="","",A393&amp;IF(N(INDEX('Deck 1'!$A:$Z,ROW()-250,'List Setup'!$C$3))&gt;1," (x"&amp;INDEX('Deck 1'!$A:$Z,ROW()-250,'List Setup'!$C$3)&amp;")","")&amp;IF(COUNTIF(Binders!$J$6:$J$30,TRUE())&gt;1," ["&amp;Q393&amp;"]",""))</f>
        <v/>
      </c>
      <c r="H393" s="80" t="str">
        <f t="array" ref="H393">IF(A393="","",CHAR(10)&amp;INDEX('Deck 1'!$A:$Z,ROW()-250,'List Setup'!$E$3)&amp;CHAR(10))</f>
        <v/>
      </c>
      <c r="I393" s="80" t="str">
        <f t="array" ref="I393">IF(OR(B393="",B393="(none)"),"",IF(ISNUMBER(SEARCH(CHAR(10)&amp;B393&amp;CHAR(10),H393)),B393,IFERROR(INDEX('Set Aliases'!$A$2:$A$501,MATCH(1,('Set Aliases'!$B$2:$B$501=B393)*ISNUMBER(SEARCH(CHAR(10)&amp;'Set Aliases'!$A$2:$A$501&amp;CHAR(10),H393)),0)),"")))</f>
        <v/>
      </c>
      <c r="J393" s="80" t="str">
        <f t="array" ref="J393">IF(I393="","",IFERROR(VALUE(TRIM(MID(SUBSTITUTE(INDEX('Deck 1'!$A:$Z,ROW()-250,'List Setup'!$G$3),CHAR(10),REPT(" ",100)),((SEARCH(CHAR(10)&amp;I393&amp;CHAR(10),H393)-LEN(SUBSTITUTE(LEFT(H393,SEARCH(CHAR(10)&amp;I393&amp;CHAR(10),H393)),CHAR(10),"")))-1)*100+1,100))),""))</f>
        <v/>
      </c>
      <c r="K393" s="80" t="str">
        <f t="array" ref="K393">IF(A393="","",IF(ISNUMBER(SEARCH("Land",LEFT(IFERROR(INDEX('Deck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93" s="80" t="str">
        <f t="shared" si="3"/>
        <v/>
      </c>
      <c r="M393" s="80" t="str">
        <f>IF(A393="","",IF(AND(E393="Y",B393='Use at Shop'!$B$4),K393*10000000000+(MAX(0,MIN(26,CODE(MID(UPPER(A393)&amp;"    ",1,1))-64))*19683+MAX(0,MIN(26,CODE(MID(UPPER(A393)&amp;"    ",2,1))-64))*729+MAX(0,MIN(26,CODE(MID(UPPER(A393)&amp;"    ",3,1))-64))*27+MAX(0,MIN(26,CODE(MID(UPPER(A393)&amp;"    ",4,1))-64))*1)*10000+ROW(),""))</f>
        <v/>
      </c>
      <c r="N393" s="80" t="str">
        <f t="shared" si="5"/>
        <v/>
      </c>
      <c r="O393" s="80" t="str">
        <f t="array" ref="O393">IF(A393="","",IFERROR(INDEX('Deck 1'!$A:$Z,ROW()-250,'List Setup'!$J$3)&amp;"",""))</f>
        <v/>
      </c>
      <c r="P393" s="2"/>
      <c r="Q393" s="80" t="str">
        <f>IF(A393="","",'List Setup'!$A$3)</f>
        <v/>
      </c>
      <c r="R393" s="80" t="str">
        <f t="array" ref="R393">IF(A393="","",IFERROR(OR(INDEX(Binders!$J$6:$J$30,MATCH(Q393,Binders!$I$6:$I$30,0))=TRUE(),UPPER(INDEX(Binders!$J$6:$J$30,MATCH(Q393,Binders!$I$6:$I$30,0))&amp;"")="TRUE"),FALSE()))</f>
        <v/>
      </c>
    </row>
    <row r="394" ht="15.75" customHeight="1">
      <c r="A394" s="80" t="str">
        <f t="array" ref="A394">IF(INDEX('Deck 1'!$A:$Z,ROW()-250,'List Setup'!$D$3)="","",INDEX('Deck 1'!$A:$Z,ROW()-250,'List Setup'!$D$3))</f>
        <v/>
      </c>
      <c r="B394" s="80" t="str">
        <f t="array" ref="B394">IF(A394="","",IFERROR(INDEX('Binder Setup'!$B$2:$B$401,MIN(IF(ISNUMBER(SEARCH(CHAR(10)&amp;'Binder Setup'!$B$2:$B$401&amp;CHAR(10),$H394)),'List Setup'!$Q$2:$Q$401,999),IF(ISNUMBER(SEARCH(CHAR(10)&amp;'Set Aliases'!$A$2:$A$501&amp;CHAR(10),$H394)),'Set Aliases'!$C$2:$C$501,999))),"(none)"))</f>
        <v/>
      </c>
      <c r="C394" s="80" t="str">
        <f t="shared" si="1"/>
        <v/>
      </c>
      <c r="D394" s="80" t="str">
        <f t="array" ref="D394">IF(A394="","",IF(ISLOGICAL(INDEX('Deck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94" s="80" t="str">
        <f t="shared" si="2"/>
        <v/>
      </c>
      <c r="F394" s="80" t="str">
        <f t="array" ref="F394">IF(A394="","",IF(ISNUMBER(J394),J394,IF(ISNUMBER(INDEX('Deck 1'!$A:$Z,ROW()-250,'List Setup'!$F$3)),INDEX('Deck 1'!$A:$Z,ROW()-250,'List Setup'!$F$3),0)))</f>
        <v/>
      </c>
      <c r="G394" s="80" t="str">
        <f t="array" ref="G394">IF(A394="","",A394&amp;IF(N(INDEX('Deck 1'!$A:$Z,ROW()-250,'List Setup'!$C$3))&gt;1," (x"&amp;INDEX('Deck 1'!$A:$Z,ROW()-250,'List Setup'!$C$3)&amp;")","")&amp;IF(COUNTIF(Binders!$J$6:$J$30,TRUE())&gt;1," ["&amp;Q394&amp;"]",""))</f>
        <v/>
      </c>
      <c r="H394" s="80" t="str">
        <f t="array" ref="H394">IF(A394="","",CHAR(10)&amp;INDEX('Deck 1'!$A:$Z,ROW()-250,'List Setup'!$E$3)&amp;CHAR(10))</f>
        <v/>
      </c>
      <c r="I394" s="80" t="str">
        <f t="array" ref="I394">IF(OR(B394="",B394="(none)"),"",IF(ISNUMBER(SEARCH(CHAR(10)&amp;B394&amp;CHAR(10),H394)),B394,IFERROR(INDEX('Set Aliases'!$A$2:$A$501,MATCH(1,('Set Aliases'!$B$2:$B$501=B394)*ISNUMBER(SEARCH(CHAR(10)&amp;'Set Aliases'!$A$2:$A$501&amp;CHAR(10),H394)),0)),"")))</f>
        <v/>
      </c>
      <c r="J394" s="80" t="str">
        <f t="array" ref="J394">IF(I394="","",IFERROR(VALUE(TRIM(MID(SUBSTITUTE(INDEX('Deck 1'!$A:$Z,ROW()-250,'List Setup'!$G$3),CHAR(10),REPT(" ",100)),((SEARCH(CHAR(10)&amp;I394&amp;CHAR(10),H394)-LEN(SUBSTITUTE(LEFT(H394,SEARCH(CHAR(10)&amp;I394&amp;CHAR(10),H394)),CHAR(10),"")))-1)*100+1,100))),""))</f>
        <v/>
      </c>
      <c r="K394" s="80" t="str">
        <f t="array" ref="K394">IF(A394="","",IF(ISNUMBER(SEARCH("Land",LEFT(IFERROR(INDEX('Deck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94" s="80" t="str">
        <f t="shared" si="3"/>
        <v/>
      </c>
      <c r="M394" s="80" t="str">
        <f>IF(A394="","",IF(AND(E394="Y",B394='Use at Shop'!$B$4),K394*10000000000+(MAX(0,MIN(26,CODE(MID(UPPER(A394)&amp;"    ",1,1))-64))*19683+MAX(0,MIN(26,CODE(MID(UPPER(A394)&amp;"    ",2,1))-64))*729+MAX(0,MIN(26,CODE(MID(UPPER(A394)&amp;"    ",3,1))-64))*27+MAX(0,MIN(26,CODE(MID(UPPER(A394)&amp;"    ",4,1))-64))*1)*10000+ROW(),""))</f>
        <v/>
      </c>
      <c r="N394" s="80" t="str">
        <f t="shared" si="5"/>
        <v/>
      </c>
      <c r="O394" s="80" t="str">
        <f t="array" ref="O394">IF(A394="","",IFERROR(INDEX('Deck 1'!$A:$Z,ROW()-250,'List Setup'!$J$3)&amp;"",""))</f>
        <v/>
      </c>
      <c r="P394" s="2"/>
      <c r="Q394" s="80" t="str">
        <f>IF(A394="","",'List Setup'!$A$3)</f>
        <v/>
      </c>
      <c r="R394" s="80" t="str">
        <f t="array" ref="R394">IF(A394="","",IFERROR(OR(INDEX(Binders!$J$6:$J$30,MATCH(Q394,Binders!$I$6:$I$30,0))=TRUE(),UPPER(INDEX(Binders!$J$6:$J$30,MATCH(Q394,Binders!$I$6:$I$30,0))&amp;"")="TRUE"),FALSE()))</f>
        <v/>
      </c>
    </row>
    <row r="395" ht="15.75" customHeight="1">
      <c r="A395" s="80" t="str">
        <f t="array" ref="A395">IF(INDEX('Deck 1'!$A:$Z,ROW()-250,'List Setup'!$D$3)="","",INDEX('Deck 1'!$A:$Z,ROW()-250,'List Setup'!$D$3))</f>
        <v/>
      </c>
      <c r="B395" s="80" t="str">
        <f t="array" ref="B395">IF(A395="","",IFERROR(INDEX('Binder Setup'!$B$2:$B$401,MIN(IF(ISNUMBER(SEARCH(CHAR(10)&amp;'Binder Setup'!$B$2:$B$401&amp;CHAR(10),$H395)),'List Setup'!$Q$2:$Q$401,999),IF(ISNUMBER(SEARCH(CHAR(10)&amp;'Set Aliases'!$A$2:$A$501&amp;CHAR(10),$H395)),'Set Aliases'!$C$2:$C$501,999))),"(none)"))</f>
        <v/>
      </c>
      <c r="C395" s="80" t="str">
        <f t="shared" si="1"/>
        <v/>
      </c>
      <c r="D395" s="80" t="str">
        <f t="array" ref="D395">IF(A395="","",IF(ISLOGICAL(INDEX('Deck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95" s="80" t="str">
        <f t="shared" si="2"/>
        <v/>
      </c>
      <c r="F395" s="80" t="str">
        <f t="array" ref="F395">IF(A395="","",IF(ISNUMBER(J395),J395,IF(ISNUMBER(INDEX('Deck 1'!$A:$Z,ROW()-250,'List Setup'!$F$3)),INDEX('Deck 1'!$A:$Z,ROW()-250,'List Setup'!$F$3),0)))</f>
        <v/>
      </c>
      <c r="G395" s="80" t="str">
        <f t="array" ref="G395">IF(A395="","",A395&amp;IF(N(INDEX('Deck 1'!$A:$Z,ROW()-250,'List Setup'!$C$3))&gt;1," (x"&amp;INDEX('Deck 1'!$A:$Z,ROW()-250,'List Setup'!$C$3)&amp;")","")&amp;IF(COUNTIF(Binders!$J$6:$J$30,TRUE())&gt;1," ["&amp;Q395&amp;"]",""))</f>
        <v/>
      </c>
      <c r="H395" s="80" t="str">
        <f t="array" ref="H395">IF(A395="","",CHAR(10)&amp;INDEX('Deck 1'!$A:$Z,ROW()-250,'List Setup'!$E$3)&amp;CHAR(10))</f>
        <v/>
      </c>
      <c r="I395" s="80" t="str">
        <f t="array" ref="I395">IF(OR(B395="",B395="(none)"),"",IF(ISNUMBER(SEARCH(CHAR(10)&amp;B395&amp;CHAR(10),H395)),B395,IFERROR(INDEX('Set Aliases'!$A$2:$A$501,MATCH(1,('Set Aliases'!$B$2:$B$501=B395)*ISNUMBER(SEARCH(CHAR(10)&amp;'Set Aliases'!$A$2:$A$501&amp;CHAR(10),H395)),0)),"")))</f>
        <v/>
      </c>
      <c r="J395" s="80" t="str">
        <f t="array" ref="J395">IF(I395="","",IFERROR(VALUE(TRIM(MID(SUBSTITUTE(INDEX('Deck 1'!$A:$Z,ROW()-250,'List Setup'!$G$3),CHAR(10),REPT(" ",100)),((SEARCH(CHAR(10)&amp;I395&amp;CHAR(10),H395)-LEN(SUBSTITUTE(LEFT(H395,SEARCH(CHAR(10)&amp;I395&amp;CHAR(10),H395)),CHAR(10),"")))-1)*100+1,100))),""))</f>
        <v/>
      </c>
      <c r="K395" s="80" t="str">
        <f t="array" ref="K395">IF(A395="","",IF(ISNUMBER(SEARCH("Land",LEFT(IFERROR(INDEX('Deck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95" s="80" t="str">
        <f t="shared" si="3"/>
        <v/>
      </c>
      <c r="M395" s="80" t="str">
        <f>IF(A395="","",IF(AND(E395="Y",B395='Use at Shop'!$B$4),K395*10000000000+(MAX(0,MIN(26,CODE(MID(UPPER(A395)&amp;"    ",1,1))-64))*19683+MAX(0,MIN(26,CODE(MID(UPPER(A395)&amp;"    ",2,1))-64))*729+MAX(0,MIN(26,CODE(MID(UPPER(A395)&amp;"    ",3,1))-64))*27+MAX(0,MIN(26,CODE(MID(UPPER(A395)&amp;"    ",4,1))-64))*1)*10000+ROW(),""))</f>
        <v/>
      </c>
      <c r="N395" s="80" t="str">
        <f t="shared" si="5"/>
        <v/>
      </c>
      <c r="O395" s="80" t="str">
        <f t="array" ref="O395">IF(A395="","",IFERROR(INDEX('Deck 1'!$A:$Z,ROW()-250,'List Setup'!$J$3)&amp;"",""))</f>
        <v/>
      </c>
      <c r="P395" s="2"/>
      <c r="Q395" s="80" t="str">
        <f>IF(A395="","",'List Setup'!$A$3)</f>
        <v/>
      </c>
      <c r="R395" s="80" t="str">
        <f t="array" ref="R395">IF(A395="","",IFERROR(OR(INDEX(Binders!$J$6:$J$30,MATCH(Q395,Binders!$I$6:$I$30,0))=TRUE(),UPPER(INDEX(Binders!$J$6:$J$30,MATCH(Q395,Binders!$I$6:$I$30,0))&amp;"")="TRUE"),FALSE()))</f>
        <v/>
      </c>
    </row>
    <row r="396" ht="15.75" customHeight="1">
      <c r="A396" s="80" t="str">
        <f t="array" ref="A396">IF(INDEX('Deck 1'!$A:$Z,ROW()-250,'List Setup'!$D$3)="","",INDEX('Deck 1'!$A:$Z,ROW()-250,'List Setup'!$D$3))</f>
        <v/>
      </c>
      <c r="B396" s="80" t="str">
        <f t="array" ref="B396">IF(A396="","",IFERROR(INDEX('Binder Setup'!$B$2:$B$401,MIN(IF(ISNUMBER(SEARCH(CHAR(10)&amp;'Binder Setup'!$B$2:$B$401&amp;CHAR(10),$H396)),'List Setup'!$Q$2:$Q$401,999),IF(ISNUMBER(SEARCH(CHAR(10)&amp;'Set Aliases'!$A$2:$A$501&amp;CHAR(10),$H396)),'Set Aliases'!$C$2:$C$501,999))),"(none)"))</f>
        <v/>
      </c>
      <c r="C396" s="80" t="str">
        <f t="shared" si="1"/>
        <v/>
      </c>
      <c r="D396" s="80" t="str">
        <f t="array" ref="D396">IF(A396="","",IF(ISLOGICAL(INDEX('Deck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96" s="80" t="str">
        <f t="shared" si="2"/>
        <v/>
      </c>
      <c r="F396" s="80" t="str">
        <f t="array" ref="F396">IF(A396="","",IF(ISNUMBER(J396),J396,IF(ISNUMBER(INDEX('Deck 1'!$A:$Z,ROW()-250,'List Setup'!$F$3)),INDEX('Deck 1'!$A:$Z,ROW()-250,'List Setup'!$F$3),0)))</f>
        <v/>
      </c>
      <c r="G396" s="80" t="str">
        <f t="array" ref="G396">IF(A396="","",A396&amp;IF(N(INDEX('Deck 1'!$A:$Z,ROW()-250,'List Setup'!$C$3))&gt;1," (x"&amp;INDEX('Deck 1'!$A:$Z,ROW()-250,'List Setup'!$C$3)&amp;")","")&amp;IF(COUNTIF(Binders!$J$6:$J$30,TRUE())&gt;1," ["&amp;Q396&amp;"]",""))</f>
        <v/>
      </c>
      <c r="H396" s="80" t="str">
        <f t="array" ref="H396">IF(A396="","",CHAR(10)&amp;INDEX('Deck 1'!$A:$Z,ROW()-250,'List Setup'!$E$3)&amp;CHAR(10))</f>
        <v/>
      </c>
      <c r="I396" s="80" t="str">
        <f t="array" ref="I396">IF(OR(B396="",B396="(none)"),"",IF(ISNUMBER(SEARCH(CHAR(10)&amp;B396&amp;CHAR(10),H396)),B396,IFERROR(INDEX('Set Aliases'!$A$2:$A$501,MATCH(1,('Set Aliases'!$B$2:$B$501=B396)*ISNUMBER(SEARCH(CHAR(10)&amp;'Set Aliases'!$A$2:$A$501&amp;CHAR(10),H396)),0)),"")))</f>
        <v/>
      </c>
      <c r="J396" s="80" t="str">
        <f t="array" ref="J396">IF(I396="","",IFERROR(VALUE(TRIM(MID(SUBSTITUTE(INDEX('Deck 1'!$A:$Z,ROW()-250,'List Setup'!$G$3),CHAR(10),REPT(" ",100)),((SEARCH(CHAR(10)&amp;I396&amp;CHAR(10),H396)-LEN(SUBSTITUTE(LEFT(H396,SEARCH(CHAR(10)&amp;I396&amp;CHAR(10),H396)),CHAR(10),"")))-1)*100+1,100))),""))</f>
        <v/>
      </c>
      <c r="K396" s="80" t="str">
        <f t="array" ref="K396">IF(A396="","",IF(ISNUMBER(SEARCH("Land",LEFT(IFERROR(INDEX('Deck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96" s="80" t="str">
        <f t="shared" si="3"/>
        <v/>
      </c>
      <c r="M396" s="80" t="str">
        <f>IF(A396="","",IF(AND(E396="Y",B396='Use at Shop'!$B$4),K396*10000000000+(MAX(0,MIN(26,CODE(MID(UPPER(A396)&amp;"    ",1,1))-64))*19683+MAX(0,MIN(26,CODE(MID(UPPER(A396)&amp;"    ",2,1))-64))*729+MAX(0,MIN(26,CODE(MID(UPPER(A396)&amp;"    ",3,1))-64))*27+MAX(0,MIN(26,CODE(MID(UPPER(A396)&amp;"    ",4,1))-64))*1)*10000+ROW(),""))</f>
        <v/>
      </c>
      <c r="N396" s="80" t="str">
        <f t="shared" si="5"/>
        <v/>
      </c>
      <c r="O396" s="80" t="str">
        <f t="array" ref="O396">IF(A396="","",IFERROR(INDEX('Deck 1'!$A:$Z,ROW()-250,'List Setup'!$J$3)&amp;"",""))</f>
        <v/>
      </c>
      <c r="P396" s="2"/>
      <c r="Q396" s="80" t="str">
        <f>IF(A396="","",'List Setup'!$A$3)</f>
        <v/>
      </c>
      <c r="R396" s="80" t="str">
        <f t="array" ref="R396">IF(A396="","",IFERROR(OR(INDEX(Binders!$J$6:$J$30,MATCH(Q396,Binders!$I$6:$I$30,0))=TRUE(),UPPER(INDEX(Binders!$J$6:$J$30,MATCH(Q396,Binders!$I$6:$I$30,0))&amp;"")="TRUE"),FALSE()))</f>
        <v/>
      </c>
    </row>
    <row r="397" ht="15.75" customHeight="1">
      <c r="A397" s="80" t="str">
        <f t="array" ref="A397">IF(INDEX('Deck 1'!$A:$Z,ROW()-250,'List Setup'!$D$3)="","",INDEX('Deck 1'!$A:$Z,ROW()-250,'List Setup'!$D$3))</f>
        <v/>
      </c>
      <c r="B397" s="80" t="str">
        <f t="array" ref="B397">IF(A397="","",IFERROR(INDEX('Binder Setup'!$B$2:$B$401,MIN(IF(ISNUMBER(SEARCH(CHAR(10)&amp;'Binder Setup'!$B$2:$B$401&amp;CHAR(10),$H397)),'List Setup'!$Q$2:$Q$401,999),IF(ISNUMBER(SEARCH(CHAR(10)&amp;'Set Aliases'!$A$2:$A$501&amp;CHAR(10),$H397)),'Set Aliases'!$C$2:$C$501,999))),"(none)"))</f>
        <v/>
      </c>
      <c r="C397" s="80" t="str">
        <f t="shared" si="1"/>
        <v/>
      </c>
      <c r="D397" s="80" t="str">
        <f t="array" ref="D397">IF(A397="","",IF(ISLOGICAL(INDEX('Deck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97" s="80" t="str">
        <f t="shared" si="2"/>
        <v/>
      </c>
      <c r="F397" s="80" t="str">
        <f t="array" ref="F397">IF(A397="","",IF(ISNUMBER(J397),J397,IF(ISNUMBER(INDEX('Deck 1'!$A:$Z,ROW()-250,'List Setup'!$F$3)),INDEX('Deck 1'!$A:$Z,ROW()-250,'List Setup'!$F$3),0)))</f>
        <v/>
      </c>
      <c r="G397" s="80" t="str">
        <f t="array" ref="G397">IF(A397="","",A397&amp;IF(N(INDEX('Deck 1'!$A:$Z,ROW()-250,'List Setup'!$C$3))&gt;1," (x"&amp;INDEX('Deck 1'!$A:$Z,ROW()-250,'List Setup'!$C$3)&amp;")","")&amp;IF(COUNTIF(Binders!$J$6:$J$30,TRUE())&gt;1," ["&amp;Q397&amp;"]",""))</f>
        <v/>
      </c>
      <c r="H397" s="80" t="str">
        <f t="array" ref="H397">IF(A397="","",CHAR(10)&amp;INDEX('Deck 1'!$A:$Z,ROW()-250,'List Setup'!$E$3)&amp;CHAR(10))</f>
        <v/>
      </c>
      <c r="I397" s="80" t="str">
        <f t="array" ref="I397">IF(OR(B397="",B397="(none)"),"",IF(ISNUMBER(SEARCH(CHAR(10)&amp;B397&amp;CHAR(10),H397)),B397,IFERROR(INDEX('Set Aliases'!$A$2:$A$501,MATCH(1,('Set Aliases'!$B$2:$B$501=B397)*ISNUMBER(SEARCH(CHAR(10)&amp;'Set Aliases'!$A$2:$A$501&amp;CHAR(10),H397)),0)),"")))</f>
        <v/>
      </c>
      <c r="J397" s="80" t="str">
        <f t="array" ref="J397">IF(I397="","",IFERROR(VALUE(TRIM(MID(SUBSTITUTE(INDEX('Deck 1'!$A:$Z,ROW()-250,'List Setup'!$G$3),CHAR(10),REPT(" ",100)),((SEARCH(CHAR(10)&amp;I397&amp;CHAR(10),H397)-LEN(SUBSTITUTE(LEFT(H397,SEARCH(CHAR(10)&amp;I397&amp;CHAR(10),H397)),CHAR(10),"")))-1)*100+1,100))),""))</f>
        <v/>
      </c>
      <c r="K397" s="80" t="str">
        <f t="array" ref="K397">IF(A397="","",IF(ISNUMBER(SEARCH("Land",LEFT(IFERROR(INDEX('Deck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97" s="80" t="str">
        <f t="shared" si="3"/>
        <v/>
      </c>
      <c r="M397" s="80" t="str">
        <f>IF(A397="","",IF(AND(E397="Y",B397='Use at Shop'!$B$4),K397*10000000000+(MAX(0,MIN(26,CODE(MID(UPPER(A397)&amp;"    ",1,1))-64))*19683+MAX(0,MIN(26,CODE(MID(UPPER(A397)&amp;"    ",2,1))-64))*729+MAX(0,MIN(26,CODE(MID(UPPER(A397)&amp;"    ",3,1))-64))*27+MAX(0,MIN(26,CODE(MID(UPPER(A397)&amp;"    ",4,1))-64))*1)*10000+ROW(),""))</f>
        <v/>
      </c>
      <c r="N397" s="80" t="str">
        <f t="shared" si="5"/>
        <v/>
      </c>
      <c r="O397" s="80" t="str">
        <f t="array" ref="O397">IF(A397="","",IFERROR(INDEX('Deck 1'!$A:$Z,ROW()-250,'List Setup'!$J$3)&amp;"",""))</f>
        <v/>
      </c>
      <c r="P397" s="2"/>
      <c r="Q397" s="80" t="str">
        <f>IF(A397="","",'List Setup'!$A$3)</f>
        <v/>
      </c>
      <c r="R397" s="80" t="str">
        <f t="array" ref="R397">IF(A397="","",IFERROR(OR(INDEX(Binders!$J$6:$J$30,MATCH(Q397,Binders!$I$6:$I$30,0))=TRUE(),UPPER(INDEX(Binders!$J$6:$J$30,MATCH(Q397,Binders!$I$6:$I$30,0))&amp;"")="TRUE"),FALSE()))</f>
        <v/>
      </c>
    </row>
    <row r="398" ht="15.75" customHeight="1">
      <c r="A398" s="80" t="str">
        <f t="array" ref="A398">IF(INDEX('Deck 1'!$A:$Z,ROW()-250,'List Setup'!$D$3)="","",INDEX('Deck 1'!$A:$Z,ROW()-250,'List Setup'!$D$3))</f>
        <v/>
      </c>
      <c r="B398" s="80" t="str">
        <f t="array" ref="B398">IF(A398="","",IFERROR(INDEX('Binder Setup'!$B$2:$B$401,MIN(IF(ISNUMBER(SEARCH(CHAR(10)&amp;'Binder Setup'!$B$2:$B$401&amp;CHAR(10),$H398)),'List Setup'!$Q$2:$Q$401,999),IF(ISNUMBER(SEARCH(CHAR(10)&amp;'Set Aliases'!$A$2:$A$501&amp;CHAR(10),$H398)),'Set Aliases'!$C$2:$C$501,999))),"(none)"))</f>
        <v/>
      </c>
      <c r="C398" s="80" t="str">
        <f t="shared" si="1"/>
        <v/>
      </c>
      <c r="D398" s="80" t="str">
        <f t="array" ref="D398">IF(A398="","",IF(ISLOGICAL(INDEX('Deck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98" s="80" t="str">
        <f t="shared" si="2"/>
        <v/>
      </c>
      <c r="F398" s="80" t="str">
        <f t="array" ref="F398">IF(A398="","",IF(ISNUMBER(J398),J398,IF(ISNUMBER(INDEX('Deck 1'!$A:$Z,ROW()-250,'List Setup'!$F$3)),INDEX('Deck 1'!$A:$Z,ROW()-250,'List Setup'!$F$3),0)))</f>
        <v/>
      </c>
      <c r="G398" s="80" t="str">
        <f t="array" ref="G398">IF(A398="","",A398&amp;IF(N(INDEX('Deck 1'!$A:$Z,ROW()-250,'List Setup'!$C$3))&gt;1," (x"&amp;INDEX('Deck 1'!$A:$Z,ROW()-250,'List Setup'!$C$3)&amp;")","")&amp;IF(COUNTIF(Binders!$J$6:$J$30,TRUE())&gt;1," ["&amp;Q398&amp;"]",""))</f>
        <v/>
      </c>
      <c r="H398" s="80" t="str">
        <f t="array" ref="H398">IF(A398="","",CHAR(10)&amp;INDEX('Deck 1'!$A:$Z,ROW()-250,'List Setup'!$E$3)&amp;CHAR(10))</f>
        <v/>
      </c>
      <c r="I398" s="80" t="str">
        <f t="array" ref="I398">IF(OR(B398="",B398="(none)"),"",IF(ISNUMBER(SEARCH(CHAR(10)&amp;B398&amp;CHAR(10),H398)),B398,IFERROR(INDEX('Set Aliases'!$A$2:$A$501,MATCH(1,('Set Aliases'!$B$2:$B$501=B398)*ISNUMBER(SEARCH(CHAR(10)&amp;'Set Aliases'!$A$2:$A$501&amp;CHAR(10),H398)),0)),"")))</f>
        <v/>
      </c>
      <c r="J398" s="80" t="str">
        <f t="array" ref="J398">IF(I398="","",IFERROR(VALUE(TRIM(MID(SUBSTITUTE(INDEX('Deck 1'!$A:$Z,ROW()-250,'List Setup'!$G$3),CHAR(10),REPT(" ",100)),((SEARCH(CHAR(10)&amp;I398&amp;CHAR(10),H398)-LEN(SUBSTITUTE(LEFT(H398,SEARCH(CHAR(10)&amp;I398&amp;CHAR(10),H398)),CHAR(10),"")))-1)*100+1,100))),""))</f>
        <v/>
      </c>
      <c r="K398" s="80" t="str">
        <f t="array" ref="K398">IF(A398="","",IF(ISNUMBER(SEARCH("Land",LEFT(IFERROR(INDEX('Deck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98" s="80" t="str">
        <f t="shared" si="3"/>
        <v/>
      </c>
      <c r="M398" s="80" t="str">
        <f>IF(A398="","",IF(AND(E398="Y",B398='Use at Shop'!$B$4),K398*10000000000+(MAX(0,MIN(26,CODE(MID(UPPER(A398)&amp;"    ",1,1))-64))*19683+MAX(0,MIN(26,CODE(MID(UPPER(A398)&amp;"    ",2,1))-64))*729+MAX(0,MIN(26,CODE(MID(UPPER(A398)&amp;"    ",3,1))-64))*27+MAX(0,MIN(26,CODE(MID(UPPER(A398)&amp;"    ",4,1))-64))*1)*10000+ROW(),""))</f>
        <v/>
      </c>
      <c r="N398" s="80" t="str">
        <f t="shared" si="5"/>
        <v/>
      </c>
      <c r="O398" s="80" t="str">
        <f t="array" ref="O398">IF(A398="","",IFERROR(INDEX('Deck 1'!$A:$Z,ROW()-250,'List Setup'!$J$3)&amp;"",""))</f>
        <v/>
      </c>
      <c r="P398" s="2"/>
      <c r="Q398" s="80" t="str">
        <f>IF(A398="","",'List Setup'!$A$3)</f>
        <v/>
      </c>
      <c r="R398" s="80" t="str">
        <f t="array" ref="R398">IF(A398="","",IFERROR(OR(INDEX(Binders!$J$6:$J$30,MATCH(Q398,Binders!$I$6:$I$30,0))=TRUE(),UPPER(INDEX(Binders!$J$6:$J$30,MATCH(Q398,Binders!$I$6:$I$30,0))&amp;"")="TRUE"),FALSE()))</f>
        <v/>
      </c>
    </row>
    <row r="399" ht="15.75" customHeight="1">
      <c r="A399" s="80" t="str">
        <f t="array" ref="A399">IF(INDEX('Deck 1'!$A:$Z,ROW()-250,'List Setup'!$D$3)="","",INDEX('Deck 1'!$A:$Z,ROW()-250,'List Setup'!$D$3))</f>
        <v/>
      </c>
      <c r="B399" s="80" t="str">
        <f t="array" ref="B399">IF(A399="","",IFERROR(INDEX('Binder Setup'!$B$2:$B$401,MIN(IF(ISNUMBER(SEARCH(CHAR(10)&amp;'Binder Setup'!$B$2:$B$401&amp;CHAR(10),$H399)),'List Setup'!$Q$2:$Q$401,999),IF(ISNUMBER(SEARCH(CHAR(10)&amp;'Set Aliases'!$A$2:$A$501&amp;CHAR(10),$H399)),'Set Aliases'!$C$2:$C$501,999))),"(none)"))</f>
        <v/>
      </c>
      <c r="C399" s="80" t="str">
        <f t="shared" si="1"/>
        <v/>
      </c>
      <c r="D399" s="80" t="str">
        <f t="array" ref="D399">IF(A399="","",IF(ISLOGICAL(INDEX('Deck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399" s="80" t="str">
        <f t="shared" si="2"/>
        <v/>
      </c>
      <c r="F399" s="80" t="str">
        <f t="array" ref="F399">IF(A399="","",IF(ISNUMBER(J399),J399,IF(ISNUMBER(INDEX('Deck 1'!$A:$Z,ROW()-250,'List Setup'!$F$3)),INDEX('Deck 1'!$A:$Z,ROW()-250,'List Setup'!$F$3),0)))</f>
        <v/>
      </c>
      <c r="G399" s="80" t="str">
        <f t="array" ref="G399">IF(A399="","",A399&amp;IF(N(INDEX('Deck 1'!$A:$Z,ROW()-250,'List Setup'!$C$3))&gt;1," (x"&amp;INDEX('Deck 1'!$A:$Z,ROW()-250,'List Setup'!$C$3)&amp;")","")&amp;IF(COUNTIF(Binders!$J$6:$J$30,TRUE())&gt;1," ["&amp;Q399&amp;"]",""))</f>
        <v/>
      </c>
      <c r="H399" s="80" t="str">
        <f t="array" ref="H399">IF(A399="","",CHAR(10)&amp;INDEX('Deck 1'!$A:$Z,ROW()-250,'List Setup'!$E$3)&amp;CHAR(10))</f>
        <v/>
      </c>
      <c r="I399" s="80" t="str">
        <f t="array" ref="I399">IF(OR(B399="",B399="(none)"),"",IF(ISNUMBER(SEARCH(CHAR(10)&amp;B399&amp;CHAR(10),H399)),B399,IFERROR(INDEX('Set Aliases'!$A$2:$A$501,MATCH(1,('Set Aliases'!$B$2:$B$501=B399)*ISNUMBER(SEARCH(CHAR(10)&amp;'Set Aliases'!$A$2:$A$501&amp;CHAR(10),H399)),0)),"")))</f>
        <v/>
      </c>
      <c r="J399" s="80" t="str">
        <f t="array" ref="J399">IF(I399="","",IFERROR(VALUE(TRIM(MID(SUBSTITUTE(INDEX('Deck 1'!$A:$Z,ROW()-250,'List Setup'!$G$3),CHAR(10),REPT(" ",100)),((SEARCH(CHAR(10)&amp;I399&amp;CHAR(10),H399)-LEN(SUBSTITUTE(LEFT(H399,SEARCH(CHAR(10)&amp;I399&amp;CHAR(10),H399)),CHAR(10),"")))-1)*100+1,100))),""))</f>
        <v/>
      </c>
      <c r="K399" s="80" t="str">
        <f t="array" ref="K399">IF(A399="","",IF(ISNUMBER(SEARCH("Land",LEFT(IFERROR(INDEX('Deck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399" s="80" t="str">
        <f t="shared" si="3"/>
        <v/>
      </c>
      <c r="M399" s="80" t="str">
        <f>IF(A399="","",IF(AND(E399="Y",B399='Use at Shop'!$B$4),K399*10000000000+(MAX(0,MIN(26,CODE(MID(UPPER(A399)&amp;"    ",1,1))-64))*19683+MAX(0,MIN(26,CODE(MID(UPPER(A399)&amp;"    ",2,1))-64))*729+MAX(0,MIN(26,CODE(MID(UPPER(A399)&amp;"    ",3,1))-64))*27+MAX(0,MIN(26,CODE(MID(UPPER(A399)&amp;"    ",4,1))-64))*1)*10000+ROW(),""))</f>
        <v/>
      </c>
      <c r="N399" s="80" t="str">
        <f t="shared" si="5"/>
        <v/>
      </c>
      <c r="O399" s="80" t="str">
        <f t="array" ref="O399">IF(A399="","",IFERROR(INDEX('Deck 1'!$A:$Z,ROW()-250,'List Setup'!$J$3)&amp;"",""))</f>
        <v/>
      </c>
      <c r="P399" s="2"/>
      <c r="Q399" s="80" t="str">
        <f>IF(A399="","",'List Setup'!$A$3)</f>
        <v/>
      </c>
      <c r="R399" s="80" t="str">
        <f t="array" ref="R399">IF(A399="","",IFERROR(OR(INDEX(Binders!$J$6:$J$30,MATCH(Q399,Binders!$I$6:$I$30,0))=TRUE(),UPPER(INDEX(Binders!$J$6:$J$30,MATCH(Q399,Binders!$I$6:$I$30,0))&amp;"")="TRUE"),FALSE()))</f>
        <v/>
      </c>
    </row>
    <row r="400" ht="15.75" customHeight="1">
      <c r="A400" s="80" t="str">
        <f t="array" ref="A400">IF(INDEX('Deck 1'!$A:$Z,ROW()-250,'List Setup'!$D$3)="","",INDEX('Deck 1'!$A:$Z,ROW()-250,'List Setup'!$D$3))</f>
        <v/>
      </c>
      <c r="B400" s="80" t="str">
        <f t="array" ref="B400">IF(A400="","",IFERROR(INDEX('Binder Setup'!$B$2:$B$401,MIN(IF(ISNUMBER(SEARCH(CHAR(10)&amp;'Binder Setup'!$B$2:$B$401&amp;CHAR(10),$H400)),'List Setup'!$Q$2:$Q$401,999),IF(ISNUMBER(SEARCH(CHAR(10)&amp;'Set Aliases'!$A$2:$A$501&amp;CHAR(10),$H400)),'Set Aliases'!$C$2:$C$501,999))),"(none)"))</f>
        <v/>
      </c>
      <c r="C400" s="80" t="str">
        <f t="shared" si="1"/>
        <v/>
      </c>
      <c r="D400" s="80" t="str">
        <f t="array" ref="D400">IF(A400="","",IF(ISLOGICAL(INDEX('Deck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00" s="80" t="str">
        <f t="shared" si="2"/>
        <v/>
      </c>
      <c r="F400" s="80" t="str">
        <f t="array" ref="F400">IF(A400="","",IF(ISNUMBER(J400),J400,IF(ISNUMBER(INDEX('Deck 1'!$A:$Z,ROW()-250,'List Setup'!$F$3)),INDEX('Deck 1'!$A:$Z,ROW()-250,'List Setup'!$F$3),0)))</f>
        <v/>
      </c>
      <c r="G400" s="80" t="str">
        <f t="array" ref="G400">IF(A400="","",A400&amp;IF(N(INDEX('Deck 1'!$A:$Z,ROW()-250,'List Setup'!$C$3))&gt;1," (x"&amp;INDEX('Deck 1'!$A:$Z,ROW()-250,'List Setup'!$C$3)&amp;")","")&amp;IF(COUNTIF(Binders!$J$6:$J$30,TRUE())&gt;1," ["&amp;Q400&amp;"]",""))</f>
        <v/>
      </c>
      <c r="H400" s="80" t="str">
        <f t="array" ref="H400">IF(A400="","",CHAR(10)&amp;INDEX('Deck 1'!$A:$Z,ROW()-250,'List Setup'!$E$3)&amp;CHAR(10))</f>
        <v/>
      </c>
      <c r="I400" s="80" t="str">
        <f t="array" ref="I400">IF(OR(B400="",B400="(none)"),"",IF(ISNUMBER(SEARCH(CHAR(10)&amp;B400&amp;CHAR(10),H400)),B400,IFERROR(INDEX('Set Aliases'!$A$2:$A$501,MATCH(1,('Set Aliases'!$B$2:$B$501=B400)*ISNUMBER(SEARCH(CHAR(10)&amp;'Set Aliases'!$A$2:$A$501&amp;CHAR(10),H400)),0)),"")))</f>
        <v/>
      </c>
      <c r="J400" s="80" t="str">
        <f t="array" ref="J400">IF(I400="","",IFERROR(VALUE(TRIM(MID(SUBSTITUTE(INDEX('Deck 1'!$A:$Z,ROW()-250,'List Setup'!$G$3),CHAR(10),REPT(" ",100)),((SEARCH(CHAR(10)&amp;I400&amp;CHAR(10),H400)-LEN(SUBSTITUTE(LEFT(H400,SEARCH(CHAR(10)&amp;I400&amp;CHAR(10),H400)),CHAR(10),"")))-1)*100+1,100))),""))</f>
        <v/>
      </c>
      <c r="K400" s="80" t="str">
        <f t="array" ref="K400">IF(A400="","",IF(ISNUMBER(SEARCH("Land",LEFT(IFERROR(INDEX('Deck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00" s="80" t="str">
        <f t="shared" si="3"/>
        <v/>
      </c>
      <c r="M400" s="80" t="str">
        <f>IF(A400="","",IF(AND(E400="Y",B400='Use at Shop'!$B$4),K400*10000000000+(MAX(0,MIN(26,CODE(MID(UPPER(A400)&amp;"    ",1,1))-64))*19683+MAX(0,MIN(26,CODE(MID(UPPER(A400)&amp;"    ",2,1))-64))*729+MAX(0,MIN(26,CODE(MID(UPPER(A400)&amp;"    ",3,1))-64))*27+MAX(0,MIN(26,CODE(MID(UPPER(A400)&amp;"    ",4,1))-64))*1)*10000+ROW(),""))</f>
        <v/>
      </c>
      <c r="N400" s="80" t="str">
        <f t="shared" si="5"/>
        <v/>
      </c>
      <c r="O400" s="80" t="str">
        <f t="array" ref="O400">IF(A400="","",IFERROR(INDEX('Deck 1'!$A:$Z,ROW()-250,'List Setup'!$J$3)&amp;"",""))</f>
        <v/>
      </c>
      <c r="P400" s="2"/>
      <c r="Q400" s="80" t="str">
        <f>IF(A400="","",'List Setup'!$A$3)</f>
        <v/>
      </c>
      <c r="R400" s="80" t="str">
        <f t="array" ref="R400">IF(A400="","",IFERROR(OR(INDEX(Binders!$J$6:$J$30,MATCH(Q400,Binders!$I$6:$I$30,0))=TRUE(),UPPER(INDEX(Binders!$J$6:$J$30,MATCH(Q400,Binders!$I$6:$I$30,0))&amp;"")="TRUE"),FALSE()))</f>
        <v/>
      </c>
    </row>
    <row r="401" ht="15.75" customHeight="1">
      <c r="A401" s="80" t="str">
        <f t="array" ref="A401">IF(INDEX('Deck 1'!$A:$Z,ROW()-250,'List Setup'!$D$3)="","",INDEX('Deck 1'!$A:$Z,ROW()-250,'List Setup'!$D$3))</f>
        <v/>
      </c>
      <c r="B401" s="80" t="str">
        <f t="array" ref="B401">IF(A401="","",IFERROR(INDEX('Binder Setup'!$B$2:$B$401,MIN(IF(ISNUMBER(SEARCH(CHAR(10)&amp;'Binder Setup'!$B$2:$B$401&amp;CHAR(10),$H401)),'List Setup'!$Q$2:$Q$401,999),IF(ISNUMBER(SEARCH(CHAR(10)&amp;'Set Aliases'!$A$2:$A$501&amp;CHAR(10),$H401)),'Set Aliases'!$C$2:$C$501,999))),"(none)"))</f>
        <v/>
      </c>
      <c r="C401" s="80" t="str">
        <f t="shared" si="1"/>
        <v/>
      </c>
      <c r="D401" s="80" t="str">
        <f t="array" ref="D401">IF(A401="","",IF(ISLOGICAL(INDEX('Deck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01" s="80" t="str">
        <f t="shared" si="2"/>
        <v/>
      </c>
      <c r="F401" s="80" t="str">
        <f t="array" ref="F401">IF(A401="","",IF(ISNUMBER(J401),J401,IF(ISNUMBER(INDEX('Deck 1'!$A:$Z,ROW()-250,'List Setup'!$F$3)),INDEX('Deck 1'!$A:$Z,ROW()-250,'List Setup'!$F$3),0)))</f>
        <v/>
      </c>
      <c r="G401" s="80" t="str">
        <f t="array" ref="G401">IF(A401="","",A401&amp;IF(N(INDEX('Deck 1'!$A:$Z,ROW()-250,'List Setup'!$C$3))&gt;1," (x"&amp;INDEX('Deck 1'!$A:$Z,ROW()-250,'List Setup'!$C$3)&amp;")","")&amp;IF(COUNTIF(Binders!$J$6:$J$30,TRUE())&gt;1," ["&amp;Q401&amp;"]",""))</f>
        <v/>
      </c>
      <c r="H401" s="80" t="str">
        <f t="array" ref="H401">IF(A401="","",CHAR(10)&amp;INDEX('Deck 1'!$A:$Z,ROW()-250,'List Setup'!$E$3)&amp;CHAR(10))</f>
        <v/>
      </c>
      <c r="I401" s="80" t="str">
        <f t="array" ref="I401">IF(OR(B401="",B401="(none)"),"",IF(ISNUMBER(SEARCH(CHAR(10)&amp;B401&amp;CHAR(10),H401)),B401,IFERROR(INDEX('Set Aliases'!$A$2:$A$501,MATCH(1,('Set Aliases'!$B$2:$B$501=B401)*ISNUMBER(SEARCH(CHAR(10)&amp;'Set Aliases'!$A$2:$A$501&amp;CHAR(10),H401)),0)),"")))</f>
        <v/>
      </c>
      <c r="J401" s="80" t="str">
        <f t="array" ref="J401">IF(I401="","",IFERROR(VALUE(TRIM(MID(SUBSTITUTE(INDEX('Deck 1'!$A:$Z,ROW()-250,'List Setup'!$G$3),CHAR(10),REPT(" ",100)),((SEARCH(CHAR(10)&amp;I401&amp;CHAR(10),H401)-LEN(SUBSTITUTE(LEFT(H401,SEARCH(CHAR(10)&amp;I401&amp;CHAR(10),H401)),CHAR(10),"")))-1)*100+1,100))),""))</f>
        <v/>
      </c>
      <c r="K401" s="80" t="str">
        <f t="array" ref="K401">IF(A401="","",IF(ISNUMBER(SEARCH("Land",LEFT(IFERROR(INDEX('Deck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01" s="80" t="str">
        <f t="shared" si="3"/>
        <v/>
      </c>
      <c r="M401" s="80" t="str">
        <f>IF(A401="","",IF(AND(E401="Y",B401='Use at Shop'!$B$4),K401*10000000000+(MAX(0,MIN(26,CODE(MID(UPPER(A401)&amp;"    ",1,1))-64))*19683+MAX(0,MIN(26,CODE(MID(UPPER(A401)&amp;"    ",2,1))-64))*729+MAX(0,MIN(26,CODE(MID(UPPER(A401)&amp;"    ",3,1))-64))*27+MAX(0,MIN(26,CODE(MID(UPPER(A401)&amp;"    ",4,1))-64))*1)*10000+ROW(),""))</f>
        <v/>
      </c>
      <c r="N401" s="80" t="str">
        <f t="shared" si="5"/>
        <v/>
      </c>
      <c r="O401" s="80" t="str">
        <f t="array" ref="O401">IF(A401="","",IFERROR(INDEX('Deck 1'!$A:$Z,ROW()-250,'List Setup'!$J$3)&amp;"",""))</f>
        <v/>
      </c>
      <c r="P401" s="2"/>
      <c r="Q401" s="80" t="str">
        <f>IF(A401="","",'List Setup'!$A$3)</f>
        <v/>
      </c>
      <c r="R401" s="80" t="str">
        <f t="array" ref="R401">IF(A401="","",IFERROR(OR(INDEX(Binders!$J$6:$J$30,MATCH(Q401,Binders!$I$6:$I$30,0))=TRUE(),UPPER(INDEX(Binders!$J$6:$J$30,MATCH(Q401,Binders!$I$6:$I$30,0))&amp;"")="TRUE"),FALSE()))</f>
        <v/>
      </c>
    </row>
    <row r="402" ht="15.75" customHeight="1">
      <c r="A402" s="80" t="str">
        <f t="array" ref="A402">IF(INDEX('Deck 1'!$A:$Z,ROW()-250,'List Setup'!$D$3)="","",INDEX('Deck 1'!$A:$Z,ROW()-250,'List Setup'!$D$3))</f>
        <v/>
      </c>
      <c r="B402" s="80" t="str">
        <f t="array" ref="B402">IF(A402="","",IFERROR(INDEX('Binder Setup'!$B$2:$B$401,MIN(IF(ISNUMBER(SEARCH(CHAR(10)&amp;'Binder Setup'!$B$2:$B$401&amp;CHAR(10),$H402)),'List Setup'!$Q$2:$Q$401,999),IF(ISNUMBER(SEARCH(CHAR(10)&amp;'Set Aliases'!$A$2:$A$501&amp;CHAR(10),$H402)),'Set Aliases'!$C$2:$C$501,999))),"(none)"))</f>
        <v/>
      </c>
      <c r="C402" s="80" t="str">
        <f t="shared" si="1"/>
        <v/>
      </c>
      <c r="D402" s="80" t="str">
        <f t="array" ref="D402">IF(A402="","",IF(ISLOGICAL(INDEX('Deck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02" s="80" t="str">
        <f t="shared" si="2"/>
        <v/>
      </c>
      <c r="F402" s="80" t="str">
        <f t="array" ref="F402">IF(A402="","",IF(ISNUMBER(J402),J402,IF(ISNUMBER(INDEX('Deck 1'!$A:$Z,ROW()-250,'List Setup'!$F$3)),INDEX('Deck 1'!$A:$Z,ROW()-250,'List Setup'!$F$3),0)))</f>
        <v/>
      </c>
      <c r="G402" s="80" t="str">
        <f t="array" ref="G402">IF(A402="","",A402&amp;IF(N(INDEX('Deck 1'!$A:$Z,ROW()-250,'List Setup'!$C$3))&gt;1," (x"&amp;INDEX('Deck 1'!$A:$Z,ROW()-250,'List Setup'!$C$3)&amp;")","")&amp;IF(COUNTIF(Binders!$J$6:$J$30,TRUE())&gt;1," ["&amp;Q402&amp;"]",""))</f>
        <v/>
      </c>
      <c r="H402" s="80" t="str">
        <f t="array" ref="H402">IF(A402="","",CHAR(10)&amp;INDEX('Deck 1'!$A:$Z,ROW()-250,'List Setup'!$E$3)&amp;CHAR(10))</f>
        <v/>
      </c>
      <c r="I402" s="80" t="str">
        <f t="array" ref="I402">IF(OR(B402="",B402="(none)"),"",IF(ISNUMBER(SEARCH(CHAR(10)&amp;B402&amp;CHAR(10),H402)),B402,IFERROR(INDEX('Set Aliases'!$A$2:$A$501,MATCH(1,('Set Aliases'!$B$2:$B$501=B402)*ISNUMBER(SEARCH(CHAR(10)&amp;'Set Aliases'!$A$2:$A$501&amp;CHAR(10),H402)),0)),"")))</f>
        <v/>
      </c>
      <c r="J402" s="80" t="str">
        <f t="array" ref="J402">IF(I402="","",IFERROR(VALUE(TRIM(MID(SUBSTITUTE(INDEX('Deck 1'!$A:$Z,ROW()-250,'List Setup'!$G$3),CHAR(10),REPT(" ",100)),((SEARCH(CHAR(10)&amp;I402&amp;CHAR(10),H402)-LEN(SUBSTITUTE(LEFT(H402,SEARCH(CHAR(10)&amp;I402&amp;CHAR(10),H402)),CHAR(10),"")))-1)*100+1,100))),""))</f>
        <v/>
      </c>
      <c r="K402" s="80" t="str">
        <f t="array" ref="K402">IF(A402="","",IF(ISNUMBER(SEARCH("Land",LEFT(IFERROR(INDEX('Deck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02" s="80" t="str">
        <f t="shared" si="3"/>
        <v/>
      </c>
      <c r="M402" s="80" t="str">
        <f>IF(A402="","",IF(AND(E402="Y",B402='Use at Shop'!$B$4),K402*10000000000+(MAX(0,MIN(26,CODE(MID(UPPER(A402)&amp;"    ",1,1))-64))*19683+MAX(0,MIN(26,CODE(MID(UPPER(A402)&amp;"    ",2,1))-64))*729+MAX(0,MIN(26,CODE(MID(UPPER(A402)&amp;"    ",3,1))-64))*27+MAX(0,MIN(26,CODE(MID(UPPER(A402)&amp;"    ",4,1))-64))*1)*10000+ROW(),""))</f>
        <v/>
      </c>
      <c r="N402" s="80" t="str">
        <f t="shared" si="5"/>
        <v/>
      </c>
      <c r="O402" s="80" t="str">
        <f t="array" ref="O402">IF(A402="","",IFERROR(INDEX('Deck 1'!$A:$Z,ROW()-250,'List Setup'!$J$3)&amp;"",""))</f>
        <v/>
      </c>
      <c r="P402" s="2"/>
      <c r="Q402" s="80" t="str">
        <f>IF(A402="","",'List Setup'!$A$3)</f>
        <v/>
      </c>
      <c r="R402" s="80" t="str">
        <f t="array" ref="R402">IF(A402="","",IFERROR(OR(INDEX(Binders!$J$6:$J$30,MATCH(Q402,Binders!$I$6:$I$30,0))=TRUE(),UPPER(INDEX(Binders!$J$6:$J$30,MATCH(Q402,Binders!$I$6:$I$30,0))&amp;"")="TRUE"),FALSE()))</f>
        <v/>
      </c>
    </row>
    <row r="403" ht="15.75" customHeight="1">
      <c r="A403" s="80" t="str">
        <f t="array" ref="A403">IF(INDEX('Deck 1'!$A:$Z,ROW()-250,'List Setup'!$D$3)="","",INDEX('Deck 1'!$A:$Z,ROW()-250,'List Setup'!$D$3))</f>
        <v/>
      </c>
      <c r="B403" s="80" t="str">
        <f t="array" ref="B403">IF(A403="","",IFERROR(INDEX('Binder Setup'!$B$2:$B$401,MIN(IF(ISNUMBER(SEARCH(CHAR(10)&amp;'Binder Setup'!$B$2:$B$401&amp;CHAR(10),$H403)),'List Setup'!$Q$2:$Q$401,999),IF(ISNUMBER(SEARCH(CHAR(10)&amp;'Set Aliases'!$A$2:$A$501&amp;CHAR(10),$H403)),'Set Aliases'!$C$2:$C$501,999))),"(none)"))</f>
        <v/>
      </c>
      <c r="C403" s="80" t="str">
        <f t="shared" si="1"/>
        <v/>
      </c>
      <c r="D403" s="80" t="str">
        <f t="array" ref="D403">IF(A403="","",IF(ISLOGICAL(INDEX('Deck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03" s="80" t="str">
        <f t="shared" si="2"/>
        <v/>
      </c>
      <c r="F403" s="80" t="str">
        <f t="array" ref="F403">IF(A403="","",IF(ISNUMBER(J403),J403,IF(ISNUMBER(INDEX('Deck 1'!$A:$Z,ROW()-250,'List Setup'!$F$3)),INDEX('Deck 1'!$A:$Z,ROW()-250,'List Setup'!$F$3),0)))</f>
        <v/>
      </c>
      <c r="G403" s="80" t="str">
        <f t="array" ref="G403">IF(A403="","",A403&amp;IF(N(INDEX('Deck 1'!$A:$Z,ROW()-250,'List Setup'!$C$3))&gt;1," (x"&amp;INDEX('Deck 1'!$A:$Z,ROW()-250,'List Setup'!$C$3)&amp;")","")&amp;IF(COUNTIF(Binders!$J$6:$J$30,TRUE())&gt;1," ["&amp;Q403&amp;"]",""))</f>
        <v/>
      </c>
      <c r="H403" s="80" t="str">
        <f t="array" ref="H403">IF(A403="","",CHAR(10)&amp;INDEX('Deck 1'!$A:$Z,ROW()-250,'List Setup'!$E$3)&amp;CHAR(10))</f>
        <v/>
      </c>
      <c r="I403" s="80" t="str">
        <f t="array" ref="I403">IF(OR(B403="",B403="(none)"),"",IF(ISNUMBER(SEARCH(CHAR(10)&amp;B403&amp;CHAR(10),H403)),B403,IFERROR(INDEX('Set Aliases'!$A$2:$A$501,MATCH(1,('Set Aliases'!$B$2:$B$501=B403)*ISNUMBER(SEARCH(CHAR(10)&amp;'Set Aliases'!$A$2:$A$501&amp;CHAR(10),H403)),0)),"")))</f>
        <v/>
      </c>
      <c r="J403" s="80" t="str">
        <f t="array" ref="J403">IF(I403="","",IFERROR(VALUE(TRIM(MID(SUBSTITUTE(INDEX('Deck 1'!$A:$Z,ROW()-250,'List Setup'!$G$3),CHAR(10),REPT(" ",100)),((SEARCH(CHAR(10)&amp;I403&amp;CHAR(10),H403)-LEN(SUBSTITUTE(LEFT(H403,SEARCH(CHAR(10)&amp;I403&amp;CHAR(10),H403)),CHAR(10),"")))-1)*100+1,100))),""))</f>
        <v/>
      </c>
      <c r="K403" s="80" t="str">
        <f t="array" ref="K403">IF(A403="","",IF(ISNUMBER(SEARCH("Land",LEFT(IFERROR(INDEX('Deck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03" s="80" t="str">
        <f t="shared" si="3"/>
        <v/>
      </c>
      <c r="M403" s="80" t="str">
        <f>IF(A403="","",IF(AND(E403="Y",B403='Use at Shop'!$B$4),K403*10000000000+(MAX(0,MIN(26,CODE(MID(UPPER(A403)&amp;"    ",1,1))-64))*19683+MAX(0,MIN(26,CODE(MID(UPPER(A403)&amp;"    ",2,1))-64))*729+MAX(0,MIN(26,CODE(MID(UPPER(A403)&amp;"    ",3,1))-64))*27+MAX(0,MIN(26,CODE(MID(UPPER(A403)&amp;"    ",4,1))-64))*1)*10000+ROW(),""))</f>
        <v/>
      </c>
      <c r="N403" s="80" t="str">
        <f t="shared" si="5"/>
        <v/>
      </c>
      <c r="O403" s="80" t="str">
        <f t="array" ref="O403">IF(A403="","",IFERROR(INDEX('Deck 1'!$A:$Z,ROW()-250,'List Setup'!$J$3)&amp;"",""))</f>
        <v/>
      </c>
      <c r="P403" s="2"/>
      <c r="Q403" s="80" t="str">
        <f>IF(A403="","",'List Setup'!$A$3)</f>
        <v/>
      </c>
      <c r="R403" s="80" t="str">
        <f t="array" ref="R403">IF(A403="","",IFERROR(OR(INDEX(Binders!$J$6:$J$30,MATCH(Q403,Binders!$I$6:$I$30,0))=TRUE(),UPPER(INDEX(Binders!$J$6:$J$30,MATCH(Q403,Binders!$I$6:$I$30,0))&amp;"")="TRUE"),FALSE()))</f>
        <v/>
      </c>
    </row>
    <row r="404" ht="15.75" customHeight="1">
      <c r="A404" s="80" t="str">
        <f t="array" ref="A404">IF(INDEX('Deck 1'!$A:$Z,ROW()-250,'List Setup'!$D$3)="","",INDEX('Deck 1'!$A:$Z,ROW()-250,'List Setup'!$D$3))</f>
        <v/>
      </c>
      <c r="B404" s="80" t="str">
        <f t="array" ref="B404">IF(A404="","",IFERROR(INDEX('Binder Setup'!$B$2:$B$401,MIN(IF(ISNUMBER(SEARCH(CHAR(10)&amp;'Binder Setup'!$B$2:$B$401&amp;CHAR(10),$H404)),'List Setup'!$Q$2:$Q$401,999),IF(ISNUMBER(SEARCH(CHAR(10)&amp;'Set Aliases'!$A$2:$A$501&amp;CHAR(10),$H404)),'Set Aliases'!$C$2:$C$501,999))),"(none)"))</f>
        <v/>
      </c>
      <c r="C404" s="80" t="str">
        <f t="shared" si="1"/>
        <v/>
      </c>
      <c r="D404" s="80" t="str">
        <f t="array" ref="D404">IF(A404="","",IF(ISLOGICAL(INDEX('Deck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04" s="80" t="str">
        <f t="shared" si="2"/>
        <v/>
      </c>
      <c r="F404" s="80" t="str">
        <f t="array" ref="F404">IF(A404="","",IF(ISNUMBER(J404),J404,IF(ISNUMBER(INDEX('Deck 1'!$A:$Z,ROW()-250,'List Setup'!$F$3)),INDEX('Deck 1'!$A:$Z,ROW()-250,'List Setup'!$F$3),0)))</f>
        <v/>
      </c>
      <c r="G404" s="80" t="str">
        <f t="array" ref="G404">IF(A404="","",A404&amp;IF(N(INDEX('Deck 1'!$A:$Z,ROW()-250,'List Setup'!$C$3))&gt;1," (x"&amp;INDEX('Deck 1'!$A:$Z,ROW()-250,'List Setup'!$C$3)&amp;")","")&amp;IF(COUNTIF(Binders!$J$6:$J$30,TRUE())&gt;1," ["&amp;Q404&amp;"]",""))</f>
        <v/>
      </c>
      <c r="H404" s="80" t="str">
        <f t="array" ref="H404">IF(A404="","",CHAR(10)&amp;INDEX('Deck 1'!$A:$Z,ROW()-250,'List Setup'!$E$3)&amp;CHAR(10))</f>
        <v/>
      </c>
      <c r="I404" s="80" t="str">
        <f t="array" ref="I404">IF(OR(B404="",B404="(none)"),"",IF(ISNUMBER(SEARCH(CHAR(10)&amp;B404&amp;CHAR(10),H404)),B404,IFERROR(INDEX('Set Aliases'!$A$2:$A$501,MATCH(1,('Set Aliases'!$B$2:$B$501=B404)*ISNUMBER(SEARCH(CHAR(10)&amp;'Set Aliases'!$A$2:$A$501&amp;CHAR(10),H404)),0)),"")))</f>
        <v/>
      </c>
      <c r="J404" s="80" t="str">
        <f t="array" ref="J404">IF(I404="","",IFERROR(VALUE(TRIM(MID(SUBSTITUTE(INDEX('Deck 1'!$A:$Z,ROW()-250,'List Setup'!$G$3),CHAR(10),REPT(" ",100)),((SEARCH(CHAR(10)&amp;I404&amp;CHAR(10),H404)-LEN(SUBSTITUTE(LEFT(H404,SEARCH(CHAR(10)&amp;I404&amp;CHAR(10),H404)),CHAR(10),"")))-1)*100+1,100))),""))</f>
        <v/>
      </c>
      <c r="K404" s="80" t="str">
        <f t="array" ref="K404">IF(A404="","",IF(ISNUMBER(SEARCH("Land",LEFT(IFERROR(INDEX('Deck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04" s="80" t="str">
        <f t="shared" si="3"/>
        <v/>
      </c>
      <c r="M404" s="80" t="str">
        <f>IF(A404="","",IF(AND(E404="Y",B404='Use at Shop'!$B$4),K404*10000000000+(MAX(0,MIN(26,CODE(MID(UPPER(A404)&amp;"    ",1,1))-64))*19683+MAX(0,MIN(26,CODE(MID(UPPER(A404)&amp;"    ",2,1))-64))*729+MAX(0,MIN(26,CODE(MID(UPPER(A404)&amp;"    ",3,1))-64))*27+MAX(0,MIN(26,CODE(MID(UPPER(A404)&amp;"    ",4,1))-64))*1)*10000+ROW(),""))</f>
        <v/>
      </c>
      <c r="N404" s="80" t="str">
        <f t="shared" si="5"/>
        <v/>
      </c>
      <c r="O404" s="80" t="str">
        <f t="array" ref="O404">IF(A404="","",IFERROR(INDEX('Deck 1'!$A:$Z,ROW()-250,'List Setup'!$J$3)&amp;"",""))</f>
        <v/>
      </c>
      <c r="P404" s="2"/>
      <c r="Q404" s="80" t="str">
        <f>IF(A404="","",'List Setup'!$A$3)</f>
        <v/>
      </c>
      <c r="R404" s="80" t="str">
        <f t="array" ref="R404">IF(A404="","",IFERROR(OR(INDEX(Binders!$J$6:$J$30,MATCH(Q404,Binders!$I$6:$I$30,0))=TRUE(),UPPER(INDEX(Binders!$J$6:$J$30,MATCH(Q404,Binders!$I$6:$I$30,0))&amp;"")="TRUE"),FALSE()))</f>
        <v/>
      </c>
    </row>
    <row r="405" ht="15.75" customHeight="1">
      <c r="A405" s="80" t="str">
        <f t="array" ref="A405">IF(INDEX('Deck 1'!$A:$Z,ROW()-250,'List Setup'!$D$3)="","",INDEX('Deck 1'!$A:$Z,ROW()-250,'List Setup'!$D$3))</f>
        <v/>
      </c>
      <c r="B405" s="80" t="str">
        <f t="array" ref="B405">IF(A405="","",IFERROR(INDEX('Binder Setup'!$B$2:$B$401,MIN(IF(ISNUMBER(SEARCH(CHAR(10)&amp;'Binder Setup'!$B$2:$B$401&amp;CHAR(10),$H405)),'List Setup'!$Q$2:$Q$401,999),IF(ISNUMBER(SEARCH(CHAR(10)&amp;'Set Aliases'!$A$2:$A$501&amp;CHAR(10),$H405)),'Set Aliases'!$C$2:$C$501,999))),"(none)"))</f>
        <v/>
      </c>
      <c r="C405" s="80" t="str">
        <f t="shared" si="1"/>
        <v/>
      </c>
      <c r="D405" s="80" t="str">
        <f t="array" ref="D405">IF(A405="","",IF(ISLOGICAL(INDEX('Deck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05" s="80" t="str">
        <f t="shared" si="2"/>
        <v/>
      </c>
      <c r="F405" s="80" t="str">
        <f t="array" ref="F405">IF(A405="","",IF(ISNUMBER(J405),J405,IF(ISNUMBER(INDEX('Deck 1'!$A:$Z,ROW()-250,'List Setup'!$F$3)),INDEX('Deck 1'!$A:$Z,ROW()-250,'List Setup'!$F$3),0)))</f>
        <v/>
      </c>
      <c r="G405" s="80" t="str">
        <f t="array" ref="G405">IF(A405="","",A405&amp;IF(N(INDEX('Deck 1'!$A:$Z,ROW()-250,'List Setup'!$C$3))&gt;1," (x"&amp;INDEX('Deck 1'!$A:$Z,ROW()-250,'List Setup'!$C$3)&amp;")","")&amp;IF(COUNTIF(Binders!$J$6:$J$30,TRUE())&gt;1," ["&amp;Q405&amp;"]",""))</f>
        <v/>
      </c>
      <c r="H405" s="80" t="str">
        <f t="array" ref="H405">IF(A405="","",CHAR(10)&amp;INDEX('Deck 1'!$A:$Z,ROW()-250,'List Setup'!$E$3)&amp;CHAR(10))</f>
        <v/>
      </c>
      <c r="I405" s="80" t="str">
        <f t="array" ref="I405">IF(OR(B405="",B405="(none)"),"",IF(ISNUMBER(SEARCH(CHAR(10)&amp;B405&amp;CHAR(10),H405)),B405,IFERROR(INDEX('Set Aliases'!$A$2:$A$501,MATCH(1,('Set Aliases'!$B$2:$B$501=B405)*ISNUMBER(SEARCH(CHAR(10)&amp;'Set Aliases'!$A$2:$A$501&amp;CHAR(10),H405)),0)),"")))</f>
        <v/>
      </c>
      <c r="J405" s="80" t="str">
        <f t="array" ref="J405">IF(I405="","",IFERROR(VALUE(TRIM(MID(SUBSTITUTE(INDEX('Deck 1'!$A:$Z,ROW()-250,'List Setup'!$G$3),CHAR(10),REPT(" ",100)),((SEARCH(CHAR(10)&amp;I405&amp;CHAR(10),H405)-LEN(SUBSTITUTE(LEFT(H405,SEARCH(CHAR(10)&amp;I405&amp;CHAR(10),H405)),CHAR(10),"")))-1)*100+1,100))),""))</f>
        <v/>
      </c>
      <c r="K405" s="80" t="str">
        <f t="array" ref="K405">IF(A405="","",IF(ISNUMBER(SEARCH("Land",LEFT(IFERROR(INDEX('Deck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05" s="80" t="str">
        <f t="shared" si="3"/>
        <v/>
      </c>
      <c r="M405" s="80" t="str">
        <f>IF(A405="","",IF(AND(E405="Y",B405='Use at Shop'!$B$4),K405*10000000000+(MAX(0,MIN(26,CODE(MID(UPPER(A405)&amp;"    ",1,1))-64))*19683+MAX(0,MIN(26,CODE(MID(UPPER(A405)&amp;"    ",2,1))-64))*729+MAX(0,MIN(26,CODE(MID(UPPER(A405)&amp;"    ",3,1))-64))*27+MAX(0,MIN(26,CODE(MID(UPPER(A405)&amp;"    ",4,1))-64))*1)*10000+ROW(),""))</f>
        <v/>
      </c>
      <c r="N405" s="80" t="str">
        <f t="shared" si="5"/>
        <v/>
      </c>
      <c r="O405" s="80" t="str">
        <f t="array" ref="O405">IF(A405="","",IFERROR(INDEX('Deck 1'!$A:$Z,ROW()-250,'List Setup'!$J$3)&amp;"",""))</f>
        <v/>
      </c>
      <c r="P405" s="2"/>
      <c r="Q405" s="80" t="str">
        <f>IF(A405="","",'List Setup'!$A$3)</f>
        <v/>
      </c>
      <c r="R405" s="80" t="str">
        <f t="array" ref="R405">IF(A405="","",IFERROR(OR(INDEX(Binders!$J$6:$J$30,MATCH(Q405,Binders!$I$6:$I$30,0))=TRUE(),UPPER(INDEX(Binders!$J$6:$J$30,MATCH(Q405,Binders!$I$6:$I$30,0))&amp;"")="TRUE"),FALSE()))</f>
        <v/>
      </c>
    </row>
    <row r="406" ht="15.75" customHeight="1">
      <c r="A406" s="80" t="str">
        <f t="array" ref="A406">IF(INDEX('Deck 1'!$A:$Z,ROW()-250,'List Setup'!$D$3)="","",INDEX('Deck 1'!$A:$Z,ROW()-250,'List Setup'!$D$3))</f>
        <v/>
      </c>
      <c r="B406" s="80" t="str">
        <f t="array" ref="B406">IF(A406="","",IFERROR(INDEX('Binder Setup'!$B$2:$B$401,MIN(IF(ISNUMBER(SEARCH(CHAR(10)&amp;'Binder Setup'!$B$2:$B$401&amp;CHAR(10),$H406)),'List Setup'!$Q$2:$Q$401,999),IF(ISNUMBER(SEARCH(CHAR(10)&amp;'Set Aliases'!$A$2:$A$501&amp;CHAR(10),$H406)),'Set Aliases'!$C$2:$C$501,999))),"(none)"))</f>
        <v/>
      </c>
      <c r="C406" s="80" t="str">
        <f t="shared" si="1"/>
        <v/>
      </c>
      <c r="D406" s="80" t="str">
        <f t="array" ref="D406">IF(A406="","",IF(ISLOGICAL(INDEX('Deck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06" s="80" t="str">
        <f t="shared" si="2"/>
        <v/>
      </c>
      <c r="F406" s="80" t="str">
        <f t="array" ref="F406">IF(A406="","",IF(ISNUMBER(J406),J406,IF(ISNUMBER(INDEX('Deck 1'!$A:$Z,ROW()-250,'List Setup'!$F$3)),INDEX('Deck 1'!$A:$Z,ROW()-250,'List Setup'!$F$3),0)))</f>
        <v/>
      </c>
      <c r="G406" s="80" t="str">
        <f t="array" ref="G406">IF(A406="","",A406&amp;IF(N(INDEX('Deck 1'!$A:$Z,ROW()-250,'List Setup'!$C$3))&gt;1," (x"&amp;INDEX('Deck 1'!$A:$Z,ROW()-250,'List Setup'!$C$3)&amp;")","")&amp;IF(COUNTIF(Binders!$J$6:$J$30,TRUE())&gt;1," ["&amp;Q406&amp;"]",""))</f>
        <v/>
      </c>
      <c r="H406" s="80" t="str">
        <f t="array" ref="H406">IF(A406="","",CHAR(10)&amp;INDEX('Deck 1'!$A:$Z,ROW()-250,'List Setup'!$E$3)&amp;CHAR(10))</f>
        <v/>
      </c>
      <c r="I406" s="80" t="str">
        <f t="array" ref="I406">IF(OR(B406="",B406="(none)"),"",IF(ISNUMBER(SEARCH(CHAR(10)&amp;B406&amp;CHAR(10),H406)),B406,IFERROR(INDEX('Set Aliases'!$A$2:$A$501,MATCH(1,('Set Aliases'!$B$2:$B$501=B406)*ISNUMBER(SEARCH(CHAR(10)&amp;'Set Aliases'!$A$2:$A$501&amp;CHAR(10),H406)),0)),"")))</f>
        <v/>
      </c>
      <c r="J406" s="80" t="str">
        <f t="array" ref="J406">IF(I406="","",IFERROR(VALUE(TRIM(MID(SUBSTITUTE(INDEX('Deck 1'!$A:$Z,ROW()-250,'List Setup'!$G$3),CHAR(10),REPT(" ",100)),((SEARCH(CHAR(10)&amp;I406&amp;CHAR(10),H406)-LEN(SUBSTITUTE(LEFT(H406,SEARCH(CHAR(10)&amp;I406&amp;CHAR(10),H406)),CHAR(10),"")))-1)*100+1,100))),""))</f>
        <v/>
      </c>
      <c r="K406" s="80" t="str">
        <f t="array" ref="K406">IF(A406="","",IF(ISNUMBER(SEARCH("Land",LEFT(IFERROR(INDEX('Deck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06" s="80" t="str">
        <f t="shared" si="3"/>
        <v/>
      </c>
      <c r="M406" s="80" t="str">
        <f>IF(A406="","",IF(AND(E406="Y",B406='Use at Shop'!$B$4),K406*10000000000+(MAX(0,MIN(26,CODE(MID(UPPER(A406)&amp;"    ",1,1))-64))*19683+MAX(0,MIN(26,CODE(MID(UPPER(A406)&amp;"    ",2,1))-64))*729+MAX(0,MIN(26,CODE(MID(UPPER(A406)&amp;"    ",3,1))-64))*27+MAX(0,MIN(26,CODE(MID(UPPER(A406)&amp;"    ",4,1))-64))*1)*10000+ROW(),""))</f>
        <v/>
      </c>
      <c r="N406" s="80" t="str">
        <f t="shared" si="5"/>
        <v/>
      </c>
      <c r="O406" s="80" t="str">
        <f t="array" ref="O406">IF(A406="","",IFERROR(INDEX('Deck 1'!$A:$Z,ROW()-250,'List Setup'!$J$3)&amp;"",""))</f>
        <v/>
      </c>
      <c r="P406" s="2"/>
      <c r="Q406" s="80" t="str">
        <f>IF(A406="","",'List Setup'!$A$3)</f>
        <v/>
      </c>
      <c r="R406" s="80" t="str">
        <f t="array" ref="R406">IF(A406="","",IFERROR(OR(INDEX(Binders!$J$6:$J$30,MATCH(Q406,Binders!$I$6:$I$30,0))=TRUE(),UPPER(INDEX(Binders!$J$6:$J$30,MATCH(Q406,Binders!$I$6:$I$30,0))&amp;"")="TRUE"),FALSE()))</f>
        <v/>
      </c>
    </row>
    <row r="407" ht="15.75" customHeight="1">
      <c r="A407" s="80" t="str">
        <f t="array" ref="A407">IF(INDEX('Deck 1'!$A:$Z,ROW()-250,'List Setup'!$D$3)="","",INDEX('Deck 1'!$A:$Z,ROW()-250,'List Setup'!$D$3))</f>
        <v/>
      </c>
      <c r="B407" s="80" t="str">
        <f t="array" ref="B407">IF(A407="","",IFERROR(INDEX('Binder Setup'!$B$2:$B$401,MIN(IF(ISNUMBER(SEARCH(CHAR(10)&amp;'Binder Setup'!$B$2:$B$401&amp;CHAR(10),$H407)),'List Setup'!$Q$2:$Q$401,999),IF(ISNUMBER(SEARCH(CHAR(10)&amp;'Set Aliases'!$A$2:$A$501&amp;CHAR(10),$H407)),'Set Aliases'!$C$2:$C$501,999))),"(none)"))</f>
        <v/>
      </c>
      <c r="C407" s="80" t="str">
        <f t="shared" si="1"/>
        <v/>
      </c>
      <c r="D407" s="80" t="str">
        <f t="array" ref="D407">IF(A407="","",IF(ISLOGICAL(INDEX('Deck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07" s="80" t="str">
        <f t="shared" si="2"/>
        <v/>
      </c>
      <c r="F407" s="80" t="str">
        <f t="array" ref="F407">IF(A407="","",IF(ISNUMBER(J407),J407,IF(ISNUMBER(INDEX('Deck 1'!$A:$Z,ROW()-250,'List Setup'!$F$3)),INDEX('Deck 1'!$A:$Z,ROW()-250,'List Setup'!$F$3),0)))</f>
        <v/>
      </c>
      <c r="G407" s="80" t="str">
        <f t="array" ref="G407">IF(A407="","",A407&amp;IF(N(INDEX('Deck 1'!$A:$Z,ROW()-250,'List Setup'!$C$3))&gt;1," (x"&amp;INDEX('Deck 1'!$A:$Z,ROW()-250,'List Setup'!$C$3)&amp;")","")&amp;IF(COUNTIF(Binders!$J$6:$J$30,TRUE())&gt;1," ["&amp;Q407&amp;"]",""))</f>
        <v/>
      </c>
      <c r="H407" s="80" t="str">
        <f t="array" ref="H407">IF(A407="","",CHAR(10)&amp;INDEX('Deck 1'!$A:$Z,ROW()-250,'List Setup'!$E$3)&amp;CHAR(10))</f>
        <v/>
      </c>
      <c r="I407" s="80" t="str">
        <f t="array" ref="I407">IF(OR(B407="",B407="(none)"),"",IF(ISNUMBER(SEARCH(CHAR(10)&amp;B407&amp;CHAR(10),H407)),B407,IFERROR(INDEX('Set Aliases'!$A$2:$A$501,MATCH(1,('Set Aliases'!$B$2:$B$501=B407)*ISNUMBER(SEARCH(CHAR(10)&amp;'Set Aliases'!$A$2:$A$501&amp;CHAR(10),H407)),0)),"")))</f>
        <v/>
      </c>
      <c r="J407" s="80" t="str">
        <f t="array" ref="J407">IF(I407="","",IFERROR(VALUE(TRIM(MID(SUBSTITUTE(INDEX('Deck 1'!$A:$Z,ROW()-250,'List Setup'!$G$3),CHAR(10),REPT(" ",100)),((SEARCH(CHAR(10)&amp;I407&amp;CHAR(10),H407)-LEN(SUBSTITUTE(LEFT(H407,SEARCH(CHAR(10)&amp;I407&amp;CHAR(10),H407)),CHAR(10),"")))-1)*100+1,100))),""))</f>
        <v/>
      </c>
      <c r="K407" s="80" t="str">
        <f t="array" ref="K407">IF(A407="","",IF(ISNUMBER(SEARCH("Land",LEFT(IFERROR(INDEX('Deck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07" s="80" t="str">
        <f t="shared" si="3"/>
        <v/>
      </c>
      <c r="M407" s="80" t="str">
        <f>IF(A407="","",IF(AND(E407="Y",B407='Use at Shop'!$B$4),K407*10000000000+(MAX(0,MIN(26,CODE(MID(UPPER(A407)&amp;"    ",1,1))-64))*19683+MAX(0,MIN(26,CODE(MID(UPPER(A407)&amp;"    ",2,1))-64))*729+MAX(0,MIN(26,CODE(MID(UPPER(A407)&amp;"    ",3,1))-64))*27+MAX(0,MIN(26,CODE(MID(UPPER(A407)&amp;"    ",4,1))-64))*1)*10000+ROW(),""))</f>
        <v/>
      </c>
      <c r="N407" s="80" t="str">
        <f t="shared" si="5"/>
        <v/>
      </c>
      <c r="O407" s="80" t="str">
        <f t="array" ref="O407">IF(A407="","",IFERROR(INDEX('Deck 1'!$A:$Z,ROW()-250,'List Setup'!$J$3)&amp;"",""))</f>
        <v/>
      </c>
      <c r="P407" s="2"/>
      <c r="Q407" s="80" t="str">
        <f>IF(A407="","",'List Setup'!$A$3)</f>
        <v/>
      </c>
      <c r="R407" s="80" t="str">
        <f t="array" ref="R407">IF(A407="","",IFERROR(OR(INDEX(Binders!$J$6:$J$30,MATCH(Q407,Binders!$I$6:$I$30,0))=TRUE(),UPPER(INDEX(Binders!$J$6:$J$30,MATCH(Q407,Binders!$I$6:$I$30,0))&amp;"")="TRUE"),FALSE()))</f>
        <v/>
      </c>
    </row>
    <row r="408" ht="15.75" customHeight="1">
      <c r="A408" s="80" t="str">
        <f t="array" ref="A408">IF(INDEX('Deck 1'!$A:$Z,ROW()-250,'List Setup'!$D$3)="","",INDEX('Deck 1'!$A:$Z,ROW()-250,'List Setup'!$D$3))</f>
        <v/>
      </c>
      <c r="B408" s="80" t="str">
        <f t="array" ref="B408">IF(A408="","",IFERROR(INDEX('Binder Setup'!$B$2:$B$401,MIN(IF(ISNUMBER(SEARCH(CHAR(10)&amp;'Binder Setup'!$B$2:$B$401&amp;CHAR(10),$H408)),'List Setup'!$Q$2:$Q$401,999),IF(ISNUMBER(SEARCH(CHAR(10)&amp;'Set Aliases'!$A$2:$A$501&amp;CHAR(10),$H408)),'Set Aliases'!$C$2:$C$501,999))),"(none)"))</f>
        <v/>
      </c>
      <c r="C408" s="80" t="str">
        <f t="shared" si="1"/>
        <v/>
      </c>
      <c r="D408" s="80" t="str">
        <f t="array" ref="D408">IF(A408="","",IF(ISLOGICAL(INDEX('Deck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08" s="80" t="str">
        <f t="shared" si="2"/>
        <v/>
      </c>
      <c r="F408" s="80" t="str">
        <f t="array" ref="F408">IF(A408="","",IF(ISNUMBER(J408),J408,IF(ISNUMBER(INDEX('Deck 1'!$A:$Z,ROW()-250,'List Setup'!$F$3)),INDEX('Deck 1'!$A:$Z,ROW()-250,'List Setup'!$F$3),0)))</f>
        <v/>
      </c>
      <c r="G408" s="80" t="str">
        <f t="array" ref="G408">IF(A408="","",A408&amp;IF(N(INDEX('Deck 1'!$A:$Z,ROW()-250,'List Setup'!$C$3))&gt;1," (x"&amp;INDEX('Deck 1'!$A:$Z,ROW()-250,'List Setup'!$C$3)&amp;")","")&amp;IF(COUNTIF(Binders!$J$6:$J$30,TRUE())&gt;1," ["&amp;Q408&amp;"]",""))</f>
        <v/>
      </c>
      <c r="H408" s="80" t="str">
        <f t="array" ref="H408">IF(A408="","",CHAR(10)&amp;INDEX('Deck 1'!$A:$Z,ROW()-250,'List Setup'!$E$3)&amp;CHAR(10))</f>
        <v/>
      </c>
      <c r="I408" s="80" t="str">
        <f t="array" ref="I408">IF(OR(B408="",B408="(none)"),"",IF(ISNUMBER(SEARCH(CHAR(10)&amp;B408&amp;CHAR(10),H408)),B408,IFERROR(INDEX('Set Aliases'!$A$2:$A$501,MATCH(1,('Set Aliases'!$B$2:$B$501=B408)*ISNUMBER(SEARCH(CHAR(10)&amp;'Set Aliases'!$A$2:$A$501&amp;CHAR(10),H408)),0)),"")))</f>
        <v/>
      </c>
      <c r="J408" s="80" t="str">
        <f t="array" ref="J408">IF(I408="","",IFERROR(VALUE(TRIM(MID(SUBSTITUTE(INDEX('Deck 1'!$A:$Z,ROW()-250,'List Setup'!$G$3),CHAR(10),REPT(" ",100)),((SEARCH(CHAR(10)&amp;I408&amp;CHAR(10),H408)-LEN(SUBSTITUTE(LEFT(H408,SEARCH(CHAR(10)&amp;I408&amp;CHAR(10),H408)),CHAR(10),"")))-1)*100+1,100))),""))</f>
        <v/>
      </c>
      <c r="K408" s="80" t="str">
        <f t="array" ref="K408">IF(A408="","",IF(ISNUMBER(SEARCH("Land",LEFT(IFERROR(INDEX('Deck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08" s="80" t="str">
        <f t="shared" si="3"/>
        <v/>
      </c>
      <c r="M408" s="80" t="str">
        <f>IF(A408="","",IF(AND(E408="Y",B408='Use at Shop'!$B$4),K408*10000000000+(MAX(0,MIN(26,CODE(MID(UPPER(A408)&amp;"    ",1,1))-64))*19683+MAX(0,MIN(26,CODE(MID(UPPER(A408)&amp;"    ",2,1))-64))*729+MAX(0,MIN(26,CODE(MID(UPPER(A408)&amp;"    ",3,1))-64))*27+MAX(0,MIN(26,CODE(MID(UPPER(A408)&amp;"    ",4,1))-64))*1)*10000+ROW(),""))</f>
        <v/>
      </c>
      <c r="N408" s="80" t="str">
        <f t="shared" si="5"/>
        <v/>
      </c>
      <c r="O408" s="80" t="str">
        <f t="array" ref="O408">IF(A408="","",IFERROR(INDEX('Deck 1'!$A:$Z,ROW()-250,'List Setup'!$J$3)&amp;"",""))</f>
        <v/>
      </c>
      <c r="P408" s="2"/>
      <c r="Q408" s="80" t="str">
        <f>IF(A408="","",'List Setup'!$A$3)</f>
        <v/>
      </c>
      <c r="R408" s="80" t="str">
        <f t="array" ref="R408">IF(A408="","",IFERROR(OR(INDEX(Binders!$J$6:$J$30,MATCH(Q408,Binders!$I$6:$I$30,0))=TRUE(),UPPER(INDEX(Binders!$J$6:$J$30,MATCH(Q408,Binders!$I$6:$I$30,0))&amp;"")="TRUE"),FALSE()))</f>
        <v/>
      </c>
    </row>
    <row r="409" ht="15.75" customHeight="1">
      <c r="A409" s="80" t="str">
        <f t="array" ref="A409">IF(INDEX('Deck 1'!$A:$Z,ROW()-250,'List Setup'!$D$3)="","",INDEX('Deck 1'!$A:$Z,ROW()-250,'List Setup'!$D$3))</f>
        <v/>
      </c>
      <c r="B409" s="80" t="str">
        <f t="array" ref="B409">IF(A409="","",IFERROR(INDEX('Binder Setup'!$B$2:$B$401,MIN(IF(ISNUMBER(SEARCH(CHAR(10)&amp;'Binder Setup'!$B$2:$B$401&amp;CHAR(10),$H409)),'List Setup'!$Q$2:$Q$401,999),IF(ISNUMBER(SEARCH(CHAR(10)&amp;'Set Aliases'!$A$2:$A$501&amp;CHAR(10),$H409)),'Set Aliases'!$C$2:$C$501,999))),"(none)"))</f>
        <v/>
      </c>
      <c r="C409" s="80" t="str">
        <f t="shared" si="1"/>
        <v/>
      </c>
      <c r="D409" s="80" t="str">
        <f t="array" ref="D409">IF(A409="","",IF(ISLOGICAL(INDEX('Deck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09" s="80" t="str">
        <f t="shared" si="2"/>
        <v/>
      </c>
      <c r="F409" s="80" t="str">
        <f t="array" ref="F409">IF(A409="","",IF(ISNUMBER(J409),J409,IF(ISNUMBER(INDEX('Deck 1'!$A:$Z,ROW()-250,'List Setup'!$F$3)),INDEX('Deck 1'!$A:$Z,ROW()-250,'List Setup'!$F$3),0)))</f>
        <v/>
      </c>
      <c r="G409" s="80" t="str">
        <f t="array" ref="G409">IF(A409="","",A409&amp;IF(N(INDEX('Deck 1'!$A:$Z,ROW()-250,'List Setup'!$C$3))&gt;1," (x"&amp;INDEX('Deck 1'!$A:$Z,ROW()-250,'List Setup'!$C$3)&amp;")","")&amp;IF(COUNTIF(Binders!$J$6:$J$30,TRUE())&gt;1," ["&amp;Q409&amp;"]",""))</f>
        <v/>
      </c>
      <c r="H409" s="80" t="str">
        <f t="array" ref="H409">IF(A409="","",CHAR(10)&amp;INDEX('Deck 1'!$A:$Z,ROW()-250,'List Setup'!$E$3)&amp;CHAR(10))</f>
        <v/>
      </c>
      <c r="I409" s="80" t="str">
        <f t="array" ref="I409">IF(OR(B409="",B409="(none)"),"",IF(ISNUMBER(SEARCH(CHAR(10)&amp;B409&amp;CHAR(10),H409)),B409,IFERROR(INDEX('Set Aliases'!$A$2:$A$501,MATCH(1,('Set Aliases'!$B$2:$B$501=B409)*ISNUMBER(SEARCH(CHAR(10)&amp;'Set Aliases'!$A$2:$A$501&amp;CHAR(10),H409)),0)),"")))</f>
        <v/>
      </c>
      <c r="J409" s="80" t="str">
        <f t="array" ref="J409">IF(I409="","",IFERROR(VALUE(TRIM(MID(SUBSTITUTE(INDEX('Deck 1'!$A:$Z,ROW()-250,'List Setup'!$G$3),CHAR(10),REPT(" ",100)),((SEARCH(CHAR(10)&amp;I409&amp;CHAR(10),H409)-LEN(SUBSTITUTE(LEFT(H409,SEARCH(CHAR(10)&amp;I409&amp;CHAR(10),H409)),CHAR(10),"")))-1)*100+1,100))),""))</f>
        <v/>
      </c>
      <c r="K409" s="80" t="str">
        <f t="array" ref="K409">IF(A409="","",IF(ISNUMBER(SEARCH("Land",LEFT(IFERROR(INDEX('Deck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09" s="80" t="str">
        <f t="shared" si="3"/>
        <v/>
      </c>
      <c r="M409" s="80" t="str">
        <f>IF(A409="","",IF(AND(E409="Y",B409='Use at Shop'!$B$4),K409*10000000000+(MAX(0,MIN(26,CODE(MID(UPPER(A409)&amp;"    ",1,1))-64))*19683+MAX(0,MIN(26,CODE(MID(UPPER(A409)&amp;"    ",2,1))-64))*729+MAX(0,MIN(26,CODE(MID(UPPER(A409)&amp;"    ",3,1))-64))*27+MAX(0,MIN(26,CODE(MID(UPPER(A409)&amp;"    ",4,1))-64))*1)*10000+ROW(),""))</f>
        <v/>
      </c>
      <c r="N409" s="80" t="str">
        <f t="shared" si="5"/>
        <v/>
      </c>
      <c r="O409" s="80" t="str">
        <f t="array" ref="O409">IF(A409="","",IFERROR(INDEX('Deck 1'!$A:$Z,ROW()-250,'List Setup'!$J$3)&amp;"",""))</f>
        <v/>
      </c>
      <c r="P409" s="2"/>
      <c r="Q409" s="80" t="str">
        <f>IF(A409="","",'List Setup'!$A$3)</f>
        <v/>
      </c>
      <c r="R409" s="80" t="str">
        <f t="array" ref="R409">IF(A409="","",IFERROR(OR(INDEX(Binders!$J$6:$J$30,MATCH(Q409,Binders!$I$6:$I$30,0))=TRUE(),UPPER(INDEX(Binders!$J$6:$J$30,MATCH(Q409,Binders!$I$6:$I$30,0))&amp;"")="TRUE"),FALSE()))</f>
        <v/>
      </c>
    </row>
    <row r="410" ht="15.75" customHeight="1">
      <c r="A410" s="80" t="str">
        <f t="array" ref="A410">IF(INDEX('Deck 1'!$A:$Z,ROW()-250,'List Setup'!$D$3)="","",INDEX('Deck 1'!$A:$Z,ROW()-250,'List Setup'!$D$3))</f>
        <v/>
      </c>
      <c r="B410" s="80" t="str">
        <f t="array" ref="B410">IF(A410="","",IFERROR(INDEX('Binder Setup'!$B$2:$B$401,MIN(IF(ISNUMBER(SEARCH(CHAR(10)&amp;'Binder Setup'!$B$2:$B$401&amp;CHAR(10),$H410)),'List Setup'!$Q$2:$Q$401,999),IF(ISNUMBER(SEARCH(CHAR(10)&amp;'Set Aliases'!$A$2:$A$501&amp;CHAR(10),$H410)),'Set Aliases'!$C$2:$C$501,999))),"(none)"))</f>
        <v/>
      </c>
      <c r="C410" s="80" t="str">
        <f t="shared" si="1"/>
        <v/>
      </c>
      <c r="D410" s="80" t="str">
        <f t="array" ref="D410">IF(A410="","",IF(ISLOGICAL(INDEX('Deck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10" s="80" t="str">
        <f t="shared" si="2"/>
        <v/>
      </c>
      <c r="F410" s="80" t="str">
        <f t="array" ref="F410">IF(A410="","",IF(ISNUMBER(J410),J410,IF(ISNUMBER(INDEX('Deck 1'!$A:$Z,ROW()-250,'List Setup'!$F$3)),INDEX('Deck 1'!$A:$Z,ROW()-250,'List Setup'!$F$3),0)))</f>
        <v/>
      </c>
      <c r="G410" s="80" t="str">
        <f t="array" ref="G410">IF(A410="","",A410&amp;IF(N(INDEX('Deck 1'!$A:$Z,ROW()-250,'List Setup'!$C$3))&gt;1," (x"&amp;INDEX('Deck 1'!$A:$Z,ROW()-250,'List Setup'!$C$3)&amp;")","")&amp;IF(COUNTIF(Binders!$J$6:$J$30,TRUE())&gt;1," ["&amp;Q410&amp;"]",""))</f>
        <v/>
      </c>
      <c r="H410" s="80" t="str">
        <f t="array" ref="H410">IF(A410="","",CHAR(10)&amp;INDEX('Deck 1'!$A:$Z,ROW()-250,'List Setup'!$E$3)&amp;CHAR(10))</f>
        <v/>
      </c>
      <c r="I410" s="80" t="str">
        <f t="array" ref="I410">IF(OR(B410="",B410="(none)"),"",IF(ISNUMBER(SEARCH(CHAR(10)&amp;B410&amp;CHAR(10),H410)),B410,IFERROR(INDEX('Set Aliases'!$A$2:$A$501,MATCH(1,('Set Aliases'!$B$2:$B$501=B410)*ISNUMBER(SEARCH(CHAR(10)&amp;'Set Aliases'!$A$2:$A$501&amp;CHAR(10),H410)),0)),"")))</f>
        <v/>
      </c>
      <c r="J410" s="80" t="str">
        <f t="array" ref="J410">IF(I410="","",IFERROR(VALUE(TRIM(MID(SUBSTITUTE(INDEX('Deck 1'!$A:$Z,ROW()-250,'List Setup'!$G$3),CHAR(10),REPT(" ",100)),((SEARCH(CHAR(10)&amp;I410&amp;CHAR(10),H410)-LEN(SUBSTITUTE(LEFT(H410,SEARCH(CHAR(10)&amp;I410&amp;CHAR(10),H410)),CHAR(10),"")))-1)*100+1,100))),""))</f>
        <v/>
      </c>
      <c r="K410" s="80" t="str">
        <f t="array" ref="K410">IF(A410="","",IF(ISNUMBER(SEARCH("Land",LEFT(IFERROR(INDEX('Deck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10" s="80" t="str">
        <f t="shared" si="3"/>
        <v/>
      </c>
      <c r="M410" s="80" t="str">
        <f>IF(A410="","",IF(AND(E410="Y",B410='Use at Shop'!$B$4),K410*10000000000+(MAX(0,MIN(26,CODE(MID(UPPER(A410)&amp;"    ",1,1))-64))*19683+MAX(0,MIN(26,CODE(MID(UPPER(A410)&amp;"    ",2,1))-64))*729+MAX(0,MIN(26,CODE(MID(UPPER(A410)&amp;"    ",3,1))-64))*27+MAX(0,MIN(26,CODE(MID(UPPER(A410)&amp;"    ",4,1))-64))*1)*10000+ROW(),""))</f>
        <v/>
      </c>
      <c r="N410" s="80" t="str">
        <f t="shared" si="5"/>
        <v/>
      </c>
      <c r="O410" s="80" t="str">
        <f t="array" ref="O410">IF(A410="","",IFERROR(INDEX('Deck 1'!$A:$Z,ROW()-250,'List Setup'!$J$3)&amp;"",""))</f>
        <v/>
      </c>
      <c r="P410" s="2"/>
      <c r="Q410" s="80" t="str">
        <f>IF(A410="","",'List Setup'!$A$3)</f>
        <v/>
      </c>
      <c r="R410" s="80" t="str">
        <f t="array" ref="R410">IF(A410="","",IFERROR(OR(INDEX(Binders!$J$6:$J$30,MATCH(Q410,Binders!$I$6:$I$30,0))=TRUE(),UPPER(INDEX(Binders!$J$6:$J$30,MATCH(Q410,Binders!$I$6:$I$30,0))&amp;"")="TRUE"),FALSE()))</f>
        <v/>
      </c>
    </row>
    <row r="411" ht="15.75" customHeight="1">
      <c r="A411" s="80" t="str">
        <f t="array" ref="A411">IF(INDEX('Deck 1'!$A:$Z,ROW()-250,'List Setup'!$D$3)="","",INDEX('Deck 1'!$A:$Z,ROW()-250,'List Setup'!$D$3))</f>
        <v/>
      </c>
      <c r="B411" s="80" t="str">
        <f t="array" ref="B411">IF(A411="","",IFERROR(INDEX('Binder Setup'!$B$2:$B$401,MIN(IF(ISNUMBER(SEARCH(CHAR(10)&amp;'Binder Setup'!$B$2:$B$401&amp;CHAR(10),$H411)),'List Setup'!$Q$2:$Q$401,999),IF(ISNUMBER(SEARCH(CHAR(10)&amp;'Set Aliases'!$A$2:$A$501&amp;CHAR(10),$H411)),'Set Aliases'!$C$2:$C$501,999))),"(none)"))</f>
        <v/>
      </c>
      <c r="C411" s="80" t="str">
        <f t="shared" si="1"/>
        <v/>
      </c>
      <c r="D411" s="80" t="str">
        <f t="array" ref="D411">IF(A411="","",IF(ISLOGICAL(INDEX('Deck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11" s="80" t="str">
        <f t="shared" si="2"/>
        <v/>
      </c>
      <c r="F411" s="80" t="str">
        <f t="array" ref="F411">IF(A411="","",IF(ISNUMBER(J411),J411,IF(ISNUMBER(INDEX('Deck 1'!$A:$Z,ROW()-250,'List Setup'!$F$3)),INDEX('Deck 1'!$A:$Z,ROW()-250,'List Setup'!$F$3),0)))</f>
        <v/>
      </c>
      <c r="G411" s="80" t="str">
        <f t="array" ref="G411">IF(A411="","",A411&amp;IF(N(INDEX('Deck 1'!$A:$Z,ROW()-250,'List Setup'!$C$3))&gt;1," (x"&amp;INDEX('Deck 1'!$A:$Z,ROW()-250,'List Setup'!$C$3)&amp;")","")&amp;IF(COUNTIF(Binders!$J$6:$J$30,TRUE())&gt;1," ["&amp;Q411&amp;"]",""))</f>
        <v/>
      </c>
      <c r="H411" s="80" t="str">
        <f t="array" ref="H411">IF(A411="","",CHAR(10)&amp;INDEX('Deck 1'!$A:$Z,ROW()-250,'List Setup'!$E$3)&amp;CHAR(10))</f>
        <v/>
      </c>
      <c r="I411" s="80" t="str">
        <f t="array" ref="I411">IF(OR(B411="",B411="(none)"),"",IF(ISNUMBER(SEARCH(CHAR(10)&amp;B411&amp;CHAR(10),H411)),B411,IFERROR(INDEX('Set Aliases'!$A$2:$A$501,MATCH(1,('Set Aliases'!$B$2:$B$501=B411)*ISNUMBER(SEARCH(CHAR(10)&amp;'Set Aliases'!$A$2:$A$501&amp;CHAR(10),H411)),0)),"")))</f>
        <v/>
      </c>
      <c r="J411" s="80" t="str">
        <f t="array" ref="J411">IF(I411="","",IFERROR(VALUE(TRIM(MID(SUBSTITUTE(INDEX('Deck 1'!$A:$Z,ROW()-250,'List Setup'!$G$3),CHAR(10),REPT(" ",100)),((SEARCH(CHAR(10)&amp;I411&amp;CHAR(10),H411)-LEN(SUBSTITUTE(LEFT(H411,SEARCH(CHAR(10)&amp;I411&amp;CHAR(10),H411)),CHAR(10),"")))-1)*100+1,100))),""))</f>
        <v/>
      </c>
      <c r="K411" s="80" t="str">
        <f t="array" ref="K411">IF(A411="","",IF(ISNUMBER(SEARCH("Land",LEFT(IFERROR(INDEX('Deck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11" s="80" t="str">
        <f t="shared" si="3"/>
        <v/>
      </c>
      <c r="M411" s="80" t="str">
        <f>IF(A411="","",IF(AND(E411="Y",B411='Use at Shop'!$B$4),K411*10000000000+(MAX(0,MIN(26,CODE(MID(UPPER(A411)&amp;"    ",1,1))-64))*19683+MAX(0,MIN(26,CODE(MID(UPPER(A411)&amp;"    ",2,1))-64))*729+MAX(0,MIN(26,CODE(MID(UPPER(A411)&amp;"    ",3,1))-64))*27+MAX(0,MIN(26,CODE(MID(UPPER(A411)&amp;"    ",4,1))-64))*1)*10000+ROW(),""))</f>
        <v/>
      </c>
      <c r="N411" s="80" t="str">
        <f t="shared" si="5"/>
        <v/>
      </c>
      <c r="O411" s="80" t="str">
        <f t="array" ref="O411">IF(A411="","",IFERROR(INDEX('Deck 1'!$A:$Z,ROW()-250,'List Setup'!$J$3)&amp;"",""))</f>
        <v/>
      </c>
      <c r="P411" s="2"/>
      <c r="Q411" s="80" t="str">
        <f>IF(A411="","",'List Setup'!$A$3)</f>
        <v/>
      </c>
      <c r="R411" s="80" t="str">
        <f t="array" ref="R411">IF(A411="","",IFERROR(OR(INDEX(Binders!$J$6:$J$30,MATCH(Q411,Binders!$I$6:$I$30,0))=TRUE(),UPPER(INDEX(Binders!$J$6:$J$30,MATCH(Q411,Binders!$I$6:$I$30,0))&amp;"")="TRUE"),FALSE()))</f>
        <v/>
      </c>
    </row>
    <row r="412" ht="15.75" customHeight="1">
      <c r="A412" s="80" t="str">
        <f t="array" ref="A412">IF(INDEX('Deck 1'!$A:$Z,ROW()-250,'List Setup'!$D$3)="","",INDEX('Deck 1'!$A:$Z,ROW()-250,'List Setup'!$D$3))</f>
        <v/>
      </c>
      <c r="B412" s="80" t="str">
        <f t="array" ref="B412">IF(A412="","",IFERROR(INDEX('Binder Setup'!$B$2:$B$401,MIN(IF(ISNUMBER(SEARCH(CHAR(10)&amp;'Binder Setup'!$B$2:$B$401&amp;CHAR(10),$H412)),'List Setup'!$Q$2:$Q$401,999),IF(ISNUMBER(SEARCH(CHAR(10)&amp;'Set Aliases'!$A$2:$A$501&amp;CHAR(10),$H412)),'Set Aliases'!$C$2:$C$501,999))),"(none)"))</f>
        <v/>
      </c>
      <c r="C412" s="80" t="str">
        <f t="shared" si="1"/>
        <v/>
      </c>
      <c r="D412" s="80" t="str">
        <f t="array" ref="D412">IF(A412="","",IF(ISLOGICAL(INDEX('Deck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12" s="80" t="str">
        <f t="shared" si="2"/>
        <v/>
      </c>
      <c r="F412" s="80" t="str">
        <f t="array" ref="F412">IF(A412="","",IF(ISNUMBER(J412),J412,IF(ISNUMBER(INDEX('Deck 1'!$A:$Z,ROW()-250,'List Setup'!$F$3)),INDEX('Deck 1'!$A:$Z,ROW()-250,'List Setup'!$F$3),0)))</f>
        <v/>
      </c>
      <c r="G412" s="80" t="str">
        <f t="array" ref="G412">IF(A412="","",A412&amp;IF(N(INDEX('Deck 1'!$A:$Z,ROW()-250,'List Setup'!$C$3))&gt;1," (x"&amp;INDEX('Deck 1'!$A:$Z,ROW()-250,'List Setup'!$C$3)&amp;")","")&amp;IF(COUNTIF(Binders!$J$6:$J$30,TRUE())&gt;1," ["&amp;Q412&amp;"]",""))</f>
        <v/>
      </c>
      <c r="H412" s="80" t="str">
        <f t="array" ref="H412">IF(A412="","",CHAR(10)&amp;INDEX('Deck 1'!$A:$Z,ROW()-250,'List Setup'!$E$3)&amp;CHAR(10))</f>
        <v/>
      </c>
      <c r="I412" s="80" t="str">
        <f t="array" ref="I412">IF(OR(B412="",B412="(none)"),"",IF(ISNUMBER(SEARCH(CHAR(10)&amp;B412&amp;CHAR(10),H412)),B412,IFERROR(INDEX('Set Aliases'!$A$2:$A$501,MATCH(1,('Set Aliases'!$B$2:$B$501=B412)*ISNUMBER(SEARCH(CHAR(10)&amp;'Set Aliases'!$A$2:$A$501&amp;CHAR(10),H412)),0)),"")))</f>
        <v/>
      </c>
      <c r="J412" s="80" t="str">
        <f t="array" ref="J412">IF(I412="","",IFERROR(VALUE(TRIM(MID(SUBSTITUTE(INDEX('Deck 1'!$A:$Z,ROW()-250,'List Setup'!$G$3),CHAR(10),REPT(" ",100)),((SEARCH(CHAR(10)&amp;I412&amp;CHAR(10),H412)-LEN(SUBSTITUTE(LEFT(H412,SEARCH(CHAR(10)&amp;I412&amp;CHAR(10),H412)),CHAR(10),"")))-1)*100+1,100))),""))</f>
        <v/>
      </c>
      <c r="K412" s="80" t="str">
        <f t="array" ref="K412">IF(A412="","",IF(ISNUMBER(SEARCH("Land",LEFT(IFERROR(INDEX('Deck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12" s="80" t="str">
        <f t="shared" si="3"/>
        <v/>
      </c>
      <c r="M412" s="80" t="str">
        <f>IF(A412="","",IF(AND(E412="Y",B412='Use at Shop'!$B$4),K412*10000000000+(MAX(0,MIN(26,CODE(MID(UPPER(A412)&amp;"    ",1,1))-64))*19683+MAX(0,MIN(26,CODE(MID(UPPER(A412)&amp;"    ",2,1))-64))*729+MAX(0,MIN(26,CODE(MID(UPPER(A412)&amp;"    ",3,1))-64))*27+MAX(0,MIN(26,CODE(MID(UPPER(A412)&amp;"    ",4,1))-64))*1)*10000+ROW(),""))</f>
        <v/>
      </c>
      <c r="N412" s="80" t="str">
        <f t="shared" si="5"/>
        <v/>
      </c>
      <c r="O412" s="80" t="str">
        <f t="array" ref="O412">IF(A412="","",IFERROR(INDEX('Deck 1'!$A:$Z,ROW()-250,'List Setup'!$J$3)&amp;"",""))</f>
        <v/>
      </c>
      <c r="P412" s="2"/>
      <c r="Q412" s="80" t="str">
        <f>IF(A412="","",'List Setup'!$A$3)</f>
        <v/>
      </c>
      <c r="R412" s="80" t="str">
        <f t="array" ref="R412">IF(A412="","",IFERROR(OR(INDEX(Binders!$J$6:$J$30,MATCH(Q412,Binders!$I$6:$I$30,0))=TRUE(),UPPER(INDEX(Binders!$J$6:$J$30,MATCH(Q412,Binders!$I$6:$I$30,0))&amp;"")="TRUE"),FALSE()))</f>
        <v/>
      </c>
    </row>
    <row r="413" ht="15.75" customHeight="1">
      <c r="A413" s="80" t="str">
        <f t="array" ref="A413">IF(INDEX('Deck 1'!$A:$Z,ROW()-250,'List Setup'!$D$3)="","",INDEX('Deck 1'!$A:$Z,ROW()-250,'List Setup'!$D$3))</f>
        <v/>
      </c>
      <c r="B413" s="80" t="str">
        <f t="array" ref="B413">IF(A413="","",IFERROR(INDEX('Binder Setup'!$B$2:$B$401,MIN(IF(ISNUMBER(SEARCH(CHAR(10)&amp;'Binder Setup'!$B$2:$B$401&amp;CHAR(10),$H413)),'List Setup'!$Q$2:$Q$401,999),IF(ISNUMBER(SEARCH(CHAR(10)&amp;'Set Aliases'!$A$2:$A$501&amp;CHAR(10),$H413)),'Set Aliases'!$C$2:$C$501,999))),"(none)"))</f>
        <v/>
      </c>
      <c r="C413" s="80" t="str">
        <f t="shared" si="1"/>
        <v/>
      </c>
      <c r="D413" s="80" t="str">
        <f t="array" ref="D413">IF(A413="","",IF(ISLOGICAL(INDEX('Deck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13" s="80" t="str">
        <f t="shared" si="2"/>
        <v/>
      </c>
      <c r="F413" s="80" t="str">
        <f t="array" ref="F413">IF(A413="","",IF(ISNUMBER(J413),J413,IF(ISNUMBER(INDEX('Deck 1'!$A:$Z,ROW()-250,'List Setup'!$F$3)),INDEX('Deck 1'!$A:$Z,ROW()-250,'List Setup'!$F$3),0)))</f>
        <v/>
      </c>
      <c r="G413" s="80" t="str">
        <f t="array" ref="G413">IF(A413="","",A413&amp;IF(N(INDEX('Deck 1'!$A:$Z,ROW()-250,'List Setup'!$C$3))&gt;1," (x"&amp;INDEX('Deck 1'!$A:$Z,ROW()-250,'List Setup'!$C$3)&amp;")","")&amp;IF(COUNTIF(Binders!$J$6:$J$30,TRUE())&gt;1," ["&amp;Q413&amp;"]",""))</f>
        <v/>
      </c>
      <c r="H413" s="80" t="str">
        <f t="array" ref="H413">IF(A413="","",CHAR(10)&amp;INDEX('Deck 1'!$A:$Z,ROW()-250,'List Setup'!$E$3)&amp;CHAR(10))</f>
        <v/>
      </c>
      <c r="I413" s="80" t="str">
        <f t="array" ref="I413">IF(OR(B413="",B413="(none)"),"",IF(ISNUMBER(SEARCH(CHAR(10)&amp;B413&amp;CHAR(10),H413)),B413,IFERROR(INDEX('Set Aliases'!$A$2:$A$501,MATCH(1,('Set Aliases'!$B$2:$B$501=B413)*ISNUMBER(SEARCH(CHAR(10)&amp;'Set Aliases'!$A$2:$A$501&amp;CHAR(10),H413)),0)),"")))</f>
        <v/>
      </c>
      <c r="J413" s="80" t="str">
        <f t="array" ref="J413">IF(I413="","",IFERROR(VALUE(TRIM(MID(SUBSTITUTE(INDEX('Deck 1'!$A:$Z,ROW()-250,'List Setup'!$G$3),CHAR(10),REPT(" ",100)),((SEARCH(CHAR(10)&amp;I413&amp;CHAR(10),H413)-LEN(SUBSTITUTE(LEFT(H413,SEARCH(CHAR(10)&amp;I413&amp;CHAR(10),H413)),CHAR(10),"")))-1)*100+1,100))),""))</f>
        <v/>
      </c>
      <c r="K413" s="80" t="str">
        <f t="array" ref="K413">IF(A413="","",IF(ISNUMBER(SEARCH("Land",LEFT(IFERROR(INDEX('Deck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13" s="80" t="str">
        <f t="shared" si="3"/>
        <v/>
      </c>
      <c r="M413" s="80" t="str">
        <f>IF(A413="","",IF(AND(E413="Y",B413='Use at Shop'!$B$4),K413*10000000000+(MAX(0,MIN(26,CODE(MID(UPPER(A413)&amp;"    ",1,1))-64))*19683+MAX(0,MIN(26,CODE(MID(UPPER(A413)&amp;"    ",2,1))-64))*729+MAX(0,MIN(26,CODE(MID(UPPER(A413)&amp;"    ",3,1))-64))*27+MAX(0,MIN(26,CODE(MID(UPPER(A413)&amp;"    ",4,1))-64))*1)*10000+ROW(),""))</f>
        <v/>
      </c>
      <c r="N413" s="80" t="str">
        <f t="shared" si="5"/>
        <v/>
      </c>
      <c r="O413" s="80" t="str">
        <f t="array" ref="O413">IF(A413="","",IFERROR(INDEX('Deck 1'!$A:$Z,ROW()-250,'List Setup'!$J$3)&amp;"",""))</f>
        <v/>
      </c>
      <c r="P413" s="2"/>
      <c r="Q413" s="80" t="str">
        <f>IF(A413="","",'List Setup'!$A$3)</f>
        <v/>
      </c>
      <c r="R413" s="80" t="str">
        <f t="array" ref="R413">IF(A413="","",IFERROR(OR(INDEX(Binders!$J$6:$J$30,MATCH(Q413,Binders!$I$6:$I$30,0))=TRUE(),UPPER(INDEX(Binders!$J$6:$J$30,MATCH(Q413,Binders!$I$6:$I$30,0))&amp;"")="TRUE"),FALSE()))</f>
        <v/>
      </c>
    </row>
    <row r="414" ht="15.75" customHeight="1">
      <c r="A414" s="80" t="str">
        <f t="array" ref="A414">IF(INDEX('Deck 1'!$A:$Z,ROW()-250,'List Setup'!$D$3)="","",INDEX('Deck 1'!$A:$Z,ROW()-250,'List Setup'!$D$3))</f>
        <v/>
      </c>
      <c r="B414" s="80" t="str">
        <f t="array" ref="B414">IF(A414="","",IFERROR(INDEX('Binder Setup'!$B$2:$B$401,MIN(IF(ISNUMBER(SEARCH(CHAR(10)&amp;'Binder Setup'!$B$2:$B$401&amp;CHAR(10),$H414)),'List Setup'!$Q$2:$Q$401,999),IF(ISNUMBER(SEARCH(CHAR(10)&amp;'Set Aliases'!$A$2:$A$501&amp;CHAR(10),$H414)),'Set Aliases'!$C$2:$C$501,999))),"(none)"))</f>
        <v/>
      </c>
      <c r="C414" s="80" t="str">
        <f t="shared" si="1"/>
        <v/>
      </c>
      <c r="D414" s="80" t="str">
        <f t="array" ref="D414">IF(A414="","",IF(ISLOGICAL(INDEX('Deck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14" s="80" t="str">
        <f t="shared" si="2"/>
        <v/>
      </c>
      <c r="F414" s="80" t="str">
        <f t="array" ref="F414">IF(A414="","",IF(ISNUMBER(J414),J414,IF(ISNUMBER(INDEX('Deck 1'!$A:$Z,ROW()-250,'List Setup'!$F$3)),INDEX('Deck 1'!$A:$Z,ROW()-250,'List Setup'!$F$3),0)))</f>
        <v/>
      </c>
      <c r="G414" s="80" t="str">
        <f t="array" ref="G414">IF(A414="","",A414&amp;IF(N(INDEX('Deck 1'!$A:$Z,ROW()-250,'List Setup'!$C$3))&gt;1," (x"&amp;INDEX('Deck 1'!$A:$Z,ROW()-250,'List Setup'!$C$3)&amp;")","")&amp;IF(COUNTIF(Binders!$J$6:$J$30,TRUE())&gt;1," ["&amp;Q414&amp;"]",""))</f>
        <v/>
      </c>
      <c r="H414" s="80" t="str">
        <f t="array" ref="H414">IF(A414="","",CHAR(10)&amp;INDEX('Deck 1'!$A:$Z,ROW()-250,'List Setup'!$E$3)&amp;CHAR(10))</f>
        <v/>
      </c>
      <c r="I414" s="80" t="str">
        <f t="array" ref="I414">IF(OR(B414="",B414="(none)"),"",IF(ISNUMBER(SEARCH(CHAR(10)&amp;B414&amp;CHAR(10),H414)),B414,IFERROR(INDEX('Set Aliases'!$A$2:$A$501,MATCH(1,('Set Aliases'!$B$2:$B$501=B414)*ISNUMBER(SEARCH(CHAR(10)&amp;'Set Aliases'!$A$2:$A$501&amp;CHAR(10),H414)),0)),"")))</f>
        <v/>
      </c>
      <c r="J414" s="80" t="str">
        <f t="array" ref="J414">IF(I414="","",IFERROR(VALUE(TRIM(MID(SUBSTITUTE(INDEX('Deck 1'!$A:$Z,ROW()-250,'List Setup'!$G$3),CHAR(10),REPT(" ",100)),((SEARCH(CHAR(10)&amp;I414&amp;CHAR(10),H414)-LEN(SUBSTITUTE(LEFT(H414,SEARCH(CHAR(10)&amp;I414&amp;CHAR(10),H414)),CHAR(10),"")))-1)*100+1,100))),""))</f>
        <v/>
      </c>
      <c r="K414" s="80" t="str">
        <f t="array" ref="K414">IF(A414="","",IF(ISNUMBER(SEARCH("Land",LEFT(IFERROR(INDEX('Deck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14" s="80" t="str">
        <f t="shared" si="3"/>
        <v/>
      </c>
      <c r="M414" s="80" t="str">
        <f>IF(A414="","",IF(AND(E414="Y",B414='Use at Shop'!$B$4),K414*10000000000+(MAX(0,MIN(26,CODE(MID(UPPER(A414)&amp;"    ",1,1))-64))*19683+MAX(0,MIN(26,CODE(MID(UPPER(A414)&amp;"    ",2,1))-64))*729+MAX(0,MIN(26,CODE(MID(UPPER(A414)&amp;"    ",3,1))-64))*27+MAX(0,MIN(26,CODE(MID(UPPER(A414)&amp;"    ",4,1))-64))*1)*10000+ROW(),""))</f>
        <v/>
      </c>
      <c r="N414" s="80" t="str">
        <f t="shared" si="5"/>
        <v/>
      </c>
      <c r="O414" s="80" t="str">
        <f t="array" ref="O414">IF(A414="","",IFERROR(INDEX('Deck 1'!$A:$Z,ROW()-250,'List Setup'!$J$3)&amp;"",""))</f>
        <v/>
      </c>
      <c r="P414" s="2"/>
      <c r="Q414" s="80" t="str">
        <f>IF(A414="","",'List Setup'!$A$3)</f>
        <v/>
      </c>
      <c r="R414" s="80" t="str">
        <f t="array" ref="R414">IF(A414="","",IFERROR(OR(INDEX(Binders!$J$6:$J$30,MATCH(Q414,Binders!$I$6:$I$30,0))=TRUE(),UPPER(INDEX(Binders!$J$6:$J$30,MATCH(Q414,Binders!$I$6:$I$30,0))&amp;"")="TRUE"),FALSE()))</f>
        <v/>
      </c>
    </row>
    <row r="415" ht="15.75" customHeight="1">
      <c r="A415" s="80" t="str">
        <f t="array" ref="A415">IF(INDEX('Deck 1'!$A:$Z,ROW()-250,'List Setup'!$D$3)="","",INDEX('Deck 1'!$A:$Z,ROW()-250,'List Setup'!$D$3))</f>
        <v/>
      </c>
      <c r="B415" s="80" t="str">
        <f t="array" ref="B415">IF(A415="","",IFERROR(INDEX('Binder Setup'!$B$2:$B$401,MIN(IF(ISNUMBER(SEARCH(CHAR(10)&amp;'Binder Setup'!$B$2:$B$401&amp;CHAR(10),$H415)),'List Setup'!$Q$2:$Q$401,999),IF(ISNUMBER(SEARCH(CHAR(10)&amp;'Set Aliases'!$A$2:$A$501&amp;CHAR(10),$H415)),'Set Aliases'!$C$2:$C$501,999))),"(none)"))</f>
        <v/>
      </c>
      <c r="C415" s="80" t="str">
        <f t="shared" si="1"/>
        <v/>
      </c>
      <c r="D415" s="80" t="str">
        <f t="array" ref="D415">IF(A415="","",IF(ISLOGICAL(INDEX('Deck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15" s="80" t="str">
        <f t="shared" si="2"/>
        <v/>
      </c>
      <c r="F415" s="80" t="str">
        <f t="array" ref="F415">IF(A415="","",IF(ISNUMBER(J415),J415,IF(ISNUMBER(INDEX('Deck 1'!$A:$Z,ROW()-250,'List Setup'!$F$3)),INDEX('Deck 1'!$A:$Z,ROW()-250,'List Setup'!$F$3),0)))</f>
        <v/>
      </c>
      <c r="G415" s="80" t="str">
        <f t="array" ref="G415">IF(A415="","",A415&amp;IF(N(INDEX('Deck 1'!$A:$Z,ROW()-250,'List Setup'!$C$3))&gt;1," (x"&amp;INDEX('Deck 1'!$A:$Z,ROW()-250,'List Setup'!$C$3)&amp;")","")&amp;IF(COUNTIF(Binders!$J$6:$J$30,TRUE())&gt;1," ["&amp;Q415&amp;"]",""))</f>
        <v/>
      </c>
      <c r="H415" s="80" t="str">
        <f t="array" ref="H415">IF(A415="","",CHAR(10)&amp;INDEX('Deck 1'!$A:$Z,ROW()-250,'List Setup'!$E$3)&amp;CHAR(10))</f>
        <v/>
      </c>
      <c r="I415" s="80" t="str">
        <f t="array" ref="I415">IF(OR(B415="",B415="(none)"),"",IF(ISNUMBER(SEARCH(CHAR(10)&amp;B415&amp;CHAR(10),H415)),B415,IFERROR(INDEX('Set Aliases'!$A$2:$A$501,MATCH(1,('Set Aliases'!$B$2:$B$501=B415)*ISNUMBER(SEARCH(CHAR(10)&amp;'Set Aliases'!$A$2:$A$501&amp;CHAR(10),H415)),0)),"")))</f>
        <v/>
      </c>
      <c r="J415" s="80" t="str">
        <f t="array" ref="J415">IF(I415="","",IFERROR(VALUE(TRIM(MID(SUBSTITUTE(INDEX('Deck 1'!$A:$Z,ROW()-250,'List Setup'!$G$3),CHAR(10),REPT(" ",100)),((SEARCH(CHAR(10)&amp;I415&amp;CHAR(10),H415)-LEN(SUBSTITUTE(LEFT(H415,SEARCH(CHAR(10)&amp;I415&amp;CHAR(10),H415)),CHAR(10),"")))-1)*100+1,100))),""))</f>
        <v/>
      </c>
      <c r="K415" s="80" t="str">
        <f t="array" ref="K415">IF(A415="","",IF(ISNUMBER(SEARCH("Land",LEFT(IFERROR(INDEX('Deck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15" s="80" t="str">
        <f t="shared" si="3"/>
        <v/>
      </c>
      <c r="M415" s="80" t="str">
        <f>IF(A415="","",IF(AND(E415="Y",B415='Use at Shop'!$B$4),K415*10000000000+(MAX(0,MIN(26,CODE(MID(UPPER(A415)&amp;"    ",1,1))-64))*19683+MAX(0,MIN(26,CODE(MID(UPPER(A415)&amp;"    ",2,1))-64))*729+MAX(0,MIN(26,CODE(MID(UPPER(A415)&amp;"    ",3,1))-64))*27+MAX(0,MIN(26,CODE(MID(UPPER(A415)&amp;"    ",4,1))-64))*1)*10000+ROW(),""))</f>
        <v/>
      </c>
      <c r="N415" s="80" t="str">
        <f t="shared" si="5"/>
        <v/>
      </c>
      <c r="O415" s="80" t="str">
        <f t="array" ref="O415">IF(A415="","",IFERROR(INDEX('Deck 1'!$A:$Z,ROW()-250,'List Setup'!$J$3)&amp;"",""))</f>
        <v/>
      </c>
      <c r="P415" s="2"/>
      <c r="Q415" s="80" t="str">
        <f>IF(A415="","",'List Setup'!$A$3)</f>
        <v/>
      </c>
      <c r="R415" s="80" t="str">
        <f t="array" ref="R415">IF(A415="","",IFERROR(OR(INDEX(Binders!$J$6:$J$30,MATCH(Q415,Binders!$I$6:$I$30,0))=TRUE(),UPPER(INDEX(Binders!$J$6:$J$30,MATCH(Q415,Binders!$I$6:$I$30,0))&amp;"")="TRUE"),FALSE()))</f>
        <v/>
      </c>
    </row>
    <row r="416" ht="15.75" customHeight="1">
      <c r="A416" s="80" t="str">
        <f t="array" ref="A416">IF(INDEX('Deck 1'!$A:$Z,ROW()-250,'List Setup'!$D$3)="","",INDEX('Deck 1'!$A:$Z,ROW()-250,'List Setup'!$D$3))</f>
        <v/>
      </c>
      <c r="B416" s="80" t="str">
        <f t="array" ref="B416">IF(A416="","",IFERROR(INDEX('Binder Setup'!$B$2:$B$401,MIN(IF(ISNUMBER(SEARCH(CHAR(10)&amp;'Binder Setup'!$B$2:$B$401&amp;CHAR(10),$H416)),'List Setup'!$Q$2:$Q$401,999),IF(ISNUMBER(SEARCH(CHAR(10)&amp;'Set Aliases'!$A$2:$A$501&amp;CHAR(10),$H416)),'Set Aliases'!$C$2:$C$501,999))),"(none)"))</f>
        <v/>
      </c>
      <c r="C416" s="80" t="str">
        <f t="shared" si="1"/>
        <v/>
      </c>
      <c r="D416" s="80" t="str">
        <f t="array" ref="D416">IF(A416="","",IF(ISLOGICAL(INDEX('Deck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16" s="80" t="str">
        <f t="shared" si="2"/>
        <v/>
      </c>
      <c r="F416" s="80" t="str">
        <f t="array" ref="F416">IF(A416="","",IF(ISNUMBER(J416),J416,IF(ISNUMBER(INDEX('Deck 1'!$A:$Z,ROW()-250,'List Setup'!$F$3)),INDEX('Deck 1'!$A:$Z,ROW()-250,'List Setup'!$F$3),0)))</f>
        <v/>
      </c>
      <c r="G416" s="80" t="str">
        <f t="array" ref="G416">IF(A416="","",A416&amp;IF(N(INDEX('Deck 1'!$A:$Z,ROW()-250,'List Setup'!$C$3))&gt;1," (x"&amp;INDEX('Deck 1'!$A:$Z,ROW()-250,'List Setup'!$C$3)&amp;")","")&amp;IF(COUNTIF(Binders!$J$6:$J$30,TRUE())&gt;1," ["&amp;Q416&amp;"]",""))</f>
        <v/>
      </c>
      <c r="H416" s="80" t="str">
        <f t="array" ref="H416">IF(A416="","",CHAR(10)&amp;INDEX('Deck 1'!$A:$Z,ROW()-250,'List Setup'!$E$3)&amp;CHAR(10))</f>
        <v/>
      </c>
      <c r="I416" s="80" t="str">
        <f t="array" ref="I416">IF(OR(B416="",B416="(none)"),"",IF(ISNUMBER(SEARCH(CHAR(10)&amp;B416&amp;CHAR(10),H416)),B416,IFERROR(INDEX('Set Aliases'!$A$2:$A$501,MATCH(1,('Set Aliases'!$B$2:$B$501=B416)*ISNUMBER(SEARCH(CHAR(10)&amp;'Set Aliases'!$A$2:$A$501&amp;CHAR(10),H416)),0)),"")))</f>
        <v/>
      </c>
      <c r="J416" s="80" t="str">
        <f t="array" ref="J416">IF(I416="","",IFERROR(VALUE(TRIM(MID(SUBSTITUTE(INDEX('Deck 1'!$A:$Z,ROW()-250,'List Setup'!$G$3),CHAR(10),REPT(" ",100)),((SEARCH(CHAR(10)&amp;I416&amp;CHAR(10),H416)-LEN(SUBSTITUTE(LEFT(H416,SEARCH(CHAR(10)&amp;I416&amp;CHAR(10),H416)),CHAR(10),"")))-1)*100+1,100))),""))</f>
        <v/>
      </c>
      <c r="K416" s="80" t="str">
        <f t="array" ref="K416">IF(A416="","",IF(ISNUMBER(SEARCH("Land",LEFT(IFERROR(INDEX('Deck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16" s="80" t="str">
        <f t="shared" si="3"/>
        <v/>
      </c>
      <c r="M416" s="80" t="str">
        <f>IF(A416="","",IF(AND(E416="Y",B416='Use at Shop'!$B$4),K416*10000000000+(MAX(0,MIN(26,CODE(MID(UPPER(A416)&amp;"    ",1,1))-64))*19683+MAX(0,MIN(26,CODE(MID(UPPER(A416)&amp;"    ",2,1))-64))*729+MAX(0,MIN(26,CODE(MID(UPPER(A416)&amp;"    ",3,1))-64))*27+MAX(0,MIN(26,CODE(MID(UPPER(A416)&amp;"    ",4,1))-64))*1)*10000+ROW(),""))</f>
        <v/>
      </c>
      <c r="N416" s="80" t="str">
        <f t="shared" si="5"/>
        <v/>
      </c>
      <c r="O416" s="80" t="str">
        <f t="array" ref="O416">IF(A416="","",IFERROR(INDEX('Deck 1'!$A:$Z,ROW()-250,'List Setup'!$J$3)&amp;"",""))</f>
        <v/>
      </c>
      <c r="P416" s="2"/>
      <c r="Q416" s="80" t="str">
        <f>IF(A416="","",'List Setup'!$A$3)</f>
        <v/>
      </c>
      <c r="R416" s="80" t="str">
        <f t="array" ref="R416">IF(A416="","",IFERROR(OR(INDEX(Binders!$J$6:$J$30,MATCH(Q416,Binders!$I$6:$I$30,0))=TRUE(),UPPER(INDEX(Binders!$J$6:$J$30,MATCH(Q416,Binders!$I$6:$I$30,0))&amp;"")="TRUE"),FALSE()))</f>
        <v/>
      </c>
    </row>
    <row r="417" ht="15.75" customHeight="1">
      <c r="A417" s="80" t="str">
        <f t="array" ref="A417">IF(INDEX('Deck 1'!$A:$Z,ROW()-250,'List Setup'!$D$3)="","",INDEX('Deck 1'!$A:$Z,ROW()-250,'List Setup'!$D$3))</f>
        <v/>
      </c>
      <c r="B417" s="80" t="str">
        <f t="array" ref="B417">IF(A417="","",IFERROR(INDEX('Binder Setup'!$B$2:$B$401,MIN(IF(ISNUMBER(SEARCH(CHAR(10)&amp;'Binder Setup'!$B$2:$B$401&amp;CHAR(10),$H417)),'List Setup'!$Q$2:$Q$401,999),IF(ISNUMBER(SEARCH(CHAR(10)&amp;'Set Aliases'!$A$2:$A$501&amp;CHAR(10),$H417)),'Set Aliases'!$C$2:$C$501,999))),"(none)"))</f>
        <v/>
      </c>
      <c r="C417" s="80" t="str">
        <f t="shared" si="1"/>
        <v/>
      </c>
      <c r="D417" s="80" t="str">
        <f t="array" ref="D417">IF(A417="","",IF(ISLOGICAL(INDEX('Deck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17" s="80" t="str">
        <f t="shared" si="2"/>
        <v/>
      </c>
      <c r="F417" s="80" t="str">
        <f t="array" ref="F417">IF(A417="","",IF(ISNUMBER(J417),J417,IF(ISNUMBER(INDEX('Deck 1'!$A:$Z,ROW()-250,'List Setup'!$F$3)),INDEX('Deck 1'!$A:$Z,ROW()-250,'List Setup'!$F$3),0)))</f>
        <v/>
      </c>
      <c r="G417" s="80" t="str">
        <f t="array" ref="G417">IF(A417="","",A417&amp;IF(N(INDEX('Deck 1'!$A:$Z,ROW()-250,'List Setup'!$C$3))&gt;1," (x"&amp;INDEX('Deck 1'!$A:$Z,ROW()-250,'List Setup'!$C$3)&amp;")","")&amp;IF(COUNTIF(Binders!$J$6:$J$30,TRUE())&gt;1," ["&amp;Q417&amp;"]",""))</f>
        <v/>
      </c>
      <c r="H417" s="80" t="str">
        <f t="array" ref="H417">IF(A417="","",CHAR(10)&amp;INDEX('Deck 1'!$A:$Z,ROW()-250,'List Setup'!$E$3)&amp;CHAR(10))</f>
        <v/>
      </c>
      <c r="I417" s="80" t="str">
        <f t="array" ref="I417">IF(OR(B417="",B417="(none)"),"",IF(ISNUMBER(SEARCH(CHAR(10)&amp;B417&amp;CHAR(10),H417)),B417,IFERROR(INDEX('Set Aliases'!$A$2:$A$501,MATCH(1,('Set Aliases'!$B$2:$B$501=B417)*ISNUMBER(SEARCH(CHAR(10)&amp;'Set Aliases'!$A$2:$A$501&amp;CHAR(10),H417)),0)),"")))</f>
        <v/>
      </c>
      <c r="J417" s="80" t="str">
        <f t="array" ref="J417">IF(I417="","",IFERROR(VALUE(TRIM(MID(SUBSTITUTE(INDEX('Deck 1'!$A:$Z,ROW()-250,'List Setup'!$G$3),CHAR(10),REPT(" ",100)),((SEARCH(CHAR(10)&amp;I417&amp;CHAR(10),H417)-LEN(SUBSTITUTE(LEFT(H417,SEARCH(CHAR(10)&amp;I417&amp;CHAR(10),H417)),CHAR(10),"")))-1)*100+1,100))),""))</f>
        <v/>
      </c>
      <c r="K417" s="80" t="str">
        <f t="array" ref="K417">IF(A417="","",IF(ISNUMBER(SEARCH("Land",LEFT(IFERROR(INDEX('Deck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17" s="80" t="str">
        <f t="shared" si="3"/>
        <v/>
      </c>
      <c r="M417" s="80" t="str">
        <f>IF(A417="","",IF(AND(E417="Y",B417='Use at Shop'!$B$4),K417*10000000000+(MAX(0,MIN(26,CODE(MID(UPPER(A417)&amp;"    ",1,1))-64))*19683+MAX(0,MIN(26,CODE(MID(UPPER(A417)&amp;"    ",2,1))-64))*729+MAX(0,MIN(26,CODE(MID(UPPER(A417)&amp;"    ",3,1))-64))*27+MAX(0,MIN(26,CODE(MID(UPPER(A417)&amp;"    ",4,1))-64))*1)*10000+ROW(),""))</f>
        <v/>
      </c>
      <c r="N417" s="80" t="str">
        <f t="shared" si="5"/>
        <v/>
      </c>
      <c r="O417" s="80" t="str">
        <f t="array" ref="O417">IF(A417="","",IFERROR(INDEX('Deck 1'!$A:$Z,ROW()-250,'List Setup'!$J$3)&amp;"",""))</f>
        <v/>
      </c>
      <c r="P417" s="2"/>
      <c r="Q417" s="80" t="str">
        <f>IF(A417="","",'List Setup'!$A$3)</f>
        <v/>
      </c>
      <c r="R417" s="80" t="str">
        <f t="array" ref="R417">IF(A417="","",IFERROR(OR(INDEX(Binders!$J$6:$J$30,MATCH(Q417,Binders!$I$6:$I$30,0))=TRUE(),UPPER(INDEX(Binders!$J$6:$J$30,MATCH(Q417,Binders!$I$6:$I$30,0))&amp;"")="TRUE"),FALSE()))</f>
        <v/>
      </c>
    </row>
    <row r="418" ht="15.75" customHeight="1">
      <c r="A418" s="80" t="str">
        <f t="array" ref="A418">IF(INDEX('Deck 1'!$A:$Z,ROW()-250,'List Setup'!$D$3)="","",INDEX('Deck 1'!$A:$Z,ROW()-250,'List Setup'!$D$3))</f>
        <v/>
      </c>
      <c r="B418" s="80" t="str">
        <f t="array" ref="B418">IF(A418="","",IFERROR(INDEX('Binder Setup'!$B$2:$B$401,MIN(IF(ISNUMBER(SEARCH(CHAR(10)&amp;'Binder Setup'!$B$2:$B$401&amp;CHAR(10),$H418)),'List Setup'!$Q$2:$Q$401,999),IF(ISNUMBER(SEARCH(CHAR(10)&amp;'Set Aliases'!$A$2:$A$501&amp;CHAR(10),$H418)),'Set Aliases'!$C$2:$C$501,999))),"(none)"))</f>
        <v/>
      </c>
      <c r="C418" s="80" t="str">
        <f t="shared" si="1"/>
        <v/>
      </c>
      <c r="D418" s="80" t="str">
        <f t="array" ref="D418">IF(A418="","",IF(ISLOGICAL(INDEX('Deck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18" s="80" t="str">
        <f t="shared" si="2"/>
        <v/>
      </c>
      <c r="F418" s="80" t="str">
        <f t="array" ref="F418">IF(A418="","",IF(ISNUMBER(J418),J418,IF(ISNUMBER(INDEX('Deck 1'!$A:$Z,ROW()-250,'List Setup'!$F$3)),INDEX('Deck 1'!$A:$Z,ROW()-250,'List Setup'!$F$3),0)))</f>
        <v/>
      </c>
      <c r="G418" s="80" t="str">
        <f t="array" ref="G418">IF(A418="","",A418&amp;IF(N(INDEX('Deck 1'!$A:$Z,ROW()-250,'List Setup'!$C$3))&gt;1," (x"&amp;INDEX('Deck 1'!$A:$Z,ROW()-250,'List Setup'!$C$3)&amp;")","")&amp;IF(COUNTIF(Binders!$J$6:$J$30,TRUE())&gt;1," ["&amp;Q418&amp;"]",""))</f>
        <v/>
      </c>
      <c r="H418" s="80" t="str">
        <f t="array" ref="H418">IF(A418="","",CHAR(10)&amp;INDEX('Deck 1'!$A:$Z,ROW()-250,'List Setup'!$E$3)&amp;CHAR(10))</f>
        <v/>
      </c>
      <c r="I418" s="80" t="str">
        <f t="array" ref="I418">IF(OR(B418="",B418="(none)"),"",IF(ISNUMBER(SEARCH(CHAR(10)&amp;B418&amp;CHAR(10),H418)),B418,IFERROR(INDEX('Set Aliases'!$A$2:$A$501,MATCH(1,('Set Aliases'!$B$2:$B$501=B418)*ISNUMBER(SEARCH(CHAR(10)&amp;'Set Aliases'!$A$2:$A$501&amp;CHAR(10),H418)),0)),"")))</f>
        <v/>
      </c>
      <c r="J418" s="80" t="str">
        <f t="array" ref="J418">IF(I418="","",IFERROR(VALUE(TRIM(MID(SUBSTITUTE(INDEX('Deck 1'!$A:$Z,ROW()-250,'List Setup'!$G$3),CHAR(10),REPT(" ",100)),((SEARCH(CHAR(10)&amp;I418&amp;CHAR(10),H418)-LEN(SUBSTITUTE(LEFT(H418,SEARCH(CHAR(10)&amp;I418&amp;CHAR(10),H418)),CHAR(10),"")))-1)*100+1,100))),""))</f>
        <v/>
      </c>
      <c r="K418" s="80" t="str">
        <f t="array" ref="K418">IF(A418="","",IF(ISNUMBER(SEARCH("Land",LEFT(IFERROR(INDEX('Deck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18" s="80" t="str">
        <f t="shared" si="3"/>
        <v/>
      </c>
      <c r="M418" s="80" t="str">
        <f>IF(A418="","",IF(AND(E418="Y",B418='Use at Shop'!$B$4),K418*10000000000+(MAX(0,MIN(26,CODE(MID(UPPER(A418)&amp;"    ",1,1))-64))*19683+MAX(0,MIN(26,CODE(MID(UPPER(A418)&amp;"    ",2,1))-64))*729+MAX(0,MIN(26,CODE(MID(UPPER(A418)&amp;"    ",3,1))-64))*27+MAX(0,MIN(26,CODE(MID(UPPER(A418)&amp;"    ",4,1))-64))*1)*10000+ROW(),""))</f>
        <v/>
      </c>
      <c r="N418" s="80" t="str">
        <f t="shared" si="5"/>
        <v/>
      </c>
      <c r="O418" s="80" t="str">
        <f t="array" ref="O418">IF(A418="","",IFERROR(INDEX('Deck 1'!$A:$Z,ROW()-250,'List Setup'!$J$3)&amp;"",""))</f>
        <v/>
      </c>
      <c r="P418" s="2"/>
      <c r="Q418" s="80" t="str">
        <f>IF(A418="","",'List Setup'!$A$3)</f>
        <v/>
      </c>
      <c r="R418" s="80" t="str">
        <f t="array" ref="R418">IF(A418="","",IFERROR(OR(INDEX(Binders!$J$6:$J$30,MATCH(Q418,Binders!$I$6:$I$30,0))=TRUE(),UPPER(INDEX(Binders!$J$6:$J$30,MATCH(Q418,Binders!$I$6:$I$30,0))&amp;"")="TRUE"),FALSE()))</f>
        <v/>
      </c>
    </row>
    <row r="419" ht="15.75" customHeight="1">
      <c r="A419" s="80" t="str">
        <f t="array" ref="A419">IF(INDEX('Deck 1'!$A:$Z,ROW()-250,'List Setup'!$D$3)="","",INDEX('Deck 1'!$A:$Z,ROW()-250,'List Setup'!$D$3))</f>
        <v/>
      </c>
      <c r="B419" s="80" t="str">
        <f t="array" ref="B419">IF(A419="","",IFERROR(INDEX('Binder Setup'!$B$2:$B$401,MIN(IF(ISNUMBER(SEARCH(CHAR(10)&amp;'Binder Setup'!$B$2:$B$401&amp;CHAR(10),$H419)),'List Setup'!$Q$2:$Q$401,999),IF(ISNUMBER(SEARCH(CHAR(10)&amp;'Set Aliases'!$A$2:$A$501&amp;CHAR(10),$H419)),'Set Aliases'!$C$2:$C$501,999))),"(none)"))</f>
        <v/>
      </c>
      <c r="C419" s="80" t="str">
        <f t="shared" si="1"/>
        <v/>
      </c>
      <c r="D419" s="80" t="str">
        <f t="array" ref="D419">IF(A419="","",IF(ISLOGICAL(INDEX('Deck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19" s="80" t="str">
        <f t="shared" si="2"/>
        <v/>
      </c>
      <c r="F419" s="80" t="str">
        <f t="array" ref="F419">IF(A419="","",IF(ISNUMBER(J419),J419,IF(ISNUMBER(INDEX('Deck 1'!$A:$Z,ROW()-250,'List Setup'!$F$3)),INDEX('Deck 1'!$A:$Z,ROW()-250,'List Setup'!$F$3),0)))</f>
        <v/>
      </c>
      <c r="G419" s="80" t="str">
        <f t="array" ref="G419">IF(A419="","",A419&amp;IF(N(INDEX('Deck 1'!$A:$Z,ROW()-250,'List Setup'!$C$3))&gt;1," (x"&amp;INDEX('Deck 1'!$A:$Z,ROW()-250,'List Setup'!$C$3)&amp;")","")&amp;IF(COUNTIF(Binders!$J$6:$J$30,TRUE())&gt;1," ["&amp;Q419&amp;"]",""))</f>
        <v/>
      </c>
      <c r="H419" s="80" t="str">
        <f t="array" ref="H419">IF(A419="","",CHAR(10)&amp;INDEX('Deck 1'!$A:$Z,ROW()-250,'List Setup'!$E$3)&amp;CHAR(10))</f>
        <v/>
      </c>
      <c r="I419" s="80" t="str">
        <f t="array" ref="I419">IF(OR(B419="",B419="(none)"),"",IF(ISNUMBER(SEARCH(CHAR(10)&amp;B419&amp;CHAR(10),H419)),B419,IFERROR(INDEX('Set Aliases'!$A$2:$A$501,MATCH(1,('Set Aliases'!$B$2:$B$501=B419)*ISNUMBER(SEARCH(CHAR(10)&amp;'Set Aliases'!$A$2:$A$501&amp;CHAR(10),H419)),0)),"")))</f>
        <v/>
      </c>
      <c r="J419" s="80" t="str">
        <f t="array" ref="J419">IF(I419="","",IFERROR(VALUE(TRIM(MID(SUBSTITUTE(INDEX('Deck 1'!$A:$Z,ROW()-250,'List Setup'!$G$3),CHAR(10),REPT(" ",100)),((SEARCH(CHAR(10)&amp;I419&amp;CHAR(10),H419)-LEN(SUBSTITUTE(LEFT(H419,SEARCH(CHAR(10)&amp;I419&amp;CHAR(10),H419)),CHAR(10),"")))-1)*100+1,100))),""))</f>
        <v/>
      </c>
      <c r="K419" s="80" t="str">
        <f t="array" ref="K419">IF(A419="","",IF(ISNUMBER(SEARCH("Land",LEFT(IFERROR(INDEX('Deck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19" s="80" t="str">
        <f t="shared" si="3"/>
        <v/>
      </c>
      <c r="M419" s="80" t="str">
        <f>IF(A419="","",IF(AND(E419="Y",B419='Use at Shop'!$B$4),K419*10000000000+(MAX(0,MIN(26,CODE(MID(UPPER(A419)&amp;"    ",1,1))-64))*19683+MAX(0,MIN(26,CODE(MID(UPPER(A419)&amp;"    ",2,1))-64))*729+MAX(0,MIN(26,CODE(MID(UPPER(A419)&amp;"    ",3,1))-64))*27+MAX(0,MIN(26,CODE(MID(UPPER(A419)&amp;"    ",4,1))-64))*1)*10000+ROW(),""))</f>
        <v/>
      </c>
      <c r="N419" s="80" t="str">
        <f t="shared" si="5"/>
        <v/>
      </c>
      <c r="O419" s="80" t="str">
        <f t="array" ref="O419">IF(A419="","",IFERROR(INDEX('Deck 1'!$A:$Z,ROW()-250,'List Setup'!$J$3)&amp;"",""))</f>
        <v/>
      </c>
      <c r="P419" s="2"/>
      <c r="Q419" s="80" t="str">
        <f>IF(A419="","",'List Setup'!$A$3)</f>
        <v/>
      </c>
      <c r="R419" s="80" t="str">
        <f t="array" ref="R419">IF(A419="","",IFERROR(OR(INDEX(Binders!$J$6:$J$30,MATCH(Q419,Binders!$I$6:$I$30,0))=TRUE(),UPPER(INDEX(Binders!$J$6:$J$30,MATCH(Q419,Binders!$I$6:$I$30,0))&amp;"")="TRUE"),FALSE()))</f>
        <v/>
      </c>
    </row>
    <row r="420" ht="15.75" customHeight="1">
      <c r="A420" s="80" t="str">
        <f t="array" ref="A420">IF(INDEX('Deck 1'!$A:$Z,ROW()-250,'List Setup'!$D$3)="","",INDEX('Deck 1'!$A:$Z,ROW()-250,'List Setup'!$D$3))</f>
        <v/>
      </c>
      <c r="B420" s="80" t="str">
        <f t="array" ref="B420">IF(A420="","",IFERROR(INDEX('Binder Setup'!$B$2:$B$401,MIN(IF(ISNUMBER(SEARCH(CHAR(10)&amp;'Binder Setup'!$B$2:$B$401&amp;CHAR(10),$H420)),'List Setup'!$Q$2:$Q$401,999),IF(ISNUMBER(SEARCH(CHAR(10)&amp;'Set Aliases'!$A$2:$A$501&amp;CHAR(10),$H420)),'Set Aliases'!$C$2:$C$501,999))),"(none)"))</f>
        <v/>
      </c>
      <c r="C420" s="80" t="str">
        <f t="shared" si="1"/>
        <v/>
      </c>
      <c r="D420" s="80" t="str">
        <f t="array" ref="D420">IF(A420="","",IF(ISLOGICAL(INDEX('Deck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20" s="80" t="str">
        <f t="shared" si="2"/>
        <v/>
      </c>
      <c r="F420" s="80" t="str">
        <f t="array" ref="F420">IF(A420="","",IF(ISNUMBER(J420),J420,IF(ISNUMBER(INDEX('Deck 1'!$A:$Z,ROW()-250,'List Setup'!$F$3)),INDEX('Deck 1'!$A:$Z,ROW()-250,'List Setup'!$F$3),0)))</f>
        <v/>
      </c>
      <c r="G420" s="80" t="str">
        <f t="array" ref="G420">IF(A420="","",A420&amp;IF(N(INDEX('Deck 1'!$A:$Z,ROW()-250,'List Setup'!$C$3))&gt;1," (x"&amp;INDEX('Deck 1'!$A:$Z,ROW()-250,'List Setup'!$C$3)&amp;")","")&amp;IF(COUNTIF(Binders!$J$6:$J$30,TRUE())&gt;1," ["&amp;Q420&amp;"]",""))</f>
        <v/>
      </c>
      <c r="H420" s="80" t="str">
        <f t="array" ref="H420">IF(A420="","",CHAR(10)&amp;INDEX('Deck 1'!$A:$Z,ROW()-250,'List Setup'!$E$3)&amp;CHAR(10))</f>
        <v/>
      </c>
      <c r="I420" s="80" t="str">
        <f t="array" ref="I420">IF(OR(B420="",B420="(none)"),"",IF(ISNUMBER(SEARCH(CHAR(10)&amp;B420&amp;CHAR(10),H420)),B420,IFERROR(INDEX('Set Aliases'!$A$2:$A$501,MATCH(1,('Set Aliases'!$B$2:$B$501=B420)*ISNUMBER(SEARCH(CHAR(10)&amp;'Set Aliases'!$A$2:$A$501&amp;CHAR(10),H420)),0)),"")))</f>
        <v/>
      </c>
      <c r="J420" s="80" t="str">
        <f t="array" ref="J420">IF(I420="","",IFERROR(VALUE(TRIM(MID(SUBSTITUTE(INDEX('Deck 1'!$A:$Z,ROW()-250,'List Setup'!$G$3),CHAR(10),REPT(" ",100)),((SEARCH(CHAR(10)&amp;I420&amp;CHAR(10),H420)-LEN(SUBSTITUTE(LEFT(H420,SEARCH(CHAR(10)&amp;I420&amp;CHAR(10),H420)),CHAR(10),"")))-1)*100+1,100))),""))</f>
        <v/>
      </c>
      <c r="K420" s="80" t="str">
        <f t="array" ref="K420">IF(A420="","",IF(ISNUMBER(SEARCH("Land",LEFT(IFERROR(INDEX('Deck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20" s="80" t="str">
        <f t="shared" si="3"/>
        <v/>
      </c>
      <c r="M420" s="80" t="str">
        <f>IF(A420="","",IF(AND(E420="Y",B420='Use at Shop'!$B$4),K420*10000000000+(MAX(0,MIN(26,CODE(MID(UPPER(A420)&amp;"    ",1,1))-64))*19683+MAX(0,MIN(26,CODE(MID(UPPER(A420)&amp;"    ",2,1))-64))*729+MAX(0,MIN(26,CODE(MID(UPPER(A420)&amp;"    ",3,1))-64))*27+MAX(0,MIN(26,CODE(MID(UPPER(A420)&amp;"    ",4,1))-64))*1)*10000+ROW(),""))</f>
        <v/>
      </c>
      <c r="N420" s="80" t="str">
        <f t="shared" si="5"/>
        <v/>
      </c>
      <c r="O420" s="80" t="str">
        <f t="array" ref="O420">IF(A420="","",IFERROR(INDEX('Deck 1'!$A:$Z,ROW()-250,'List Setup'!$J$3)&amp;"",""))</f>
        <v/>
      </c>
      <c r="P420" s="2"/>
      <c r="Q420" s="80" t="str">
        <f>IF(A420="","",'List Setup'!$A$3)</f>
        <v/>
      </c>
      <c r="R420" s="80" t="str">
        <f t="array" ref="R420">IF(A420="","",IFERROR(OR(INDEX(Binders!$J$6:$J$30,MATCH(Q420,Binders!$I$6:$I$30,0))=TRUE(),UPPER(INDEX(Binders!$J$6:$J$30,MATCH(Q420,Binders!$I$6:$I$30,0))&amp;"")="TRUE"),FALSE()))</f>
        <v/>
      </c>
    </row>
    <row r="421" ht="15.75" customHeight="1">
      <c r="A421" s="80" t="str">
        <f t="array" ref="A421">IF(INDEX('Deck 1'!$A:$Z,ROW()-250,'List Setup'!$D$3)="","",INDEX('Deck 1'!$A:$Z,ROW()-250,'List Setup'!$D$3))</f>
        <v/>
      </c>
      <c r="B421" s="80" t="str">
        <f t="array" ref="B421">IF(A421="","",IFERROR(INDEX('Binder Setup'!$B$2:$B$401,MIN(IF(ISNUMBER(SEARCH(CHAR(10)&amp;'Binder Setup'!$B$2:$B$401&amp;CHAR(10),$H421)),'List Setup'!$Q$2:$Q$401,999),IF(ISNUMBER(SEARCH(CHAR(10)&amp;'Set Aliases'!$A$2:$A$501&amp;CHAR(10),$H421)),'Set Aliases'!$C$2:$C$501,999))),"(none)"))</f>
        <v/>
      </c>
      <c r="C421" s="80" t="str">
        <f t="shared" si="1"/>
        <v/>
      </c>
      <c r="D421" s="80" t="str">
        <f t="array" ref="D421">IF(A421="","",IF(ISLOGICAL(INDEX('Deck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21" s="80" t="str">
        <f t="shared" si="2"/>
        <v/>
      </c>
      <c r="F421" s="80" t="str">
        <f t="array" ref="F421">IF(A421="","",IF(ISNUMBER(J421),J421,IF(ISNUMBER(INDEX('Deck 1'!$A:$Z,ROW()-250,'List Setup'!$F$3)),INDEX('Deck 1'!$A:$Z,ROW()-250,'List Setup'!$F$3),0)))</f>
        <v/>
      </c>
      <c r="G421" s="80" t="str">
        <f t="array" ref="G421">IF(A421="","",A421&amp;IF(N(INDEX('Deck 1'!$A:$Z,ROW()-250,'List Setup'!$C$3))&gt;1," (x"&amp;INDEX('Deck 1'!$A:$Z,ROW()-250,'List Setup'!$C$3)&amp;")","")&amp;IF(COUNTIF(Binders!$J$6:$J$30,TRUE())&gt;1," ["&amp;Q421&amp;"]",""))</f>
        <v/>
      </c>
      <c r="H421" s="80" t="str">
        <f t="array" ref="H421">IF(A421="","",CHAR(10)&amp;INDEX('Deck 1'!$A:$Z,ROW()-250,'List Setup'!$E$3)&amp;CHAR(10))</f>
        <v/>
      </c>
      <c r="I421" s="80" t="str">
        <f t="array" ref="I421">IF(OR(B421="",B421="(none)"),"",IF(ISNUMBER(SEARCH(CHAR(10)&amp;B421&amp;CHAR(10),H421)),B421,IFERROR(INDEX('Set Aliases'!$A$2:$A$501,MATCH(1,('Set Aliases'!$B$2:$B$501=B421)*ISNUMBER(SEARCH(CHAR(10)&amp;'Set Aliases'!$A$2:$A$501&amp;CHAR(10),H421)),0)),"")))</f>
        <v/>
      </c>
      <c r="J421" s="80" t="str">
        <f t="array" ref="J421">IF(I421="","",IFERROR(VALUE(TRIM(MID(SUBSTITUTE(INDEX('Deck 1'!$A:$Z,ROW()-250,'List Setup'!$G$3),CHAR(10),REPT(" ",100)),((SEARCH(CHAR(10)&amp;I421&amp;CHAR(10),H421)-LEN(SUBSTITUTE(LEFT(H421,SEARCH(CHAR(10)&amp;I421&amp;CHAR(10),H421)),CHAR(10),"")))-1)*100+1,100))),""))</f>
        <v/>
      </c>
      <c r="K421" s="80" t="str">
        <f t="array" ref="K421">IF(A421="","",IF(ISNUMBER(SEARCH("Land",LEFT(IFERROR(INDEX('Deck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21" s="80" t="str">
        <f t="shared" si="3"/>
        <v/>
      </c>
      <c r="M421" s="80" t="str">
        <f>IF(A421="","",IF(AND(E421="Y",B421='Use at Shop'!$B$4),K421*10000000000+(MAX(0,MIN(26,CODE(MID(UPPER(A421)&amp;"    ",1,1))-64))*19683+MAX(0,MIN(26,CODE(MID(UPPER(A421)&amp;"    ",2,1))-64))*729+MAX(0,MIN(26,CODE(MID(UPPER(A421)&amp;"    ",3,1))-64))*27+MAX(0,MIN(26,CODE(MID(UPPER(A421)&amp;"    ",4,1))-64))*1)*10000+ROW(),""))</f>
        <v/>
      </c>
      <c r="N421" s="80" t="str">
        <f t="shared" si="5"/>
        <v/>
      </c>
      <c r="O421" s="80" t="str">
        <f t="array" ref="O421">IF(A421="","",IFERROR(INDEX('Deck 1'!$A:$Z,ROW()-250,'List Setup'!$J$3)&amp;"",""))</f>
        <v/>
      </c>
      <c r="P421" s="2"/>
      <c r="Q421" s="80" t="str">
        <f>IF(A421="","",'List Setup'!$A$3)</f>
        <v/>
      </c>
      <c r="R421" s="80" t="str">
        <f t="array" ref="R421">IF(A421="","",IFERROR(OR(INDEX(Binders!$J$6:$J$30,MATCH(Q421,Binders!$I$6:$I$30,0))=TRUE(),UPPER(INDEX(Binders!$J$6:$J$30,MATCH(Q421,Binders!$I$6:$I$30,0))&amp;"")="TRUE"),FALSE()))</f>
        <v/>
      </c>
    </row>
    <row r="422" ht="15.75" customHeight="1">
      <c r="A422" s="80" t="str">
        <f t="array" ref="A422">IF(INDEX('Deck 1'!$A:$Z,ROW()-250,'List Setup'!$D$3)="","",INDEX('Deck 1'!$A:$Z,ROW()-250,'List Setup'!$D$3))</f>
        <v/>
      </c>
      <c r="B422" s="80" t="str">
        <f t="array" ref="B422">IF(A422="","",IFERROR(INDEX('Binder Setup'!$B$2:$B$401,MIN(IF(ISNUMBER(SEARCH(CHAR(10)&amp;'Binder Setup'!$B$2:$B$401&amp;CHAR(10),$H422)),'List Setup'!$Q$2:$Q$401,999),IF(ISNUMBER(SEARCH(CHAR(10)&amp;'Set Aliases'!$A$2:$A$501&amp;CHAR(10),$H422)),'Set Aliases'!$C$2:$C$501,999))),"(none)"))</f>
        <v/>
      </c>
      <c r="C422" s="80" t="str">
        <f t="shared" si="1"/>
        <v/>
      </c>
      <c r="D422" s="80" t="str">
        <f t="array" ref="D422">IF(A422="","",IF(ISLOGICAL(INDEX('Deck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22" s="80" t="str">
        <f t="shared" si="2"/>
        <v/>
      </c>
      <c r="F422" s="80" t="str">
        <f t="array" ref="F422">IF(A422="","",IF(ISNUMBER(J422),J422,IF(ISNUMBER(INDEX('Deck 1'!$A:$Z,ROW()-250,'List Setup'!$F$3)),INDEX('Deck 1'!$A:$Z,ROW()-250,'List Setup'!$F$3),0)))</f>
        <v/>
      </c>
      <c r="G422" s="80" t="str">
        <f t="array" ref="G422">IF(A422="","",A422&amp;IF(N(INDEX('Deck 1'!$A:$Z,ROW()-250,'List Setup'!$C$3))&gt;1," (x"&amp;INDEX('Deck 1'!$A:$Z,ROW()-250,'List Setup'!$C$3)&amp;")","")&amp;IF(COUNTIF(Binders!$J$6:$J$30,TRUE())&gt;1," ["&amp;Q422&amp;"]",""))</f>
        <v/>
      </c>
      <c r="H422" s="80" t="str">
        <f t="array" ref="H422">IF(A422="","",CHAR(10)&amp;INDEX('Deck 1'!$A:$Z,ROW()-250,'List Setup'!$E$3)&amp;CHAR(10))</f>
        <v/>
      </c>
      <c r="I422" s="80" t="str">
        <f t="array" ref="I422">IF(OR(B422="",B422="(none)"),"",IF(ISNUMBER(SEARCH(CHAR(10)&amp;B422&amp;CHAR(10),H422)),B422,IFERROR(INDEX('Set Aliases'!$A$2:$A$501,MATCH(1,('Set Aliases'!$B$2:$B$501=B422)*ISNUMBER(SEARCH(CHAR(10)&amp;'Set Aliases'!$A$2:$A$501&amp;CHAR(10),H422)),0)),"")))</f>
        <v/>
      </c>
      <c r="J422" s="80" t="str">
        <f t="array" ref="J422">IF(I422="","",IFERROR(VALUE(TRIM(MID(SUBSTITUTE(INDEX('Deck 1'!$A:$Z,ROW()-250,'List Setup'!$G$3),CHAR(10),REPT(" ",100)),((SEARCH(CHAR(10)&amp;I422&amp;CHAR(10),H422)-LEN(SUBSTITUTE(LEFT(H422,SEARCH(CHAR(10)&amp;I422&amp;CHAR(10),H422)),CHAR(10),"")))-1)*100+1,100))),""))</f>
        <v/>
      </c>
      <c r="K422" s="80" t="str">
        <f t="array" ref="K422">IF(A422="","",IF(ISNUMBER(SEARCH("Land",LEFT(IFERROR(INDEX('Deck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22" s="80" t="str">
        <f t="shared" si="3"/>
        <v/>
      </c>
      <c r="M422" s="80" t="str">
        <f>IF(A422="","",IF(AND(E422="Y",B422='Use at Shop'!$B$4),K422*10000000000+(MAX(0,MIN(26,CODE(MID(UPPER(A422)&amp;"    ",1,1))-64))*19683+MAX(0,MIN(26,CODE(MID(UPPER(A422)&amp;"    ",2,1))-64))*729+MAX(0,MIN(26,CODE(MID(UPPER(A422)&amp;"    ",3,1))-64))*27+MAX(0,MIN(26,CODE(MID(UPPER(A422)&amp;"    ",4,1))-64))*1)*10000+ROW(),""))</f>
        <v/>
      </c>
      <c r="N422" s="80" t="str">
        <f t="shared" si="5"/>
        <v/>
      </c>
      <c r="O422" s="80" t="str">
        <f t="array" ref="O422">IF(A422="","",IFERROR(INDEX('Deck 1'!$A:$Z,ROW()-250,'List Setup'!$J$3)&amp;"",""))</f>
        <v/>
      </c>
      <c r="P422" s="2"/>
      <c r="Q422" s="80" t="str">
        <f>IF(A422="","",'List Setup'!$A$3)</f>
        <v/>
      </c>
      <c r="R422" s="80" t="str">
        <f t="array" ref="R422">IF(A422="","",IFERROR(OR(INDEX(Binders!$J$6:$J$30,MATCH(Q422,Binders!$I$6:$I$30,0))=TRUE(),UPPER(INDEX(Binders!$J$6:$J$30,MATCH(Q422,Binders!$I$6:$I$30,0))&amp;"")="TRUE"),FALSE()))</f>
        <v/>
      </c>
    </row>
    <row r="423" ht="15.75" customHeight="1">
      <c r="A423" s="80" t="str">
        <f t="array" ref="A423">IF(INDEX('Deck 1'!$A:$Z,ROW()-250,'List Setup'!$D$3)="","",INDEX('Deck 1'!$A:$Z,ROW()-250,'List Setup'!$D$3))</f>
        <v/>
      </c>
      <c r="B423" s="80" t="str">
        <f t="array" ref="B423">IF(A423="","",IFERROR(INDEX('Binder Setup'!$B$2:$B$401,MIN(IF(ISNUMBER(SEARCH(CHAR(10)&amp;'Binder Setup'!$B$2:$B$401&amp;CHAR(10),$H423)),'List Setup'!$Q$2:$Q$401,999),IF(ISNUMBER(SEARCH(CHAR(10)&amp;'Set Aliases'!$A$2:$A$501&amp;CHAR(10),$H423)),'Set Aliases'!$C$2:$C$501,999))),"(none)"))</f>
        <v/>
      </c>
      <c r="C423" s="80" t="str">
        <f t="shared" si="1"/>
        <v/>
      </c>
      <c r="D423" s="80" t="str">
        <f t="array" ref="D423">IF(A423="","",IF(ISLOGICAL(INDEX('Deck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23" s="80" t="str">
        <f t="shared" si="2"/>
        <v/>
      </c>
      <c r="F423" s="80" t="str">
        <f t="array" ref="F423">IF(A423="","",IF(ISNUMBER(J423),J423,IF(ISNUMBER(INDEX('Deck 1'!$A:$Z,ROW()-250,'List Setup'!$F$3)),INDEX('Deck 1'!$A:$Z,ROW()-250,'List Setup'!$F$3),0)))</f>
        <v/>
      </c>
      <c r="G423" s="80" t="str">
        <f t="array" ref="G423">IF(A423="","",A423&amp;IF(N(INDEX('Deck 1'!$A:$Z,ROW()-250,'List Setup'!$C$3))&gt;1," (x"&amp;INDEX('Deck 1'!$A:$Z,ROW()-250,'List Setup'!$C$3)&amp;")","")&amp;IF(COUNTIF(Binders!$J$6:$J$30,TRUE())&gt;1," ["&amp;Q423&amp;"]",""))</f>
        <v/>
      </c>
      <c r="H423" s="80" t="str">
        <f t="array" ref="H423">IF(A423="","",CHAR(10)&amp;INDEX('Deck 1'!$A:$Z,ROW()-250,'List Setup'!$E$3)&amp;CHAR(10))</f>
        <v/>
      </c>
      <c r="I423" s="80" t="str">
        <f t="array" ref="I423">IF(OR(B423="",B423="(none)"),"",IF(ISNUMBER(SEARCH(CHAR(10)&amp;B423&amp;CHAR(10),H423)),B423,IFERROR(INDEX('Set Aliases'!$A$2:$A$501,MATCH(1,('Set Aliases'!$B$2:$B$501=B423)*ISNUMBER(SEARCH(CHAR(10)&amp;'Set Aliases'!$A$2:$A$501&amp;CHAR(10),H423)),0)),"")))</f>
        <v/>
      </c>
      <c r="J423" s="80" t="str">
        <f t="array" ref="J423">IF(I423="","",IFERROR(VALUE(TRIM(MID(SUBSTITUTE(INDEX('Deck 1'!$A:$Z,ROW()-250,'List Setup'!$G$3),CHAR(10),REPT(" ",100)),((SEARCH(CHAR(10)&amp;I423&amp;CHAR(10),H423)-LEN(SUBSTITUTE(LEFT(H423,SEARCH(CHAR(10)&amp;I423&amp;CHAR(10),H423)),CHAR(10),"")))-1)*100+1,100))),""))</f>
        <v/>
      </c>
      <c r="K423" s="80" t="str">
        <f t="array" ref="K423">IF(A423="","",IF(ISNUMBER(SEARCH("Land",LEFT(IFERROR(INDEX('Deck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23" s="80" t="str">
        <f t="shared" si="3"/>
        <v/>
      </c>
      <c r="M423" s="80" t="str">
        <f>IF(A423="","",IF(AND(E423="Y",B423='Use at Shop'!$B$4),K423*10000000000+(MAX(0,MIN(26,CODE(MID(UPPER(A423)&amp;"    ",1,1))-64))*19683+MAX(0,MIN(26,CODE(MID(UPPER(A423)&amp;"    ",2,1))-64))*729+MAX(0,MIN(26,CODE(MID(UPPER(A423)&amp;"    ",3,1))-64))*27+MAX(0,MIN(26,CODE(MID(UPPER(A423)&amp;"    ",4,1))-64))*1)*10000+ROW(),""))</f>
        <v/>
      </c>
      <c r="N423" s="80" t="str">
        <f t="shared" si="5"/>
        <v/>
      </c>
      <c r="O423" s="80" t="str">
        <f t="array" ref="O423">IF(A423="","",IFERROR(INDEX('Deck 1'!$A:$Z,ROW()-250,'List Setup'!$J$3)&amp;"",""))</f>
        <v/>
      </c>
      <c r="P423" s="2"/>
      <c r="Q423" s="80" t="str">
        <f>IF(A423="","",'List Setup'!$A$3)</f>
        <v/>
      </c>
      <c r="R423" s="80" t="str">
        <f t="array" ref="R423">IF(A423="","",IFERROR(OR(INDEX(Binders!$J$6:$J$30,MATCH(Q423,Binders!$I$6:$I$30,0))=TRUE(),UPPER(INDEX(Binders!$J$6:$J$30,MATCH(Q423,Binders!$I$6:$I$30,0))&amp;"")="TRUE"),FALSE()))</f>
        <v/>
      </c>
    </row>
    <row r="424" ht="15.75" customHeight="1">
      <c r="A424" s="80" t="str">
        <f t="array" ref="A424">IF(INDEX('Deck 1'!$A:$Z,ROW()-250,'List Setup'!$D$3)="","",INDEX('Deck 1'!$A:$Z,ROW()-250,'List Setup'!$D$3))</f>
        <v/>
      </c>
      <c r="B424" s="80" t="str">
        <f t="array" ref="B424">IF(A424="","",IFERROR(INDEX('Binder Setup'!$B$2:$B$401,MIN(IF(ISNUMBER(SEARCH(CHAR(10)&amp;'Binder Setup'!$B$2:$B$401&amp;CHAR(10),$H424)),'List Setup'!$Q$2:$Q$401,999),IF(ISNUMBER(SEARCH(CHAR(10)&amp;'Set Aliases'!$A$2:$A$501&amp;CHAR(10),$H424)),'Set Aliases'!$C$2:$C$501,999))),"(none)"))</f>
        <v/>
      </c>
      <c r="C424" s="80" t="str">
        <f t="shared" si="1"/>
        <v/>
      </c>
      <c r="D424" s="80" t="str">
        <f t="array" ref="D424">IF(A424="","",IF(ISLOGICAL(INDEX('Deck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24" s="80" t="str">
        <f t="shared" si="2"/>
        <v/>
      </c>
      <c r="F424" s="80" t="str">
        <f t="array" ref="F424">IF(A424="","",IF(ISNUMBER(J424),J424,IF(ISNUMBER(INDEX('Deck 1'!$A:$Z,ROW()-250,'List Setup'!$F$3)),INDEX('Deck 1'!$A:$Z,ROW()-250,'List Setup'!$F$3),0)))</f>
        <v/>
      </c>
      <c r="G424" s="80" t="str">
        <f t="array" ref="G424">IF(A424="","",A424&amp;IF(N(INDEX('Deck 1'!$A:$Z,ROW()-250,'List Setup'!$C$3))&gt;1," (x"&amp;INDEX('Deck 1'!$A:$Z,ROW()-250,'List Setup'!$C$3)&amp;")","")&amp;IF(COUNTIF(Binders!$J$6:$J$30,TRUE())&gt;1," ["&amp;Q424&amp;"]",""))</f>
        <v/>
      </c>
      <c r="H424" s="80" t="str">
        <f t="array" ref="H424">IF(A424="","",CHAR(10)&amp;INDEX('Deck 1'!$A:$Z,ROW()-250,'List Setup'!$E$3)&amp;CHAR(10))</f>
        <v/>
      </c>
      <c r="I424" s="80" t="str">
        <f t="array" ref="I424">IF(OR(B424="",B424="(none)"),"",IF(ISNUMBER(SEARCH(CHAR(10)&amp;B424&amp;CHAR(10),H424)),B424,IFERROR(INDEX('Set Aliases'!$A$2:$A$501,MATCH(1,('Set Aliases'!$B$2:$B$501=B424)*ISNUMBER(SEARCH(CHAR(10)&amp;'Set Aliases'!$A$2:$A$501&amp;CHAR(10),H424)),0)),"")))</f>
        <v/>
      </c>
      <c r="J424" s="80" t="str">
        <f t="array" ref="J424">IF(I424="","",IFERROR(VALUE(TRIM(MID(SUBSTITUTE(INDEX('Deck 1'!$A:$Z,ROW()-250,'List Setup'!$G$3),CHAR(10),REPT(" ",100)),((SEARCH(CHAR(10)&amp;I424&amp;CHAR(10),H424)-LEN(SUBSTITUTE(LEFT(H424,SEARCH(CHAR(10)&amp;I424&amp;CHAR(10),H424)),CHAR(10),"")))-1)*100+1,100))),""))</f>
        <v/>
      </c>
      <c r="K424" s="80" t="str">
        <f t="array" ref="K424">IF(A424="","",IF(ISNUMBER(SEARCH("Land",LEFT(IFERROR(INDEX('Deck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24" s="80" t="str">
        <f t="shared" si="3"/>
        <v/>
      </c>
      <c r="M424" s="80" t="str">
        <f>IF(A424="","",IF(AND(E424="Y",B424='Use at Shop'!$B$4),K424*10000000000+(MAX(0,MIN(26,CODE(MID(UPPER(A424)&amp;"    ",1,1))-64))*19683+MAX(0,MIN(26,CODE(MID(UPPER(A424)&amp;"    ",2,1))-64))*729+MAX(0,MIN(26,CODE(MID(UPPER(A424)&amp;"    ",3,1))-64))*27+MAX(0,MIN(26,CODE(MID(UPPER(A424)&amp;"    ",4,1))-64))*1)*10000+ROW(),""))</f>
        <v/>
      </c>
      <c r="N424" s="80" t="str">
        <f t="shared" si="5"/>
        <v/>
      </c>
      <c r="O424" s="80" t="str">
        <f t="array" ref="O424">IF(A424="","",IFERROR(INDEX('Deck 1'!$A:$Z,ROW()-250,'List Setup'!$J$3)&amp;"",""))</f>
        <v/>
      </c>
      <c r="P424" s="2"/>
      <c r="Q424" s="80" t="str">
        <f>IF(A424="","",'List Setup'!$A$3)</f>
        <v/>
      </c>
      <c r="R424" s="80" t="str">
        <f t="array" ref="R424">IF(A424="","",IFERROR(OR(INDEX(Binders!$J$6:$J$30,MATCH(Q424,Binders!$I$6:$I$30,0))=TRUE(),UPPER(INDEX(Binders!$J$6:$J$30,MATCH(Q424,Binders!$I$6:$I$30,0))&amp;"")="TRUE"),FALSE()))</f>
        <v/>
      </c>
    </row>
    <row r="425" ht="15.75" customHeight="1">
      <c r="A425" s="80" t="str">
        <f t="array" ref="A425">IF(INDEX('Deck 1'!$A:$Z,ROW()-250,'List Setup'!$D$3)="","",INDEX('Deck 1'!$A:$Z,ROW()-250,'List Setup'!$D$3))</f>
        <v/>
      </c>
      <c r="B425" s="80" t="str">
        <f t="array" ref="B425">IF(A425="","",IFERROR(INDEX('Binder Setup'!$B$2:$B$401,MIN(IF(ISNUMBER(SEARCH(CHAR(10)&amp;'Binder Setup'!$B$2:$B$401&amp;CHAR(10),$H425)),'List Setup'!$Q$2:$Q$401,999),IF(ISNUMBER(SEARCH(CHAR(10)&amp;'Set Aliases'!$A$2:$A$501&amp;CHAR(10),$H425)),'Set Aliases'!$C$2:$C$501,999))),"(none)"))</f>
        <v/>
      </c>
      <c r="C425" s="80" t="str">
        <f t="shared" si="1"/>
        <v/>
      </c>
      <c r="D425" s="80" t="str">
        <f t="array" ref="D425">IF(A425="","",IF(ISLOGICAL(INDEX('Deck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25" s="80" t="str">
        <f t="shared" si="2"/>
        <v/>
      </c>
      <c r="F425" s="80" t="str">
        <f t="array" ref="F425">IF(A425="","",IF(ISNUMBER(J425),J425,IF(ISNUMBER(INDEX('Deck 1'!$A:$Z,ROW()-250,'List Setup'!$F$3)),INDEX('Deck 1'!$A:$Z,ROW()-250,'List Setup'!$F$3),0)))</f>
        <v/>
      </c>
      <c r="G425" s="80" t="str">
        <f t="array" ref="G425">IF(A425="","",A425&amp;IF(N(INDEX('Deck 1'!$A:$Z,ROW()-250,'List Setup'!$C$3))&gt;1," (x"&amp;INDEX('Deck 1'!$A:$Z,ROW()-250,'List Setup'!$C$3)&amp;")","")&amp;IF(COUNTIF(Binders!$J$6:$J$30,TRUE())&gt;1," ["&amp;Q425&amp;"]",""))</f>
        <v/>
      </c>
      <c r="H425" s="80" t="str">
        <f t="array" ref="H425">IF(A425="","",CHAR(10)&amp;INDEX('Deck 1'!$A:$Z,ROW()-250,'List Setup'!$E$3)&amp;CHAR(10))</f>
        <v/>
      </c>
      <c r="I425" s="80" t="str">
        <f t="array" ref="I425">IF(OR(B425="",B425="(none)"),"",IF(ISNUMBER(SEARCH(CHAR(10)&amp;B425&amp;CHAR(10),H425)),B425,IFERROR(INDEX('Set Aliases'!$A$2:$A$501,MATCH(1,('Set Aliases'!$B$2:$B$501=B425)*ISNUMBER(SEARCH(CHAR(10)&amp;'Set Aliases'!$A$2:$A$501&amp;CHAR(10),H425)),0)),"")))</f>
        <v/>
      </c>
      <c r="J425" s="80" t="str">
        <f t="array" ref="J425">IF(I425="","",IFERROR(VALUE(TRIM(MID(SUBSTITUTE(INDEX('Deck 1'!$A:$Z,ROW()-250,'List Setup'!$G$3),CHAR(10),REPT(" ",100)),((SEARCH(CHAR(10)&amp;I425&amp;CHAR(10),H425)-LEN(SUBSTITUTE(LEFT(H425,SEARCH(CHAR(10)&amp;I425&amp;CHAR(10),H425)),CHAR(10),"")))-1)*100+1,100))),""))</f>
        <v/>
      </c>
      <c r="K425" s="80" t="str">
        <f t="array" ref="K425">IF(A425="","",IF(ISNUMBER(SEARCH("Land",LEFT(IFERROR(INDEX('Deck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25" s="80" t="str">
        <f t="shared" si="3"/>
        <v/>
      </c>
      <c r="M425" s="80" t="str">
        <f>IF(A425="","",IF(AND(E425="Y",B425='Use at Shop'!$B$4),K425*10000000000+(MAX(0,MIN(26,CODE(MID(UPPER(A425)&amp;"    ",1,1))-64))*19683+MAX(0,MIN(26,CODE(MID(UPPER(A425)&amp;"    ",2,1))-64))*729+MAX(0,MIN(26,CODE(MID(UPPER(A425)&amp;"    ",3,1))-64))*27+MAX(0,MIN(26,CODE(MID(UPPER(A425)&amp;"    ",4,1))-64))*1)*10000+ROW(),""))</f>
        <v/>
      </c>
      <c r="N425" s="80" t="str">
        <f t="shared" si="5"/>
        <v/>
      </c>
      <c r="O425" s="80" t="str">
        <f t="array" ref="O425">IF(A425="","",IFERROR(INDEX('Deck 1'!$A:$Z,ROW()-250,'List Setup'!$J$3)&amp;"",""))</f>
        <v/>
      </c>
      <c r="P425" s="2"/>
      <c r="Q425" s="80" t="str">
        <f>IF(A425="","",'List Setup'!$A$3)</f>
        <v/>
      </c>
      <c r="R425" s="80" t="str">
        <f t="array" ref="R425">IF(A425="","",IFERROR(OR(INDEX(Binders!$J$6:$J$30,MATCH(Q425,Binders!$I$6:$I$30,0))=TRUE(),UPPER(INDEX(Binders!$J$6:$J$30,MATCH(Q425,Binders!$I$6:$I$30,0))&amp;"")="TRUE"),FALSE()))</f>
        <v/>
      </c>
    </row>
    <row r="426" ht="15.75" customHeight="1">
      <c r="A426" s="80" t="str">
        <f t="array" ref="A426">IF(INDEX('Deck 1'!$A:$Z,ROW()-250,'List Setup'!$D$3)="","",INDEX('Deck 1'!$A:$Z,ROW()-250,'List Setup'!$D$3))</f>
        <v/>
      </c>
      <c r="B426" s="80" t="str">
        <f t="array" ref="B426">IF(A426="","",IFERROR(INDEX('Binder Setup'!$B$2:$B$401,MIN(IF(ISNUMBER(SEARCH(CHAR(10)&amp;'Binder Setup'!$B$2:$B$401&amp;CHAR(10),$H426)),'List Setup'!$Q$2:$Q$401,999),IF(ISNUMBER(SEARCH(CHAR(10)&amp;'Set Aliases'!$A$2:$A$501&amp;CHAR(10),$H426)),'Set Aliases'!$C$2:$C$501,999))),"(none)"))</f>
        <v/>
      </c>
      <c r="C426" s="80" t="str">
        <f t="shared" si="1"/>
        <v/>
      </c>
      <c r="D426" s="80" t="str">
        <f t="array" ref="D426">IF(A426="","",IF(ISLOGICAL(INDEX('Deck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26" s="80" t="str">
        <f t="shared" si="2"/>
        <v/>
      </c>
      <c r="F426" s="80" t="str">
        <f t="array" ref="F426">IF(A426="","",IF(ISNUMBER(J426),J426,IF(ISNUMBER(INDEX('Deck 1'!$A:$Z,ROW()-250,'List Setup'!$F$3)),INDEX('Deck 1'!$A:$Z,ROW()-250,'List Setup'!$F$3),0)))</f>
        <v/>
      </c>
      <c r="G426" s="80" t="str">
        <f t="array" ref="G426">IF(A426="","",A426&amp;IF(N(INDEX('Deck 1'!$A:$Z,ROW()-250,'List Setup'!$C$3))&gt;1," (x"&amp;INDEX('Deck 1'!$A:$Z,ROW()-250,'List Setup'!$C$3)&amp;")","")&amp;IF(COUNTIF(Binders!$J$6:$J$30,TRUE())&gt;1," ["&amp;Q426&amp;"]",""))</f>
        <v/>
      </c>
      <c r="H426" s="80" t="str">
        <f t="array" ref="H426">IF(A426="","",CHAR(10)&amp;INDEX('Deck 1'!$A:$Z,ROW()-250,'List Setup'!$E$3)&amp;CHAR(10))</f>
        <v/>
      </c>
      <c r="I426" s="80" t="str">
        <f t="array" ref="I426">IF(OR(B426="",B426="(none)"),"",IF(ISNUMBER(SEARCH(CHAR(10)&amp;B426&amp;CHAR(10),H426)),B426,IFERROR(INDEX('Set Aliases'!$A$2:$A$501,MATCH(1,('Set Aliases'!$B$2:$B$501=B426)*ISNUMBER(SEARCH(CHAR(10)&amp;'Set Aliases'!$A$2:$A$501&amp;CHAR(10),H426)),0)),"")))</f>
        <v/>
      </c>
      <c r="J426" s="80" t="str">
        <f t="array" ref="J426">IF(I426="","",IFERROR(VALUE(TRIM(MID(SUBSTITUTE(INDEX('Deck 1'!$A:$Z,ROW()-250,'List Setup'!$G$3),CHAR(10),REPT(" ",100)),((SEARCH(CHAR(10)&amp;I426&amp;CHAR(10),H426)-LEN(SUBSTITUTE(LEFT(H426,SEARCH(CHAR(10)&amp;I426&amp;CHAR(10),H426)),CHAR(10),"")))-1)*100+1,100))),""))</f>
        <v/>
      </c>
      <c r="K426" s="80" t="str">
        <f t="array" ref="K426">IF(A426="","",IF(ISNUMBER(SEARCH("Land",LEFT(IFERROR(INDEX('Deck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26" s="80" t="str">
        <f t="shared" si="3"/>
        <v/>
      </c>
      <c r="M426" s="80" t="str">
        <f>IF(A426="","",IF(AND(E426="Y",B426='Use at Shop'!$B$4),K426*10000000000+(MAX(0,MIN(26,CODE(MID(UPPER(A426)&amp;"    ",1,1))-64))*19683+MAX(0,MIN(26,CODE(MID(UPPER(A426)&amp;"    ",2,1))-64))*729+MAX(0,MIN(26,CODE(MID(UPPER(A426)&amp;"    ",3,1))-64))*27+MAX(0,MIN(26,CODE(MID(UPPER(A426)&amp;"    ",4,1))-64))*1)*10000+ROW(),""))</f>
        <v/>
      </c>
      <c r="N426" s="80" t="str">
        <f t="shared" si="5"/>
        <v/>
      </c>
      <c r="O426" s="80" t="str">
        <f t="array" ref="O426">IF(A426="","",IFERROR(INDEX('Deck 1'!$A:$Z,ROW()-250,'List Setup'!$J$3)&amp;"",""))</f>
        <v/>
      </c>
      <c r="P426" s="2"/>
      <c r="Q426" s="80" t="str">
        <f>IF(A426="","",'List Setup'!$A$3)</f>
        <v/>
      </c>
      <c r="R426" s="80" t="str">
        <f t="array" ref="R426">IF(A426="","",IFERROR(OR(INDEX(Binders!$J$6:$J$30,MATCH(Q426,Binders!$I$6:$I$30,0))=TRUE(),UPPER(INDEX(Binders!$J$6:$J$30,MATCH(Q426,Binders!$I$6:$I$30,0))&amp;"")="TRUE"),FALSE()))</f>
        <v/>
      </c>
    </row>
    <row r="427" ht="15.75" customHeight="1">
      <c r="A427" s="80" t="str">
        <f t="array" ref="A427">IF(INDEX('Deck 1'!$A:$Z,ROW()-250,'List Setup'!$D$3)="","",INDEX('Deck 1'!$A:$Z,ROW()-250,'List Setup'!$D$3))</f>
        <v/>
      </c>
      <c r="B427" s="80" t="str">
        <f t="array" ref="B427">IF(A427="","",IFERROR(INDEX('Binder Setup'!$B$2:$B$401,MIN(IF(ISNUMBER(SEARCH(CHAR(10)&amp;'Binder Setup'!$B$2:$B$401&amp;CHAR(10),$H427)),'List Setup'!$Q$2:$Q$401,999),IF(ISNUMBER(SEARCH(CHAR(10)&amp;'Set Aliases'!$A$2:$A$501&amp;CHAR(10),$H427)),'Set Aliases'!$C$2:$C$501,999))),"(none)"))</f>
        <v/>
      </c>
      <c r="C427" s="80" t="str">
        <f t="shared" si="1"/>
        <v/>
      </c>
      <c r="D427" s="80" t="str">
        <f t="array" ref="D427">IF(A427="","",IF(ISLOGICAL(INDEX('Deck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27" s="80" t="str">
        <f t="shared" si="2"/>
        <v/>
      </c>
      <c r="F427" s="80" t="str">
        <f t="array" ref="F427">IF(A427="","",IF(ISNUMBER(J427),J427,IF(ISNUMBER(INDEX('Deck 1'!$A:$Z,ROW()-250,'List Setup'!$F$3)),INDEX('Deck 1'!$A:$Z,ROW()-250,'List Setup'!$F$3),0)))</f>
        <v/>
      </c>
      <c r="G427" s="80" t="str">
        <f t="array" ref="G427">IF(A427="","",A427&amp;IF(N(INDEX('Deck 1'!$A:$Z,ROW()-250,'List Setup'!$C$3))&gt;1," (x"&amp;INDEX('Deck 1'!$A:$Z,ROW()-250,'List Setup'!$C$3)&amp;")","")&amp;IF(COUNTIF(Binders!$J$6:$J$30,TRUE())&gt;1," ["&amp;Q427&amp;"]",""))</f>
        <v/>
      </c>
      <c r="H427" s="80" t="str">
        <f t="array" ref="H427">IF(A427="","",CHAR(10)&amp;INDEX('Deck 1'!$A:$Z,ROW()-250,'List Setup'!$E$3)&amp;CHAR(10))</f>
        <v/>
      </c>
      <c r="I427" s="80" t="str">
        <f t="array" ref="I427">IF(OR(B427="",B427="(none)"),"",IF(ISNUMBER(SEARCH(CHAR(10)&amp;B427&amp;CHAR(10),H427)),B427,IFERROR(INDEX('Set Aliases'!$A$2:$A$501,MATCH(1,('Set Aliases'!$B$2:$B$501=B427)*ISNUMBER(SEARCH(CHAR(10)&amp;'Set Aliases'!$A$2:$A$501&amp;CHAR(10),H427)),0)),"")))</f>
        <v/>
      </c>
      <c r="J427" s="80" t="str">
        <f t="array" ref="J427">IF(I427="","",IFERROR(VALUE(TRIM(MID(SUBSTITUTE(INDEX('Deck 1'!$A:$Z,ROW()-250,'List Setup'!$G$3),CHAR(10),REPT(" ",100)),((SEARCH(CHAR(10)&amp;I427&amp;CHAR(10),H427)-LEN(SUBSTITUTE(LEFT(H427,SEARCH(CHAR(10)&amp;I427&amp;CHAR(10),H427)),CHAR(10),"")))-1)*100+1,100))),""))</f>
        <v/>
      </c>
      <c r="K427" s="80" t="str">
        <f t="array" ref="K427">IF(A427="","",IF(ISNUMBER(SEARCH("Land",LEFT(IFERROR(INDEX('Deck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27" s="80" t="str">
        <f t="shared" si="3"/>
        <v/>
      </c>
      <c r="M427" s="80" t="str">
        <f>IF(A427="","",IF(AND(E427="Y",B427='Use at Shop'!$B$4),K427*10000000000+(MAX(0,MIN(26,CODE(MID(UPPER(A427)&amp;"    ",1,1))-64))*19683+MAX(0,MIN(26,CODE(MID(UPPER(A427)&amp;"    ",2,1))-64))*729+MAX(0,MIN(26,CODE(MID(UPPER(A427)&amp;"    ",3,1))-64))*27+MAX(0,MIN(26,CODE(MID(UPPER(A427)&amp;"    ",4,1))-64))*1)*10000+ROW(),""))</f>
        <v/>
      </c>
      <c r="N427" s="80" t="str">
        <f t="shared" si="5"/>
        <v/>
      </c>
      <c r="O427" s="80" t="str">
        <f t="array" ref="O427">IF(A427="","",IFERROR(INDEX('Deck 1'!$A:$Z,ROW()-250,'List Setup'!$J$3)&amp;"",""))</f>
        <v/>
      </c>
      <c r="P427" s="2"/>
      <c r="Q427" s="80" t="str">
        <f>IF(A427="","",'List Setup'!$A$3)</f>
        <v/>
      </c>
      <c r="R427" s="80" t="str">
        <f t="array" ref="R427">IF(A427="","",IFERROR(OR(INDEX(Binders!$J$6:$J$30,MATCH(Q427,Binders!$I$6:$I$30,0))=TRUE(),UPPER(INDEX(Binders!$J$6:$J$30,MATCH(Q427,Binders!$I$6:$I$30,0))&amp;"")="TRUE"),FALSE()))</f>
        <v/>
      </c>
    </row>
    <row r="428" ht="15.75" customHeight="1">
      <c r="A428" s="80" t="str">
        <f t="array" ref="A428">IF(INDEX('Deck 1'!$A:$Z,ROW()-250,'List Setup'!$D$3)="","",INDEX('Deck 1'!$A:$Z,ROW()-250,'List Setup'!$D$3))</f>
        <v/>
      </c>
      <c r="B428" s="80" t="str">
        <f t="array" ref="B428">IF(A428="","",IFERROR(INDEX('Binder Setup'!$B$2:$B$401,MIN(IF(ISNUMBER(SEARCH(CHAR(10)&amp;'Binder Setup'!$B$2:$B$401&amp;CHAR(10),$H428)),'List Setup'!$Q$2:$Q$401,999),IF(ISNUMBER(SEARCH(CHAR(10)&amp;'Set Aliases'!$A$2:$A$501&amp;CHAR(10),$H428)),'Set Aliases'!$C$2:$C$501,999))),"(none)"))</f>
        <v/>
      </c>
      <c r="C428" s="80" t="str">
        <f t="shared" si="1"/>
        <v/>
      </c>
      <c r="D428" s="80" t="str">
        <f t="array" ref="D428">IF(A428="","",IF(ISLOGICAL(INDEX('Deck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28" s="80" t="str">
        <f t="shared" si="2"/>
        <v/>
      </c>
      <c r="F428" s="80" t="str">
        <f t="array" ref="F428">IF(A428="","",IF(ISNUMBER(J428),J428,IF(ISNUMBER(INDEX('Deck 1'!$A:$Z,ROW()-250,'List Setup'!$F$3)),INDEX('Deck 1'!$A:$Z,ROW()-250,'List Setup'!$F$3),0)))</f>
        <v/>
      </c>
      <c r="G428" s="80" t="str">
        <f t="array" ref="G428">IF(A428="","",A428&amp;IF(N(INDEX('Deck 1'!$A:$Z,ROW()-250,'List Setup'!$C$3))&gt;1," (x"&amp;INDEX('Deck 1'!$A:$Z,ROW()-250,'List Setup'!$C$3)&amp;")","")&amp;IF(COUNTIF(Binders!$J$6:$J$30,TRUE())&gt;1," ["&amp;Q428&amp;"]",""))</f>
        <v/>
      </c>
      <c r="H428" s="80" t="str">
        <f t="array" ref="H428">IF(A428="","",CHAR(10)&amp;INDEX('Deck 1'!$A:$Z,ROW()-250,'List Setup'!$E$3)&amp;CHAR(10))</f>
        <v/>
      </c>
      <c r="I428" s="80" t="str">
        <f t="array" ref="I428">IF(OR(B428="",B428="(none)"),"",IF(ISNUMBER(SEARCH(CHAR(10)&amp;B428&amp;CHAR(10),H428)),B428,IFERROR(INDEX('Set Aliases'!$A$2:$A$501,MATCH(1,('Set Aliases'!$B$2:$B$501=B428)*ISNUMBER(SEARCH(CHAR(10)&amp;'Set Aliases'!$A$2:$A$501&amp;CHAR(10),H428)),0)),"")))</f>
        <v/>
      </c>
      <c r="J428" s="80" t="str">
        <f t="array" ref="J428">IF(I428="","",IFERROR(VALUE(TRIM(MID(SUBSTITUTE(INDEX('Deck 1'!$A:$Z,ROW()-250,'List Setup'!$G$3),CHAR(10),REPT(" ",100)),((SEARCH(CHAR(10)&amp;I428&amp;CHAR(10),H428)-LEN(SUBSTITUTE(LEFT(H428,SEARCH(CHAR(10)&amp;I428&amp;CHAR(10),H428)),CHAR(10),"")))-1)*100+1,100))),""))</f>
        <v/>
      </c>
      <c r="K428" s="80" t="str">
        <f t="array" ref="K428">IF(A428="","",IF(ISNUMBER(SEARCH("Land",LEFT(IFERROR(INDEX('Deck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28" s="80" t="str">
        <f t="shared" si="3"/>
        <v/>
      </c>
      <c r="M428" s="80" t="str">
        <f>IF(A428="","",IF(AND(E428="Y",B428='Use at Shop'!$B$4),K428*10000000000+(MAX(0,MIN(26,CODE(MID(UPPER(A428)&amp;"    ",1,1))-64))*19683+MAX(0,MIN(26,CODE(MID(UPPER(A428)&amp;"    ",2,1))-64))*729+MAX(0,MIN(26,CODE(MID(UPPER(A428)&amp;"    ",3,1))-64))*27+MAX(0,MIN(26,CODE(MID(UPPER(A428)&amp;"    ",4,1))-64))*1)*10000+ROW(),""))</f>
        <v/>
      </c>
      <c r="N428" s="80" t="str">
        <f t="shared" si="5"/>
        <v/>
      </c>
      <c r="O428" s="80" t="str">
        <f t="array" ref="O428">IF(A428="","",IFERROR(INDEX('Deck 1'!$A:$Z,ROW()-250,'List Setup'!$J$3)&amp;"",""))</f>
        <v/>
      </c>
      <c r="P428" s="2"/>
      <c r="Q428" s="80" t="str">
        <f>IF(A428="","",'List Setup'!$A$3)</f>
        <v/>
      </c>
      <c r="R428" s="80" t="str">
        <f t="array" ref="R428">IF(A428="","",IFERROR(OR(INDEX(Binders!$J$6:$J$30,MATCH(Q428,Binders!$I$6:$I$30,0))=TRUE(),UPPER(INDEX(Binders!$J$6:$J$30,MATCH(Q428,Binders!$I$6:$I$30,0))&amp;"")="TRUE"),FALSE()))</f>
        <v/>
      </c>
    </row>
    <row r="429" ht="15.75" customHeight="1">
      <c r="A429" s="80" t="str">
        <f t="array" ref="A429">IF(INDEX('Deck 1'!$A:$Z,ROW()-250,'List Setup'!$D$3)="","",INDEX('Deck 1'!$A:$Z,ROW()-250,'List Setup'!$D$3))</f>
        <v/>
      </c>
      <c r="B429" s="80" t="str">
        <f t="array" ref="B429">IF(A429="","",IFERROR(INDEX('Binder Setup'!$B$2:$B$401,MIN(IF(ISNUMBER(SEARCH(CHAR(10)&amp;'Binder Setup'!$B$2:$B$401&amp;CHAR(10),$H429)),'List Setup'!$Q$2:$Q$401,999),IF(ISNUMBER(SEARCH(CHAR(10)&amp;'Set Aliases'!$A$2:$A$501&amp;CHAR(10),$H429)),'Set Aliases'!$C$2:$C$501,999))),"(none)"))</f>
        <v/>
      </c>
      <c r="C429" s="80" t="str">
        <f t="shared" si="1"/>
        <v/>
      </c>
      <c r="D429" s="80" t="str">
        <f t="array" ref="D429">IF(A429="","",IF(ISLOGICAL(INDEX('Deck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29" s="80" t="str">
        <f t="shared" si="2"/>
        <v/>
      </c>
      <c r="F429" s="80" t="str">
        <f t="array" ref="F429">IF(A429="","",IF(ISNUMBER(J429),J429,IF(ISNUMBER(INDEX('Deck 1'!$A:$Z,ROW()-250,'List Setup'!$F$3)),INDEX('Deck 1'!$A:$Z,ROW()-250,'List Setup'!$F$3),0)))</f>
        <v/>
      </c>
      <c r="G429" s="80" t="str">
        <f t="array" ref="G429">IF(A429="","",A429&amp;IF(N(INDEX('Deck 1'!$A:$Z,ROW()-250,'List Setup'!$C$3))&gt;1," (x"&amp;INDEX('Deck 1'!$A:$Z,ROW()-250,'List Setup'!$C$3)&amp;")","")&amp;IF(COUNTIF(Binders!$J$6:$J$30,TRUE())&gt;1," ["&amp;Q429&amp;"]",""))</f>
        <v/>
      </c>
      <c r="H429" s="80" t="str">
        <f t="array" ref="H429">IF(A429="","",CHAR(10)&amp;INDEX('Deck 1'!$A:$Z,ROW()-250,'List Setup'!$E$3)&amp;CHAR(10))</f>
        <v/>
      </c>
      <c r="I429" s="80" t="str">
        <f t="array" ref="I429">IF(OR(B429="",B429="(none)"),"",IF(ISNUMBER(SEARCH(CHAR(10)&amp;B429&amp;CHAR(10),H429)),B429,IFERROR(INDEX('Set Aliases'!$A$2:$A$501,MATCH(1,('Set Aliases'!$B$2:$B$501=B429)*ISNUMBER(SEARCH(CHAR(10)&amp;'Set Aliases'!$A$2:$A$501&amp;CHAR(10),H429)),0)),"")))</f>
        <v/>
      </c>
      <c r="J429" s="80" t="str">
        <f t="array" ref="J429">IF(I429="","",IFERROR(VALUE(TRIM(MID(SUBSTITUTE(INDEX('Deck 1'!$A:$Z,ROW()-250,'List Setup'!$G$3),CHAR(10),REPT(" ",100)),((SEARCH(CHAR(10)&amp;I429&amp;CHAR(10),H429)-LEN(SUBSTITUTE(LEFT(H429,SEARCH(CHAR(10)&amp;I429&amp;CHAR(10),H429)),CHAR(10),"")))-1)*100+1,100))),""))</f>
        <v/>
      </c>
      <c r="K429" s="80" t="str">
        <f t="array" ref="K429">IF(A429="","",IF(ISNUMBER(SEARCH("Land",LEFT(IFERROR(INDEX('Deck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29" s="80" t="str">
        <f t="shared" si="3"/>
        <v/>
      </c>
      <c r="M429" s="80" t="str">
        <f>IF(A429="","",IF(AND(E429="Y",B429='Use at Shop'!$B$4),K429*10000000000+(MAX(0,MIN(26,CODE(MID(UPPER(A429)&amp;"    ",1,1))-64))*19683+MAX(0,MIN(26,CODE(MID(UPPER(A429)&amp;"    ",2,1))-64))*729+MAX(0,MIN(26,CODE(MID(UPPER(A429)&amp;"    ",3,1))-64))*27+MAX(0,MIN(26,CODE(MID(UPPER(A429)&amp;"    ",4,1))-64))*1)*10000+ROW(),""))</f>
        <v/>
      </c>
      <c r="N429" s="80" t="str">
        <f t="shared" si="5"/>
        <v/>
      </c>
      <c r="O429" s="80" t="str">
        <f t="array" ref="O429">IF(A429="","",IFERROR(INDEX('Deck 1'!$A:$Z,ROW()-250,'List Setup'!$J$3)&amp;"",""))</f>
        <v/>
      </c>
      <c r="P429" s="2"/>
      <c r="Q429" s="80" t="str">
        <f>IF(A429="","",'List Setup'!$A$3)</f>
        <v/>
      </c>
      <c r="R429" s="80" t="str">
        <f t="array" ref="R429">IF(A429="","",IFERROR(OR(INDEX(Binders!$J$6:$J$30,MATCH(Q429,Binders!$I$6:$I$30,0))=TRUE(),UPPER(INDEX(Binders!$J$6:$J$30,MATCH(Q429,Binders!$I$6:$I$30,0))&amp;"")="TRUE"),FALSE()))</f>
        <v/>
      </c>
    </row>
    <row r="430" ht="15.75" customHeight="1">
      <c r="A430" s="80" t="str">
        <f t="array" ref="A430">IF(INDEX('Deck 1'!$A:$Z,ROW()-250,'List Setup'!$D$3)="","",INDEX('Deck 1'!$A:$Z,ROW()-250,'List Setup'!$D$3))</f>
        <v/>
      </c>
      <c r="B430" s="80" t="str">
        <f t="array" ref="B430">IF(A430="","",IFERROR(INDEX('Binder Setup'!$B$2:$B$401,MIN(IF(ISNUMBER(SEARCH(CHAR(10)&amp;'Binder Setup'!$B$2:$B$401&amp;CHAR(10),$H430)),'List Setup'!$Q$2:$Q$401,999),IF(ISNUMBER(SEARCH(CHAR(10)&amp;'Set Aliases'!$A$2:$A$501&amp;CHAR(10),$H430)),'Set Aliases'!$C$2:$C$501,999))),"(none)"))</f>
        <v/>
      </c>
      <c r="C430" s="80" t="str">
        <f t="shared" si="1"/>
        <v/>
      </c>
      <c r="D430" s="80" t="str">
        <f t="array" ref="D430">IF(A430="","",IF(ISLOGICAL(INDEX('Deck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30" s="80" t="str">
        <f t="shared" si="2"/>
        <v/>
      </c>
      <c r="F430" s="80" t="str">
        <f t="array" ref="F430">IF(A430="","",IF(ISNUMBER(J430),J430,IF(ISNUMBER(INDEX('Deck 1'!$A:$Z,ROW()-250,'List Setup'!$F$3)),INDEX('Deck 1'!$A:$Z,ROW()-250,'List Setup'!$F$3),0)))</f>
        <v/>
      </c>
      <c r="G430" s="80" t="str">
        <f t="array" ref="G430">IF(A430="","",A430&amp;IF(N(INDEX('Deck 1'!$A:$Z,ROW()-250,'List Setup'!$C$3))&gt;1," (x"&amp;INDEX('Deck 1'!$A:$Z,ROW()-250,'List Setup'!$C$3)&amp;")","")&amp;IF(COUNTIF(Binders!$J$6:$J$30,TRUE())&gt;1," ["&amp;Q430&amp;"]",""))</f>
        <v/>
      </c>
      <c r="H430" s="80" t="str">
        <f t="array" ref="H430">IF(A430="","",CHAR(10)&amp;INDEX('Deck 1'!$A:$Z,ROW()-250,'List Setup'!$E$3)&amp;CHAR(10))</f>
        <v/>
      </c>
      <c r="I430" s="80" t="str">
        <f t="array" ref="I430">IF(OR(B430="",B430="(none)"),"",IF(ISNUMBER(SEARCH(CHAR(10)&amp;B430&amp;CHAR(10),H430)),B430,IFERROR(INDEX('Set Aliases'!$A$2:$A$501,MATCH(1,('Set Aliases'!$B$2:$B$501=B430)*ISNUMBER(SEARCH(CHAR(10)&amp;'Set Aliases'!$A$2:$A$501&amp;CHAR(10),H430)),0)),"")))</f>
        <v/>
      </c>
      <c r="J430" s="80" t="str">
        <f t="array" ref="J430">IF(I430="","",IFERROR(VALUE(TRIM(MID(SUBSTITUTE(INDEX('Deck 1'!$A:$Z,ROW()-250,'List Setup'!$G$3),CHAR(10),REPT(" ",100)),((SEARCH(CHAR(10)&amp;I430&amp;CHAR(10),H430)-LEN(SUBSTITUTE(LEFT(H430,SEARCH(CHAR(10)&amp;I430&amp;CHAR(10),H430)),CHAR(10),"")))-1)*100+1,100))),""))</f>
        <v/>
      </c>
      <c r="K430" s="80" t="str">
        <f t="array" ref="K430">IF(A430="","",IF(ISNUMBER(SEARCH("Land",LEFT(IFERROR(INDEX('Deck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30" s="80" t="str">
        <f t="shared" si="3"/>
        <v/>
      </c>
      <c r="M430" s="80" t="str">
        <f>IF(A430="","",IF(AND(E430="Y",B430='Use at Shop'!$B$4),K430*10000000000+(MAX(0,MIN(26,CODE(MID(UPPER(A430)&amp;"    ",1,1))-64))*19683+MAX(0,MIN(26,CODE(MID(UPPER(A430)&amp;"    ",2,1))-64))*729+MAX(0,MIN(26,CODE(MID(UPPER(A430)&amp;"    ",3,1))-64))*27+MAX(0,MIN(26,CODE(MID(UPPER(A430)&amp;"    ",4,1))-64))*1)*10000+ROW(),""))</f>
        <v/>
      </c>
      <c r="N430" s="80" t="str">
        <f t="shared" si="5"/>
        <v/>
      </c>
      <c r="O430" s="80" t="str">
        <f t="array" ref="O430">IF(A430="","",IFERROR(INDEX('Deck 1'!$A:$Z,ROW()-250,'List Setup'!$J$3)&amp;"",""))</f>
        <v/>
      </c>
      <c r="P430" s="2"/>
      <c r="Q430" s="80" t="str">
        <f>IF(A430="","",'List Setup'!$A$3)</f>
        <v/>
      </c>
      <c r="R430" s="80" t="str">
        <f t="array" ref="R430">IF(A430="","",IFERROR(OR(INDEX(Binders!$J$6:$J$30,MATCH(Q430,Binders!$I$6:$I$30,0))=TRUE(),UPPER(INDEX(Binders!$J$6:$J$30,MATCH(Q430,Binders!$I$6:$I$30,0))&amp;"")="TRUE"),FALSE()))</f>
        <v/>
      </c>
    </row>
    <row r="431" ht="15.75" customHeight="1">
      <c r="A431" s="80" t="str">
        <f t="array" ref="A431">IF(INDEX('Deck 1'!$A:$Z,ROW()-250,'List Setup'!$D$3)="","",INDEX('Deck 1'!$A:$Z,ROW()-250,'List Setup'!$D$3))</f>
        <v/>
      </c>
      <c r="B431" s="80" t="str">
        <f t="array" ref="B431">IF(A431="","",IFERROR(INDEX('Binder Setup'!$B$2:$B$401,MIN(IF(ISNUMBER(SEARCH(CHAR(10)&amp;'Binder Setup'!$B$2:$B$401&amp;CHAR(10),$H431)),'List Setup'!$Q$2:$Q$401,999),IF(ISNUMBER(SEARCH(CHAR(10)&amp;'Set Aliases'!$A$2:$A$501&amp;CHAR(10),$H431)),'Set Aliases'!$C$2:$C$501,999))),"(none)"))</f>
        <v/>
      </c>
      <c r="C431" s="80" t="str">
        <f t="shared" si="1"/>
        <v/>
      </c>
      <c r="D431" s="80" t="str">
        <f t="array" ref="D431">IF(A431="","",IF(ISLOGICAL(INDEX('Deck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31" s="80" t="str">
        <f t="shared" si="2"/>
        <v/>
      </c>
      <c r="F431" s="80" t="str">
        <f t="array" ref="F431">IF(A431="","",IF(ISNUMBER(J431),J431,IF(ISNUMBER(INDEX('Deck 1'!$A:$Z,ROW()-250,'List Setup'!$F$3)),INDEX('Deck 1'!$A:$Z,ROW()-250,'List Setup'!$F$3),0)))</f>
        <v/>
      </c>
      <c r="G431" s="80" t="str">
        <f t="array" ref="G431">IF(A431="","",A431&amp;IF(N(INDEX('Deck 1'!$A:$Z,ROW()-250,'List Setup'!$C$3))&gt;1," (x"&amp;INDEX('Deck 1'!$A:$Z,ROW()-250,'List Setup'!$C$3)&amp;")","")&amp;IF(COUNTIF(Binders!$J$6:$J$30,TRUE())&gt;1," ["&amp;Q431&amp;"]",""))</f>
        <v/>
      </c>
      <c r="H431" s="80" t="str">
        <f t="array" ref="H431">IF(A431="","",CHAR(10)&amp;INDEX('Deck 1'!$A:$Z,ROW()-250,'List Setup'!$E$3)&amp;CHAR(10))</f>
        <v/>
      </c>
      <c r="I431" s="80" t="str">
        <f t="array" ref="I431">IF(OR(B431="",B431="(none)"),"",IF(ISNUMBER(SEARCH(CHAR(10)&amp;B431&amp;CHAR(10),H431)),B431,IFERROR(INDEX('Set Aliases'!$A$2:$A$501,MATCH(1,('Set Aliases'!$B$2:$B$501=B431)*ISNUMBER(SEARCH(CHAR(10)&amp;'Set Aliases'!$A$2:$A$501&amp;CHAR(10),H431)),0)),"")))</f>
        <v/>
      </c>
      <c r="J431" s="80" t="str">
        <f t="array" ref="J431">IF(I431="","",IFERROR(VALUE(TRIM(MID(SUBSTITUTE(INDEX('Deck 1'!$A:$Z,ROW()-250,'List Setup'!$G$3),CHAR(10),REPT(" ",100)),((SEARCH(CHAR(10)&amp;I431&amp;CHAR(10),H431)-LEN(SUBSTITUTE(LEFT(H431,SEARCH(CHAR(10)&amp;I431&amp;CHAR(10),H431)),CHAR(10),"")))-1)*100+1,100))),""))</f>
        <v/>
      </c>
      <c r="K431" s="80" t="str">
        <f t="array" ref="K431">IF(A431="","",IF(ISNUMBER(SEARCH("Land",LEFT(IFERROR(INDEX('Deck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31" s="80" t="str">
        <f t="shared" si="3"/>
        <v/>
      </c>
      <c r="M431" s="80" t="str">
        <f>IF(A431="","",IF(AND(E431="Y",B431='Use at Shop'!$B$4),K431*10000000000+(MAX(0,MIN(26,CODE(MID(UPPER(A431)&amp;"    ",1,1))-64))*19683+MAX(0,MIN(26,CODE(MID(UPPER(A431)&amp;"    ",2,1))-64))*729+MAX(0,MIN(26,CODE(MID(UPPER(A431)&amp;"    ",3,1))-64))*27+MAX(0,MIN(26,CODE(MID(UPPER(A431)&amp;"    ",4,1))-64))*1)*10000+ROW(),""))</f>
        <v/>
      </c>
      <c r="N431" s="80" t="str">
        <f t="shared" si="5"/>
        <v/>
      </c>
      <c r="O431" s="80" t="str">
        <f t="array" ref="O431">IF(A431="","",IFERROR(INDEX('Deck 1'!$A:$Z,ROW()-250,'List Setup'!$J$3)&amp;"",""))</f>
        <v/>
      </c>
      <c r="P431" s="2"/>
      <c r="Q431" s="80" t="str">
        <f>IF(A431="","",'List Setup'!$A$3)</f>
        <v/>
      </c>
      <c r="R431" s="80" t="str">
        <f t="array" ref="R431">IF(A431="","",IFERROR(OR(INDEX(Binders!$J$6:$J$30,MATCH(Q431,Binders!$I$6:$I$30,0))=TRUE(),UPPER(INDEX(Binders!$J$6:$J$30,MATCH(Q431,Binders!$I$6:$I$30,0))&amp;"")="TRUE"),FALSE()))</f>
        <v/>
      </c>
    </row>
    <row r="432" ht="15.75" customHeight="1">
      <c r="A432" s="80" t="str">
        <f t="array" ref="A432">IF(INDEX('Deck 1'!$A:$Z,ROW()-250,'List Setup'!$D$3)="","",INDEX('Deck 1'!$A:$Z,ROW()-250,'List Setup'!$D$3))</f>
        <v/>
      </c>
      <c r="B432" s="80" t="str">
        <f t="array" ref="B432">IF(A432="","",IFERROR(INDEX('Binder Setup'!$B$2:$B$401,MIN(IF(ISNUMBER(SEARCH(CHAR(10)&amp;'Binder Setup'!$B$2:$B$401&amp;CHAR(10),$H432)),'List Setup'!$Q$2:$Q$401,999),IF(ISNUMBER(SEARCH(CHAR(10)&amp;'Set Aliases'!$A$2:$A$501&amp;CHAR(10),$H432)),'Set Aliases'!$C$2:$C$501,999))),"(none)"))</f>
        <v/>
      </c>
      <c r="C432" s="80" t="str">
        <f t="shared" si="1"/>
        <v/>
      </c>
      <c r="D432" s="80" t="str">
        <f t="array" ref="D432">IF(A432="","",IF(ISLOGICAL(INDEX('Deck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32" s="80" t="str">
        <f t="shared" si="2"/>
        <v/>
      </c>
      <c r="F432" s="80" t="str">
        <f t="array" ref="F432">IF(A432="","",IF(ISNUMBER(J432),J432,IF(ISNUMBER(INDEX('Deck 1'!$A:$Z,ROW()-250,'List Setup'!$F$3)),INDEX('Deck 1'!$A:$Z,ROW()-250,'List Setup'!$F$3),0)))</f>
        <v/>
      </c>
      <c r="G432" s="80" t="str">
        <f t="array" ref="G432">IF(A432="","",A432&amp;IF(N(INDEX('Deck 1'!$A:$Z,ROW()-250,'List Setup'!$C$3))&gt;1," (x"&amp;INDEX('Deck 1'!$A:$Z,ROW()-250,'List Setup'!$C$3)&amp;")","")&amp;IF(COUNTIF(Binders!$J$6:$J$30,TRUE())&gt;1," ["&amp;Q432&amp;"]",""))</f>
        <v/>
      </c>
      <c r="H432" s="80" t="str">
        <f t="array" ref="H432">IF(A432="","",CHAR(10)&amp;INDEX('Deck 1'!$A:$Z,ROW()-250,'List Setup'!$E$3)&amp;CHAR(10))</f>
        <v/>
      </c>
      <c r="I432" s="80" t="str">
        <f t="array" ref="I432">IF(OR(B432="",B432="(none)"),"",IF(ISNUMBER(SEARCH(CHAR(10)&amp;B432&amp;CHAR(10),H432)),B432,IFERROR(INDEX('Set Aliases'!$A$2:$A$501,MATCH(1,('Set Aliases'!$B$2:$B$501=B432)*ISNUMBER(SEARCH(CHAR(10)&amp;'Set Aliases'!$A$2:$A$501&amp;CHAR(10),H432)),0)),"")))</f>
        <v/>
      </c>
      <c r="J432" s="80" t="str">
        <f t="array" ref="J432">IF(I432="","",IFERROR(VALUE(TRIM(MID(SUBSTITUTE(INDEX('Deck 1'!$A:$Z,ROW()-250,'List Setup'!$G$3),CHAR(10),REPT(" ",100)),((SEARCH(CHAR(10)&amp;I432&amp;CHAR(10),H432)-LEN(SUBSTITUTE(LEFT(H432,SEARCH(CHAR(10)&amp;I432&amp;CHAR(10),H432)),CHAR(10),"")))-1)*100+1,100))),""))</f>
        <v/>
      </c>
      <c r="K432" s="80" t="str">
        <f t="array" ref="K432">IF(A432="","",IF(ISNUMBER(SEARCH("Land",LEFT(IFERROR(INDEX('Deck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32" s="80" t="str">
        <f t="shared" si="3"/>
        <v/>
      </c>
      <c r="M432" s="80" t="str">
        <f>IF(A432="","",IF(AND(E432="Y",B432='Use at Shop'!$B$4),K432*10000000000+(MAX(0,MIN(26,CODE(MID(UPPER(A432)&amp;"    ",1,1))-64))*19683+MAX(0,MIN(26,CODE(MID(UPPER(A432)&amp;"    ",2,1))-64))*729+MAX(0,MIN(26,CODE(MID(UPPER(A432)&amp;"    ",3,1))-64))*27+MAX(0,MIN(26,CODE(MID(UPPER(A432)&amp;"    ",4,1))-64))*1)*10000+ROW(),""))</f>
        <v/>
      </c>
      <c r="N432" s="80" t="str">
        <f t="shared" si="5"/>
        <v/>
      </c>
      <c r="O432" s="80" t="str">
        <f t="array" ref="O432">IF(A432="","",IFERROR(INDEX('Deck 1'!$A:$Z,ROW()-250,'List Setup'!$J$3)&amp;"",""))</f>
        <v/>
      </c>
      <c r="P432" s="2"/>
      <c r="Q432" s="80" t="str">
        <f>IF(A432="","",'List Setup'!$A$3)</f>
        <v/>
      </c>
      <c r="R432" s="80" t="str">
        <f t="array" ref="R432">IF(A432="","",IFERROR(OR(INDEX(Binders!$J$6:$J$30,MATCH(Q432,Binders!$I$6:$I$30,0))=TRUE(),UPPER(INDEX(Binders!$J$6:$J$30,MATCH(Q432,Binders!$I$6:$I$30,0))&amp;"")="TRUE"),FALSE()))</f>
        <v/>
      </c>
    </row>
    <row r="433" ht="15.75" customHeight="1">
      <c r="A433" s="80" t="str">
        <f t="array" ref="A433">IF(INDEX('Deck 1'!$A:$Z,ROW()-250,'List Setup'!$D$3)="","",INDEX('Deck 1'!$A:$Z,ROW()-250,'List Setup'!$D$3))</f>
        <v/>
      </c>
      <c r="B433" s="80" t="str">
        <f t="array" ref="B433">IF(A433="","",IFERROR(INDEX('Binder Setup'!$B$2:$B$401,MIN(IF(ISNUMBER(SEARCH(CHAR(10)&amp;'Binder Setup'!$B$2:$B$401&amp;CHAR(10),$H433)),'List Setup'!$Q$2:$Q$401,999),IF(ISNUMBER(SEARCH(CHAR(10)&amp;'Set Aliases'!$A$2:$A$501&amp;CHAR(10),$H433)),'Set Aliases'!$C$2:$C$501,999))),"(none)"))</f>
        <v/>
      </c>
      <c r="C433" s="80" t="str">
        <f t="shared" si="1"/>
        <v/>
      </c>
      <c r="D433" s="80" t="str">
        <f t="array" ref="D433">IF(A433="","",IF(ISLOGICAL(INDEX('Deck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33" s="80" t="str">
        <f t="shared" si="2"/>
        <v/>
      </c>
      <c r="F433" s="80" t="str">
        <f t="array" ref="F433">IF(A433="","",IF(ISNUMBER(J433),J433,IF(ISNUMBER(INDEX('Deck 1'!$A:$Z,ROW()-250,'List Setup'!$F$3)),INDEX('Deck 1'!$A:$Z,ROW()-250,'List Setup'!$F$3),0)))</f>
        <v/>
      </c>
      <c r="G433" s="80" t="str">
        <f t="array" ref="G433">IF(A433="","",A433&amp;IF(N(INDEX('Deck 1'!$A:$Z,ROW()-250,'List Setup'!$C$3))&gt;1," (x"&amp;INDEX('Deck 1'!$A:$Z,ROW()-250,'List Setup'!$C$3)&amp;")","")&amp;IF(COUNTIF(Binders!$J$6:$J$30,TRUE())&gt;1," ["&amp;Q433&amp;"]",""))</f>
        <v/>
      </c>
      <c r="H433" s="80" t="str">
        <f t="array" ref="H433">IF(A433="","",CHAR(10)&amp;INDEX('Deck 1'!$A:$Z,ROW()-250,'List Setup'!$E$3)&amp;CHAR(10))</f>
        <v/>
      </c>
      <c r="I433" s="80" t="str">
        <f t="array" ref="I433">IF(OR(B433="",B433="(none)"),"",IF(ISNUMBER(SEARCH(CHAR(10)&amp;B433&amp;CHAR(10),H433)),B433,IFERROR(INDEX('Set Aliases'!$A$2:$A$501,MATCH(1,('Set Aliases'!$B$2:$B$501=B433)*ISNUMBER(SEARCH(CHAR(10)&amp;'Set Aliases'!$A$2:$A$501&amp;CHAR(10),H433)),0)),"")))</f>
        <v/>
      </c>
      <c r="J433" s="80" t="str">
        <f t="array" ref="J433">IF(I433="","",IFERROR(VALUE(TRIM(MID(SUBSTITUTE(INDEX('Deck 1'!$A:$Z,ROW()-250,'List Setup'!$G$3),CHAR(10),REPT(" ",100)),((SEARCH(CHAR(10)&amp;I433&amp;CHAR(10),H433)-LEN(SUBSTITUTE(LEFT(H433,SEARCH(CHAR(10)&amp;I433&amp;CHAR(10),H433)),CHAR(10),"")))-1)*100+1,100))),""))</f>
        <v/>
      </c>
      <c r="K433" s="80" t="str">
        <f t="array" ref="K433">IF(A433="","",IF(ISNUMBER(SEARCH("Land",LEFT(IFERROR(INDEX('Deck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33" s="80" t="str">
        <f t="shared" si="3"/>
        <v/>
      </c>
      <c r="M433" s="80" t="str">
        <f>IF(A433="","",IF(AND(E433="Y",B433='Use at Shop'!$B$4),K433*10000000000+(MAX(0,MIN(26,CODE(MID(UPPER(A433)&amp;"    ",1,1))-64))*19683+MAX(0,MIN(26,CODE(MID(UPPER(A433)&amp;"    ",2,1))-64))*729+MAX(0,MIN(26,CODE(MID(UPPER(A433)&amp;"    ",3,1))-64))*27+MAX(0,MIN(26,CODE(MID(UPPER(A433)&amp;"    ",4,1))-64))*1)*10000+ROW(),""))</f>
        <v/>
      </c>
      <c r="N433" s="80" t="str">
        <f t="shared" si="5"/>
        <v/>
      </c>
      <c r="O433" s="80" t="str">
        <f t="array" ref="O433">IF(A433="","",IFERROR(INDEX('Deck 1'!$A:$Z,ROW()-250,'List Setup'!$J$3)&amp;"",""))</f>
        <v/>
      </c>
      <c r="P433" s="2"/>
      <c r="Q433" s="80" t="str">
        <f>IF(A433="","",'List Setup'!$A$3)</f>
        <v/>
      </c>
      <c r="R433" s="80" t="str">
        <f t="array" ref="R433">IF(A433="","",IFERROR(OR(INDEX(Binders!$J$6:$J$30,MATCH(Q433,Binders!$I$6:$I$30,0))=TRUE(),UPPER(INDEX(Binders!$J$6:$J$30,MATCH(Q433,Binders!$I$6:$I$30,0))&amp;"")="TRUE"),FALSE()))</f>
        <v/>
      </c>
    </row>
    <row r="434" ht="15.75" customHeight="1">
      <c r="A434" s="80" t="str">
        <f t="array" ref="A434">IF(INDEX('Deck 1'!$A:$Z,ROW()-250,'List Setup'!$D$3)="","",INDEX('Deck 1'!$A:$Z,ROW()-250,'List Setup'!$D$3))</f>
        <v/>
      </c>
      <c r="B434" s="80" t="str">
        <f t="array" ref="B434">IF(A434="","",IFERROR(INDEX('Binder Setup'!$B$2:$B$401,MIN(IF(ISNUMBER(SEARCH(CHAR(10)&amp;'Binder Setup'!$B$2:$B$401&amp;CHAR(10),$H434)),'List Setup'!$Q$2:$Q$401,999),IF(ISNUMBER(SEARCH(CHAR(10)&amp;'Set Aliases'!$A$2:$A$501&amp;CHAR(10),$H434)),'Set Aliases'!$C$2:$C$501,999))),"(none)"))</f>
        <v/>
      </c>
      <c r="C434" s="80" t="str">
        <f t="shared" si="1"/>
        <v/>
      </c>
      <c r="D434" s="80" t="str">
        <f t="array" ref="D434">IF(A434="","",IF(ISLOGICAL(INDEX('Deck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34" s="80" t="str">
        <f t="shared" si="2"/>
        <v/>
      </c>
      <c r="F434" s="80" t="str">
        <f t="array" ref="F434">IF(A434="","",IF(ISNUMBER(J434),J434,IF(ISNUMBER(INDEX('Deck 1'!$A:$Z,ROW()-250,'List Setup'!$F$3)),INDEX('Deck 1'!$A:$Z,ROW()-250,'List Setup'!$F$3),0)))</f>
        <v/>
      </c>
      <c r="G434" s="80" t="str">
        <f t="array" ref="G434">IF(A434="","",A434&amp;IF(N(INDEX('Deck 1'!$A:$Z,ROW()-250,'List Setup'!$C$3))&gt;1," (x"&amp;INDEX('Deck 1'!$A:$Z,ROW()-250,'List Setup'!$C$3)&amp;")","")&amp;IF(COUNTIF(Binders!$J$6:$J$30,TRUE())&gt;1," ["&amp;Q434&amp;"]",""))</f>
        <v/>
      </c>
      <c r="H434" s="80" t="str">
        <f t="array" ref="H434">IF(A434="","",CHAR(10)&amp;INDEX('Deck 1'!$A:$Z,ROW()-250,'List Setup'!$E$3)&amp;CHAR(10))</f>
        <v/>
      </c>
      <c r="I434" s="80" t="str">
        <f t="array" ref="I434">IF(OR(B434="",B434="(none)"),"",IF(ISNUMBER(SEARCH(CHAR(10)&amp;B434&amp;CHAR(10),H434)),B434,IFERROR(INDEX('Set Aliases'!$A$2:$A$501,MATCH(1,('Set Aliases'!$B$2:$B$501=B434)*ISNUMBER(SEARCH(CHAR(10)&amp;'Set Aliases'!$A$2:$A$501&amp;CHAR(10),H434)),0)),"")))</f>
        <v/>
      </c>
      <c r="J434" s="80" t="str">
        <f t="array" ref="J434">IF(I434="","",IFERROR(VALUE(TRIM(MID(SUBSTITUTE(INDEX('Deck 1'!$A:$Z,ROW()-250,'List Setup'!$G$3),CHAR(10),REPT(" ",100)),((SEARCH(CHAR(10)&amp;I434&amp;CHAR(10),H434)-LEN(SUBSTITUTE(LEFT(H434,SEARCH(CHAR(10)&amp;I434&amp;CHAR(10),H434)),CHAR(10),"")))-1)*100+1,100))),""))</f>
        <v/>
      </c>
      <c r="K434" s="80" t="str">
        <f t="array" ref="K434">IF(A434="","",IF(ISNUMBER(SEARCH("Land",LEFT(IFERROR(INDEX('Deck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34" s="80" t="str">
        <f t="shared" si="3"/>
        <v/>
      </c>
      <c r="M434" s="80" t="str">
        <f>IF(A434="","",IF(AND(E434="Y",B434='Use at Shop'!$B$4),K434*10000000000+(MAX(0,MIN(26,CODE(MID(UPPER(A434)&amp;"    ",1,1))-64))*19683+MAX(0,MIN(26,CODE(MID(UPPER(A434)&amp;"    ",2,1))-64))*729+MAX(0,MIN(26,CODE(MID(UPPER(A434)&amp;"    ",3,1))-64))*27+MAX(0,MIN(26,CODE(MID(UPPER(A434)&amp;"    ",4,1))-64))*1)*10000+ROW(),""))</f>
        <v/>
      </c>
      <c r="N434" s="80" t="str">
        <f t="shared" si="5"/>
        <v/>
      </c>
      <c r="O434" s="80" t="str">
        <f t="array" ref="O434">IF(A434="","",IFERROR(INDEX('Deck 1'!$A:$Z,ROW()-250,'List Setup'!$J$3)&amp;"",""))</f>
        <v/>
      </c>
      <c r="P434" s="2"/>
      <c r="Q434" s="80" t="str">
        <f>IF(A434="","",'List Setup'!$A$3)</f>
        <v/>
      </c>
      <c r="R434" s="80" t="str">
        <f t="array" ref="R434">IF(A434="","",IFERROR(OR(INDEX(Binders!$J$6:$J$30,MATCH(Q434,Binders!$I$6:$I$30,0))=TRUE(),UPPER(INDEX(Binders!$J$6:$J$30,MATCH(Q434,Binders!$I$6:$I$30,0))&amp;"")="TRUE"),FALSE()))</f>
        <v/>
      </c>
    </row>
    <row r="435" ht="15.75" customHeight="1">
      <c r="A435" s="80" t="str">
        <f t="array" ref="A435">IF(INDEX('Deck 1'!$A:$Z,ROW()-250,'List Setup'!$D$3)="","",INDEX('Deck 1'!$A:$Z,ROW()-250,'List Setup'!$D$3))</f>
        <v/>
      </c>
      <c r="B435" s="80" t="str">
        <f t="array" ref="B435">IF(A435="","",IFERROR(INDEX('Binder Setup'!$B$2:$B$401,MIN(IF(ISNUMBER(SEARCH(CHAR(10)&amp;'Binder Setup'!$B$2:$B$401&amp;CHAR(10),$H435)),'List Setup'!$Q$2:$Q$401,999),IF(ISNUMBER(SEARCH(CHAR(10)&amp;'Set Aliases'!$A$2:$A$501&amp;CHAR(10),$H435)),'Set Aliases'!$C$2:$C$501,999))),"(none)"))</f>
        <v/>
      </c>
      <c r="C435" s="80" t="str">
        <f t="shared" si="1"/>
        <v/>
      </c>
      <c r="D435" s="80" t="str">
        <f t="array" ref="D435">IF(A435="","",IF(ISLOGICAL(INDEX('Deck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35" s="80" t="str">
        <f t="shared" si="2"/>
        <v/>
      </c>
      <c r="F435" s="80" t="str">
        <f t="array" ref="F435">IF(A435="","",IF(ISNUMBER(J435),J435,IF(ISNUMBER(INDEX('Deck 1'!$A:$Z,ROW()-250,'List Setup'!$F$3)),INDEX('Deck 1'!$A:$Z,ROW()-250,'List Setup'!$F$3),0)))</f>
        <v/>
      </c>
      <c r="G435" s="80" t="str">
        <f t="array" ref="G435">IF(A435="","",A435&amp;IF(N(INDEX('Deck 1'!$A:$Z,ROW()-250,'List Setup'!$C$3))&gt;1," (x"&amp;INDEX('Deck 1'!$A:$Z,ROW()-250,'List Setup'!$C$3)&amp;")","")&amp;IF(COUNTIF(Binders!$J$6:$J$30,TRUE())&gt;1," ["&amp;Q435&amp;"]",""))</f>
        <v/>
      </c>
      <c r="H435" s="80" t="str">
        <f t="array" ref="H435">IF(A435="","",CHAR(10)&amp;INDEX('Deck 1'!$A:$Z,ROW()-250,'List Setup'!$E$3)&amp;CHAR(10))</f>
        <v/>
      </c>
      <c r="I435" s="80" t="str">
        <f t="array" ref="I435">IF(OR(B435="",B435="(none)"),"",IF(ISNUMBER(SEARCH(CHAR(10)&amp;B435&amp;CHAR(10),H435)),B435,IFERROR(INDEX('Set Aliases'!$A$2:$A$501,MATCH(1,('Set Aliases'!$B$2:$B$501=B435)*ISNUMBER(SEARCH(CHAR(10)&amp;'Set Aliases'!$A$2:$A$501&amp;CHAR(10),H435)),0)),"")))</f>
        <v/>
      </c>
      <c r="J435" s="80" t="str">
        <f t="array" ref="J435">IF(I435="","",IFERROR(VALUE(TRIM(MID(SUBSTITUTE(INDEX('Deck 1'!$A:$Z,ROW()-250,'List Setup'!$G$3),CHAR(10),REPT(" ",100)),((SEARCH(CHAR(10)&amp;I435&amp;CHAR(10),H435)-LEN(SUBSTITUTE(LEFT(H435,SEARCH(CHAR(10)&amp;I435&amp;CHAR(10),H435)),CHAR(10),"")))-1)*100+1,100))),""))</f>
        <v/>
      </c>
      <c r="K435" s="80" t="str">
        <f t="array" ref="K435">IF(A435="","",IF(ISNUMBER(SEARCH("Land",LEFT(IFERROR(INDEX('Deck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35" s="80" t="str">
        <f t="shared" si="3"/>
        <v/>
      </c>
      <c r="M435" s="80" t="str">
        <f>IF(A435="","",IF(AND(E435="Y",B435='Use at Shop'!$B$4),K435*10000000000+(MAX(0,MIN(26,CODE(MID(UPPER(A435)&amp;"    ",1,1))-64))*19683+MAX(0,MIN(26,CODE(MID(UPPER(A435)&amp;"    ",2,1))-64))*729+MAX(0,MIN(26,CODE(MID(UPPER(A435)&amp;"    ",3,1))-64))*27+MAX(0,MIN(26,CODE(MID(UPPER(A435)&amp;"    ",4,1))-64))*1)*10000+ROW(),""))</f>
        <v/>
      </c>
      <c r="N435" s="80" t="str">
        <f t="shared" si="5"/>
        <v/>
      </c>
      <c r="O435" s="80" t="str">
        <f t="array" ref="O435">IF(A435="","",IFERROR(INDEX('Deck 1'!$A:$Z,ROW()-250,'List Setup'!$J$3)&amp;"",""))</f>
        <v/>
      </c>
      <c r="P435" s="2"/>
      <c r="Q435" s="80" t="str">
        <f>IF(A435="","",'List Setup'!$A$3)</f>
        <v/>
      </c>
      <c r="R435" s="80" t="str">
        <f t="array" ref="R435">IF(A435="","",IFERROR(OR(INDEX(Binders!$J$6:$J$30,MATCH(Q435,Binders!$I$6:$I$30,0))=TRUE(),UPPER(INDEX(Binders!$J$6:$J$30,MATCH(Q435,Binders!$I$6:$I$30,0))&amp;"")="TRUE"),FALSE()))</f>
        <v/>
      </c>
    </row>
    <row r="436" ht="15.75" customHeight="1">
      <c r="A436" s="80" t="str">
        <f t="array" ref="A436">IF(INDEX('Deck 1'!$A:$Z,ROW()-250,'List Setup'!$D$3)="","",INDEX('Deck 1'!$A:$Z,ROW()-250,'List Setup'!$D$3))</f>
        <v/>
      </c>
      <c r="B436" s="80" t="str">
        <f t="array" ref="B436">IF(A436="","",IFERROR(INDEX('Binder Setup'!$B$2:$B$401,MIN(IF(ISNUMBER(SEARCH(CHAR(10)&amp;'Binder Setup'!$B$2:$B$401&amp;CHAR(10),$H436)),'List Setup'!$Q$2:$Q$401,999),IF(ISNUMBER(SEARCH(CHAR(10)&amp;'Set Aliases'!$A$2:$A$501&amp;CHAR(10),$H436)),'Set Aliases'!$C$2:$C$501,999))),"(none)"))</f>
        <v/>
      </c>
      <c r="C436" s="80" t="str">
        <f t="shared" si="1"/>
        <v/>
      </c>
      <c r="D436" s="80" t="str">
        <f t="array" ref="D436">IF(A436="","",IF(ISLOGICAL(INDEX('Deck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36" s="80" t="str">
        <f t="shared" si="2"/>
        <v/>
      </c>
      <c r="F436" s="80" t="str">
        <f t="array" ref="F436">IF(A436="","",IF(ISNUMBER(J436),J436,IF(ISNUMBER(INDEX('Deck 1'!$A:$Z,ROW()-250,'List Setup'!$F$3)),INDEX('Deck 1'!$A:$Z,ROW()-250,'List Setup'!$F$3),0)))</f>
        <v/>
      </c>
      <c r="G436" s="80" t="str">
        <f t="array" ref="G436">IF(A436="","",A436&amp;IF(N(INDEX('Deck 1'!$A:$Z,ROW()-250,'List Setup'!$C$3))&gt;1," (x"&amp;INDEX('Deck 1'!$A:$Z,ROW()-250,'List Setup'!$C$3)&amp;")","")&amp;IF(COUNTIF(Binders!$J$6:$J$30,TRUE())&gt;1," ["&amp;Q436&amp;"]",""))</f>
        <v/>
      </c>
      <c r="H436" s="80" t="str">
        <f t="array" ref="H436">IF(A436="","",CHAR(10)&amp;INDEX('Deck 1'!$A:$Z,ROW()-250,'List Setup'!$E$3)&amp;CHAR(10))</f>
        <v/>
      </c>
      <c r="I436" s="80" t="str">
        <f t="array" ref="I436">IF(OR(B436="",B436="(none)"),"",IF(ISNUMBER(SEARCH(CHAR(10)&amp;B436&amp;CHAR(10),H436)),B436,IFERROR(INDEX('Set Aliases'!$A$2:$A$501,MATCH(1,('Set Aliases'!$B$2:$B$501=B436)*ISNUMBER(SEARCH(CHAR(10)&amp;'Set Aliases'!$A$2:$A$501&amp;CHAR(10),H436)),0)),"")))</f>
        <v/>
      </c>
      <c r="J436" s="80" t="str">
        <f t="array" ref="J436">IF(I436="","",IFERROR(VALUE(TRIM(MID(SUBSTITUTE(INDEX('Deck 1'!$A:$Z,ROW()-250,'List Setup'!$G$3),CHAR(10),REPT(" ",100)),((SEARCH(CHAR(10)&amp;I436&amp;CHAR(10),H436)-LEN(SUBSTITUTE(LEFT(H436,SEARCH(CHAR(10)&amp;I436&amp;CHAR(10),H436)),CHAR(10),"")))-1)*100+1,100))),""))</f>
        <v/>
      </c>
      <c r="K436" s="80" t="str">
        <f t="array" ref="K436">IF(A436="","",IF(ISNUMBER(SEARCH("Land",LEFT(IFERROR(INDEX('Deck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36" s="80" t="str">
        <f t="shared" si="3"/>
        <v/>
      </c>
      <c r="M436" s="80" t="str">
        <f>IF(A436="","",IF(AND(E436="Y",B436='Use at Shop'!$B$4),K436*10000000000+(MAX(0,MIN(26,CODE(MID(UPPER(A436)&amp;"    ",1,1))-64))*19683+MAX(0,MIN(26,CODE(MID(UPPER(A436)&amp;"    ",2,1))-64))*729+MAX(0,MIN(26,CODE(MID(UPPER(A436)&amp;"    ",3,1))-64))*27+MAX(0,MIN(26,CODE(MID(UPPER(A436)&amp;"    ",4,1))-64))*1)*10000+ROW(),""))</f>
        <v/>
      </c>
      <c r="N436" s="80" t="str">
        <f t="shared" si="5"/>
        <v/>
      </c>
      <c r="O436" s="80" t="str">
        <f t="array" ref="O436">IF(A436="","",IFERROR(INDEX('Deck 1'!$A:$Z,ROW()-250,'List Setup'!$J$3)&amp;"",""))</f>
        <v/>
      </c>
      <c r="P436" s="2"/>
      <c r="Q436" s="80" t="str">
        <f>IF(A436="","",'List Setup'!$A$3)</f>
        <v/>
      </c>
      <c r="R436" s="80" t="str">
        <f t="array" ref="R436">IF(A436="","",IFERROR(OR(INDEX(Binders!$J$6:$J$30,MATCH(Q436,Binders!$I$6:$I$30,0))=TRUE(),UPPER(INDEX(Binders!$J$6:$J$30,MATCH(Q436,Binders!$I$6:$I$30,0))&amp;"")="TRUE"),FALSE()))</f>
        <v/>
      </c>
    </row>
    <row r="437" ht="15.75" customHeight="1">
      <c r="A437" s="80" t="str">
        <f t="array" ref="A437">IF(INDEX('Deck 1'!$A:$Z,ROW()-250,'List Setup'!$D$3)="","",INDEX('Deck 1'!$A:$Z,ROW()-250,'List Setup'!$D$3))</f>
        <v/>
      </c>
      <c r="B437" s="80" t="str">
        <f t="array" ref="B437">IF(A437="","",IFERROR(INDEX('Binder Setup'!$B$2:$B$401,MIN(IF(ISNUMBER(SEARCH(CHAR(10)&amp;'Binder Setup'!$B$2:$B$401&amp;CHAR(10),$H437)),'List Setup'!$Q$2:$Q$401,999),IF(ISNUMBER(SEARCH(CHAR(10)&amp;'Set Aliases'!$A$2:$A$501&amp;CHAR(10),$H437)),'Set Aliases'!$C$2:$C$501,999))),"(none)"))</f>
        <v/>
      </c>
      <c r="C437" s="80" t="str">
        <f t="shared" si="1"/>
        <v/>
      </c>
      <c r="D437" s="80" t="str">
        <f t="array" ref="D437">IF(A437="","",IF(ISLOGICAL(INDEX('Deck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37" s="80" t="str">
        <f t="shared" si="2"/>
        <v/>
      </c>
      <c r="F437" s="80" t="str">
        <f t="array" ref="F437">IF(A437="","",IF(ISNUMBER(J437),J437,IF(ISNUMBER(INDEX('Deck 1'!$A:$Z,ROW()-250,'List Setup'!$F$3)),INDEX('Deck 1'!$A:$Z,ROW()-250,'List Setup'!$F$3),0)))</f>
        <v/>
      </c>
      <c r="G437" s="80" t="str">
        <f t="array" ref="G437">IF(A437="","",A437&amp;IF(N(INDEX('Deck 1'!$A:$Z,ROW()-250,'List Setup'!$C$3))&gt;1," (x"&amp;INDEX('Deck 1'!$A:$Z,ROW()-250,'List Setup'!$C$3)&amp;")","")&amp;IF(COUNTIF(Binders!$J$6:$J$30,TRUE())&gt;1," ["&amp;Q437&amp;"]",""))</f>
        <v/>
      </c>
      <c r="H437" s="80" t="str">
        <f t="array" ref="H437">IF(A437="","",CHAR(10)&amp;INDEX('Deck 1'!$A:$Z,ROW()-250,'List Setup'!$E$3)&amp;CHAR(10))</f>
        <v/>
      </c>
      <c r="I437" s="80" t="str">
        <f t="array" ref="I437">IF(OR(B437="",B437="(none)"),"",IF(ISNUMBER(SEARCH(CHAR(10)&amp;B437&amp;CHAR(10),H437)),B437,IFERROR(INDEX('Set Aliases'!$A$2:$A$501,MATCH(1,('Set Aliases'!$B$2:$B$501=B437)*ISNUMBER(SEARCH(CHAR(10)&amp;'Set Aliases'!$A$2:$A$501&amp;CHAR(10),H437)),0)),"")))</f>
        <v/>
      </c>
      <c r="J437" s="80" t="str">
        <f t="array" ref="J437">IF(I437="","",IFERROR(VALUE(TRIM(MID(SUBSTITUTE(INDEX('Deck 1'!$A:$Z,ROW()-250,'List Setup'!$G$3),CHAR(10),REPT(" ",100)),((SEARCH(CHAR(10)&amp;I437&amp;CHAR(10),H437)-LEN(SUBSTITUTE(LEFT(H437,SEARCH(CHAR(10)&amp;I437&amp;CHAR(10),H437)),CHAR(10),"")))-1)*100+1,100))),""))</f>
        <v/>
      </c>
      <c r="K437" s="80" t="str">
        <f t="array" ref="K437">IF(A437="","",IF(ISNUMBER(SEARCH("Land",LEFT(IFERROR(INDEX('Deck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37" s="80" t="str">
        <f t="shared" si="3"/>
        <v/>
      </c>
      <c r="M437" s="80" t="str">
        <f>IF(A437="","",IF(AND(E437="Y",B437='Use at Shop'!$B$4),K437*10000000000+(MAX(0,MIN(26,CODE(MID(UPPER(A437)&amp;"    ",1,1))-64))*19683+MAX(0,MIN(26,CODE(MID(UPPER(A437)&amp;"    ",2,1))-64))*729+MAX(0,MIN(26,CODE(MID(UPPER(A437)&amp;"    ",3,1))-64))*27+MAX(0,MIN(26,CODE(MID(UPPER(A437)&amp;"    ",4,1))-64))*1)*10000+ROW(),""))</f>
        <v/>
      </c>
      <c r="N437" s="80" t="str">
        <f t="shared" si="5"/>
        <v/>
      </c>
      <c r="O437" s="80" t="str">
        <f t="array" ref="O437">IF(A437="","",IFERROR(INDEX('Deck 1'!$A:$Z,ROW()-250,'List Setup'!$J$3)&amp;"",""))</f>
        <v/>
      </c>
      <c r="P437" s="2"/>
      <c r="Q437" s="80" t="str">
        <f>IF(A437="","",'List Setup'!$A$3)</f>
        <v/>
      </c>
      <c r="R437" s="80" t="str">
        <f t="array" ref="R437">IF(A437="","",IFERROR(OR(INDEX(Binders!$J$6:$J$30,MATCH(Q437,Binders!$I$6:$I$30,0))=TRUE(),UPPER(INDEX(Binders!$J$6:$J$30,MATCH(Q437,Binders!$I$6:$I$30,0))&amp;"")="TRUE"),FALSE()))</f>
        <v/>
      </c>
    </row>
    <row r="438" ht="15.75" customHeight="1">
      <c r="A438" s="80" t="str">
        <f t="array" ref="A438">IF(INDEX('Deck 1'!$A:$Z,ROW()-250,'List Setup'!$D$3)="","",INDEX('Deck 1'!$A:$Z,ROW()-250,'List Setup'!$D$3))</f>
        <v/>
      </c>
      <c r="B438" s="80" t="str">
        <f t="array" ref="B438">IF(A438="","",IFERROR(INDEX('Binder Setup'!$B$2:$B$401,MIN(IF(ISNUMBER(SEARCH(CHAR(10)&amp;'Binder Setup'!$B$2:$B$401&amp;CHAR(10),$H438)),'List Setup'!$Q$2:$Q$401,999),IF(ISNUMBER(SEARCH(CHAR(10)&amp;'Set Aliases'!$A$2:$A$501&amp;CHAR(10),$H438)),'Set Aliases'!$C$2:$C$501,999))),"(none)"))</f>
        <v/>
      </c>
      <c r="C438" s="80" t="str">
        <f t="shared" si="1"/>
        <v/>
      </c>
      <c r="D438" s="80" t="str">
        <f t="array" ref="D438">IF(A438="","",IF(ISLOGICAL(INDEX('Deck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38" s="80" t="str">
        <f t="shared" si="2"/>
        <v/>
      </c>
      <c r="F438" s="80" t="str">
        <f t="array" ref="F438">IF(A438="","",IF(ISNUMBER(J438),J438,IF(ISNUMBER(INDEX('Deck 1'!$A:$Z,ROW()-250,'List Setup'!$F$3)),INDEX('Deck 1'!$A:$Z,ROW()-250,'List Setup'!$F$3),0)))</f>
        <v/>
      </c>
      <c r="G438" s="80" t="str">
        <f t="array" ref="G438">IF(A438="","",A438&amp;IF(N(INDEX('Deck 1'!$A:$Z,ROW()-250,'List Setup'!$C$3))&gt;1," (x"&amp;INDEX('Deck 1'!$A:$Z,ROW()-250,'List Setup'!$C$3)&amp;")","")&amp;IF(COUNTIF(Binders!$J$6:$J$30,TRUE())&gt;1," ["&amp;Q438&amp;"]",""))</f>
        <v/>
      </c>
      <c r="H438" s="80" t="str">
        <f t="array" ref="H438">IF(A438="","",CHAR(10)&amp;INDEX('Deck 1'!$A:$Z,ROW()-250,'List Setup'!$E$3)&amp;CHAR(10))</f>
        <v/>
      </c>
      <c r="I438" s="80" t="str">
        <f t="array" ref="I438">IF(OR(B438="",B438="(none)"),"",IF(ISNUMBER(SEARCH(CHAR(10)&amp;B438&amp;CHAR(10),H438)),B438,IFERROR(INDEX('Set Aliases'!$A$2:$A$501,MATCH(1,('Set Aliases'!$B$2:$B$501=B438)*ISNUMBER(SEARCH(CHAR(10)&amp;'Set Aliases'!$A$2:$A$501&amp;CHAR(10),H438)),0)),"")))</f>
        <v/>
      </c>
      <c r="J438" s="80" t="str">
        <f t="array" ref="J438">IF(I438="","",IFERROR(VALUE(TRIM(MID(SUBSTITUTE(INDEX('Deck 1'!$A:$Z,ROW()-250,'List Setup'!$G$3),CHAR(10),REPT(" ",100)),((SEARCH(CHAR(10)&amp;I438&amp;CHAR(10),H438)-LEN(SUBSTITUTE(LEFT(H438,SEARCH(CHAR(10)&amp;I438&amp;CHAR(10),H438)),CHAR(10),"")))-1)*100+1,100))),""))</f>
        <v/>
      </c>
      <c r="K438" s="80" t="str">
        <f t="array" ref="K438">IF(A438="","",IF(ISNUMBER(SEARCH("Land",LEFT(IFERROR(INDEX('Deck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38" s="80" t="str">
        <f t="shared" si="3"/>
        <v/>
      </c>
      <c r="M438" s="80" t="str">
        <f>IF(A438="","",IF(AND(E438="Y",B438='Use at Shop'!$B$4),K438*10000000000+(MAX(0,MIN(26,CODE(MID(UPPER(A438)&amp;"    ",1,1))-64))*19683+MAX(0,MIN(26,CODE(MID(UPPER(A438)&amp;"    ",2,1))-64))*729+MAX(0,MIN(26,CODE(MID(UPPER(A438)&amp;"    ",3,1))-64))*27+MAX(0,MIN(26,CODE(MID(UPPER(A438)&amp;"    ",4,1))-64))*1)*10000+ROW(),""))</f>
        <v/>
      </c>
      <c r="N438" s="80" t="str">
        <f t="shared" si="5"/>
        <v/>
      </c>
      <c r="O438" s="80" t="str">
        <f t="array" ref="O438">IF(A438="","",IFERROR(INDEX('Deck 1'!$A:$Z,ROW()-250,'List Setup'!$J$3)&amp;"",""))</f>
        <v/>
      </c>
      <c r="P438" s="2"/>
      <c r="Q438" s="80" t="str">
        <f>IF(A438="","",'List Setup'!$A$3)</f>
        <v/>
      </c>
      <c r="R438" s="80" t="str">
        <f t="array" ref="R438">IF(A438="","",IFERROR(OR(INDEX(Binders!$J$6:$J$30,MATCH(Q438,Binders!$I$6:$I$30,0))=TRUE(),UPPER(INDEX(Binders!$J$6:$J$30,MATCH(Q438,Binders!$I$6:$I$30,0))&amp;"")="TRUE"),FALSE()))</f>
        <v/>
      </c>
    </row>
    <row r="439" ht="15.75" customHeight="1">
      <c r="A439" s="80" t="str">
        <f t="array" ref="A439">IF(INDEX('Deck 1'!$A:$Z,ROW()-250,'List Setup'!$D$3)="","",INDEX('Deck 1'!$A:$Z,ROW()-250,'List Setup'!$D$3))</f>
        <v/>
      </c>
      <c r="B439" s="80" t="str">
        <f t="array" ref="B439">IF(A439="","",IFERROR(INDEX('Binder Setup'!$B$2:$B$401,MIN(IF(ISNUMBER(SEARCH(CHAR(10)&amp;'Binder Setup'!$B$2:$B$401&amp;CHAR(10),$H439)),'List Setup'!$Q$2:$Q$401,999),IF(ISNUMBER(SEARCH(CHAR(10)&amp;'Set Aliases'!$A$2:$A$501&amp;CHAR(10),$H439)),'Set Aliases'!$C$2:$C$501,999))),"(none)"))</f>
        <v/>
      </c>
      <c r="C439" s="80" t="str">
        <f t="shared" si="1"/>
        <v/>
      </c>
      <c r="D439" s="80" t="str">
        <f t="array" ref="D439">IF(A439="","",IF(ISLOGICAL(INDEX('Deck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39" s="80" t="str">
        <f t="shared" si="2"/>
        <v/>
      </c>
      <c r="F439" s="80" t="str">
        <f t="array" ref="F439">IF(A439="","",IF(ISNUMBER(J439),J439,IF(ISNUMBER(INDEX('Deck 1'!$A:$Z,ROW()-250,'List Setup'!$F$3)),INDEX('Deck 1'!$A:$Z,ROW()-250,'List Setup'!$F$3),0)))</f>
        <v/>
      </c>
      <c r="G439" s="80" t="str">
        <f t="array" ref="G439">IF(A439="","",A439&amp;IF(N(INDEX('Deck 1'!$A:$Z,ROW()-250,'List Setup'!$C$3))&gt;1," (x"&amp;INDEX('Deck 1'!$A:$Z,ROW()-250,'List Setup'!$C$3)&amp;")","")&amp;IF(COUNTIF(Binders!$J$6:$J$30,TRUE())&gt;1," ["&amp;Q439&amp;"]",""))</f>
        <v/>
      </c>
      <c r="H439" s="80" t="str">
        <f t="array" ref="H439">IF(A439="","",CHAR(10)&amp;INDEX('Deck 1'!$A:$Z,ROW()-250,'List Setup'!$E$3)&amp;CHAR(10))</f>
        <v/>
      </c>
      <c r="I439" s="80" t="str">
        <f t="array" ref="I439">IF(OR(B439="",B439="(none)"),"",IF(ISNUMBER(SEARCH(CHAR(10)&amp;B439&amp;CHAR(10),H439)),B439,IFERROR(INDEX('Set Aliases'!$A$2:$A$501,MATCH(1,('Set Aliases'!$B$2:$B$501=B439)*ISNUMBER(SEARCH(CHAR(10)&amp;'Set Aliases'!$A$2:$A$501&amp;CHAR(10),H439)),0)),"")))</f>
        <v/>
      </c>
      <c r="J439" s="80" t="str">
        <f t="array" ref="J439">IF(I439="","",IFERROR(VALUE(TRIM(MID(SUBSTITUTE(INDEX('Deck 1'!$A:$Z,ROW()-250,'List Setup'!$G$3),CHAR(10),REPT(" ",100)),((SEARCH(CHAR(10)&amp;I439&amp;CHAR(10),H439)-LEN(SUBSTITUTE(LEFT(H439,SEARCH(CHAR(10)&amp;I439&amp;CHAR(10),H439)),CHAR(10),"")))-1)*100+1,100))),""))</f>
        <v/>
      </c>
      <c r="K439" s="80" t="str">
        <f t="array" ref="K439">IF(A439="","",IF(ISNUMBER(SEARCH("Land",LEFT(IFERROR(INDEX('Deck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39" s="80" t="str">
        <f t="shared" si="3"/>
        <v/>
      </c>
      <c r="M439" s="80" t="str">
        <f>IF(A439="","",IF(AND(E439="Y",B439='Use at Shop'!$B$4),K439*10000000000+(MAX(0,MIN(26,CODE(MID(UPPER(A439)&amp;"    ",1,1))-64))*19683+MAX(0,MIN(26,CODE(MID(UPPER(A439)&amp;"    ",2,1))-64))*729+MAX(0,MIN(26,CODE(MID(UPPER(A439)&amp;"    ",3,1))-64))*27+MAX(0,MIN(26,CODE(MID(UPPER(A439)&amp;"    ",4,1))-64))*1)*10000+ROW(),""))</f>
        <v/>
      </c>
      <c r="N439" s="80" t="str">
        <f t="shared" si="5"/>
        <v/>
      </c>
      <c r="O439" s="80" t="str">
        <f t="array" ref="O439">IF(A439="","",IFERROR(INDEX('Deck 1'!$A:$Z,ROW()-250,'List Setup'!$J$3)&amp;"",""))</f>
        <v/>
      </c>
      <c r="P439" s="2"/>
      <c r="Q439" s="80" t="str">
        <f>IF(A439="","",'List Setup'!$A$3)</f>
        <v/>
      </c>
      <c r="R439" s="80" t="str">
        <f t="array" ref="R439">IF(A439="","",IFERROR(OR(INDEX(Binders!$J$6:$J$30,MATCH(Q439,Binders!$I$6:$I$30,0))=TRUE(),UPPER(INDEX(Binders!$J$6:$J$30,MATCH(Q439,Binders!$I$6:$I$30,0))&amp;"")="TRUE"),FALSE()))</f>
        <v/>
      </c>
    </row>
    <row r="440" ht="15.75" customHeight="1">
      <c r="A440" s="80" t="str">
        <f t="array" ref="A440">IF(INDEX('Deck 1'!$A:$Z,ROW()-250,'List Setup'!$D$3)="","",INDEX('Deck 1'!$A:$Z,ROW()-250,'List Setup'!$D$3))</f>
        <v/>
      </c>
      <c r="B440" s="80" t="str">
        <f t="array" ref="B440">IF(A440="","",IFERROR(INDEX('Binder Setup'!$B$2:$B$401,MIN(IF(ISNUMBER(SEARCH(CHAR(10)&amp;'Binder Setup'!$B$2:$B$401&amp;CHAR(10),$H440)),'List Setup'!$Q$2:$Q$401,999),IF(ISNUMBER(SEARCH(CHAR(10)&amp;'Set Aliases'!$A$2:$A$501&amp;CHAR(10),$H440)),'Set Aliases'!$C$2:$C$501,999))),"(none)"))</f>
        <v/>
      </c>
      <c r="C440" s="80" t="str">
        <f t="shared" si="1"/>
        <v/>
      </c>
      <c r="D440" s="80" t="str">
        <f t="array" ref="D440">IF(A440="","",IF(ISLOGICAL(INDEX('Deck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40" s="80" t="str">
        <f t="shared" si="2"/>
        <v/>
      </c>
      <c r="F440" s="80" t="str">
        <f t="array" ref="F440">IF(A440="","",IF(ISNUMBER(J440),J440,IF(ISNUMBER(INDEX('Deck 1'!$A:$Z,ROW()-250,'List Setup'!$F$3)),INDEX('Deck 1'!$A:$Z,ROW()-250,'List Setup'!$F$3),0)))</f>
        <v/>
      </c>
      <c r="G440" s="80" t="str">
        <f t="array" ref="G440">IF(A440="","",A440&amp;IF(N(INDEX('Deck 1'!$A:$Z,ROW()-250,'List Setup'!$C$3))&gt;1," (x"&amp;INDEX('Deck 1'!$A:$Z,ROW()-250,'List Setup'!$C$3)&amp;")","")&amp;IF(COUNTIF(Binders!$J$6:$J$30,TRUE())&gt;1," ["&amp;Q440&amp;"]",""))</f>
        <v/>
      </c>
      <c r="H440" s="80" t="str">
        <f t="array" ref="H440">IF(A440="","",CHAR(10)&amp;INDEX('Deck 1'!$A:$Z,ROW()-250,'List Setup'!$E$3)&amp;CHAR(10))</f>
        <v/>
      </c>
      <c r="I440" s="80" t="str">
        <f t="array" ref="I440">IF(OR(B440="",B440="(none)"),"",IF(ISNUMBER(SEARCH(CHAR(10)&amp;B440&amp;CHAR(10),H440)),B440,IFERROR(INDEX('Set Aliases'!$A$2:$A$501,MATCH(1,('Set Aliases'!$B$2:$B$501=B440)*ISNUMBER(SEARCH(CHAR(10)&amp;'Set Aliases'!$A$2:$A$501&amp;CHAR(10),H440)),0)),"")))</f>
        <v/>
      </c>
      <c r="J440" s="80" t="str">
        <f t="array" ref="J440">IF(I440="","",IFERROR(VALUE(TRIM(MID(SUBSTITUTE(INDEX('Deck 1'!$A:$Z,ROW()-250,'List Setup'!$G$3),CHAR(10),REPT(" ",100)),((SEARCH(CHAR(10)&amp;I440&amp;CHAR(10),H440)-LEN(SUBSTITUTE(LEFT(H440,SEARCH(CHAR(10)&amp;I440&amp;CHAR(10),H440)),CHAR(10),"")))-1)*100+1,100))),""))</f>
        <v/>
      </c>
      <c r="K440" s="80" t="str">
        <f t="array" ref="K440">IF(A440="","",IF(ISNUMBER(SEARCH("Land",LEFT(IFERROR(INDEX('Deck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40" s="80" t="str">
        <f t="shared" si="3"/>
        <v/>
      </c>
      <c r="M440" s="80" t="str">
        <f>IF(A440="","",IF(AND(E440="Y",B440='Use at Shop'!$B$4),K440*10000000000+(MAX(0,MIN(26,CODE(MID(UPPER(A440)&amp;"    ",1,1))-64))*19683+MAX(0,MIN(26,CODE(MID(UPPER(A440)&amp;"    ",2,1))-64))*729+MAX(0,MIN(26,CODE(MID(UPPER(A440)&amp;"    ",3,1))-64))*27+MAX(0,MIN(26,CODE(MID(UPPER(A440)&amp;"    ",4,1))-64))*1)*10000+ROW(),""))</f>
        <v/>
      </c>
      <c r="N440" s="80" t="str">
        <f t="shared" si="5"/>
        <v/>
      </c>
      <c r="O440" s="80" t="str">
        <f t="array" ref="O440">IF(A440="","",IFERROR(INDEX('Deck 1'!$A:$Z,ROW()-250,'List Setup'!$J$3)&amp;"",""))</f>
        <v/>
      </c>
      <c r="P440" s="2"/>
      <c r="Q440" s="80" t="str">
        <f>IF(A440="","",'List Setup'!$A$3)</f>
        <v/>
      </c>
      <c r="R440" s="80" t="str">
        <f t="array" ref="R440">IF(A440="","",IFERROR(OR(INDEX(Binders!$J$6:$J$30,MATCH(Q440,Binders!$I$6:$I$30,0))=TRUE(),UPPER(INDEX(Binders!$J$6:$J$30,MATCH(Q440,Binders!$I$6:$I$30,0))&amp;"")="TRUE"),FALSE()))</f>
        <v/>
      </c>
    </row>
    <row r="441" ht="15.75" customHeight="1">
      <c r="A441" s="80" t="str">
        <f t="array" ref="A441">IF(INDEX('Deck 1'!$A:$Z,ROW()-250,'List Setup'!$D$3)="","",INDEX('Deck 1'!$A:$Z,ROW()-250,'List Setup'!$D$3))</f>
        <v/>
      </c>
      <c r="B441" s="80" t="str">
        <f t="array" ref="B441">IF(A441="","",IFERROR(INDEX('Binder Setup'!$B$2:$B$401,MIN(IF(ISNUMBER(SEARCH(CHAR(10)&amp;'Binder Setup'!$B$2:$B$401&amp;CHAR(10),$H441)),'List Setup'!$Q$2:$Q$401,999),IF(ISNUMBER(SEARCH(CHAR(10)&amp;'Set Aliases'!$A$2:$A$501&amp;CHAR(10),$H441)),'Set Aliases'!$C$2:$C$501,999))),"(none)"))</f>
        <v/>
      </c>
      <c r="C441" s="80" t="str">
        <f t="shared" si="1"/>
        <v/>
      </c>
      <c r="D441" s="80" t="str">
        <f t="array" ref="D441">IF(A441="","",IF(ISLOGICAL(INDEX('Deck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41" s="80" t="str">
        <f t="shared" si="2"/>
        <v/>
      </c>
      <c r="F441" s="80" t="str">
        <f t="array" ref="F441">IF(A441="","",IF(ISNUMBER(J441),J441,IF(ISNUMBER(INDEX('Deck 1'!$A:$Z,ROW()-250,'List Setup'!$F$3)),INDEX('Deck 1'!$A:$Z,ROW()-250,'List Setup'!$F$3),0)))</f>
        <v/>
      </c>
      <c r="G441" s="80" t="str">
        <f t="array" ref="G441">IF(A441="","",A441&amp;IF(N(INDEX('Deck 1'!$A:$Z,ROW()-250,'List Setup'!$C$3))&gt;1," (x"&amp;INDEX('Deck 1'!$A:$Z,ROW()-250,'List Setup'!$C$3)&amp;")","")&amp;IF(COUNTIF(Binders!$J$6:$J$30,TRUE())&gt;1," ["&amp;Q441&amp;"]",""))</f>
        <v/>
      </c>
      <c r="H441" s="80" t="str">
        <f t="array" ref="H441">IF(A441="","",CHAR(10)&amp;INDEX('Deck 1'!$A:$Z,ROW()-250,'List Setup'!$E$3)&amp;CHAR(10))</f>
        <v/>
      </c>
      <c r="I441" s="80" t="str">
        <f t="array" ref="I441">IF(OR(B441="",B441="(none)"),"",IF(ISNUMBER(SEARCH(CHAR(10)&amp;B441&amp;CHAR(10),H441)),B441,IFERROR(INDEX('Set Aliases'!$A$2:$A$501,MATCH(1,('Set Aliases'!$B$2:$B$501=B441)*ISNUMBER(SEARCH(CHAR(10)&amp;'Set Aliases'!$A$2:$A$501&amp;CHAR(10),H441)),0)),"")))</f>
        <v/>
      </c>
      <c r="J441" s="80" t="str">
        <f t="array" ref="J441">IF(I441="","",IFERROR(VALUE(TRIM(MID(SUBSTITUTE(INDEX('Deck 1'!$A:$Z,ROW()-250,'List Setup'!$G$3),CHAR(10),REPT(" ",100)),((SEARCH(CHAR(10)&amp;I441&amp;CHAR(10),H441)-LEN(SUBSTITUTE(LEFT(H441,SEARCH(CHAR(10)&amp;I441&amp;CHAR(10),H441)),CHAR(10),"")))-1)*100+1,100))),""))</f>
        <v/>
      </c>
      <c r="K441" s="80" t="str">
        <f t="array" ref="K441">IF(A441="","",IF(ISNUMBER(SEARCH("Land",LEFT(IFERROR(INDEX('Deck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41" s="80" t="str">
        <f t="shared" si="3"/>
        <v/>
      </c>
      <c r="M441" s="80" t="str">
        <f>IF(A441="","",IF(AND(E441="Y",B441='Use at Shop'!$B$4),K441*10000000000+(MAX(0,MIN(26,CODE(MID(UPPER(A441)&amp;"    ",1,1))-64))*19683+MAX(0,MIN(26,CODE(MID(UPPER(A441)&amp;"    ",2,1))-64))*729+MAX(0,MIN(26,CODE(MID(UPPER(A441)&amp;"    ",3,1))-64))*27+MAX(0,MIN(26,CODE(MID(UPPER(A441)&amp;"    ",4,1))-64))*1)*10000+ROW(),""))</f>
        <v/>
      </c>
      <c r="N441" s="80" t="str">
        <f t="shared" si="5"/>
        <v/>
      </c>
      <c r="O441" s="80" t="str">
        <f t="array" ref="O441">IF(A441="","",IFERROR(INDEX('Deck 1'!$A:$Z,ROW()-250,'List Setup'!$J$3)&amp;"",""))</f>
        <v/>
      </c>
      <c r="P441" s="2"/>
      <c r="Q441" s="80" t="str">
        <f>IF(A441="","",'List Setup'!$A$3)</f>
        <v/>
      </c>
      <c r="R441" s="80" t="str">
        <f t="array" ref="R441">IF(A441="","",IFERROR(OR(INDEX(Binders!$J$6:$J$30,MATCH(Q441,Binders!$I$6:$I$30,0))=TRUE(),UPPER(INDEX(Binders!$J$6:$J$30,MATCH(Q441,Binders!$I$6:$I$30,0))&amp;"")="TRUE"),FALSE()))</f>
        <v/>
      </c>
    </row>
    <row r="442" ht="15.75" customHeight="1">
      <c r="A442" s="80" t="str">
        <f t="array" ref="A442">IF(INDEX('Deck 1'!$A:$Z,ROW()-250,'List Setup'!$D$3)="","",INDEX('Deck 1'!$A:$Z,ROW()-250,'List Setup'!$D$3))</f>
        <v/>
      </c>
      <c r="B442" s="80" t="str">
        <f t="array" ref="B442">IF(A442="","",IFERROR(INDEX('Binder Setup'!$B$2:$B$401,MIN(IF(ISNUMBER(SEARCH(CHAR(10)&amp;'Binder Setup'!$B$2:$B$401&amp;CHAR(10),$H442)),'List Setup'!$Q$2:$Q$401,999),IF(ISNUMBER(SEARCH(CHAR(10)&amp;'Set Aliases'!$A$2:$A$501&amp;CHAR(10),$H442)),'Set Aliases'!$C$2:$C$501,999))),"(none)"))</f>
        <v/>
      </c>
      <c r="C442" s="80" t="str">
        <f t="shared" si="1"/>
        <v/>
      </c>
      <c r="D442" s="80" t="str">
        <f t="array" ref="D442">IF(A442="","",IF(ISLOGICAL(INDEX('Deck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42" s="80" t="str">
        <f t="shared" si="2"/>
        <v/>
      </c>
      <c r="F442" s="80" t="str">
        <f t="array" ref="F442">IF(A442="","",IF(ISNUMBER(J442),J442,IF(ISNUMBER(INDEX('Deck 1'!$A:$Z,ROW()-250,'List Setup'!$F$3)),INDEX('Deck 1'!$A:$Z,ROW()-250,'List Setup'!$F$3),0)))</f>
        <v/>
      </c>
      <c r="G442" s="80" t="str">
        <f t="array" ref="G442">IF(A442="","",A442&amp;IF(N(INDEX('Deck 1'!$A:$Z,ROW()-250,'List Setup'!$C$3))&gt;1," (x"&amp;INDEX('Deck 1'!$A:$Z,ROW()-250,'List Setup'!$C$3)&amp;")","")&amp;IF(COUNTIF(Binders!$J$6:$J$30,TRUE())&gt;1," ["&amp;Q442&amp;"]",""))</f>
        <v/>
      </c>
      <c r="H442" s="80" t="str">
        <f t="array" ref="H442">IF(A442="","",CHAR(10)&amp;INDEX('Deck 1'!$A:$Z,ROW()-250,'List Setup'!$E$3)&amp;CHAR(10))</f>
        <v/>
      </c>
      <c r="I442" s="80" t="str">
        <f t="array" ref="I442">IF(OR(B442="",B442="(none)"),"",IF(ISNUMBER(SEARCH(CHAR(10)&amp;B442&amp;CHAR(10),H442)),B442,IFERROR(INDEX('Set Aliases'!$A$2:$A$501,MATCH(1,('Set Aliases'!$B$2:$B$501=B442)*ISNUMBER(SEARCH(CHAR(10)&amp;'Set Aliases'!$A$2:$A$501&amp;CHAR(10),H442)),0)),"")))</f>
        <v/>
      </c>
      <c r="J442" s="80" t="str">
        <f t="array" ref="J442">IF(I442="","",IFERROR(VALUE(TRIM(MID(SUBSTITUTE(INDEX('Deck 1'!$A:$Z,ROW()-250,'List Setup'!$G$3),CHAR(10),REPT(" ",100)),((SEARCH(CHAR(10)&amp;I442&amp;CHAR(10),H442)-LEN(SUBSTITUTE(LEFT(H442,SEARCH(CHAR(10)&amp;I442&amp;CHAR(10),H442)),CHAR(10),"")))-1)*100+1,100))),""))</f>
        <v/>
      </c>
      <c r="K442" s="80" t="str">
        <f t="array" ref="K442">IF(A442="","",IF(ISNUMBER(SEARCH("Land",LEFT(IFERROR(INDEX('Deck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42" s="80" t="str">
        <f t="shared" si="3"/>
        <v/>
      </c>
      <c r="M442" s="80" t="str">
        <f>IF(A442="","",IF(AND(E442="Y",B442='Use at Shop'!$B$4),K442*10000000000+(MAX(0,MIN(26,CODE(MID(UPPER(A442)&amp;"    ",1,1))-64))*19683+MAX(0,MIN(26,CODE(MID(UPPER(A442)&amp;"    ",2,1))-64))*729+MAX(0,MIN(26,CODE(MID(UPPER(A442)&amp;"    ",3,1))-64))*27+MAX(0,MIN(26,CODE(MID(UPPER(A442)&amp;"    ",4,1))-64))*1)*10000+ROW(),""))</f>
        <v/>
      </c>
      <c r="N442" s="80" t="str">
        <f t="shared" si="5"/>
        <v/>
      </c>
      <c r="O442" s="80" t="str">
        <f t="array" ref="O442">IF(A442="","",IFERROR(INDEX('Deck 1'!$A:$Z,ROW()-250,'List Setup'!$J$3)&amp;"",""))</f>
        <v/>
      </c>
      <c r="P442" s="2"/>
      <c r="Q442" s="80" t="str">
        <f>IF(A442="","",'List Setup'!$A$3)</f>
        <v/>
      </c>
      <c r="R442" s="80" t="str">
        <f t="array" ref="R442">IF(A442="","",IFERROR(OR(INDEX(Binders!$J$6:$J$30,MATCH(Q442,Binders!$I$6:$I$30,0))=TRUE(),UPPER(INDEX(Binders!$J$6:$J$30,MATCH(Q442,Binders!$I$6:$I$30,0))&amp;"")="TRUE"),FALSE()))</f>
        <v/>
      </c>
    </row>
    <row r="443" ht="15.75" customHeight="1">
      <c r="A443" s="80" t="str">
        <f t="array" ref="A443">IF(INDEX('Deck 1'!$A:$Z,ROW()-250,'List Setup'!$D$3)="","",INDEX('Deck 1'!$A:$Z,ROW()-250,'List Setup'!$D$3))</f>
        <v/>
      </c>
      <c r="B443" s="80" t="str">
        <f t="array" ref="B443">IF(A443="","",IFERROR(INDEX('Binder Setup'!$B$2:$B$401,MIN(IF(ISNUMBER(SEARCH(CHAR(10)&amp;'Binder Setup'!$B$2:$B$401&amp;CHAR(10),$H443)),'List Setup'!$Q$2:$Q$401,999),IF(ISNUMBER(SEARCH(CHAR(10)&amp;'Set Aliases'!$A$2:$A$501&amp;CHAR(10),$H443)),'Set Aliases'!$C$2:$C$501,999))),"(none)"))</f>
        <v/>
      </c>
      <c r="C443" s="80" t="str">
        <f t="shared" si="1"/>
        <v/>
      </c>
      <c r="D443" s="80" t="str">
        <f t="array" ref="D443">IF(A443="","",IF(ISLOGICAL(INDEX('Deck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43" s="80" t="str">
        <f t="shared" si="2"/>
        <v/>
      </c>
      <c r="F443" s="80" t="str">
        <f t="array" ref="F443">IF(A443="","",IF(ISNUMBER(J443),J443,IF(ISNUMBER(INDEX('Deck 1'!$A:$Z,ROW()-250,'List Setup'!$F$3)),INDEX('Deck 1'!$A:$Z,ROW()-250,'List Setup'!$F$3),0)))</f>
        <v/>
      </c>
      <c r="G443" s="80" t="str">
        <f t="array" ref="G443">IF(A443="","",A443&amp;IF(N(INDEX('Deck 1'!$A:$Z,ROW()-250,'List Setup'!$C$3))&gt;1," (x"&amp;INDEX('Deck 1'!$A:$Z,ROW()-250,'List Setup'!$C$3)&amp;")","")&amp;IF(COUNTIF(Binders!$J$6:$J$30,TRUE())&gt;1," ["&amp;Q443&amp;"]",""))</f>
        <v/>
      </c>
      <c r="H443" s="80" t="str">
        <f t="array" ref="H443">IF(A443="","",CHAR(10)&amp;INDEX('Deck 1'!$A:$Z,ROW()-250,'List Setup'!$E$3)&amp;CHAR(10))</f>
        <v/>
      </c>
      <c r="I443" s="80" t="str">
        <f t="array" ref="I443">IF(OR(B443="",B443="(none)"),"",IF(ISNUMBER(SEARCH(CHAR(10)&amp;B443&amp;CHAR(10),H443)),B443,IFERROR(INDEX('Set Aliases'!$A$2:$A$501,MATCH(1,('Set Aliases'!$B$2:$B$501=B443)*ISNUMBER(SEARCH(CHAR(10)&amp;'Set Aliases'!$A$2:$A$501&amp;CHAR(10),H443)),0)),"")))</f>
        <v/>
      </c>
      <c r="J443" s="80" t="str">
        <f t="array" ref="J443">IF(I443="","",IFERROR(VALUE(TRIM(MID(SUBSTITUTE(INDEX('Deck 1'!$A:$Z,ROW()-250,'List Setup'!$G$3),CHAR(10),REPT(" ",100)),((SEARCH(CHAR(10)&amp;I443&amp;CHAR(10),H443)-LEN(SUBSTITUTE(LEFT(H443,SEARCH(CHAR(10)&amp;I443&amp;CHAR(10),H443)),CHAR(10),"")))-1)*100+1,100))),""))</f>
        <v/>
      </c>
      <c r="K443" s="80" t="str">
        <f t="array" ref="K443">IF(A443="","",IF(ISNUMBER(SEARCH("Land",LEFT(IFERROR(INDEX('Deck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43" s="80" t="str">
        <f t="shared" si="3"/>
        <v/>
      </c>
      <c r="M443" s="80" t="str">
        <f>IF(A443="","",IF(AND(E443="Y",B443='Use at Shop'!$B$4),K443*10000000000+(MAX(0,MIN(26,CODE(MID(UPPER(A443)&amp;"    ",1,1))-64))*19683+MAX(0,MIN(26,CODE(MID(UPPER(A443)&amp;"    ",2,1))-64))*729+MAX(0,MIN(26,CODE(MID(UPPER(A443)&amp;"    ",3,1))-64))*27+MAX(0,MIN(26,CODE(MID(UPPER(A443)&amp;"    ",4,1))-64))*1)*10000+ROW(),""))</f>
        <v/>
      </c>
      <c r="N443" s="80" t="str">
        <f t="shared" si="5"/>
        <v/>
      </c>
      <c r="O443" s="80" t="str">
        <f t="array" ref="O443">IF(A443="","",IFERROR(INDEX('Deck 1'!$A:$Z,ROW()-250,'List Setup'!$J$3)&amp;"",""))</f>
        <v/>
      </c>
      <c r="P443" s="2"/>
      <c r="Q443" s="80" t="str">
        <f>IF(A443="","",'List Setup'!$A$3)</f>
        <v/>
      </c>
      <c r="R443" s="80" t="str">
        <f t="array" ref="R443">IF(A443="","",IFERROR(OR(INDEX(Binders!$J$6:$J$30,MATCH(Q443,Binders!$I$6:$I$30,0))=TRUE(),UPPER(INDEX(Binders!$J$6:$J$30,MATCH(Q443,Binders!$I$6:$I$30,0))&amp;"")="TRUE"),FALSE()))</f>
        <v/>
      </c>
    </row>
    <row r="444" ht="15.75" customHeight="1">
      <c r="A444" s="80" t="str">
        <f t="array" ref="A444">IF(INDEX('Deck 1'!$A:$Z,ROW()-250,'List Setup'!$D$3)="","",INDEX('Deck 1'!$A:$Z,ROW()-250,'List Setup'!$D$3))</f>
        <v/>
      </c>
      <c r="B444" s="80" t="str">
        <f t="array" ref="B444">IF(A444="","",IFERROR(INDEX('Binder Setup'!$B$2:$B$401,MIN(IF(ISNUMBER(SEARCH(CHAR(10)&amp;'Binder Setup'!$B$2:$B$401&amp;CHAR(10),$H444)),'List Setup'!$Q$2:$Q$401,999),IF(ISNUMBER(SEARCH(CHAR(10)&amp;'Set Aliases'!$A$2:$A$501&amp;CHAR(10),$H444)),'Set Aliases'!$C$2:$C$501,999))),"(none)"))</f>
        <v/>
      </c>
      <c r="C444" s="80" t="str">
        <f t="shared" si="1"/>
        <v/>
      </c>
      <c r="D444" s="80" t="str">
        <f t="array" ref="D444">IF(A444="","",IF(ISLOGICAL(INDEX('Deck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44" s="80" t="str">
        <f t="shared" si="2"/>
        <v/>
      </c>
      <c r="F444" s="80" t="str">
        <f t="array" ref="F444">IF(A444="","",IF(ISNUMBER(J444),J444,IF(ISNUMBER(INDEX('Deck 1'!$A:$Z,ROW()-250,'List Setup'!$F$3)),INDEX('Deck 1'!$A:$Z,ROW()-250,'List Setup'!$F$3),0)))</f>
        <v/>
      </c>
      <c r="G444" s="80" t="str">
        <f t="array" ref="G444">IF(A444="","",A444&amp;IF(N(INDEX('Deck 1'!$A:$Z,ROW()-250,'List Setup'!$C$3))&gt;1," (x"&amp;INDEX('Deck 1'!$A:$Z,ROW()-250,'List Setup'!$C$3)&amp;")","")&amp;IF(COUNTIF(Binders!$J$6:$J$30,TRUE())&gt;1," ["&amp;Q444&amp;"]",""))</f>
        <v/>
      </c>
      <c r="H444" s="80" t="str">
        <f t="array" ref="H444">IF(A444="","",CHAR(10)&amp;INDEX('Deck 1'!$A:$Z,ROW()-250,'List Setup'!$E$3)&amp;CHAR(10))</f>
        <v/>
      </c>
      <c r="I444" s="80" t="str">
        <f t="array" ref="I444">IF(OR(B444="",B444="(none)"),"",IF(ISNUMBER(SEARCH(CHAR(10)&amp;B444&amp;CHAR(10),H444)),B444,IFERROR(INDEX('Set Aliases'!$A$2:$A$501,MATCH(1,('Set Aliases'!$B$2:$B$501=B444)*ISNUMBER(SEARCH(CHAR(10)&amp;'Set Aliases'!$A$2:$A$501&amp;CHAR(10),H444)),0)),"")))</f>
        <v/>
      </c>
      <c r="J444" s="80" t="str">
        <f t="array" ref="J444">IF(I444="","",IFERROR(VALUE(TRIM(MID(SUBSTITUTE(INDEX('Deck 1'!$A:$Z,ROW()-250,'List Setup'!$G$3),CHAR(10),REPT(" ",100)),((SEARCH(CHAR(10)&amp;I444&amp;CHAR(10),H444)-LEN(SUBSTITUTE(LEFT(H444,SEARCH(CHAR(10)&amp;I444&amp;CHAR(10),H444)),CHAR(10),"")))-1)*100+1,100))),""))</f>
        <v/>
      </c>
      <c r="K444" s="80" t="str">
        <f t="array" ref="K444">IF(A444="","",IF(ISNUMBER(SEARCH("Land",LEFT(IFERROR(INDEX('Deck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44" s="80" t="str">
        <f t="shared" si="3"/>
        <v/>
      </c>
      <c r="M444" s="80" t="str">
        <f>IF(A444="","",IF(AND(E444="Y",B444='Use at Shop'!$B$4),K444*10000000000+(MAX(0,MIN(26,CODE(MID(UPPER(A444)&amp;"    ",1,1))-64))*19683+MAX(0,MIN(26,CODE(MID(UPPER(A444)&amp;"    ",2,1))-64))*729+MAX(0,MIN(26,CODE(MID(UPPER(A444)&amp;"    ",3,1))-64))*27+MAX(0,MIN(26,CODE(MID(UPPER(A444)&amp;"    ",4,1))-64))*1)*10000+ROW(),""))</f>
        <v/>
      </c>
      <c r="N444" s="80" t="str">
        <f t="shared" si="5"/>
        <v/>
      </c>
      <c r="O444" s="80" t="str">
        <f t="array" ref="O444">IF(A444="","",IFERROR(INDEX('Deck 1'!$A:$Z,ROW()-250,'List Setup'!$J$3)&amp;"",""))</f>
        <v/>
      </c>
      <c r="P444" s="2"/>
      <c r="Q444" s="80" t="str">
        <f>IF(A444="","",'List Setup'!$A$3)</f>
        <v/>
      </c>
      <c r="R444" s="80" t="str">
        <f t="array" ref="R444">IF(A444="","",IFERROR(OR(INDEX(Binders!$J$6:$J$30,MATCH(Q444,Binders!$I$6:$I$30,0))=TRUE(),UPPER(INDEX(Binders!$J$6:$J$30,MATCH(Q444,Binders!$I$6:$I$30,0))&amp;"")="TRUE"),FALSE()))</f>
        <v/>
      </c>
    </row>
    <row r="445" ht="15.75" customHeight="1">
      <c r="A445" s="80" t="str">
        <f t="array" ref="A445">IF(INDEX('Deck 1'!$A:$Z,ROW()-250,'List Setup'!$D$3)="","",INDEX('Deck 1'!$A:$Z,ROW()-250,'List Setup'!$D$3))</f>
        <v/>
      </c>
      <c r="B445" s="80" t="str">
        <f t="array" ref="B445">IF(A445="","",IFERROR(INDEX('Binder Setup'!$B$2:$B$401,MIN(IF(ISNUMBER(SEARCH(CHAR(10)&amp;'Binder Setup'!$B$2:$B$401&amp;CHAR(10),$H445)),'List Setup'!$Q$2:$Q$401,999),IF(ISNUMBER(SEARCH(CHAR(10)&amp;'Set Aliases'!$A$2:$A$501&amp;CHAR(10),$H445)),'Set Aliases'!$C$2:$C$501,999))),"(none)"))</f>
        <v/>
      </c>
      <c r="C445" s="80" t="str">
        <f t="shared" si="1"/>
        <v/>
      </c>
      <c r="D445" s="80" t="str">
        <f t="array" ref="D445">IF(A445="","",IF(ISLOGICAL(INDEX('Deck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45" s="80" t="str">
        <f t="shared" si="2"/>
        <v/>
      </c>
      <c r="F445" s="80" t="str">
        <f t="array" ref="F445">IF(A445="","",IF(ISNUMBER(J445),J445,IF(ISNUMBER(INDEX('Deck 1'!$A:$Z,ROW()-250,'List Setup'!$F$3)),INDEX('Deck 1'!$A:$Z,ROW()-250,'List Setup'!$F$3),0)))</f>
        <v/>
      </c>
      <c r="G445" s="80" t="str">
        <f t="array" ref="G445">IF(A445="","",A445&amp;IF(N(INDEX('Deck 1'!$A:$Z,ROW()-250,'List Setup'!$C$3))&gt;1," (x"&amp;INDEX('Deck 1'!$A:$Z,ROW()-250,'List Setup'!$C$3)&amp;")","")&amp;IF(COUNTIF(Binders!$J$6:$J$30,TRUE())&gt;1," ["&amp;Q445&amp;"]",""))</f>
        <v/>
      </c>
      <c r="H445" s="80" t="str">
        <f t="array" ref="H445">IF(A445="","",CHAR(10)&amp;INDEX('Deck 1'!$A:$Z,ROW()-250,'List Setup'!$E$3)&amp;CHAR(10))</f>
        <v/>
      </c>
      <c r="I445" s="80" t="str">
        <f t="array" ref="I445">IF(OR(B445="",B445="(none)"),"",IF(ISNUMBER(SEARCH(CHAR(10)&amp;B445&amp;CHAR(10),H445)),B445,IFERROR(INDEX('Set Aliases'!$A$2:$A$501,MATCH(1,('Set Aliases'!$B$2:$B$501=B445)*ISNUMBER(SEARCH(CHAR(10)&amp;'Set Aliases'!$A$2:$A$501&amp;CHAR(10),H445)),0)),"")))</f>
        <v/>
      </c>
      <c r="J445" s="80" t="str">
        <f t="array" ref="J445">IF(I445="","",IFERROR(VALUE(TRIM(MID(SUBSTITUTE(INDEX('Deck 1'!$A:$Z,ROW()-250,'List Setup'!$G$3),CHAR(10),REPT(" ",100)),((SEARCH(CHAR(10)&amp;I445&amp;CHAR(10),H445)-LEN(SUBSTITUTE(LEFT(H445,SEARCH(CHAR(10)&amp;I445&amp;CHAR(10),H445)),CHAR(10),"")))-1)*100+1,100))),""))</f>
        <v/>
      </c>
      <c r="K445" s="80" t="str">
        <f t="array" ref="K445">IF(A445="","",IF(ISNUMBER(SEARCH("Land",LEFT(IFERROR(INDEX('Deck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45" s="80" t="str">
        <f t="shared" si="3"/>
        <v/>
      </c>
      <c r="M445" s="80" t="str">
        <f>IF(A445="","",IF(AND(E445="Y",B445='Use at Shop'!$B$4),K445*10000000000+(MAX(0,MIN(26,CODE(MID(UPPER(A445)&amp;"    ",1,1))-64))*19683+MAX(0,MIN(26,CODE(MID(UPPER(A445)&amp;"    ",2,1))-64))*729+MAX(0,MIN(26,CODE(MID(UPPER(A445)&amp;"    ",3,1))-64))*27+MAX(0,MIN(26,CODE(MID(UPPER(A445)&amp;"    ",4,1))-64))*1)*10000+ROW(),""))</f>
        <v/>
      </c>
      <c r="N445" s="80" t="str">
        <f t="shared" si="5"/>
        <v/>
      </c>
      <c r="O445" s="80" t="str">
        <f t="array" ref="O445">IF(A445="","",IFERROR(INDEX('Deck 1'!$A:$Z,ROW()-250,'List Setup'!$J$3)&amp;"",""))</f>
        <v/>
      </c>
      <c r="P445" s="2"/>
      <c r="Q445" s="80" t="str">
        <f>IF(A445="","",'List Setup'!$A$3)</f>
        <v/>
      </c>
      <c r="R445" s="80" t="str">
        <f t="array" ref="R445">IF(A445="","",IFERROR(OR(INDEX(Binders!$J$6:$J$30,MATCH(Q445,Binders!$I$6:$I$30,0))=TRUE(),UPPER(INDEX(Binders!$J$6:$J$30,MATCH(Q445,Binders!$I$6:$I$30,0))&amp;"")="TRUE"),FALSE()))</f>
        <v/>
      </c>
    </row>
    <row r="446" ht="15.75" customHeight="1">
      <c r="A446" s="80" t="str">
        <f t="array" ref="A446">IF(INDEX('Deck 1'!$A:$Z,ROW()-250,'List Setup'!$D$3)="","",INDEX('Deck 1'!$A:$Z,ROW()-250,'List Setup'!$D$3))</f>
        <v/>
      </c>
      <c r="B446" s="80" t="str">
        <f t="array" ref="B446">IF(A446="","",IFERROR(INDEX('Binder Setup'!$B$2:$B$401,MIN(IF(ISNUMBER(SEARCH(CHAR(10)&amp;'Binder Setup'!$B$2:$B$401&amp;CHAR(10),$H446)),'List Setup'!$Q$2:$Q$401,999),IF(ISNUMBER(SEARCH(CHAR(10)&amp;'Set Aliases'!$A$2:$A$501&amp;CHAR(10),$H446)),'Set Aliases'!$C$2:$C$501,999))),"(none)"))</f>
        <v/>
      </c>
      <c r="C446" s="80" t="str">
        <f t="shared" si="1"/>
        <v/>
      </c>
      <c r="D446" s="80" t="str">
        <f t="array" ref="D446">IF(A446="","",IF(ISLOGICAL(INDEX('Deck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46" s="80" t="str">
        <f t="shared" si="2"/>
        <v/>
      </c>
      <c r="F446" s="80" t="str">
        <f t="array" ref="F446">IF(A446="","",IF(ISNUMBER(J446),J446,IF(ISNUMBER(INDEX('Deck 1'!$A:$Z,ROW()-250,'List Setup'!$F$3)),INDEX('Deck 1'!$A:$Z,ROW()-250,'List Setup'!$F$3),0)))</f>
        <v/>
      </c>
      <c r="G446" s="80" t="str">
        <f t="array" ref="G446">IF(A446="","",A446&amp;IF(N(INDEX('Deck 1'!$A:$Z,ROW()-250,'List Setup'!$C$3))&gt;1," (x"&amp;INDEX('Deck 1'!$A:$Z,ROW()-250,'List Setup'!$C$3)&amp;")","")&amp;IF(COUNTIF(Binders!$J$6:$J$30,TRUE())&gt;1," ["&amp;Q446&amp;"]",""))</f>
        <v/>
      </c>
      <c r="H446" s="80" t="str">
        <f t="array" ref="H446">IF(A446="","",CHAR(10)&amp;INDEX('Deck 1'!$A:$Z,ROW()-250,'List Setup'!$E$3)&amp;CHAR(10))</f>
        <v/>
      </c>
      <c r="I446" s="80" t="str">
        <f t="array" ref="I446">IF(OR(B446="",B446="(none)"),"",IF(ISNUMBER(SEARCH(CHAR(10)&amp;B446&amp;CHAR(10),H446)),B446,IFERROR(INDEX('Set Aliases'!$A$2:$A$501,MATCH(1,('Set Aliases'!$B$2:$B$501=B446)*ISNUMBER(SEARCH(CHAR(10)&amp;'Set Aliases'!$A$2:$A$501&amp;CHAR(10),H446)),0)),"")))</f>
        <v/>
      </c>
      <c r="J446" s="80" t="str">
        <f t="array" ref="J446">IF(I446="","",IFERROR(VALUE(TRIM(MID(SUBSTITUTE(INDEX('Deck 1'!$A:$Z,ROW()-250,'List Setup'!$G$3),CHAR(10),REPT(" ",100)),((SEARCH(CHAR(10)&amp;I446&amp;CHAR(10),H446)-LEN(SUBSTITUTE(LEFT(H446,SEARCH(CHAR(10)&amp;I446&amp;CHAR(10),H446)),CHAR(10),"")))-1)*100+1,100))),""))</f>
        <v/>
      </c>
      <c r="K446" s="80" t="str">
        <f t="array" ref="K446">IF(A446="","",IF(ISNUMBER(SEARCH("Land",LEFT(IFERROR(INDEX('Deck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46" s="80" t="str">
        <f t="shared" si="3"/>
        <v/>
      </c>
      <c r="M446" s="80" t="str">
        <f>IF(A446="","",IF(AND(E446="Y",B446='Use at Shop'!$B$4),K446*10000000000+(MAX(0,MIN(26,CODE(MID(UPPER(A446)&amp;"    ",1,1))-64))*19683+MAX(0,MIN(26,CODE(MID(UPPER(A446)&amp;"    ",2,1))-64))*729+MAX(0,MIN(26,CODE(MID(UPPER(A446)&amp;"    ",3,1))-64))*27+MAX(0,MIN(26,CODE(MID(UPPER(A446)&amp;"    ",4,1))-64))*1)*10000+ROW(),""))</f>
        <v/>
      </c>
      <c r="N446" s="80" t="str">
        <f t="shared" si="5"/>
        <v/>
      </c>
      <c r="O446" s="80" t="str">
        <f t="array" ref="O446">IF(A446="","",IFERROR(INDEX('Deck 1'!$A:$Z,ROW()-250,'List Setup'!$J$3)&amp;"",""))</f>
        <v/>
      </c>
      <c r="P446" s="2"/>
      <c r="Q446" s="80" t="str">
        <f>IF(A446="","",'List Setup'!$A$3)</f>
        <v/>
      </c>
      <c r="R446" s="80" t="str">
        <f t="array" ref="R446">IF(A446="","",IFERROR(OR(INDEX(Binders!$J$6:$J$30,MATCH(Q446,Binders!$I$6:$I$30,0))=TRUE(),UPPER(INDEX(Binders!$J$6:$J$30,MATCH(Q446,Binders!$I$6:$I$30,0))&amp;"")="TRUE"),FALSE()))</f>
        <v/>
      </c>
    </row>
    <row r="447" ht="15.75" customHeight="1">
      <c r="A447" s="80" t="str">
        <f t="array" ref="A447">IF(INDEX('Deck 1'!$A:$Z,ROW()-250,'List Setup'!$D$3)="","",INDEX('Deck 1'!$A:$Z,ROW()-250,'List Setup'!$D$3))</f>
        <v/>
      </c>
      <c r="B447" s="80" t="str">
        <f t="array" ref="B447">IF(A447="","",IFERROR(INDEX('Binder Setup'!$B$2:$B$401,MIN(IF(ISNUMBER(SEARCH(CHAR(10)&amp;'Binder Setup'!$B$2:$B$401&amp;CHAR(10),$H447)),'List Setup'!$Q$2:$Q$401,999),IF(ISNUMBER(SEARCH(CHAR(10)&amp;'Set Aliases'!$A$2:$A$501&amp;CHAR(10),$H447)),'Set Aliases'!$C$2:$C$501,999))),"(none)"))</f>
        <v/>
      </c>
      <c r="C447" s="80" t="str">
        <f t="shared" si="1"/>
        <v/>
      </c>
      <c r="D447" s="80" t="str">
        <f t="array" ref="D447">IF(A447="","",IF(ISLOGICAL(INDEX('Deck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47" s="80" t="str">
        <f t="shared" si="2"/>
        <v/>
      </c>
      <c r="F447" s="80" t="str">
        <f t="array" ref="F447">IF(A447="","",IF(ISNUMBER(J447),J447,IF(ISNUMBER(INDEX('Deck 1'!$A:$Z,ROW()-250,'List Setup'!$F$3)),INDEX('Deck 1'!$A:$Z,ROW()-250,'List Setup'!$F$3),0)))</f>
        <v/>
      </c>
      <c r="G447" s="80" t="str">
        <f t="array" ref="G447">IF(A447="","",A447&amp;IF(N(INDEX('Deck 1'!$A:$Z,ROW()-250,'List Setup'!$C$3))&gt;1," (x"&amp;INDEX('Deck 1'!$A:$Z,ROW()-250,'List Setup'!$C$3)&amp;")","")&amp;IF(COUNTIF(Binders!$J$6:$J$30,TRUE())&gt;1," ["&amp;Q447&amp;"]",""))</f>
        <v/>
      </c>
      <c r="H447" s="80" t="str">
        <f t="array" ref="H447">IF(A447="","",CHAR(10)&amp;INDEX('Deck 1'!$A:$Z,ROW()-250,'List Setup'!$E$3)&amp;CHAR(10))</f>
        <v/>
      </c>
      <c r="I447" s="80" t="str">
        <f t="array" ref="I447">IF(OR(B447="",B447="(none)"),"",IF(ISNUMBER(SEARCH(CHAR(10)&amp;B447&amp;CHAR(10),H447)),B447,IFERROR(INDEX('Set Aliases'!$A$2:$A$501,MATCH(1,('Set Aliases'!$B$2:$B$501=B447)*ISNUMBER(SEARCH(CHAR(10)&amp;'Set Aliases'!$A$2:$A$501&amp;CHAR(10),H447)),0)),"")))</f>
        <v/>
      </c>
      <c r="J447" s="80" t="str">
        <f t="array" ref="J447">IF(I447="","",IFERROR(VALUE(TRIM(MID(SUBSTITUTE(INDEX('Deck 1'!$A:$Z,ROW()-250,'List Setup'!$G$3),CHAR(10),REPT(" ",100)),((SEARCH(CHAR(10)&amp;I447&amp;CHAR(10),H447)-LEN(SUBSTITUTE(LEFT(H447,SEARCH(CHAR(10)&amp;I447&amp;CHAR(10),H447)),CHAR(10),"")))-1)*100+1,100))),""))</f>
        <v/>
      </c>
      <c r="K447" s="80" t="str">
        <f t="array" ref="K447">IF(A447="","",IF(ISNUMBER(SEARCH("Land",LEFT(IFERROR(INDEX('Deck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47" s="80" t="str">
        <f t="shared" si="3"/>
        <v/>
      </c>
      <c r="M447" s="80" t="str">
        <f>IF(A447="","",IF(AND(E447="Y",B447='Use at Shop'!$B$4),K447*10000000000+(MAX(0,MIN(26,CODE(MID(UPPER(A447)&amp;"    ",1,1))-64))*19683+MAX(0,MIN(26,CODE(MID(UPPER(A447)&amp;"    ",2,1))-64))*729+MAX(0,MIN(26,CODE(MID(UPPER(A447)&amp;"    ",3,1))-64))*27+MAX(0,MIN(26,CODE(MID(UPPER(A447)&amp;"    ",4,1))-64))*1)*10000+ROW(),""))</f>
        <v/>
      </c>
      <c r="N447" s="80" t="str">
        <f t="shared" si="5"/>
        <v/>
      </c>
      <c r="O447" s="80" t="str">
        <f t="array" ref="O447">IF(A447="","",IFERROR(INDEX('Deck 1'!$A:$Z,ROW()-250,'List Setup'!$J$3)&amp;"",""))</f>
        <v/>
      </c>
      <c r="P447" s="2"/>
      <c r="Q447" s="80" t="str">
        <f>IF(A447="","",'List Setup'!$A$3)</f>
        <v/>
      </c>
      <c r="R447" s="80" t="str">
        <f t="array" ref="R447">IF(A447="","",IFERROR(OR(INDEX(Binders!$J$6:$J$30,MATCH(Q447,Binders!$I$6:$I$30,0))=TRUE(),UPPER(INDEX(Binders!$J$6:$J$30,MATCH(Q447,Binders!$I$6:$I$30,0))&amp;"")="TRUE"),FALSE()))</f>
        <v/>
      </c>
    </row>
    <row r="448" ht="15.75" customHeight="1">
      <c r="A448" s="80" t="str">
        <f t="array" ref="A448">IF(INDEX('Deck 1'!$A:$Z,ROW()-250,'List Setup'!$D$3)="","",INDEX('Deck 1'!$A:$Z,ROW()-250,'List Setup'!$D$3))</f>
        <v/>
      </c>
      <c r="B448" s="80" t="str">
        <f t="array" ref="B448">IF(A448="","",IFERROR(INDEX('Binder Setup'!$B$2:$B$401,MIN(IF(ISNUMBER(SEARCH(CHAR(10)&amp;'Binder Setup'!$B$2:$B$401&amp;CHAR(10),$H448)),'List Setup'!$Q$2:$Q$401,999),IF(ISNUMBER(SEARCH(CHAR(10)&amp;'Set Aliases'!$A$2:$A$501&amp;CHAR(10),$H448)),'Set Aliases'!$C$2:$C$501,999))),"(none)"))</f>
        <v/>
      </c>
      <c r="C448" s="80" t="str">
        <f t="shared" si="1"/>
        <v/>
      </c>
      <c r="D448" s="80" t="str">
        <f t="array" ref="D448">IF(A448="","",IF(ISLOGICAL(INDEX('Deck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48" s="80" t="str">
        <f t="shared" si="2"/>
        <v/>
      </c>
      <c r="F448" s="80" t="str">
        <f t="array" ref="F448">IF(A448="","",IF(ISNUMBER(J448),J448,IF(ISNUMBER(INDEX('Deck 1'!$A:$Z,ROW()-250,'List Setup'!$F$3)),INDEX('Deck 1'!$A:$Z,ROW()-250,'List Setup'!$F$3),0)))</f>
        <v/>
      </c>
      <c r="G448" s="80" t="str">
        <f t="array" ref="G448">IF(A448="","",A448&amp;IF(N(INDEX('Deck 1'!$A:$Z,ROW()-250,'List Setup'!$C$3))&gt;1," (x"&amp;INDEX('Deck 1'!$A:$Z,ROW()-250,'List Setup'!$C$3)&amp;")","")&amp;IF(COUNTIF(Binders!$J$6:$J$30,TRUE())&gt;1," ["&amp;Q448&amp;"]",""))</f>
        <v/>
      </c>
      <c r="H448" s="80" t="str">
        <f t="array" ref="H448">IF(A448="","",CHAR(10)&amp;INDEX('Deck 1'!$A:$Z,ROW()-250,'List Setup'!$E$3)&amp;CHAR(10))</f>
        <v/>
      </c>
      <c r="I448" s="80" t="str">
        <f t="array" ref="I448">IF(OR(B448="",B448="(none)"),"",IF(ISNUMBER(SEARCH(CHAR(10)&amp;B448&amp;CHAR(10),H448)),B448,IFERROR(INDEX('Set Aliases'!$A$2:$A$501,MATCH(1,('Set Aliases'!$B$2:$B$501=B448)*ISNUMBER(SEARCH(CHAR(10)&amp;'Set Aliases'!$A$2:$A$501&amp;CHAR(10),H448)),0)),"")))</f>
        <v/>
      </c>
      <c r="J448" s="80" t="str">
        <f t="array" ref="J448">IF(I448="","",IFERROR(VALUE(TRIM(MID(SUBSTITUTE(INDEX('Deck 1'!$A:$Z,ROW()-250,'List Setup'!$G$3),CHAR(10),REPT(" ",100)),((SEARCH(CHAR(10)&amp;I448&amp;CHAR(10),H448)-LEN(SUBSTITUTE(LEFT(H448,SEARCH(CHAR(10)&amp;I448&amp;CHAR(10),H448)),CHAR(10),"")))-1)*100+1,100))),""))</f>
        <v/>
      </c>
      <c r="K448" s="80" t="str">
        <f t="array" ref="K448">IF(A448="","",IF(ISNUMBER(SEARCH("Land",LEFT(IFERROR(INDEX('Deck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48" s="80" t="str">
        <f t="shared" si="3"/>
        <v/>
      </c>
      <c r="M448" s="80" t="str">
        <f>IF(A448="","",IF(AND(E448="Y",B448='Use at Shop'!$B$4),K448*10000000000+(MAX(0,MIN(26,CODE(MID(UPPER(A448)&amp;"    ",1,1))-64))*19683+MAX(0,MIN(26,CODE(MID(UPPER(A448)&amp;"    ",2,1))-64))*729+MAX(0,MIN(26,CODE(MID(UPPER(A448)&amp;"    ",3,1))-64))*27+MAX(0,MIN(26,CODE(MID(UPPER(A448)&amp;"    ",4,1))-64))*1)*10000+ROW(),""))</f>
        <v/>
      </c>
      <c r="N448" s="80" t="str">
        <f t="shared" si="5"/>
        <v/>
      </c>
      <c r="O448" s="80" t="str">
        <f t="array" ref="O448">IF(A448="","",IFERROR(INDEX('Deck 1'!$A:$Z,ROW()-250,'List Setup'!$J$3)&amp;"",""))</f>
        <v/>
      </c>
      <c r="P448" s="2"/>
      <c r="Q448" s="80" t="str">
        <f>IF(A448="","",'List Setup'!$A$3)</f>
        <v/>
      </c>
      <c r="R448" s="80" t="str">
        <f t="array" ref="R448">IF(A448="","",IFERROR(OR(INDEX(Binders!$J$6:$J$30,MATCH(Q448,Binders!$I$6:$I$30,0))=TRUE(),UPPER(INDEX(Binders!$J$6:$J$30,MATCH(Q448,Binders!$I$6:$I$30,0))&amp;"")="TRUE"),FALSE()))</f>
        <v/>
      </c>
    </row>
    <row r="449" ht="15.75" customHeight="1">
      <c r="A449" s="80" t="str">
        <f t="array" ref="A449">IF(INDEX('Deck 1'!$A:$Z,ROW()-250,'List Setup'!$D$3)="","",INDEX('Deck 1'!$A:$Z,ROW()-250,'List Setup'!$D$3))</f>
        <v/>
      </c>
      <c r="B449" s="80" t="str">
        <f t="array" ref="B449">IF(A449="","",IFERROR(INDEX('Binder Setup'!$B$2:$B$401,MIN(IF(ISNUMBER(SEARCH(CHAR(10)&amp;'Binder Setup'!$B$2:$B$401&amp;CHAR(10),$H449)),'List Setup'!$Q$2:$Q$401,999),IF(ISNUMBER(SEARCH(CHAR(10)&amp;'Set Aliases'!$A$2:$A$501&amp;CHAR(10),$H449)),'Set Aliases'!$C$2:$C$501,999))),"(none)"))</f>
        <v/>
      </c>
      <c r="C449" s="80" t="str">
        <f t="shared" si="1"/>
        <v/>
      </c>
      <c r="D449" s="80" t="str">
        <f t="array" ref="D449">IF(A449="","",IF(ISLOGICAL(INDEX('Deck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49" s="80" t="str">
        <f t="shared" si="2"/>
        <v/>
      </c>
      <c r="F449" s="80" t="str">
        <f t="array" ref="F449">IF(A449="","",IF(ISNUMBER(J449),J449,IF(ISNUMBER(INDEX('Deck 1'!$A:$Z,ROW()-250,'List Setup'!$F$3)),INDEX('Deck 1'!$A:$Z,ROW()-250,'List Setup'!$F$3),0)))</f>
        <v/>
      </c>
      <c r="G449" s="80" t="str">
        <f t="array" ref="G449">IF(A449="","",A449&amp;IF(N(INDEX('Deck 1'!$A:$Z,ROW()-250,'List Setup'!$C$3))&gt;1," (x"&amp;INDEX('Deck 1'!$A:$Z,ROW()-250,'List Setup'!$C$3)&amp;")","")&amp;IF(COUNTIF(Binders!$J$6:$J$30,TRUE())&gt;1," ["&amp;Q449&amp;"]",""))</f>
        <v/>
      </c>
      <c r="H449" s="80" t="str">
        <f t="array" ref="H449">IF(A449="","",CHAR(10)&amp;INDEX('Deck 1'!$A:$Z,ROW()-250,'List Setup'!$E$3)&amp;CHAR(10))</f>
        <v/>
      </c>
      <c r="I449" s="80" t="str">
        <f t="array" ref="I449">IF(OR(B449="",B449="(none)"),"",IF(ISNUMBER(SEARCH(CHAR(10)&amp;B449&amp;CHAR(10),H449)),B449,IFERROR(INDEX('Set Aliases'!$A$2:$A$501,MATCH(1,('Set Aliases'!$B$2:$B$501=B449)*ISNUMBER(SEARCH(CHAR(10)&amp;'Set Aliases'!$A$2:$A$501&amp;CHAR(10),H449)),0)),"")))</f>
        <v/>
      </c>
      <c r="J449" s="80" t="str">
        <f t="array" ref="J449">IF(I449="","",IFERROR(VALUE(TRIM(MID(SUBSTITUTE(INDEX('Deck 1'!$A:$Z,ROW()-250,'List Setup'!$G$3),CHAR(10),REPT(" ",100)),((SEARCH(CHAR(10)&amp;I449&amp;CHAR(10),H449)-LEN(SUBSTITUTE(LEFT(H449,SEARCH(CHAR(10)&amp;I449&amp;CHAR(10),H449)),CHAR(10),"")))-1)*100+1,100))),""))</f>
        <v/>
      </c>
      <c r="K449" s="80" t="str">
        <f t="array" ref="K449">IF(A449="","",IF(ISNUMBER(SEARCH("Land",LEFT(IFERROR(INDEX('Deck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49" s="80" t="str">
        <f t="shared" si="3"/>
        <v/>
      </c>
      <c r="M449" s="80" t="str">
        <f>IF(A449="","",IF(AND(E449="Y",B449='Use at Shop'!$B$4),K449*10000000000+(MAX(0,MIN(26,CODE(MID(UPPER(A449)&amp;"    ",1,1))-64))*19683+MAX(0,MIN(26,CODE(MID(UPPER(A449)&amp;"    ",2,1))-64))*729+MAX(0,MIN(26,CODE(MID(UPPER(A449)&amp;"    ",3,1))-64))*27+MAX(0,MIN(26,CODE(MID(UPPER(A449)&amp;"    ",4,1))-64))*1)*10000+ROW(),""))</f>
        <v/>
      </c>
      <c r="N449" s="80" t="str">
        <f t="shared" si="5"/>
        <v/>
      </c>
      <c r="O449" s="80" t="str">
        <f t="array" ref="O449">IF(A449="","",IFERROR(INDEX('Deck 1'!$A:$Z,ROW()-250,'List Setup'!$J$3)&amp;"",""))</f>
        <v/>
      </c>
      <c r="P449" s="2"/>
      <c r="Q449" s="80" t="str">
        <f>IF(A449="","",'List Setup'!$A$3)</f>
        <v/>
      </c>
      <c r="R449" s="80" t="str">
        <f t="array" ref="R449">IF(A449="","",IFERROR(OR(INDEX(Binders!$J$6:$J$30,MATCH(Q449,Binders!$I$6:$I$30,0))=TRUE(),UPPER(INDEX(Binders!$J$6:$J$30,MATCH(Q449,Binders!$I$6:$I$30,0))&amp;"")="TRUE"),FALSE()))</f>
        <v/>
      </c>
    </row>
    <row r="450" ht="15.75" customHeight="1">
      <c r="A450" s="80" t="str">
        <f t="array" ref="A450">IF(INDEX('Deck 1'!$A:$Z,ROW()-250,'List Setup'!$D$3)="","",INDEX('Deck 1'!$A:$Z,ROW()-250,'List Setup'!$D$3))</f>
        <v/>
      </c>
      <c r="B450" s="80" t="str">
        <f t="array" ref="B450">IF(A450="","",IFERROR(INDEX('Binder Setup'!$B$2:$B$401,MIN(IF(ISNUMBER(SEARCH(CHAR(10)&amp;'Binder Setup'!$B$2:$B$401&amp;CHAR(10),$H450)),'List Setup'!$Q$2:$Q$401,999),IF(ISNUMBER(SEARCH(CHAR(10)&amp;'Set Aliases'!$A$2:$A$501&amp;CHAR(10),$H450)),'Set Aliases'!$C$2:$C$501,999))),"(none)"))</f>
        <v/>
      </c>
      <c r="C450" s="80" t="str">
        <f t="shared" si="1"/>
        <v/>
      </c>
      <c r="D450" s="80" t="str">
        <f t="array" ref="D450">IF(A450="","",IF(ISLOGICAL(INDEX('Deck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50" s="80" t="str">
        <f t="shared" si="2"/>
        <v/>
      </c>
      <c r="F450" s="80" t="str">
        <f t="array" ref="F450">IF(A450="","",IF(ISNUMBER(J450),J450,IF(ISNUMBER(INDEX('Deck 1'!$A:$Z,ROW()-250,'List Setup'!$F$3)),INDEX('Deck 1'!$A:$Z,ROW()-250,'List Setup'!$F$3),0)))</f>
        <v/>
      </c>
      <c r="G450" s="80" t="str">
        <f t="array" ref="G450">IF(A450="","",A450&amp;IF(N(INDEX('Deck 1'!$A:$Z,ROW()-250,'List Setup'!$C$3))&gt;1," (x"&amp;INDEX('Deck 1'!$A:$Z,ROW()-250,'List Setup'!$C$3)&amp;")","")&amp;IF(COUNTIF(Binders!$J$6:$J$30,TRUE())&gt;1," ["&amp;Q450&amp;"]",""))</f>
        <v/>
      </c>
      <c r="H450" s="80" t="str">
        <f t="array" ref="H450">IF(A450="","",CHAR(10)&amp;INDEX('Deck 1'!$A:$Z,ROW()-250,'List Setup'!$E$3)&amp;CHAR(10))</f>
        <v/>
      </c>
      <c r="I450" s="80" t="str">
        <f t="array" ref="I450">IF(OR(B450="",B450="(none)"),"",IF(ISNUMBER(SEARCH(CHAR(10)&amp;B450&amp;CHAR(10),H450)),B450,IFERROR(INDEX('Set Aliases'!$A$2:$A$501,MATCH(1,('Set Aliases'!$B$2:$B$501=B450)*ISNUMBER(SEARCH(CHAR(10)&amp;'Set Aliases'!$A$2:$A$501&amp;CHAR(10),H450)),0)),"")))</f>
        <v/>
      </c>
      <c r="J450" s="80" t="str">
        <f t="array" ref="J450">IF(I450="","",IFERROR(VALUE(TRIM(MID(SUBSTITUTE(INDEX('Deck 1'!$A:$Z,ROW()-250,'List Setup'!$G$3),CHAR(10),REPT(" ",100)),((SEARCH(CHAR(10)&amp;I450&amp;CHAR(10),H450)-LEN(SUBSTITUTE(LEFT(H450,SEARCH(CHAR(10)&amp;I450&amp;CHAR(10),H450)),CHAR(10),"")))-1)*100+1,100))),""))</f>
        <v/>
      </c>
      <c r="K450" s="80" t="str">
        <f t="array" ref="K450">IF(A450="","",IF(ISNUMBER(SEARCH("Land",LEFT(IFERROR(INDEX('Deck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50" s="80" t="str">
        <f t="shared" si="3"/>
        <v/>
      </c>
      <c r="M450" s="80" t="str">
        <f>IF(A450="","",IF(AND(E450="Y",B450='Use at Shop'!$B$4),K450*10000000000+(MAX(0,MIN(26,CODE(MID(UPPER(A450)&amp;"    ",1,1))-64))*19683+MAX(0,MIN(26,CODE(MID(UPPER(A450)&amp;"    ",2,1))-64))*729+MAX(0,MIN(26,CODE(MID(UPPER(A450)&amp;"    ",3,1))-64))*27+MAX(0,MIN(26,CODE(MID(UPPER(A450)&amp;"    ",4,1))-64))*1)*10000+ROW(),""))</f>
        <v/>
      </c>
      <c r="N450" s="80" t="str">
        <f t="shared" si="5"/>
        <v/>
      </c>
      <c r="O450" s="80" t="str">
        <f t="array" ref="O450">IF(A450="","",IFERROR(INDEX('Deck 1'!$A:$Z,ROW()-250,'List Setup'!$J$3)&amp;"",""))</f>
        <v/>
      </c>
      <c r="P450" s="2"/>
      <c r="Q450" s="80" t="str">
        <f>IF(A450="","",'List Setup'!$A$3)</f>
        <v/>
      </c>
      <c r="R450" s="80" t="str">
        <f t="array" ref="R450">IF(A450="","",IFERROR(OR(INDEX(Binders!$J$6:$J$30,MATCH(Q450,Binders!$I$6:$I$30,0))=TRUE(),UPPER(INDEX(Binders!$J$6:$J$30,MATCH(Q450,Binders!$I$6:$I$30,0))&amp;"")="TRUE"),FALSE()))</f>
        <v/>
      </c>
    </row>
    <row r="451" ht="15.75" customHeight="1">
      <c r="A451" s="80" t="str">
        <f t="array" ref="A451">IF(INDEX('Deck 1'!$A:$Z,ROW()-250,'List Setup'!$D$3)="","",INDEX('Deck 1'!$A:$Z,ROW()-250,'List Setup'!$D$3))</f>
        <v/>
      </c>
      <c r="B451" s="80" t="str">
        <f t="array" ref="B451">IF(A451="","",IFERROR(INDEX('Binder Setup'!$B$2:$B$401,MIN(IF(ISNUMBER(SEARCH(CHAR(10)&amp;'Binder Setup'!$B$2:$B$401&amp;CHAR(10),$H451)),'List Setup'!$Q$2:$Q$401,999),IF(ISNUMBER(SEARCH(CHAR(10)&amp;'Set Aliases'!$A$2:$A$501&amp;CHAR(10),$H451)),'Set Aliases'!$C$2:$C$501,999))),"(none)"))</f>
        <v/>
      </c>
      <c r="C451" s="80" t="str">
        <f t="shared" si="1"/>
        <v/>
      </c>
      <c r="D451" s="80" t="str">
        <f t="array" ref="D451">IF(A451="","",IF(ISLOGICAL(INDEX('Deck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51" s="80" t="str">
        <f t="shared" si="2"/>
        <v/>
      </c>
      <c r="F451" s="80" t="str">
        <f t="array" ref="F451">IF(A451="","",IF(ISNUMBER(J451),J451,IF(ISNUMBER(INDEX('Deck 1'!$A:$Z,ROW()-250,'List Setup'!$F$3)),INDEX('Deck 1'!$A:$Z,ROW()-250,'List Setup'!$F$3),0)))</f>
        <v/>
      </c>
      <c r="G451" s="80" t="str">
        <f t="array" ref="G451">IF(A451="","",A451&amp;IF(N(INDEX('Deck 1'!$A:$Z,ROW()-250,'List Setup'!$C$3))&gt;1," (x"&amp;INDEX('Deck 1'!$A:$Z,ROW()-250,'List Setup'!$C$3)&amp;")","")&amp;IF(COUNTIF(Binders!$J$6:$J$30,TRUE())&gt;1," ["&amp;Q451&amp;"]",""))</f>
        <v/>
      </c>
      <c r="H451" s="80" t="str">
        <f t="array" ref="H451">IF(A451="","",CHAR(10)&amp;INDEX('Deck 1'!$A:$Z,ROW()-250,'List Setup'!$E$3)&amp;CHAR(10))</f>
        <v/>
      </c>
      <c r="I451" s="80" t="str">
        <f t="array" ref="I451">IF(OR(B451="",B451="(none)"),"",IF(ISNUMBER(SEARCH(CHAR(10)&amp;B451&amp;CHAR(10),H451)),B451,IFERROR(INDEX('Set Aliases'!$A$2:$A$501,MATCH(1,('Set Aliases'!$B$2:$B$501=B451)*ISNUMBER(SEARCH(CHAR(10)&amp;'Set Aliases'!$A$2:$A$501&amp;CHAR(10),H451)),0)),"")))</f>
        <v/>
      </c>
      <c r="J451" s="80" t="str">
        <f t="array" ref="J451">IF(I451="","",IFERROR(VALUE(TRIM(MID(SUBSTITUTE(INDEX('Deck 1'!$A:$Z,ROW()-250,'List Setup'!$G$3),CHAR(10),REPT(" ",100)),((SEARCH(CHAR(10)&amp;I451&amp;CHAR(10),H451)-LEN(SUBSTITUTE(LEFT(H451,SEARCH(CHAR(10)&amp;I451&amp;CHAR(10),H451)),CHAR(10),"")))-1)*100+1,100))),""))</f>
        <v/>
      </c>
      <c r="K451" s="80" t="str">
        <f t="array" ref="K451">IF(A451="","",IF(ISNUMBER(SEARCH("Land",LEFT(IFERROR(INDEX('Deck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51" s="80" t="str">
        <f t="shared" si="3"/>
        <v/>
      </c>
      <c r="M451" s="80" t="str">
        <f>IF(A451="","",IF(AND(E451="Y",B451='Use at Shop'!$B$4),K451*10000000000+(MAX(0,MIN(26,CODE(MID(UPPER(A451)&amp;"    ",1,1))-64))*19683+MAX(0,MIN(26,CODE(MID(UPPER(A451)&amp;"    ",2,1))-64))*729+MAX(0,MIN(26,CODE(MID(UPPER(A451)&amp;"    ",3,1))-64))*27+MAX(0,MIN(26,CODE(MID(UPPER(A451)&amp;"    ",4,1))-64))*1)*10000+ROW(),""))</f>
        <v/>
      </c>
      <c r="N451" s="80" t="str">
        <f t="shared" si="5"/>
        <v/>
      </c>
      <c r="O451" s="80" t="str">
        <f t="array" ref="O451">IF(A451="","",IFERROR(INDEX('Deck 1'!$A:$Z,ROW()-250,'List Setup'!$J$3)&amp;"",""))</f>
        <v/>
      </c>
      <c r="P451" s="2"/>
      <c r="Q451" s="80" t="str">
        <f>IF(A451="","",'List Setup'!$A$3)</f>
        <v/>
      </c>
      <c r="R451" s="80" t="str">
        <f t="array" ref="R451">IF(A451="","",IFERROR(OR(INDEX(Binders!$J$6:$J$30,MATCH(Q451,Binders!$I$6:$I$30,0))=TRUE(),UPPER(INDEX(Binders!$J$6:$J$30,MATCH(Q451,Binders!$I$6:$I$30,0))&amp;"")="TRUE"),FALSE()))</f>
        <v/>
      </c>
    </row>
    <row r="452" ht="15.75" customHeight="1">
      <c r="A452" s="80" t="str">
        <f t="array" ref="A452">IF(INDEX('Deck 1'!$A:$Z,ROW()-250,'List Setup'!$D$3)="","",INDEX('Deck 1'!$A:$Z,ROW()-250,'List Setup'!$D$3))</f>
        <v/>
      </c>
      <c r="B452" s="80" t="str">
        <f t="array" ref="B452">IF(A452="","",IFERROR(INDEX('Binder Setup'!$B$2:$B$401,MIN(IF(ISNUMBER(SEARCH(CHAR(10)&amp;'Binder Setup'!$B$2:$B$401&amp;CHAR(10),$H452)),'List Setup'!$Q$2:$Q$401,999),IF(ISNUMBER(SEARCH(CHAR(10)&amp;'Set Aliases'!$A$2:$A$501&amp;CHAR(10),$H452)),'Set Aliases'!$C$2:$C$501,999))),"(none)"))</f>
        <v/>
      </c>
      <c r="C452" s="80" t="str">
        <f t="shared" si="1"/>
        <v/>
      </c>
      <c r="D452" s="80" t="str">
        <f t="array" ref="D452">IF(A452="","",IF(ISLOGICAL(INDEX('Deck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52" s="80" t="str">
        <f t="shared" si="2"/>
        <v/>
      </c>
      <c r="F452" s="80" t="str">
        <f t="array" ref="F452">IF(A452="","",IF(ISNUMBER(J452),J452,IF(ISNUMBER(INDEX('Deck 1'!$A:$Z,ROW()-250,'List Setup'!$F$3)),INDEX('Deck 1'!$A:$Z,ROW()-250,'List Setup'!$F$3),0)))</f>
        <v/>
      </c>
      <c r="G452" s="80" t="str">
        <f t="array" ref="G452">IF(A452="","",A452&amp;IF(N(INDEX('Deck 1'!$A:$Z,ROW()-250,'List Setup'!$C$3))&gt;1," (x"&amp;INDEX('Deck 1'!$A:$Z,ROW()-250,'List Setup'!$C$3)&amp;")","")&amp;IF(COUNTIF(Binders!$J$6:$J$30,TRUE())&gt;1," ["&amp;Q452&amp;"]",""))</f>
        <v/>
      </c>
      <c r="H452" s="80" t="str">
        <f t="array" ref="H452">IF(A452="","",CHAR(10)&amp;INDEX('Deck 1'!$A:$Z,ROW()-250,'List Setup'!$E$3)&amp;CHAR(10))</f>
        <v/>
      </c>
      <c r="I452" s="80" t="str">
        <f t="array" ref="I452">IF(OR(B452="",B452="(none)"),"",IF(ISNUMBER(SEARCH(CHAR(10)&amp;B452&amp;CHAR(10),H452)),B452,IFERROR(INDEX('Set Aliases'!$A$2:$A$501,MATCH(1,('Set Aliases'!$B$2:$B$501=B452)*ISNUMBER(SEARCH(CHAR(10)&amp;'Set Aliases'!$A$2:$A$501&amp;CHAR(10),H452)),0)),"")))</f>
        <v/>
      </c>
      <c r="J452" s="80" t="str">
        <f t="array" ref="J452">IF(I452="","",IFERROR(VALUE(TRIM(MID(SUBSTITUTE(INDEX('Deck 1'!$A:$Z,ROW()-250,'List Setup'!$G$3),CHAR(10),REPT(" ",100)),((SEARCH(CHAR(10)&amp;I452&amp;CHAR(10),H452)-LEN(SUBSTITUTE(LEFT(H452,SEARCH(CHAR(10)&amp;I452&amp;CHAR(10),H452)),CHAR(10),"")))-1)*100+1,100))),""))</f>
        <v/>
      </c>
      <c r="K452" s="80" t="str">
        <f t="array" ref="K452">IF(A452="","",IF(ISNUMBER(SEARCH("Land",LEFT(IFERROR(INDEX('Deck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52" s="80" t="str">
        <f t="shared" si="3"/>
        <v/>
      </c>
      <c r="M452" s="80" t="str">
        <f>IF(A452="","",IF(AND(E452="Y",B452='Use at Shop'!$B$4),K452*10000000000+(MAX(0,MIN(26,CODE(MID(UPPER(A452)&amp;"    ",1,1))-64))*19683+MAX(0,MIN(26,CODE(MID(UPPER(A452)&amp;"    ",2,1))-64))*729+MAX(0,MIN(26,CODE(MID(UPPER(A452)&amp;"    ",3,1))-64))*27+MAX(0,MIN(26,CODE(MID(UPPER(A452)&amp;"    ",4,1))-64))*1)*10000+ROW(),""))</f>
        <v/>
      </c>
      <c r="N452" s="80" t="str">
        <f t="shared" si="5"/>
        <v/>
      </c>
      <c r="O452" s="80" t="str">
        <f t="array" ref="O452">IF(A452="","",IFERROR(INDEX('Deck 1'!$A:$Z,ROW()-250,'List Setup'!$J$3)&amp;"",""))</f>
        <v/>
      </c>
      <c r="P452" s="2"/>
      <c r="Q452" s="80" t="str">
        <f>IF(A452="","",'List Setup'!$A$3)</f>
        <v/>
      </c>
      <c r="R452" s="80" t="str">
        <f t="array" ref="R452">IF(A452="","",IFERROR(OR(INDEX(Binders!$J$6:$J$30,MATCH(Q452,Binders!$I$6:$I$30,0))=TRUE(),UPPER(INDEX(Binders!$J$6:$J$30,MATCH(Q452,Binders!$I$6:$I$30,0))&amp;"")="TRUE"),FALSE()))</f>
        <v/>
      </c>
    </row>
    <row r="453" ht="15.75" customHeight="1">
      <c r="A453" s="80" t="str">
        <f t="array" ref="A453">IF(INDEX('Deck 1'!$A:$Z,ROW()-250,'List Setup'!$D$3)="","",INDEX('Deck 1'!$A:$Z,ROW()-250,'List Setup'!$D$3))</f>
        <v/>
      </c>
      <c r="B453" s="80" t="str">
        <f t="array" ref="B453">IF(A453="","",IFERROR(INDEX('Binder Setup'!$B$2:$B$401,MIN(IF(ISNUMBER(SEARCH(CHAR(10)&amp;'Binder Setup'!$B$2:$B$401&amp;CHAR(10),$H453)),'List Setup'!$Q$2:$Q$401,999),IF(ISNUMBER(SEARCH(CHAR(10)&amp;'Set Aliases'!$A$2:$A$501&amp;CHAR(10),$H453)),'Set Aliases'!$C$2:$C$501,999))),"(none)"))</f>
        <v/>
      </c>
      <c r="C453" s="80" t="str">
        <f t="shared" si="1"/>
        <v/>
      </c>
      <c r="D453" s="80" t="str">
        <f t="array" ref="D453">IF(A453="","",IF(ISLOGICAL(INDEX('Deck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53" s="80" t="str">
        <f t="shared" si="2"/>
        <v/>
      </c>
      <c r="F453" s="80" t="str">
        <f t="array" ref="F453">IF(A453="","",IF(ISNUMBER(J453),J453,IF(ISNUMBER(INDEX('Deck 1'!$A:$Z,ROW()-250,'List Setup'!$F$3)),INDEX('Deck 1'!$A:$Z,ROW()-250,'List Setup'!$F$3),0)))</f>
        <v/>
      </c>
      <c r="G453" s="80" t="str">
        <f t="array" ref="G453">IF(A453="","",A453&amp;IF(N(INDEX('Deck 1'!$A:$Z,ROW()-250,'List Setup'!$C$3))&gt;1," (x"&amp;INDEX('Deck 1'!$A:$Z,ROW()-250,'List Setup'!$C$3)&amp;")","")&amp;IF(COUNTIF(Binders!$J$6:$J$30,TRUE())&gt;1," ["&amp;Q453&amp;"]",""))</f>
        <v/>
      </c>
      <c r="H453" s="80" t="str">
        <f t="array" ref="H453">IF(A453="","",CHAR(10)&amp;INDEX('Deck 1'!$A:$Z,ROW()-250,'List Setup'!$E$3)&amp;CHAR(10))</f>
        <v/>
      </c>
      <c r="I453" s="80" t="str">
        <f t="array" ref="I453">IF(OR(B453="",B453="(none)"),"",IF(ISNUMBER(SEARCH(CHAR(10)&amp;B453&amp;CHAR(10),H453)),B453,IFERROR(INDEX('Set Aliases'!$A$2:$A$501,MATCH(1,('Set Aliases'!$B$2:$B$501=B453)*ISNUMBER(SEARCH(CHAR(10)&amp;'Set Aliases'!$A$2:$A$501&amp;CHAR(10),H453)),0)),"")))</f>
        <v/>
      </c>
      <c r="J453" s="80" t="str">
        <f t="array" ref="J453">IF(I453="","",IFERROR(VALUE(TRIM(MID(SUBSTITUTE(INDEX('Deck 1'!$A:$Z,ROW()-250,'List Setup'!$G$3),CHAR(10),REPT(" ",100)),((SEARCH(CHAR(10)&amp;I453&amp;CHAR(10),H453)-LEN(SUBSTITUTE(LEFT(H453,SEARCH(CHAR(10)&amp;I453&amp;CHAR(10),H453)),CHAR(10),"")))-1)*100+1,100))),""))</f>
        <v/>
      </c>
      <c r="K453" s="80" t="str">
        <f t="array" ref="K453">IF(A453="","",IF(ISNUMBER(SEARCH("Land",LEFT(IFERROR(INDEX('Deck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53" s="80" t="str">
        <f t="shared" si="3"/>
        <v/>
      </c>
      <c r="M453" s="80" t="str">
        <f>IF(A453="","",IF(AND(E453="Y",B453='Use at Shop'!$B$4),K453*10000000000+(MAX(0,MIN(26,CODE(MID(UPPER(A453)&amp;"    ",1,1))-64))*19683+MAX(0,MIN(26,CODE(MID(UPPER(A453)&amp;"    ",2,1))-64))*729+MAX(0,MIN(26,CODE(MID(UPPER(A453)&amp;"    ",3,1))-64))*27+MAX(0,MIN(26,CODE(MID(UPPER(A453)&amp;"    ",4,1))-64))*1)*10000+ROW(),""))</f>
        <v/>
      </c>
      <c r="N453" s="80" t="str">
        <f t="shared" si="5"/>
        <v/>
      </c>
      <c r="O453" s="80" t="str">
        <f t="array" ref="O453">IF(A453="","",IFERROR(INDEX('Deck 1'!$A:$Z,ROW()-250,'List Setup'!$J$3)&amp;"",""))</f>
        <v/>
      </c>
      <c r="P453" s="2"/>
      <c r="Q453" s="80" t="str">
        <f>IF(A453="","",'List Setup'!$A$3)</f>
        <v/>
      </c>
      <c r="R453" s="80" t="str">
        <f t="array" ref="R453">IF(A453="","",IFERROR(OR(INDEX(Binders!$J$6:$J$30,MATCH(Q453,Binders!$I$6:$I$30,0))=TRUE(),UPPER(INDEX(Binders!$J$6:$J$30,MATCH(Q453,Binders!$I$6:$I$30,0))&amp;"")="TRUE"),FALSE()))</f>
        <v/>
      </c>
    </row>
    <row r="454" ht="15.75" customHeight="1">
      <c r="A454" s="80" t="str">
        <f t="array" ref="A454">IF(INDEX('Deck 1'!$A:$Z,ROW()-250,'List Setup'!$D$3)="","",INDEX('Deck 1'!$A:$Z,ROW()-250,'List Setup'!$D$3))</f>
        <v/>
      </c>
      <c r="B454" s="80" t="str">
        <f t="array" ref="B454">IF(A454="","",IFERROR(INDEX('Binder Setup'!$B$2:$B$401,MIN(IF(ISNUMBER(SEARCH(CHAR(10)&amp;'Binder Setup'!$B$2:$B$401&amp;CHAR(10),$H454)),'List Setup'!$Q$2:$Q$401,999),IF(ISNUMBER(SEARCH(CHAR(10)&amp;'Set Aliases'!$A$2:$A$501&amp;CHAR(10),$H454)),'Set Aliases'!$C$2:$C$501,999))),"(none)"))</f>
        <v/>
      </c>
      <c r="C454" s="80" t="str">
        <f t="shared" si="1"/>
        <v/>
      </c>
      <c r="D454" s="80" t="str">
        <f t="array" ref="D454">IF(A454="","",IF(ISLOGICAL(INDEX('Deck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54" s="80" t="str">
        <f t="shared" si="2"/>
        <v/>
      </c>
      <c r="F454" s="80" t="str">
        <f t="array" ref="F454">IF(A454="","",IF(ISNUMBER(J454),J454,IF(ISNUMBER(INDEX('Deck 1'!$A:$Z,ROW()-250,'List Setup'!$F$3)),INDEX('Deck 1'!$A:$Z,ROW()-250,'List Setup'!$F$3),0)))</f>
        <v/>
      </c>
      <c r="G454" s="80" t="str">
        <f t="array" ref="G454">IF(A454="","",A454&amp;IF(N(INDEX('Deck 1'!$A:$Z,ROW()-250,'List Setup'!$C$3))&gt;1," (x"&amp;INDEX('Deck 1'!$A:$Z,ROW()-250,'List Setup'!$C$3)&amp;")","")&amp;IF(COUNTIF(Binders!$J$6:$J$30,TRUE())&gt;1," ["&amp;Q454&amp;"]",""))</f>
        <v/>
      </c>
      <c r="H454" s="80" t="str">
        <f t="array" ref="H454">IF(A454="","",CHAR(10)&amp;INDEX('Deck 1'!$A:$Z,ROW()-250,'List Setup'!$E$3)&amp;CHAR(10))</f>
        <v/>
      </c>
      <c r="I454" s="80" t="str">
        <f t="array" ref="I454">IF(OR(B454="",B454="(none)"),"",IF(ISNUMBER(SEARCH(CHAR(10)&amp;B454&amp;CHAR(10),H454)),B454,IFERROR(INDEX('Set Aliases'!$A$2:$A$501,MATCH(1,('Set Aliases'!$B$2:$B$501=B454)*ISNUMBER(SEARCH(CHAR(10)&amp;'Set Aliases'!$A$2:$A$501&amp;CHAR(10),H454)),0)),"")))</f>
        <v/>
      </c>
      <c r="J454" s="80" t="str">
        <f t="array" ref="J454">IF(I454="","",IFERROR(VALUE(TRIM(MID(SUBSTITUTE(INDEX('Deck 1'!$A:$Z,ROW()-250,'List Setup'!$G$3),CHAR(10),REPT(" ",100)),((SEARCH(CHAR(10)&amp;I454&amp;CHAR(10),H454)-LEN(SUBSTITUTE(LEFT(H454,SEARCH(CHAR(10)&amp;I454&amp;CHAR(10),H454)),CHAR(10),"")))-1)*100+1,100))),""))</f>
        <v/>
      </c>
      <c r="K454" s="80" t="str">
        <f t="array" ref="K454">IF(A454="","",IF(ISNUMBER(SEARCH("Land",LEFT(IFERROR(INDEX('Deck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54" s="80" t="str">
        <f t="shared" si="3"/>
        <v/>
      </c>
      <c r="M454" s="80" t="str">
        <f>IF(A454="","",IF(AND(E454="Y",B454='Use at Shop'!$B$4),K454*10000000000+(MAX(0,MIN(26,CODE(MID(UPPER(A454)&amp;"    ",1,1))-64))*19683+MAX(0,MIN(26,CODE(MID(UPPER(A454)&amp;"    ",2,1))-64))*729+MAX(0,MIN(26,CODE(MID(UPPER(A454)&amp;"    ",3,1))-64))*27+MAX(0,MIN(26,CODE(MID(UPPER(A454)&amp;"    ",4,1))-64))*1)*10000+ROW(),""))</f>
        <v/>
      </c>
      <c r="N454" s="80" t="str">
        <f t="shared" si="5"/>
        <v/>
      </c>
      <c r="O454" s="80" t="str">
        <f t="array" ref="O454">IF(A454="","",IFERROR(INDEX('Deck 1'!$A:$Z,ROW()-250,'List Setup'!$J$3)&amp;"",""))</f>
        <v/>
      </c>
      <c r="P454" s="2"/>
      <c r="Q454" s="80" t="str">
        <f>IF(A454="","",'List Setup'!$A$3)</f>
        <v/>
      </c>
      <c r="R454" s="80" t="str">
        <f t="array" ref="R454">IF(A454="","",IFERROR(OR(INDEX(Binders!$J$6:$J$30,MATCH(Q454,Binders!$I$6:$I$30,0))=TRUE(),UPPER(INDEX(Binders!$J$6:$J$30,MATCH(Q454,Binders!$I$6:$I$30,0))&amp;"")="TRUE"),FALSE()))</f>
        <v/>
      </c>
    </row>
    <row r="455" ht="15.75" customHeight="1">
      <c r="A455" s="80" t="str">
        <f t="array" ref="A455">IF(INDEX('Deck 1'!$A:$Z,ROW()-250,'List Setup'!$D$3)="","",INDEX('Deck 1'!$A:$Z,ROW()-250,'List Setup'!$D$3))</f>
        <v/>
      </c>
      <c r="B455" s="80" t="str">
        <f t="array" ref="B455">IF(A455="","",IFERROR(INDEX('Binder Setup'!$B$2:$B$401,MIN(IF(ISNUMBER(SEARCH(CHAR(10)&amp;'Binder Setup'!$B$2:$B$401&amp;CHAR(10),$H455)),'List Setup'!$Q$2:$Q$401,999),IF(ISNUMBER(SEARCH(CHAR(10)&amp;'Set Aliases'!$A$2:$A$501&amp;CHAR(10),$H455)),'Set Aliases'!$C$2:$C$501,999))),"(none)"))</f>
        <v/>
      </c>
      <c r="C455" s="80" t="str">
        <f t="shared" si="1"/>
        <v/>
      </c>
      <c r="D455" s="80" t="str">
        <f t="array" ref="D455">IF(A455="","",IF(ISLOGICAL(INDEX('Deck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55" s="80" t="str">
        <f t="shared" si="2"/>
        <v/>
      </c>
      <c r="F455" s="80" t="str">
        <f t="array" ref="F455">IF(A455="","",IF(ISNUMBER(J455),J455,IF(ISNUMBER(INDEX('Deck 1'!$A:$Z,ROW()-250,'List Setup'!$F$3)),INDEX('Deck 1'!$A:$Z,ROW()-250,'List Setup'!$F$3),0)))</f>
        <v/>
      </c>
      <c r="G455" s="80" t="str">
        <f t="array" ref="G455">IF(A455="","",A455&amp;IF(N(INDEX('Deck 1'!$A:$Z,ROW()-250,'List Setup'!$C$3))&gt;1," (x"&amp;INDEX('Deck 1'!$A:$Z,ROW()-250,'List Setup'!$C$3)&amp;")","")&amp;IF(COUNTIF(Binders!$J$6:$J$30,TRUE())&gt;1," ["&amp;Q455&amp;"]",""))</f>
        <v/>
      </c>
      <c r="H455" s="80" t="str">
        <f t="array" ref="H455">IF(A455="","",CHAR(10)&amp;INDEX('Deck 1'!$A:$Z,ROW()-250,'List Setup'!$E$3)&amp;CHAR(10))</f>
        <v/>
      </c>
      <c r="I455" s="80" t="str">
        <f t="array" ref="I455">IF(OR(B455="",B455="(none)"),"",IF(ISNUMBER(SEARCH(CHAR(10)&amp;B455&amp;CHAR(10),H455)),B455,IFERROR(INDEX('Set Aliases'!$A$2:$A$501,MATCH(1,('Set Aliases'!$B$2:$B$501=B455)*ISNUMBER(SEARCH(CHAR(10)&amp;'Set Aliases'!$A$2:$A$501&amp;CHAR(10),H455)),0)),"")))</f>
        <v/>
      </c>
      <c r="J455" s="80" t="str">
        <f t="array" ref="J455">IF(I455="","",IFERROR(VALUE(TRIM(MID(SUBSTITUTE(INDEX('Deck 1'!$A:$Z,ROW()-250,'List Setup'!$G$3),CHAR(10),REPT(" ",100)),((SEARCH(CHAR(10)&amp;I455&amp;CHAR(10),H455)-LEN(SUBSTITUTE(LEFT(H455,SEARCH(CHAR(10)&amp;I455&amp;CHAR(10),H455)),CHAR(10),"")))-1)*100+1,100))),""))</f>
        <v/>
      </c>
      <c r="K455" s="80" t="str">
        <f t="array" ref="K455">IF(A455="","",IF(ISNUMBER(SEARCH("Land",LEFT(IFERROR(INDEX('Deck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55" s="80" t="str">
        <f t="shared" si="3"/>
        <v/>
      </c>
      <c r="M455" s="80" t="str">
        <f>IF(A455="","",IF(AND(E455="Y",B455='Use at Shop'!$B$4),K455*10000000000+(MAX(0,MIN(26,CODE(MID(UPPER(A455)&amp;"    ",1,1))-64))*19683+MAX(0,MIN(26,CODE(MID(UPPER(A455)&amp;"    ",2,1))-64))*729+MAX(0,MIN(26,CODE(MID(UPPER(A455)&amp;"    ",3,1))-64))*27+MAX(0,MIN(26,CODE(MID(UPPER(A455)&amp;"    ",4,1))-64))*1)*10000+ROW(),""))</f>
        <v/>
      </c>
      <c r="N455" s="80" t="str">
        <f t="shared" si="5"/>
        <v/>
      </c>
      <c r="O455" s="80" t="str">
        <f t="array" ref="O455">IF(A455="","",IFERROR(INDEX('Deck 1'!$A:$Z,ROW()-250,'List Setup'!$J$3)&amp;"",""))</f>
        <v/>
      </c>
      <c r="P455" s="2"/>
      <c r="Q455" s="80" t="str">
        <f>IF(A455="","",'List Setup'!$A$3)</f>
        <v/>
      </c>
      <c r="R455" s="80" t="str">
        <f t="array" ref="R455">IF(A455="","",IFERROR(OR(INDEX(Binders!$J$6:$J$30,MATCH(Q455,Binders!$I$6:$I$30,0))=TRUE(),UPPER(INDEX(Binders!$J$6:$J$30,MATCH(Q455,Binders!$I$6:$I$30,0))&amp;"")="TRUE"),FALSE()))</f>
        <v/>
      </c>
    </row>
    <row r="456" ht="15.75" customHeight="1">
      <c r="A456" s="80" t="str">
        <f t="array" ref="A456">IF(INDEX('Deck 1'!$A:$Z,ROW()-250,'List Setup'!$D$3)="","",INDEX('Deck 1'!$A:$Z,ROW()-250,'List Setup'!$D$3))</f>
        <v/>
      </c>
      <c r="B456" s="80" t="str">
        <f t="array" ref="B456">IF(A456="","",IFERROR(INDEX('Binder Setup'!$B$2:$B$401,MIN(IF(ISNUMBER(SEARCH(CHAR(10)&amp;'Binder Setup'!$B$2:$B$401&amp;CHAR(10),$H456)),'List Setup'!$Q$2:$Q$401,999),IF(ISNUMBER(SEARCH(CHAR(10)&amp;'Set Aliases'!$A$2:$A$501&amp;CHAR(10),$H456)),'Set Aliases'!$C$2:$C$501,999))),"(none)"))</f>
        <v/>
      </c>
      <c r="C456" s="80" t="str">
        <f t="shared" si="1"/>
        <v/>
      </c>
      <c r="D456" s="80" t="str">
        <f t="array" ref="D456">IF(A456="","",IF(ISLOGICAL(INDEX('Deck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56" s="80" t="str">
        <f t="shared" si="2"/>
        <v/>
      </c>
      <c r="F456" s="80" t="str">
        <f t="array" ref="F456">IF(A456="","",IF(ISNUMBER(J456),J456,IF(ISNUMBER(INDEX('Deck 1'!$A:$Z,ROW()-250,'List Setup'!$F$3)),INDEX('Deck 1'!$A:$Z,ROW()-250,'List Setup'!$F$3),0)))</f>
        <v/>
      </c>
      <c r="G456" s="80" t="str">
        <f t="array" ref="G456">IF(A456="","",A456&amp;IF(N(INDEX('Deck 1'!$A:$Z,ROW()-250,'List Setup'!$C$3))&gt;1," (x"&amp;INDEX('Deck 1'!$A:$Z,ROW()-250,'List Setup'!$C$3)&amp;")","")&amp;IF(COUNTIF(Binders!$J$6:$J$30,TRUE())&gt;1," ["&amp;Q456&amp;"]",""))</f>
        <v/>
      </c>
      <c r="H456" s="80" t="str">
        <f t="array" ref="H456">IF(A456="","",CHAR(10)&amp;INDEX('Deck 1'!$A:$Z,ROW()-250,'List Setup'!$E$3)&amp;CHAR(10))</f>
        <v/>
      </c>
      <c r="I456" s="80" t="str">
        <f t="array" ref="I456">IF(OR(B456="",B456="(none)"),"",IF(ISNUMBER(SEARCH(CHAR(10)&amp;B456&amp;CHAR(10),H456)),B456,IFERROR(INDEX('Set Aliases'!$A$2:$A$501,MATCH(1,('Set Aliases'!$B$2:$B$501=B456)*ISNUMBER(SEARCH(CHAR(10)&amp;'Set Aliases'!$A$2:$A$501&amp;CHAR(10),H456)),0)),"")))</f>
        <v/>
      </c>
      <c r="J456" s="80" t="str">
        <f t="array" ref="J456">IF(I456="","",IFERROR(VALUE(TRIM(MID(SUBSTITUTE(INDEX('Deck 1'!$A:$Z,ROW()-250,'List Setup'!$G$3),CHAR(10),REPT(" ",100)),((SEARCH(CHAR(10)&amp;I456&amp;CHAR(10),H456)-LEN(SUBSTITUTE(LEFT(H456,SEARCH(CHAR(10)&amp;I456&amp;CHAR(10),H456)),CHAR(10),"")))-1)*100+1,100))),""))</f>
        <v/>
      </c>
      <c r="K456" s="80" t="str">
        <f t="array" ref="K456">IF(A456="","",IF(ISNUMBER(SEARCH("Land",LEFT(IFERROR(INDEX('Deck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56" s="80" t="str">
        <f t="shared" si="3"/>
        <v/>
      </c>
      <c r="M456" s="80" t="str">
        <f>IF(A456="","",IF(AND(E456="Y",B456='Use at Shop'!$B$4),K456*10000000000+(MAX(0,MIN(26,CODE(MID(UPPER(A456)&amp;"    ",1,1))-64))*19683+MAX(0,MIN(26,CODE(MID(UPPER(A456)&amp;"    ",2,1))-64))*729+MAX(0,MIN(26,CODE(MID(UPPER(A456)&amp;"    ",3,1))-64))*27+MAX(0,MIN(26,CODE(MID(UPPER(A456)&amp;"    ",4,1))-64))*1)*10000+ROW(),""))</f>
        <v/>
      </c>
      <c r="N456" s="80" t="str">
        <f t="shared" si="5"/>
        <v/>
      </c>
      <c r="O456" s="80" t="str">
        <f t="array" ref="O456">IF(A456="","",IFERROR(INDEX('Deck 1'!$A:$Z,ROW()-250,'List Setup'!$J$3)&amp;"",""))</f>
        <v/>
      </c>
      <c r="P456" s="2"/>
      <c r="Q456" s="80" t="str">
        <f>IF(A456="","",'List Setup'!$A$3)</f>
        <v/>
      </c>
      <c r="R456" s="80" t="str">
        <f t="array" ref="R456">IF(A456="","",IFERROR(OR(INDEX(Binders!$J$6:$J$30,MATCH(Q456,Binders!$I$6:$I$30,0))=TRUE(),UPPER(INDEX(Binders!$J$6:$J$30,MATCH(Q456,Binders!$I$6:$I$30,0))&amp;"")="TRUE"),FALSE()))</f>
        <v/>
      </c>
    </row>
    <row r="457" ht="15.75" customHeight="1">
      <c r="A457" s="80" t="str">
        <f t="array" ref="A457">IF(INDEX('Deck 1'!$A:$Z,ROW()-250,'List Setup'!$D$3)="","",INDEX('Deck 1'!$A:$Z,ROW()-250,'List Setup'!$D$3))</f>
        <v/>
      </c>
      <c r="B457" s="80" t="str">
        <f t="array" ref="B457">IF(A457="","",IFERROR(INDEX('Binder Setup'!$B$2:$B$401,MIN(IF(ISNUMBER(SEARCH(CHAR(10)&amp;'Binder Setup'!$B$2:$B$401&amp;CHAR(10),$H457)),'List Setup'!$Q$2:$Q$401,999),IF(ISNUMBER(SEARCH(CHAR(10)&amp;'Set Aliases'!$A$2:$A$501&amp;CHAR(10),$H457)),'Set Aliases'!$C$2:$C$501,999))),"(none)"))</f>
        <v/>
      </c>
      <c r="C457" s="80" t="str">
        <f t="shared" si="1"/>
        <v/>
      </c>
      <c r="D457" s="80" t="str">
        <f t="array" ref="D457">IF(A457="","",IF(ISLOGICAL(INDEX('Deck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57" s="80" t="str">
        <f t="shared" si="2"/>
        <v/>
      </c>
      <c r="F457" s="80" t="str">
        <f t="array" ref="F457">IF(A457="","",IF(ISNUMBER(J457),J457,IF(ISNUMBER(INDEX('Deck 1'!$A:$Z,ROW()-250,'List Setup'!$F$3)),INDEX('Deck 1'!$A:$Z,ROW()-250,'List Setup'!$F$3),0)))</f>
        <v/>
      </c>
      <c r="G457" s="80" t="str">
        <f t="array" ref="G457">IF(A457="","",A457&amp;IF(N(INDEX('Deck 1'!$A:$Z,ROW()-250,'List Setup'!$C$3))&gt;1," (x"&amp;INDEX('Deck 1'!$A:$Z,ROW()-250,'List Setup'!$C$3)&amp;")","")&amp;IF(COUNTIF(Binders!$J$6:$J$30,TRUE())&gt;1," ["&amp;Q457&amp;"]",""))</f>
        <v/>
      </c>
      <c r="H457" s="80" t="str">
        <f t="array" ref="H457">IF(A457="","",CHAR(10)&amp;INDEX('Deck 1'!$A:$Z,ROW()-250,'List Setup'!$E$3)&amp;CHAR(10))</f>
        <v/>
      </c>
      <c r="I457" s="80" t="str">
        <f t="array" ref="I457">IF(OR(B457="",B457="(none)"),"",IF(ISNUMBER(SEARCH(CHAR(10)&amp;B457&amp;CHAR(10),H457)),B457,IFERROR(INDEX('Set Aliases'!$A$2:$A$501,MATCH(1,('Set Aliases'!$B$2:$B$501=B457)*ISNUMBER(SEARCH(CHAR(10)&amp;'Set Aliases'!$A$2:$A$501&amp;CHAR(10),H457)),0)),"")))</f>
        <v/>
      </c>
      <c r="J457" s="80" t="str">
        <f t="array" ref="J457">IF(I457="","",IFERROR(VALUE(TRIM(MID(SUBSTITUTE(INDEX('Deck 1'!$A:$Z,ROW()-250,'List Setup'!$G$3),CHAR(10),REPT(" ",100)),((SEARCH(CHAR(10)&amp;I457&amp;CHAR(10),H457)-LEN(SUBSTITUTE(LEFT(H457,SEARCH(CHAR(10)&amp;I457&amp;CHAR(10),H457)),CHAR(10),"")))-1)*100+1,100))),""))</f>
        <v/>
      </c>
      <c r="K457" s="80" t="str">
        <f t="array" ref="K457">IF(A457="","",IF(ISNUMBER(SEARCH("Land",LEFT(IFERROR(INDEX('Deck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57" s="80" t="str">
        <f t="shared" si="3"/>
        <v/>
      </c>
      <c r="M457" s="80" t="str">
        <f>IF(A457="","",IF(AND(E457="Y",B457='Use at Shop'!$B$4),K457*10000000000+(MAX(0,MIN(26,CODE(MID(UPPER(A457)&amp;"    ",1,1))-64))*19683+MAX(0,MIN(26,CODE(MID(UPPER(A457)&amp;"    ",2,1))-64))*729+MAX(0,MIN(26,CODE(MID(UPPER(A457)&amp;"    ",3,1))-64))*27+MAX(0,MIN(26,CODE(MID(UPPER(A457)&amp;"    ",4,1))-64))*1)*10000+ROW(),""))</f>
        <v/>
      </c>
      <c r="N457" s="80" t="str">
        <f t="shared" si="5"/>
        <v/>
      </c>
      <c r="O457" s="80" t="str">
        <f t="array" ref="O457">IF(A457="","",IFERROR(INDEX('Deck 1'!$A:$Z,ROW()-250,'List Setup'!$J$3)&amp;"",""))</f>
        <v/>
      </c>
      <c r="P457" s="2"/>
      <c r="Q457" s="80" t="str">
        <f>IF(A457="","",'List Setup'!$A$3)</f>
        <v/>
      </c>
      <c r="R457" s="80" t="str">
        <f t="array" ref="R457">IF(A457="","",IFERROR(OR(INDEX(Binders!$J$6:$J$30,MATCH(Q457,Binders!$I$6:$I$30,0))=TRUE(),UPPER(INDEX(Binders!$J$6:$J$30,MATCH(Q457,Binders!$I$6:$I$30,0))&amp;"")="TRUE"),FALSE()))</f>
        <v/>
      </c>
    </row>
    <row r="458" ht="15.75" customHeight="1">
      <c r="A458" s="80" t="str">
        <f t="array" ref="A458">IF(INDEX('Deck 1'!$A:$Z,ROW()-250,'List Setup'!$D$3)="","",INDEX('Deck 1'!$A:$Z,ROW()-250,'List Setup'!$D$3))</f>
        <v/>
      </c>
      <c r="B458" s="80" t="str">
        <f t="array" ref="B458">IF(A458="","",IFERROR(INDEX('Binder Setup'!$B$2:$B$401,MIN(IF(ISNUMBER(SEARCH(CHAR(10)&amp;'Binder Setup'!$B$2:$B$401&amp;CHAR(10),$H458)),'List Setup'!$Q$2:$Q$401,999),IF(ISNUMBER(SEARCH(CHAR(10)&amp;'Set Aliases'!$A$2:$A$501&amp;CHAR(10),$H458)),'Set Aliases'!$C$2:$C$501,999))),"(none)"))</f>
        <v/>
      </c>
      <c r="C458" s="80" t="str">
        <f t="shared" si="1"/>
        <v/>
      </c>
      <c r="D458" s="80" t="str">
        <f t="array" ref="D458">IF(A458="","",IF(ISLOGICAL(INDEX('Deck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58" s="80" t="str">
        <f t="shared" si="2"/>
        <v/>
      </c>
      <c r="F458" s="80" t="str">
        <f t="array" ref="F458">IF(A458="","",IF(ISNUMBER(J458),J458,IF(ISNUMBER(INDEX('Deck 1'!$A:$Z,ROW()-250,'List Setup'!$F$3)),INDEX('Deck 1'!$A:$Z,ROW()-250,'List Setup'!$F$3),0)))</f>
        <v/>
      </c>
      <c r="G458" s="80" t="str">
        <f t="array" ref="G458">IF(A458="","",A458&amp;IF(N(INDEX('Deck 1'!$A:$Z,ROW()-250,'List Setup'!$C$3))&gt;1," (x"&amp;INDEX('Deck 1'!$A:$Z,ROW()-250,'List Setup'!$C$3)&amp;")","")&amp;IF(COUNTIF(Binders!$J$6:$J$30,TRUE())&gt;1," ["&amp;Q458&amp;"]",""))</f>
        <v/>
      </c>
      <c r="H458" s="80" t="str">
        <f t="array" ref="H458">IF(A458="","",CHAR(10)&amp;INDEX('Deck 1'!$A:$Z,ROW()-250,'List Setup'!$E$3)&amp;CHAR(10))</f>
        <v/>
      </c>
      <c r="I458" s="80" t="str">
        <f t="array" ref="I458">IF(OR(B458="",B458="(none)"),"",IF(ISNUMBER(SEARCH(CHAR(10)&amp;B458&amp;CHAR(10),H458)),B458,IFERROR(INDEX('Set Aliases'!$A$2:$A$501,MATCH(1,('Set Aliases'!$B$2:$B$501=B458)*ISNUMBER(SEARCH(CHAR(10)&amp;'Set Aliases'!$A$2:$A$501&amp;CHAR(10),H458)),0)),"")))</f>
        <v/>
      </c>
      <c r="J458" s="80" t="str">
        <f t="array" ref="J458">IF(I458="","",IFERROR(VALUE(TRIM(MID(SUBSTITUTE(INDEX('Deck 1'!$A:$Z,ROW()-250,'List Setup'!$G$3),CHAR(10),REPT(" ",100)),((SEARCH(CHAR(10)&amp;I458&amp;CHAR(10),H458)-LEN(SUBSTITUTE(LEFT(H458,SEARCH(CHAR(10)&amp;I458&amp;CHAR(10),H458)),CHAR(10),"")))-1)*100+1,100))),""))</f>
        <v/>
      </c>
      <c r="K458" s="80" t="str">
        <f t="array" ref="K458">IF(A458="","",IF(ISNUMBER(SEARCH("Land",LEFT(IFERROR(INDEX('Deck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58" s="80" t="str">
        <f t="shared" si="3"/>
        <v/>
      </c>
      <c r="M458" s="80" t="str">
        <f>IF(A458="","",IF(AND(E458="Y",B458='Use at Shop'!$B$4),K458*10000000000+(MAX(0,MIN(26,CODE(MID(UPPER(A458)&amp;"    ",1,1))-64))*19683+MAX(0,MIN(26,CODE(MID(UPPER(A458)&amp;"    ",2,1))-64))*729+MAX(0,MIN(26,CODE(MID(UPPER(A458)&amp;"    ",3,1))-64))*27+MAX(0,MIN(26,CODE(MID(UPPER(A458)&amp;"    ",4,1))-64))*1)*10000+ROW(),""))</f>
        <v/>
      </c>
      <c r="N458" s="80" t="str">
        <f t="shared" si="5"/>
        <v/>
      </c>
      <c r="O458" s="80" t="str">
        <f t="array" ref="O458">IF(A458="","",IFERROR(INDEX('Deck 1'!$A:$Z,ROW()-250,'List Setup'!$J$3)&amp;"",""))</f>
        <v/>
      </c>
      <c r="P458" s="2"/>
      <c r="Q458" s="80" t="str">
        <f>IF(A458="","",'List Setup'!$A$3)</f>
        <v/>
      </c>
      <c r="R458" s="80" t="str">
        <f t="array" ref="R458">IF(A458="","",IFERROR(OR(INDEX(Binders!$J$6:$J$30,MATCH(Q458,Binders!$I$6:$I$30,0))=TRUE(),UPPER(INDEX(Binders!$J$6:$J$30,MATCH(Q458,Binders!$I$6:$I$30,0))&amp;"")="TRUE"),FALSE()))</f>
        <v/>
      </c>
    </row>
    <row r="459" ht="15.75" customHeight="1">
      <c r="A459" s="80" t="str">
        <f t="array" ref="A459">IF(INDEX('Deck 1'!$A:$Z,ROW()-250,'List Setup'!$D$3)="","",INDEX('Deck 1'!$A:$Z,ROW()-250,'List Setup'!$D$3))</f>
        <v/>
      </c>
      <c r="B459" s="80" t="str">
        <f t="array" ref="B459">IF(A459="","",IFERROR(INDEX('Binder Setup'!$B$2:$B$401,MIN(IF(ISNUMBER(SEARCH(CHAR(10)&amp;'Binder Setup'!$B$2:$B$401&amp;CHAR(10),$H459)),'List Setup'!$Q$2:$Q$401,999),IF(ISNUMBER(SEARCH(CHAR(10)&amp;'Set Aliases'!$A$2:$A$501&amp;CHAR(10),$H459)),'Set Aliases'!$C$2:$C$501,999))),"(none)"))</f>
        <v/>
      </c>
      <c r="C459" s="80" t="str">
        <f t="shared" si="1"/>
        <v/>
      </c>
      <c r="D459" s="80" t="str">
        <f t="array" ref="D459">IF(A459="","",IF(ISLOGICAL(INDEX('Deck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59" s="80" t="str">
        <f t="shared" si="2"/>
        <v/>
      </c>
      <c r="F459" s="80" t="str">
        <f t="array" ref="F459">IF(A459="","",IF(ISNUMBER(J459),J459,IF(ISNUMBER(INDEX('Deck 1'!$A:$Z,ROW()-250,'List Setup'!$F$3)),INDEX('Deck 1'!$A:$Z,ROW()-250,'List Setup'!$F$3),0)))</f>
        <v/>
      </c>
      <c r="G459" s="80" t="str">
        <f t="array" ref="G459">IF(A459="","",A459&amp;IF(N(INDEX('Deck 1'!$A:$Z,ROW()-250,'List Setup'!$C$3))&gt;1," (x"&amp;INDEX('Deck 1'!$A:$Z,ROW()-250,'List Setup'!$C$3)&amp;")","")&amp;IF(COUNTIF(Binders!$J$6:$J$30,TRUE())&gt;1," ["&amp;Q459&amp;"]",""))</f>
        <v/>
      </c>
      <c r="H459" s="80" t="str">
        <f t="array" ref="H459">IF(A459="","",CHAR(10)&amp;INDEX('Deck 1'!$A:$Z,ROW()-250,'List Setup'!$E$3)&amp;CHAR(10))</f>
        <v/>
      </c>
      <c r="I459" s="80" t="str">
        <f t="array" ref="I459">IF(OR(B459="",B459="(none)"),"",IF(ISNUMBER(SEARCH(CHAR(10)&amp;B459&amp;CHAR(10),H459)),B459,IFERROR(INDEX('Set Aliases'!$A$2:$A$501,MATCH(1,('Set Aliases'!$B$2:$B$501=B459)*ISNUMBER(SEARCH(CHAR(10)&amp;'Set Aliases'!$A$2:$A$501&amp;CHAR(10),H459)),0)),"")))</f>
        <v/>
      </c>
      <c r="J459" s="80" t="str">
        <f t="array" ref="J459">IF(I459="","",IFERROR(VALUE(TRIM(MID(SUBSTITUTE(INDEX('Deck 1'!$A:$Z,ROW()-250,'List Setup'!$G$3),CHAR(10),REPT(" ",100)),((SEARCH(CHAR(10)&amp;I459&amp;CHAR(10),H459)-LEN(SUBSTITUTE(LEFT(H459,SEARCH(CHAR(10)&amp;I459&amp;CHAR(10),H459)),CHAR(10),"")))-1)*100+1,100))),""))</f>
        <v/>
      </c>
      <c r="K459" s="80" t="str">
        <f t="array" ref="K459">IF(A459="","",IF(ISNUMBER(SEARCH("Land",LEFT(IFERROR(INDEX('Deck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59" s="80" t="str">
        <f t="shared" si="3"/>
        <v/>
      </c>
      <c r="M459" s="80" t="str">
        <f>IF(A459="","",IF(AND(E459="Y",B459='Use at Shop'!$B$4),K459*10000000000+(MAX(0,MIN(26,CODE(MID(UPPER(A459)&amp;"    ",1,1))-64))*19683+MAX(0,MIN(26,CODE(MID(UPPER(A459)&amp;"    ",2,1))-64))*729+MAX(0,MIN(26,CODE(MID(UPPER(A459)&amp;"    ",3,1))-64))*27+MAX(0,MIN(26,CODE(MID(UPPER(A459)&amp;"    ",4,1))-64))*1)*10000+ROW(),""))</f>
        <v/>
      </c>
      <c r="N459" s="80" t="str">
        <f t="shared" si="5"/>
        <v/>
      </c>
      <c r="O459" s="80" t="str">
        <f t="array" ref="O459">IF(A459="","",IFERROR(INDEX('Deck 1'!$A:$Z,ROW()-250,'List Setup'!$J$3)&amp;"",""))</f>
        <v/>
      </c>
      <c r="P459" s="2"/>
      <c r="Q459" s="80" t="str">
        <f>IF(A459="","",'List Setup'!$A$3)</f>
        <v/>
      </c>
      <c r="R459" s="80" t="str">
        <f t="array" ref="R459">IF(A459="","",IFERROR(OR(INDEX(Binders!$J$6:$J$30,MATCH(Q459,Binders!$I$6:$I$30,0))=TRUE(),UPPER(INDEX(Binders!$J$6:$J$30,MATCH(Q459,Binders!$I$6:$I$30,0))&amp;"")="TRUE"),FALSE()))</f>
        <v/>
      </c>
    </row>
    <row r="460" ht="15.75" customHeight="1">
      <c r="A460" s="80" t="str">
        <f t="array" ref="A460">IF(INDEX('Deck 1'!$A:$Z,ROW()-250,'List Setup'!$D$3)="","",INDEX('Deck 1'!$A:$Z,ROW()-250,'List Setup'!$D$3))</f>
        <v/>
      </c>
      <c r="B460" s="80" t="str">
        <f t="array" ref="B460">IF(A460="","",IFERROR(INDEX('Binder Setup'!$B$2:$B$401,MIN(IF(ISNUMBER(SEARCH(CHAR(10)&amp;'Binder Setup'!$B$2:$B$401&amp;CHAR(10),$H460)),'List Setup'!$Q$2:$Q$401,999),IF(ISNUMBER(SEARCH(CHAR(10)&amp;'Set Aliases'!$A$2:$A$501&amp;CHAR(10),$H460)),'Set Aliases'!$C$2:$C$501,999))),"(none)"))</f>
        <v/>
      </c>
      <c r="C460" s="80" t="str">
        <f t="shared" si="1"/>
        <v/>
      </c>
      <c r="D460" s="80" t="str">
        <f t="array" ref="D460">IF(A460="","",IF(ISLOGICAL(INDEX('Deck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60" s="80" t="str">
        <f t="shared" si="2"/>
        <v/>
      </c>
      <c r="F460" s="80" t="str">
        <f t="array" ref="F460">IF(A460="","",IF(ISNUMBER(J460),J460,IF(ISNUMBER(INDEX('Deck 1'!$A:$Z,ROW()-250,'List Setup'!$F$3)),INDEX('Deck 1'!$A:$Z,ROW()-250,'List Setup'!$F$3),0)))</f>
        <v/>
      </c>
      <c r="G460" s="80" t="str">
        <f t="array" ref="G460">IF(A460="","",A460&amp;IF(N(INDEX('Deck 1'!$A:$Z,ROW()-250,'List Setup'!$C$3))&gt;1," (x"&amp;INDEX('Deck 1'!$A:$Z,ROW()-250,'List Setup'!$C$3)&amp;")","")&amp;IF(COUNTIF(Binders!$J$6:$J$30,TRUE())&gt;1," ["&amp;Q460&amp;"]",""))</f>
        <v/>
      </c>
      <c r="H460" s="80" t="str">
        <f t="array" ref="H460">IF(A460="","",CHAR(10)&amp;INDEX('Deck 1'!$A:$Z,ROW()-250,'List Setup'!$E$3)&amp;CHAR(10))</f>
        <v/>
      </c>
      <c r="I460" s="80" t="str">
        <f t="array" ref="I460">IF(OR(B460="",B460="(none)"),"",IF(ISNUMBER(SEARCH(CHAR(10)&amp;B460&amp;CHAR(10),H460)),B460,IFERROR(INDEX('Set Aliases'!$A$2:$A$501,MATCH(1,('Set Aliases'!$B$2:$B$501=B460)*ISNUMBER(SEARCH(CHAR(10)&amp;'Set Aliases'!$A$2:$A$501&amp;CHAR(10),H460)),0)),"")))</f>
        <v/>
      </c>
      <c r="J460" s="80" t="str">
        <f t="array" ref="J460">IF(I460="","",IFERROR(VALUE(TRIM(MID(SUBSTITUTE(INDEX('Deck 1'!$A:$Z,ROW()-250,'List Setup'!$G$3),CHAR(10),REPT(" ",100)),((SEARCH(CHAR(10)&amp;I460&amp;CHAR(10),H460)-LEN(SUBSTITUTE(LEFT(H460,SEARCH(CHAR(10)&amp;I460&amp;CHAR(10),H460)),CHAR(10),"")))-1)*100+1,100))),""))</f>
        <v/>
      </c>
      <c r="K460" s="80" t="str">
        <f t="array" ref="K460">IF(A460="","",IF(ISNUMBER(SEARCH("Land",LEFT(IFERROR(INDEX('Deck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60" s="80" t="str">
        <f t="shared" si="3"/>
        <v/>
      </c>
      <c r="M460" s="80" t="str">
        <f>IF(A460="","",IF(AND(E460="Y",B460='Use at Shop'!$B$4),K460*10000000000+(MAX(0,MIN(26,CODE(MID(UPPER(A460)&amp;"    ",1,1))-64))*19683+MAX(0,MIN(26,CODE(MID(UPPER(A460)&amp;"    ",2,1))-64))*729+MAX(0,MIN(26,CODE(MID(UPPER(A460)&amp;"    ",3,1))-64))*27+MAX(0,MIN(26,CODE(MID(UPPER(A460)&amp;"    ",4,1))-64))*1)*10000+ROW(),""))</f>
        <v/>
      </c>
      <c r="N460" s="80" t="str">
        <f t="shared" si="5"/>
        <v/>
      </c>
      <c r="O460" s="80" t="str">
        <f t="array" ref="O460">IF(A460="","",IFERROR(INDEX('Deck 1'!$A:$Z,ROW()-250,'List Setup'!$J$3)&amp;"",""))</f>
        <v/>
      </c>
      <c r="P460" s="2"/>
      <c r="Q460" s="80" t="str">
        <f>IF(A460="","",'List Setup'!$A$3)</f>
        <v/>
      </c>
      <c r="R460" s="80" t="str">
        <f t="array" ref="R460">IF(A460="","",IFERROR(OR(INDEX(Binders!$J$6:$J$30,MATCH(Q460,Binders!$I$6:$I$30,0))=TRUE(),UPPER(INDEX(Binders!$J$6:$J$30,MATCH(Q460,Binders!$I$6:$I$30,0))&amp;"")="TRUE"),FALSE()))</f>
        <v/>
      </c>
    </row>
    <row r="461" ht="15.75" customHeight="1">
      <c r="A461" s="80" t="str">
        <f t="array" ref="A461">IF(INDEX('Deck 1'!$A:$Z,ROW()-250,'List Setup'!$D$3)="","",INDEX('Deck 1'!$A:$Z,ROW()-250,'List Setup'!$D$3))</f>
        <v/>
      </c>
      <c r="B461" s="80" t="str">
        <f t="array" ref="B461">IF(A461="","",IFERROR(INDEX('Binder Setup'!$B$2:$B$401,MIN(IF(ISNUMBER(SEARCH(CHAR(10)&amp;'Binder Setup'!$B$2:$B$401&amp;CHAR(10),$H461)),'List Setup'!$Q$2:$Q$401,999),IF(ISNUMBER(SEARCH(CHAR(10)&amp;'Set Aliases'!$A$2:$A$501&amp;CHAR(10),$H461)),'Set Aliases'!$C$2:$C$501,999))),"(none)"))</f>
        <v/>
      </c>
      <c r="C461" s="80" t="str">
        <f t="shared" si="1"/>
        <v/>
      </c>
      <c r="D461" s="80" t="str">
        <f t="array" ref="D461">IF(A461="","",IF(ISLOGICAL(INDEX('Deck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61" s="80" t="str">
        <f t="shared" si="2"/>
        <v/>
      </c>
      <c r="F461" s="80" t="str">
        <f t="array" ref="F461">IF(A461="","",IF(ISNUMBER(J461),J461,IF(ISNUMBER(INDEX('Deck 1'!$A:$Z,ROW()-250,'List Setup'!$F$3)),INDEX('Deck 1'!$A:$Z,ROW()-250,'List Setup'!$F$3),0)))</f>
        <v/>
      </c>
      <c r="G461" s="80" t="str">
        <f t="array" ref="G461">IF(A461="","",A461&amp;IF(N(INDEX('Deck 1'!$A:$Z,ROW()-250,'List Setup'!$C$3))&gt;1," (x"&amp;INDEX('Deck 1'!$A:$Z,ROW()-250,'List Setup'!$C$3)&amp;")","")&amp;IF(COUNTIF(Binders!$J$6:$J$30,TRUE())&gt;1," ["&amp;Q461&amp;"]",""))</f>
        <v/>
      </c>
      <c r="H461" s="80" t="str">
        <f t="array" ref="H461">IF(A461="","",CHAR(10)&amp;INDEX('Deck 1'!$A:$Z,ROW()-250,'List Setup'!$E$3)&amp;CHAR(10))</f>
        <v/>
      </c>
      <c r="I461" s="80" t="str">
        <f t="array" ref="I461">IF(OR(B461="",B461="(none)"),"",IF(ISNUMBER(SEARCH(CHAR(10)&amp;B461&amp;CHAR(10),H461)),B461,IFERROR(INDEX('Set Aliases'!$A$2:$A$501,MATCH(1,('Set Aliases'!$B$2:$B$501=B461)*ISNUMBER(SEARCH(CHAR(10)&amp;'Set Aliases'!$A$2:$A$501&amp;CHAR(10),H461)),0)),"")))</f>
        <v/>
      </c>
      <c r="J461" s="80" t="str">
        <f t="array" ref="J461">IF(I461="","",IFERROR(VALUE(TRIM(MID(SUBSTITUTE(INDEX('Deck 1'!$A:$Z,ROW()-250,'List Setup'!$G$3),CHAR(10),REPT(" ",100)),((SEARCH(CHAR(10)&amp;I461&amp;CHAR(10),H461)-LEN(SUBSTITUTE(LEFT(H461,SEARCH(CHAR(10)&amp;I461&amp;CHAR(10),H461)),CHAR(10),"")))-1)*100+1,100))),""))</f>
        <v/>
      </c>
      <c r="K461" s="80" t="str">
        <f t="array" ref="K461">IF(A461="","",IF(ISNUMBER(SEARCH("Land",LEFT(IFERROR(INDEX('Deck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61" s="80" t="str">
        <f t="shared" si="3"/>
        <v/>
      </c>
      <c r="M461" s="80" t="str">
        <f>IF(A461="","",IF(AND(E461="Y",B461='Use at Shop'!$B$4),K461*10000000000+(MAX(0,MIN(26,CODE(MID(UPPER(A461)&amp;"    ",1,1))-64))*19683+MAX(0,MIN(26,CODE(MID(UPPER(A461)&amp;"    ",2,1))-64))*729+MAX(0,MIN(26,CODE(MID(UPPER(A461)&amp;"    ",3,1))-64))*27+MAX(0,MIN(26,CODE(MID(UPPER(A461)&amp;"    ",4,1))-64))*1)*10000+ROW(),""))</f>
        <v/>
      </c>
      <c r="N461" s="80" t="str">
        <f t="shared" si="5"/>
        <v/>
      </c>
      <c r="O461" s="80" t="str">
        <f t="array" ref="O461">IF(A461="","",IFERROR(INDEX('Deck 1'!$A:$Z,ROW()-250,'List Setup'!$J$3)&amp;"",""))</f>
        <v/>
      </c>
      <c r="P461" s="2"/>
      <c r="Q461" s="80" t="str">
        <f>IF(A461="","",'List Setup'!$A$3)</f>
        <v/>
      </c>
      <c r="R461" s="80" t="str">
        <f t="array" ref="R461">IF(A461="","",IFERROR(OR(INDEX(Binders!$J$6:$J$30,MATCH(Q461,Binders!$I$6:$I$30,0))=TRUE(),UPPER(INDEX(Binders!$J$6:$J$30,MATCH(Q461,Binders!$I$6:$I$30,0))&amp;"")="TRUE"),FALSE()))</f>
        <v/>
      </c>
    </row>
    <row r="462" ht="15.75" customHeight="1">
      <c r="A462" s="80" t="str">
        <f t="array" ref="A462">IF(INDEX('Deck 1'!$A:$Z,ROW()-250,'List Setup'!$D$3)="","",INDEX('Deck 1'!$A:$Z,ROW()-250,'List Setup'!$D$3))</f>
        <v/>
      </c>
      <c r="B462" s="80" t="str">
        <f t="array" ref="B462">IF(A462="","",IFERROR(INDEX('Binder Setup'!$B$2:$B$401,MIN(IF(ISNUMBER(SEARCH(CHAR(10)&amp;'Binder Setup'!$B$2:$B$401&amp;CHAR(10),$H462)),'List Setup'!$Q$2:$Q$401,999),IF(ISNUMBER(SEARCH(CHAR(10)&amp;'Set Aliases'!$A$2:$A$501&amp;CHAR(10),$H462)),'Set Aliases'!$C$2:$C$501,999))),"(none)"))</f>
        <v/>
      </c>
      <c r="C462" s="80" t="str">
        <f t="shared" si="1"/>
        <v/>
      </c>
      <c r="D462" s="80" t="str">
        <f t="array" ref="D462">IF(A462="","",IF(ISLOGICAL(INDEX('Deck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62" s="80" t="str">
        <f t="shared" si="2"/>
        <v/>
      </c>
      <c r="F462" s="80" t="str">
        <f t="array" ref="F462">IF(A462="","",IF(ISNUMBER(J462),J462,IF(ISNUMBER(INDEX('Deck 1'!$A:$Z,ROW()-250,'List Setup'!$F$3)),INDEX('Deck 1'!$A:$Z,ROW()-250,'List Setup'!$F$3),0)))</f>
        <v/>
      </c>
      <c r="G462" s="80" t="str">
        <f t="array" ref="G462">IF(A462="","",A462&amp;IF(N(INDEX('Deck 1'!$A:$Z,ROW()-250,'List Setup'!$C$3))&gt;1," (x"&amp;INDEX('Deck 1'!$A:$Z,ROW()-250,'List Setup'!$C$3)&amp;")","")&amp;IF(COUNTIF(Binders!$J$6:$J$30,TRUE())&gt;1," ["&amp;Q462&amp;"]",""))</f>
        <v/>
      </c>
      <c r="H462" s="80" t="str">
        <f t="array" ref="H462">IF(A462="","",CHAR(10)&amp;INDEX('Deck 1'!$A:$Z,ROW()-250,'List Setup'!$E$3)&amp;CHAR(10))</f>
        <v/>
      </c>
      <c r="I462" s="80" t="str">
        <f t="array" ref="I462">IF(OR(B462="",B462="(none)"),"",IF(ISNUMBER(SEARCH(CHAR(10)&amp;B462&amp;CHAR(10),H462)),B462,IFERROR(INDEX('Set Aliases'!$A$2:$A$501,MATCH(1,('Set Aliases'!$B$2:$B$501=B462)*ISNUMBER(SEARCH(CHAR(10)&amp;'Set Aliases'!$A$2:$A$501&amp;CHAR(10),H462)),0)),"")))</f>
        <v/>
      </c>
      <c r="J462" s="80" t="str">
        <f t="array" ref="J462">IF(I462="","",IFERROR(VALUE(TRIM(MID(SUBSTITUTE(INDEX('Deck 1'!$A:$Z,ROW()-250,'List Setup'!$G$3),CHAR(10),REPT(" ",100)),((SEARCH(CHAR(10)&amp;I462&amp;CHAR(10),H462)-LEN(SUBSTITUTE(LEFT(H462,SEARCH(CHAR(10)&amp;I462&amp;CHAR(10),H462)),CHAR(10),"")))-1)*100+1,100))),""))</f>
        <v/>
      </c>
      <c r="K462" s="80" t="str">
        <f t="array" ref="K462">IF(A462="","",IF(ISNUMBER(SEARCH("Land",LEFT(IFERROR(INDEX('Deck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62" s="80" t="str">
        <f t="shared" si="3"/>
        <v/>
      </c>
      <c r="M462" s="80" t="str">
        <f>IF(A462="","",IF(AND(E462="Y",B462='Use at Shop'!$B$4),K462*10000000000+(MAX(0,MIN(26,CODE(MID(UPPER(A462)&amp;"    ",1,1))-64))*19683+MAX(0,MIN(26,CODE(MID(UPPER(A462)&amp;"    ",2,1))-64))*729+MAX(0,MIN(26,CODE(MID(UPPER(A462)&amp;"    ",3,1))-64))*27+MAX(0,MIN(26,CODE(MID(UPPER(A462)&amp;"    ",4,1))-64))*1)*10000+ROW(),""))</f>
        <v/>
      </c>
      <c r="N462" s="80" t="str">
        <f t="shared" si="5"/>
        <v/>
      </c>
      <c r="O462" s="80" t="str">
        <f t="array" ref="O462">IF(A462="","",IFERROR(INDEX('Deck 1'!$A:$Z,ROW()-250,'List Setup'!$J$3)&amp;"",""))</f>
        <v/>
      </c>
      <c r="P462" s="2"/>
      <c r="Q462" s="80" t="str">
        <f>IF(A462="","",'List Setup'!$A$3)</f>
        <v/>
      </c>
      <c r="R462" s="80" t="str">
        <f t="array" ref="R462">IF(A462="","",IFERROR(OR(INDEX(Binders!$J$6:$J$30,MATCH(Q462,Binders!$I$6:$I$30,0))=TRUE(),UPPER(INDEX(Binders!$J$6:$J$30,MATCH(Q462,Binders!$I$6:$I$30,0))&amp;"")="TRUE"),FALSE()))</f>
        <v/>
      </c>
    </row>
    <row r="463" ht="15.75" customHeight="1">
      <c r="A463" s="80" t="str">
        <f t="array" ref="A463">IF(INDEX('Deck 1'!$A:$Z,ROW()-250,'List Setup'!$D$3)="","",INDEX('Deck 1'!$A:$Z,ROW()-250,'List Setup'!$D$3))</f>
        <v/>
      </c>
      <c r="B463" s="80" t="str">
        <f t="array" ref="B463">IF(A463="","",IFERROR(INDEX('Binder Setup'!$B$2:$B$401,MIN(IF(ISNUMBER(SEARCH(CHAR(10)&amp;'Binder Setup'!$B$2:$B$401&amp;CHAR(10),$H463)),'List Setup'!$Q$2:$Q$401,999),IF(ISNUMBER(SEARCH(CHAR(10)&amp;'Set Aliases'!$A$2:$A$501&amp;CHAR(10),$H463)),'Set Aliases'!$C$2:$C$501,999))),"(none)"))</f>
        <v/>
      </c>
      <c r="C463" s="80" t="str">
        <f t="shared" si="1"/>
        <v/>
      </c>
      <c r="D463" s="80" t="str">
        <f t="array" ref="D463">IF(A463="","",IF(ISLOGICAL(INDEX('Deck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63" s="80" t="str">
        <f t="shared" si="2"/>
        <v/>
      </c>
      <c r="F463" s="80" t="str">
        <f t="array" ref="F463">IF(A463="","",IF(ISNUMBER(J463),J463,IF(ISNUMBER(INDEX('Deck 1'!$A:$Z,ROW()-250,'List Setup'!$F$3)),INDEX('Deck 1'!$A:$Z,ROW()-250,'List Setup'!$F$3),0)))</f>
        <v/>
      </c>
      <c r="G463" s="80" t="str">
        <f t="array" ref="G463">IF(A463="","",A463&amp;IF(N(INDEX('Deck 1'!$A:$Z,ROW()-250,'List Setup'!$C$3))&gt;1," (x"&amp;INDEX('Deck 1'!$A:$Z,ROW()-250,'List Setup'!$C$3)&amp;")","")&amp;IF(COUNTIF(Binders!$J$6:$J$30,TRUE())&gt;1," ["&amp;Q463&amp;"]",""))</f>
        <v/>
      </c>
      <c r="H463" s="80" t="str">
        <f t="array" ref="H463">IF(A463="","",CHAR(10)&amp;INDEX('Deck 1'!$A:$Z,ROW()-250,'List Setup'!$E$3)&amp;CHAR(10))</f>
        <v/>
      </c>
      <c r="I463" s="80" t="str">
        <f t="array" ref="I463">IF(OR(B463="",B463="(none)"),"",IF(ISNUMBER(SEARCH(CHAR(10)&amp;B463&amp;CHAR(10),H463)),B463,IFERROR(INDEX('Set Aliases'!$A$2:$A$501,MATCH(1,('Set Aliases'!$B$2:$B$501=B463)*ISNUMBER(SEARCH(CHAR(10)&amp;'Set Aliases'!$A$2:$A$501&amp;CHAR(10),H463)),0)),"")))</f>
        <v/>
      </c>
      <c r="J463" s="80" t="str">
        <f t="array" ref="J463">IF(I463="","",IFERROR(VALUE(TRIM(MID(SUBSTITUTE(INDEX('Deck 1'!$A:$Z,ROW()-250,'List Setup'!$G$3),CHAR(10),REPT(" ",100)),((SEARCH(CHAR(10)&amp;I463&amp;CHAR(10),H463)-LEN(SUBSTITUTE(LEFT(H463,SEARCH(CHAR(10)&amp;I463&amp;CHAR(10),H463)),CHAR(10),"")))-1)*100+1,100))),""))</f>
        <v/>
      </c>
      <c r="K463" s="80" t="str">
        <f t="array" ref="K463">IF(A463="","",IF(ISNUMBER(SEARCH("Land",LEFT(IFERROR(INDEX('Deck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63" s="80" t="str">
        <f t="shared" si="3"/>
        <v/>
      </c>
      <c r="M463" s="80" t="str">
        <f>IF(A463="","",IF(AND(E463="Y",B463='Use at Shop'!$B$4),K463*10000000000+(MAX(0,MIN(26,CODE(MID(UPPER(A463)&amp;"    ",1,1))-64))*19683+MAX(0,MIN(26,CODE(MID(UPPER(A463)&amp;"    ",2,1))-64))*729+MAX(0,MIN(26,CODE(MID(UPPER(A463)&amp;"    ",3,1))-64))*27+MAX(0,MIN(26,CODE(MID(UPPER(A463)&amp;"    ",4,1))-64))*1)*10000+ROW(),""))</f>
        <v/>
      </c>
      <c r="N463" s="80" t="str">
        <f t="shared" si="5"/>
        <v/>
      </c>
      <c r="O463" s="80" t="str">
        <f t="array" ref="O463">IF(A463="","",IFERROR(INDEX('Deck 1'!$A:$Z,ROW()-250,'List Setup'!$J$3)&amp;"",""))</f>
        <v/>
      </c>
      <c r="P463" s="2"/>
      <c r="Q463" s="80" t="str">
        <f>IF(A463="","",'List Setup'!$A$3)</f>
        <v/>
      </c>
      <c r="R463" s="80" t="str">
        <f t="array" ref="R463">IF(A463="","",IFERROR(OR(INDEX(Binders!$J$6:$J$30,MATCH(Q463,Binders!$I$6:$I$30,0))=TRUE(),UPPER(INDEX(Binders!$J$6:$J$30,MATCH(Q463,Binders!$I$6:$I$30,0))&amp;"")="TRUE"),FALSE()))</f>
        <v/>
      </c>
    </row>
    <row r="464" ht="15.75" customHeight="1">
      <c r="A464" s="80" t="str">
        <f t="array" ref="A464">IF(INDEX('Deck 1'!$A:$Z,ROW()-250,'List Setup'!$D$3)="","",INDEX('Deck 1'!$A:$Z,ROW()-250,'List Setup'!$D$3))</f>
        <v/>
      </c>
      <c r="B464" s="80" t="str">
        <f t="array" ref="B464">IF(A464="","",IFERROR(INDEX('Binder Setup'!$B$2:$B$401,MIN(IF(ISNUMBER(SEARCH(CHAR(10)&amp;'Binder Setup'!$B$2:$B$401&amp;CHAR(10),$H464)),'List Setup'!$Q$2:$Q$401,999),IF(ISNUMBER(SEARCH(CHAR(10)&amp;'Set Aliases'!$A$2:$A$501&amp;CHAR(10),$H464)),'Set Aliases'!$C$2:$C$501,999))),"(none)"))</f>
        <v/>
      </c>
      <c r="C464" s="80" t="str">
        <f t="shared" si="1"/>
        <v/>
      </c>
      <c r="D464" s="80" t="str">
        <f t="array" ref="D464">IF(A464="","",IF(ISLOGICAL(INDEX('Deck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64" s="80" t="str">
        <f t="shared" si="2"/>
        <v/>
      </c>
      <c r="F464" s="80" t="str">
        <f t="array" ref="F464">IF(A464="","",IF(ISNUMBER(J464),J464,IF(ISNUMBER(INDEX('Deck 1'!$A:$Z,ROW()-250,'List Setup'!$F$3)),INDEX('Deck 1'!$A:$Z,ROW()-250,'List Setup'!$F$3),0)))</f>
        <v/>
      </c>
      <c r="G464" s="80" t="str">
        <f t="array" ref="G464">IF(A464="","",A464&amp;IF(N(INDEX('Deck 1'!$A:$Z,ROW()-250,'List Setup'!$C$3))&gt;1," (x"&amp;INDEX('Deck 1'!$A:$Z,ROW()-250,'List Setup'!$C$3)&amp;")","")&amp;IF(COUNTIF(Binders!$J$6:$J$30,TRUE())&gt;1," ["&amp;Q464&amp;"]",""))</f>
        <v/>
      </c>
      <c r="H464" s="80" t="str">
        <f t="array" ref="H464">IF(A464="","",CHAR(10)&amp;INDEX('Deck 1'!$A:$Z,ROW()-250,'List Setup'!$E$3)&amp;CHAR(10))</f>
        <v/>
      </c>
      <c r="I464" s="80" t="str">
        <f t="array" ref="I464">IF(OR(B464="",B464="(none)"),"",IF(ISNUMBER(SEARCH(CHAR(10)&amp;B464&amp;CHAR(10),H464)),B464,IFERROR(INDEX('Set Aliases'!$A$2:$A$501,MATCH(1,('Set Aliases'!$B$2:$B$501=B464)*ISNUMBER(SEARCH(CHAR(10)&amp;'Set Aliases'!$A$2:$A$501&amp;CHAR(10),H464)),0)),"")))</f>
        <v/>
      </c>
      <c r="J464" s="80" t="str">
        <f t="array" ref="J464">IF(I464="","",IFERROR(VALUE(TRIM(MID(SUBSTITUTE(INDEX('Deck 1'!$A:$Z,ROW()-250,'List Setup'!$G$3),CHAR(10),REPT(" ",100)),((SEARCH(CHAR(10)&amp;I464&amp;CHAR(10),H464)-LEN(SUBSTITUTE(LEFT(H464,SEARCH(CHAR(10)&amp;I464&amp;CHAR(10),H464)),CHAR(10),"")))-1)*100+1,100))),""))</f>
        <v/>
      </c>
      <c r="K464" s="80" t="str">
        <f t="array" ref="K464">IF(A464="","",IF(ISNUMBER(SEARCH("Land",LEFT(IFERROR(INDEX('Deck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64" s="80" t="str">
        <f t="shared" si="3"/>
        <v/>
      </c>
      <c r="M464" s="80" t="str">
        <f>IF(A464="","",IF(AND(E464="Y",B464='Use at Shop'!$B$4),K464*10000000000+(MAX(0,MIN(26,CODE(MID(UPPER(A464)&amp;"    ",1,1))-64))*19683+MAX(0,MIN(26,CODE(MID(UPPER(A464)&amp;"    ",2,1))-64))*729+MAX(0,MIN(26,CODE(MID(UPPER(A464)&amp;"    ",3,1))-64))*27+MAX(0,MIN(26,CODE(MID(UPPER(A464)&amp;"    ",4,1))-64))*1)*10000+ROW(),""))</f>
        <v/>
      </c>
      <c r="N464" s="80" t="str">
        <f t="shared" si="5"/>
        <v/>
      </c>
      <c r="O464" s="80" t="str">
        <f t="array" ref="O464">IF(A464="","",IFERROR(INDEX('Deck 1'!$A:$Z,ROW()-250,'List Setup'!$J$3)&amp;"",""))</f>
        <v/>
      </c>
      <c r="P464" s="2"/>
      <c r="Q464" s="80" t="str">
        <f>IF(A464="","",'List Setup'!$A$3)</f>
        <v/>
      </c>
      <c r="R464" s="80" t="str">
        <f t="array" ref="R464">IF(A464="","",IFERROR(OR(INDEX(Binders!$J$6:$J$30,MATCH(Q464,Binders!$I$6:$I$30,0))=TRUE(),UPPER(INDEX(Binders!$J$6:$J$30,MATCH(Q464,Binders!$I$6:$I$30,0))&amp;"")="TRUE"),FALSE()))</f>
        <v/>
      </c>
    </row>
    <row r="465" ht="15.75" customHeight="1">
      <c r="A465" s="80" t="str">
        <f t="array" ref="A465">IF(INDEX('Deck 1'!$A:$Z,ROW()-250,'List Setup'!$D$3)="","",INDEX('Deck 1'!$A:$Z,ROW()-250,'List Setup'!$D$3))</f>
        <v/>
      </c>
      <c r="B465" s="80" t="str">
        <f t="array" ref="B465">IF(A465="","",IFERROR(INDEX('Binder Setup'!$B$2:$B$401,MIN(IF(ISNUMBER(SEARCH(CHAR(10)&amp;'Binder Setup'!$B$2:$B$401&amp;CHAR(10),$H465)),'List Setup'!$Q$2:$Q$401,999),IF(ISNUMBER(SEARCH(CHAR(10)&amp;'Set Aliases'!$A$2:$A$501&amp;CHAR(10),$H465)),'Set Aliases'!$C$2:$C$501,999))),"(none)"))</f>
        <v/>
      </c>
      <c r="C465" s="80" t="str">
        <f t="shared" si="1"/>
        <v/>
      </c>
      <c r="D465" s="80" t="str">
        <f t="array" ref="D465">IF(A465="","",IF(ISLOGICAL(INDEX('Deck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65" s="80" t="str">
        <f t="shared" si="2"/>
        <v/>
      </c>
      <c r="F465" s="80" t="str">
        <f t="array" ref="F465">IF(A465="","",IF(ISNUMBER(J465),J465,IF(ISNUMBER(INDEX('Deck 1'!$A:$Z,ROW()-250,'List Setup'!$F$3)),INDEX('Deck 1'!$A:$Z,ROW()-250,'List Setup'!$F$3),0)))</f>
        <v/>
      </c>
      <c r="G465" s="80" t="str">
        <f t="array" ref="G465">IF(A465="","",A465&amp;IF(N(INDEX('Deck 1'!$A:$Z,ROW()-250,'List Setup'!$C$3))&gt;1," (x"&amp;INDEX('Deck 1'!$A:$Z,ROW()-250,'List Setup'!$C$3)&amp;")","")&amp;IF(COUNTIF(Binders!$J$6:$J$30,TRUE())&gt;1," ["&amp;Q465&amp;"]",""))</f>
        <v/>
      </c>
      <c r="H465" s="80" t="str">
        <f t="array" ref="H465">IF(A465="","",CHAR(10)&amp;INDEX('Deck 1'!$A:$Z,ROW()-250,'List Setup'!$E$3)&amp;CHAR(10))</f>
        <v/>
      </c>
      <c r="I465" s="80" t="str">
        <f t="array" ref="I465">IF(OR(B465="",B465="(none)"),"",IF(ISNUMBER(SEARCH(CHAR(10)&amp;B465&amp;CHAR(10),H465)),B465,IFERROR(INDEX('Set Aliases'!$A$2:$A$501,MATCH(1,('Set Aliases'!$B$2:$B$501=B465)*ISNUMBER(SEARCH(CHAR(10)&amp;'Set Aliases'!$A$2:$A$501&amp;CHAR(10),H465)),0)),"")))</f>
        <v/>
      </c>
      <c r="J465" s="80" t="str">
        <f t="array" ref="J465">IF(I465="","",IFERROR(VALUE(TRIM(MID(SUBSTITUTE(INDEX('Deck 1'!$A:$Z,ROW()-250,'List Setup'!$G$3),CHAR(10),REPT(" ",100)),((SEARCH(CHAR(10)&amp;I465&amp;CHAR(10),H465)-LEN(SUBSTITUTE(LEFT(H465,SEARCH(CHAR(10)&amp;I465&amp;CHAR(10),H465)),CHAR(10),"")))-1)*100+1,100))),""))</f>
        <v/>
      </c>
      <c r="K465" s="80" t="str">
        <f t="array" ref="K465">IF(A465="","",IF(ISNUMBER(SEARCH("Land",LEFT(IFERROR(INDEX('Deck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65" s="80" t="str">
        <f t="shared" si="3"/>
        <v/>
      </c>
      <c r="M465" s="80" t="str">
        <f>IF(A465="","",IF(AND(E465="Y",B465='Use at Shop'!$B$4),K465*10000000000+(MAX(0,MIN(26,CODE(MID(UPPER(A465)&amp;"    ",1,1))-64))*19683+MAX(0,MIN(26,CODE(MID(UPPER(A465)&amp;"    ",2,1))-64))*729+MAX(0,MIN(26,CODE(MID(UPPER(A465)&amp;"    ",3,1))-64))*27+MAX(0,MIN(26,CODE(MID(UPPER(A465)&amp;"    ",4,1))-64))*1)*10000+ROW(),""))</f>
        <v/>
      </c>
      <c r="N465" s="80" t="str">
        <f t="shared" si="5"/>
        <v/>
      </c>
      <c r="O465" s="80" t="str">
        <f t="array" ref="O465">IF(A465="","",IFERROR(INDEX('Deck 1'!$A:$Z,ROW()-250,'List Setup'!$J$3)&amp;"",""))</f>
        <v/>
      </c>
      <c r="P465" s="2"/>
      <c r="Q465" s="80" t="str">
        <f>IF(A465="","",'List Setup'!$A$3)</f>
        <v/>
      </c>
      <c r="R465" s="80" t="str">
        <f t="array" ref="R465">IF(A465="","",IFERROR(OR(INDEX(Binders!$J$6:$J$30,MATCH(Q465,Binders!$I$6:$I$30,0))=TRUE(),UPPER(INDEX(Binders!$J$6:$J$30,MATCH(Q465,Binders!$I$6:$I$30,0))&amp;"")="TRUE"),FALSE()))</f>
        <v/>
      </c>
    </row>
    <row r="466" ht="15.75" customHeight="1">
      <c r="A466" s="80" t="str">
        <f t="array" ref="A466">IF(INDEX('Deck 1'!$A:$Z,ROW()-250,'List Setup'!$D$3)="","",INDEX('Deck 1'!$A:$Z,ROW()-250,'List Setup'!$D$3))</f>
        <v/>
      </c>
      <c r="B466" s="80" t="str">
        <f t="array" ref="B466">IF(A466="","",IFERROR(INDEX('Binder Setup'!$B$2:$B$401,MIN(IF(ISNUMBER(SEARCH(CHAR(10)&amp;'Binder Setup'!$B$2:$B$401&amp;CHAR(10),$H466)),'List Setup'!$Q$2:$Q$401,999),IF(ISNUMBER(SEARCH(CHAR(10)&amp;'Set Aliases'!$A$2:$A$501&amp;CHAR(10),$H466)),'Set Aliases'!$C$2:$C$501,999))),"(none)"))</f>
        <v/>
      </c>
      <c r="C466" s="80" t="str">
        <f t="shared" si="1"/>
        <v/>
      </c>
      <c r="D466" s="80" t="str">
        <f t="array" ref="D466">IF(A466="","",IF(ISLOGICAL(INDEX('Deck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66" s="80" t="str">
        <f t="shared" si="2"/>
        <v/>
      </c>
      <c r="F466" s="80" t="str">
        <f t="array" ref="F466">IF(A466="","",IF(ISNUMBER(J466),J466,IF(ISNUMBER(INDEX('Deck 1'!$A:$Z,ROW()-250,'List Setup'!$F$3)),INDEX('Deck 1'!$A:$Z,ROW()-250,'List Setup'!$F$3),0)))</f>
        <v/>
      </c>
      <c r="G466" s="80" t="str">
        <f t="array" ref="G466">IF(A466="","",A466&amp;IF(N(INDEX('Deck 1'!$A:$Z,ROW()-250,'List Setup'!$C$3))&gt;1," (x"&amp;INDEX('Deck 1'!$A:$Z,ROW()-250,'List Setup'!$C$3)&amp;")","")&amp;IF(COUNTIF(Binders!$J$6:$J$30,TRUE())&gt;1," ["&amp;Q466&amp;"]",""))</f>
        <v/>
      </c>
      <c r="H466" s="80" t="str">
        <f t="array" ref="H466">IF(A466="","",CHAR(10)&amp;INDEX('Deck 1'!$A:$Z,ROW()-250,'List Setup'!$E$3)&amp;CHAR(10))</f>
        <v/>
      </c>
      <c r="I466" s="80" t="str">
        <f t="array" ref="I466">IF(OR(B466="",B466="(none)"),"",IF(ISNUMBER(SEARCH(CHAR(10)&amp;B466&amp;CHAR(10),H466)),B466,IFERROR(INDEX('Set Aliases'!$A$2:$A$501,MATCH(1,('Set Aliases'!$B$2:$B$501=B466)*ISNUMBER(SEARCH(CHAR(10)&amp;'Set Aliases'!$A$2:$A$501&amp;CHAR(10),H466)),0)),"")))</f>
        <v/>
      </c>
      <c r="J466" s="80" t="str">
        <f t="array" ref="J466">IF(I466="","",IFERROR(VALUE(TRIM(MID(SUBSTITUTE(INDEX('Deck 1'!$A:$Z,ROW()-250,'List Setup'!$G$3),CHAR(10),REPT(" ",100)),((SEARCH(CHAR(10)&amp;I466&amp;CHAR(10),H466)-LEN(SUBSTITUTE(LEFT(H466,SEARCH(CHAR(10)&amp;I466&amp;CHAR(10),H466)),CHAR(10),"")))-1)*100+1,100))),""))</f>
        <v/>
      </c>
      <c r="K466" s="80" t="str">
        <f t="array" ref="K466">IF(A466="","",IF(ISNUMBER(SEARCH("Land",LEFT(IFERROR(INDEX('Deck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66" s="80" t="str">
        <f t="shared" si="3"/>
        <v/>
      </c>
      <c r="M466" s="80" t="str">
        <f>IF(A466="","",IF(AND(E466="Y",B466='Use at Shop'!$B$4),K466*10000000000+(MAX(0,MIN(26,CODE(MID(UPPER(A466)&amp;"    ",1,1))-64))*19683+MAX(0,MIN(26,CODE(MID(UPPER(A466)&amp;"    ",2,1))-64))*729+MAX(0,MIN(26,CODE(MID(UPPER(A466)&amp;"    ",3,1))-64))*27+MAX(0,MIN(26,CODE(MID(UPPER(A466)&amp;"    ",4,1))-64))*1)*10000+ROW(),""))</f>
        <v/>
      </c>
      <c r="N466" s="80" t="str">
        <f t="shared" si="5"/>
        <v/>
      </c>
      <c r="O466" s="80" t="str">
        <f t="array" ref="O466">IF(A466="","",IFERROR(INDEX('Deck 1'!$A:$Z,ROW()-250,'List Setup'!$J$3)&amp;"",""))</f>
        <v/>
      </c>
      <c r="P466" s="2"/>
      <c r="Q466" s="80" t="str">
        <f>IF(A466="","",'List Setup'!$A$3)</f>
        <v/>
      </c>
      <c r="R466" s="80" t="str">
        <f t="array" ref="R466">IF(A466="","",IFERROR(OR(INDEX(Binders!$J$6:$J$30,MATCH(Q466,Binders!$I$6:$I$30,0))=TRUE(),UPPER(INDEX(Binders!$J$6:$J$30,MATCH(Q466,Binders!$I$6:$I$30,0))&amp;"")="TRUE"),FALSE()))</f>
        <v/>
      </c>
    </row>
    <row r="467" ht="15.75" customHeight="1">
      <c r="A467" s="80" t="str">
        <f t="array" ref="A467">IF(INDEX('Deck 1'!$A:$Z,ROW()-250,'List Setup'!$D$3)="","",INDEX('Deck 1'!$A:$Z,ROW()-250,'List Setup'!$D$3))</f>
        <v/>
      </c>
      <c r="B467" s="80" t="str">
        <f t="array" ref="B467">IF(A467="","",IFERROR(INDEX('Binder Setup'!$B$2:$B$401,MIN(IF(ISNUMBER(SEARCH(CHAR(10)&amp;'Binder Setup'!$B$2:$B$401&amp;CHAR(10),$H467)),'List Setup'!$Q$2:$Q$401,999),IF(ISNUMBER(SEARCH(CHAR(10)&amp;'Set Aliases'!$A$2:$A$501&amp;CHAR(10),$H467)),'Set Aliases'!$C$2:$C$501,999))),"(none)"))</f>
        <v/>
      </c>
      <c r="C467" s="80" t="str">
        <f t="shared" si="1"/>
        <v/>
      </c>
      <c r="D467" s="80" t="str">
        <f t="array" ref="D467">IF(A467="","",IF(ISLOGICAL(INDEX('Deck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67" s="80" t="str">
        <f t="shared" si="2"/>
        <v/>
      </c>
      <c r="F467" s="80" t="str">
        <f t="array" ref="F467">IF(A467="","",IF(ISNUMBER(J467),J467,IF(ISNUMBER(INDEX('Deck 1'!$A:$Z,ROW()-250,'List Setup'!$F$3)),INDEX('Deck 1'!$A:$Z,ROW()-250,'List Setup'!$F$3),0)))</f>
        <v/>
      </c>
      <c r="G467" s="80" t="str">
        <f t="array" ref="G467">IF(A467="","",A467&amp;IF(N(INDEX('Deck 1'!$A:$Z,ROW()-250,'List Setup'!$C$3))&gt;1," (x"&amp;INDEX('Deck 1'!$A:$Z,ROW()-250,'List Setup'!$C$3)&amp;")","")&amp;IF(COUNTIF(Binders!$J$6:$J$30,TRUE())&gt;1," ["&amp;Q467&amp;"]",""))</f>
        <v/>
      </c>
      <c r="H467" s="80" t="str">
        <f t="array" ref="H467">IF(A467="","",CHAR(10)&amp;INDEX('Deck 1'!$A:$Z,ROW()-250,'List Setup'!$E$3)&amp;CHAR(10))</f>
        <v/>
      </c>
      <c r="I467" s="80" t="str">
        <f t="array" ref="I467">IF(OR(B467="",B467="(none)"),"",IF(ISNUMBER(SEARCH(CHAR(10)&amp;B467&amp;CHAR(10),H467)),B467,IFERROR(INDEX('Set Aliases'!$A$2:$A$501,MATCH(1,('Set Aliases'!$B$2:$B$501=B467)*ISNUMBER(SEARCH(CHAR(10)&amp;'Set Aliases'!$A$2:$A$501&amp;CHAR(10),H467)),0)),"")))</f>
        <v/>
      </c>
      <c r="J467" s="80" t="str">
        <f t="array" ref="J467">IF(I467="","",IFERROR(VALUE(TRIM(MID(SUBSTITUTE(INDEX('Deck 1'!$A:$Z,ROW()-250,'List Setup'!$G$3),CHAR(10),REPT(" ",100)),((SEARCH(CHAR(10)&amp;I467&amp;CHAR(10),H467)-LEN(SUBSTITUTE(LEFT(H467,SEARCH(CHAR(10)&amp;I467&amp;CHAR(10),H467)),CHAR(10),"")))-1)*100+1,100))),""))</f>
        <v/>
      </c>
      <c r="K467" s="80" t="str">
        <f t="array" ref="K467">IF(A467="","",IF(ISNUMBER(SEARCH("Land",LEFT(IFERROR(INDEX('Deck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67" s="80" t="str">
        <f t="shared" si="3"/>
        <v/>
      </c>
      <c r="M467" s="80" t="str">
        <f>IF(A467="","",IF(AND(E467="Y",B467='Use at Shop'!$B$4),K467*10000000000+(MAX(0,MIN(26,CODE(MID(UPPER(A467)&amp;"    ",1,1))-64))*19683+MAX(0,MIN(26,CODE(MID(UPPER(A467)&amp;"    ",2,1))-64))*729+MAX(0,MIN(26,CODE(MID(UPPER(A467)&amp;"    ",3,1))-64))*27+MAX(0,MIN(26,CODE(MID(UPPER(A467)&amp;"    ",4,1))-64))*1)*10000+ROW(),""))</f>
        <v/>
      </c>
      <c r="N467" s="80" t="str">
        <f t="shared" si="5"/>
        <v/>
      </c>
      <c r="O467" s="80" t="str">
        <f t="array" ref="O467">IF(A467="","",IFERROR(INDEX('Deck 1'!$A:$Z,ROW()-250,'List Setup'!$J$3)&amp;"",""))</f>
        <v/>
      </c>
      <c r="P467" s="2"/>
      <c r="Q467" s="80" t="str">
        <f>IF(A467="","",'List Setup'!$A$3)</f>
        <v/>
      </c>
      <c r="R467" s="80" t="str">
        <f t="array" ref="R467">IF(A467="","",IFERROR(OR(INDEX(Binders!$J$6:$J$30,MATCH(Q467,Binders!$I$6:$I$30,0))=TRUE(),UPPER(INDEX(Binders!$J$6:$J$30,MATCH(Q467,Binders!$I$6:$I$30,0))&amp;"")="TRUE"),FALSE()))</f>
        <v/>
      </c>
    </row>
    <row r="468" ht="15.75" customHeight="1">
      <c r="A468" s="80" t="str">
        <f t="array" ref="A468">IF(INDEX('Deck 1'!$A:$Z,ROW()-250,'List Setup'!$D$3)="","",INDEX('Deck 1'!$A:$Z,ROW()-250,'List Setup'!$D$3))</f>
        <v/>
      </c>
      <c r="B468" s="80" t="str">
        <f t="array" ref="B468">IF(A468="","",IFERROR(INDEX('Binder Setup'!$B$2:$B$401,MIN(IF(ISNUMBER(SEARCH(CHAR(10)&amp;'Binder Setup'!$B$2:$B$401&amp;CHAR(10),$H468)),'List Setup'!$Q$2:$Q$401,999),IF(ISNUMBER(SEARCH(CHAR(10)&amp;'Set Aliases'!$A$2:$A$501&amp;CHAR(10),$H468)),'Set Aliases'!$C$2:$C$501,999))),"(none)"))</f>
        <v/>
      </c>
      <c r="C468" s="80" t="str">
        <f t="shared" si="1"/>
        <v/>
      </c>
      <c r="D468" s="80" t="str">
        <f t="array" ref="D468">IF(A468="","",IF(ISLOGICAL(INDEX('Deck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68" s="80" t="str">
        <f t="shared" si="2"/>
        <v/>
      </c>
      <c r="F468" s="80" t="str">
        <f t="array" ref="F468">IF(A468="","",IF(ISNUMBER(J468),J468,IF(ISNUMBER(INDEX('Deck 1'!$A:$Z,ROW()-250,'List Setup'!$F$3)),INDEX('Deck 1'!$A:$Z,ROW()-250,'List Setup'!$F$3),0)))</f>
        <v/>
      </c>
      <c r="G468" s="80" t="str">
        <f t="array" ref="G468">IF(A468="","",A468&amp;IF(N(INDEX('Deck 1'!$A:$Z,ROW()-250,'List Setup'!$C$3))&gt;1," (x"&amp;INDEX('Deck 1'!$A:$Z,ROW()-250,'List Setup'!$C$3)&amp;")","")&amp;IF(COUNTIF(Binders!$J$6:$J$30,TRUE())&gt;1," ["&amp;Q468&amp;"]",""))</f>
        <v/>
      </c>
      <c r="H468" s="80" t="str">
        <f t="array" ref="H468">IF(A468="","",CHAR(10)&amp;INDEX('Deck 1'!$A:$Z,ROW()-250,'List Setup'!$E$3)&amp;CHAR(10))</f>
        <v/>
      </c>
      <c r="I468" s="80" t="str">
        <f t="array" ref="I468">IF(OR(B468="",B468="(none)"),"",IF(ISNUMBER(SEARCH(CHAR(10)&amp;B468&amp;CHAR(10),H468)),B468,IFERROR(INDEX('Set Aliases'!$A$2:$A$501,MATCH(1,('Set Aliases'!$B$2:$B$501=B468)*ISNUMBER(SEARCH(CHAR(10)&amp;'Set Aliases'!$A$2:$A$501&amp;CHAR(10),H468)),0)),"")))</f>
        <v/>
      </c>
      <c r="J468" s="80" t="str">
        <f t="array" ref="J468">IF(I468="","",IFERROR(VALUE(TRIM(MID(SUBSTITUTE(INDEX('Deck 1'!$A:$Z,ROW()-250,'List Setup'!$G$3),CHAR(10),REPT(" ",100)),((SEARCH(CHAR(10)&amp;I468&amp;CHAR(10),H468)-LEN(SUBSTITUTE(LEFT(H468,SEARCH(CHAR(10)&amp;I468&amp;CHAR(10),H468)),CHAR(10),"")))-1)*100+1,100))),""))</f>
        <v/>
      </c>
      <c r="K468" s="80" t="str">
        <f t="array" ref="K468">IF(A468="","",IF(ISNUMBER(SEARCH("Land",LEFT(IFERROR(INDEX('Deck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68" s="80" t="str">
        <f t="shared" si="3"/>
        <v/>
      </c>
      <c r="M468" s="80" t="str">
        <f>IF(A468="","",IF(AND(E468="Y",B468='Use at Shop'!$B$4),K468*10000000000+(MAX(0,MIN(26,CODE(MID(UPPER(A468)&amp;"    ",1,1))-64))*19683+MAX(0,MIN(26,CODE(MID(UPPER(A468)&amp;"    ",2,1))-64))*729+MAX(0,MIN(26,CODE(MID(UPPER(A468)&amp;"    ",3,1))-64))*27+MAX(0,MIN(26,CODE(MID(UPPER(A468)&amp;"    ",4,1))-64))*1)*10000+ROW(),""))</f>
        <v/>
      </c>
      <c r="N468" s="80" t="str">
        <f t="shared" si="5"/>
        <v/>
      </c>
      <c r="O468" s="80" t="str">
        <f t="array" ref="O468">IF(A468="","",IFERROR(INDEX('Deck 1'!$A:$Z,ROW()-250,'List Setup'!$J$3)&amp;"",""))</f>
        <v/>
      </c>
      <c r="P468" s="2"/>
      <c r="Q468" s="80" t="str">
        <f>IF(A468="","",'List Setup'!$A$3)</f>
        <v/>
      </c>
      <c r="R468" s="80" t="str">
        <f t="array" ref="R468">IF(A468="","",IFERROR(OR(INDEX(Binders!$J$6:$J$30,MATCH(Q468,Binders!$I$6:$I$30,0))=TRUE(),UPPER(INDEX(Binders!$J$6:$J$30,MATCH(Q468,Binders!$I$6:$I$30,0))&amp;"")="TRUE"),FALSE()))</f>
        <v/>
      </c>
    </row>
    <row r="469" ht="15.75" customHeight="1">
      <c r="A469" s="80" t="str">
        <f t="array" ref="A469">IF(INDEX('Deck 1'!$A:$Z,ROW()-250,'List Setup'!$D$3)="","",INDEX('Deck 1'!$A:$Z,ROW()-250,'List Setup'!$D$3))</f>
        <v/>
      </c>
      <c r="B469" s="80" t="str">
        <f t="array" ref="B469">IF(A469="","",IFERROR(INDEX('Binder Setup'!$B$2:$B$401,MIN(IF(ISNUMBER(SEARCH(CHAR(10)&amp;'Binder Setup'!$B$2:$B$401&amp;CHAR(10),$H469)),'List Setup'!$Q$2:$Q$401,999),IF(ISNUMBER(SEARCH(CHAR(10)&amp;'Set Aliases'!$A$2:$A$501&amp;CHAR(10),$H469)),'Set Aliases'!$C$2:$C$501,999))),"(none)"))</f>
        <v/>
      </c>
      <c r="C469" s="80" t="str">
        <f t="shared" si="1"/>
        <v/>
      </c>
      <c r="D469" s="80" t="str">
        <f t="array" ref="D469">IF(A469="","",IF(ISLOGICAL(INDEX('Deck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69" s="80" t="str">
        <f t="shared" si="2"/>
        <v/>
      </c>
      <c r="F469" s="80" t="str">
        <f t="array" ref="F469">IF(A469="","",IF(ISNUMBER(J469),J469,IF(ISNUMBER(INDEX('Deck 1'!$A:$Z,ROW()-250,'List Setup'!$F$3)),INDEX('Deck 1'!$A:$Z,ROW()-250,'List Setup'!$F$3),0)))</f>
        <v/>
      </c>
      <c r="G469" s="80" t="str">
        <f t="array" ref="G469">IF(A469="","",A469&amp;IF(N(INDEX('Deck 1'!$A:$Z,ROW()-250,'List Setup'!$C$3))&gt;1," (x"&amp;INDEX('Deck 1'!$A:$Z,ROW()-250,'List Setup'!$C$3)&amp;")","")&amp;IF(COUNTIF(Binders!$J$6:$J$30,TRUE())&gt;1," ["&amp;Q469&amp;"]",""))</f>
        <v/>
      </c>
      <c r="H469" s="80" t="str">
        <f t="array" ref="H469">IF(A469="","",CHAR(10)&amp;INDEX('Deck 1'!$A:$Z,ROW()-250,'List Setup'!$E$3)&amp;CHAR(10))</f>
        <v/>
      </c>
      <c r="I469" s="80" t="str">
        <f t="array" ref="I469">IF(OR(B469="",B469="(none)"),"",IF(ISNUMBER(SEARCH(CHAR(10)&amp;B469&amp;CHAR(10),H469)),B469,IFERROR(INDEX('Set Aliases'!$A$2:$A$501,MATCH(1,('Set Aliases'!$B$2:$B$501=B469)*ISNUMBER(SEARCH(CHAR(10)&amp;'Set Aliases'!$A$2:$A$501&amp;CHAR(10),H469)),0)),"")))</f>
        <v/>
      </c>
      <c r="J469" s="80" t="str">
        <f t="array" ref="J469">IF(I469="","",IFERROR(VALUE(TRIM(MID(SUBSTITUTE(INDEX('Deck 1'!$A:$Z,ROW()-250,'List Setup'!$G$3),CHAR(10),REPT(" ",100)),((SEARCH(CHAR(10)&amp;I469&amp;CHAR(10),H469)-LEN(SUBSTITUTE(LEFT(H469,SEARCH(CHAR(10)&amp;I469&amp;CHAR(10),H469)),CHAR(10),"")))-1)*100+1,100))),""))</f>
        <v/>
      </c>
      <c r="K469" s="80" t="str">
        <f t="array" ref="K469">IF(A469="","",IF(ISNUMBER(SEARCH("Land",LEFT(IFERROR(INDEX('Deck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69" s="80" t="str">
        <f t="shared" si="3"/>
        <v/>
      </c>
      <c r="M469" s="80" t="str">
        <f>IF(A469="","",IF(AND(E469="Y",B469='Use at Shop'!$B$4),K469*10000000000+(MAX(0,MIN(26,CODE(MID(UPPER(A469)&amp;"    ",1,1))-64))*19683+MAX(0,MIN(26,CODE(MID(UPPER(A469)&amp;"    ",2,1))-64))*729+MAX(0,MIN(26,CODE(MID(UPPER(A469)&amp;"    ",3,1))-64))*27+MAX(0,MIN(26,CODE(MID(UPPER(A469)&amp;"    ",4,1))-64))*1)*10000+ROW(),""))</f>
        <v/>
      </c>
      <c r="N469" s="80" t="str">
        <f t="shared" si="5"/>
        <v/>
      </c>
      <c r="O469" s="80" t="str">
        <f t="array" ref="O469">IF(A469="","",IFERROR(INDEX('Deck 1'!$A:$Z,ROW()-250,'List Setup'!$J$3)&amp;"",""))</f>
        <v/>
      </c>
      <c r="P469" s="2"/>
      <c r="Q469" s="80" t="str">
        <f>IF(A469="","",'List Setup'!$A$3)</f>
        <v/>
      </c>
      <c r="R469" s="80" t="str">
        <f t="array" ref="R469">IF(A469="","",IFERROR(OR(INDEX(Binders!$J$6:$J$30,MATCH(Q469,Binders!$I$6:$I$30,0))=TRUE(),UPPER(INDEX(Binders!$J$6:$J$30,MATCH(Q469,Binders!$I$6:$I$30,0))&amp;"")="TRUE"),FALSE()))</f>
        <v/>
      </c>
    </row>
    <row r="470" ht="15.75" customHeight="1">
      <c r="A470" s="80" t="str">
        <f t="array" ref="A470">IF(INDEX('Deck 1'!$A:$Z,ROW()-250,'List Setup'!$D$3)="","",INDEX('Deck 1'!$A:$Z,ROW()-250,'List Setup'!$D$3))</f>
        <v/>
      </c>
      <c r="B470" s="80" t="str">
        <f t="array" ref="B470">IF(A470="","",IFERROR(INDEX('Binder Setup'!$B$2:$B$401,MIN(IF(ISNUMBER(SEARCH(CHAR(10)&amp;'Binder Setup'!$B$2:$B$401&amp;CHAR(10),$H470)),'List Setup'!$Q$2:$Q$401,999),IF(ISNUMBER(SEARCH(CHAR(10)&amp;'Set Aliases'!$A$2:$A$501&amp;CHAR(10),$H470)),'Set Aliases'!$C$2:$C$501,999))),"(none)"))</f>
        <v/>
      </c>
      <c r="C470" s="80" t="str">
        <f t="shared" si="1"/>
        <v/>
      </c>
      <c r="D470" s="80" t="str">
        <f t="array" ref="D470">IF(A470="","",IF(ISLOGICAL(INDEX('Deck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70" s="80" t="str">
        <f t="shared" si="2"/>
        <v/>
      </c>
      <c r="F470" s="80" t="str">
        <f t="array" ref="F470">IF(A470="","",IF(ISNUMBER(J470),J470,IF(ISNUMBER(INDEX('Deck 1'!$A:$Z,ROW()-250,'List Setup'!$F$3)),INDEX('Deck 1'!$A:$Z,ROW()-250,'List Setup'!$F$3),0)))</f>
        <v/>
      </c>
      <c r="G470" s="80" t="str">
        <f t="array" ref="G470">IF(A470="","",A470&amp;IF(N(INDEX('Deck 1'!$A:$Z,ROW()-250,'List Setup'!$C$3))&gt;1," (x"&amp;INDEX('Deck 1'!$A:$Z,ROW()-250,'List Setup'!$C$3)&amp;")","")&amp;IF(COUNTIF(Binders!$J$6:$J$30,TRUE())&gt;1," ["&amp;Q470&amp;"]",""))</f>
        <v/>
      </c>
      <c r="H470" s="80" t="str">
        <f t="array" ref="H470">IF(A470="","",CHAR(10)&amp;INDEX('Deck 1'!$A:$Z,ROW()-250,'List Setup'!$E$3)&amp;CHAR(10))</f>
        <v/>
      </c>
      <c r="I470" s="80" t="str">
        <f t="array" ref="I470">IF(OR(B470="",B470="(none)"),"",IF(ISNUMBER(SEARCH(CHAR(10)&amp;B470&amp;CHAR(10),H470)),B470,IFERROR(INDEX('Set Aliases'!$A$2:$A$501,MATCH(1,('Set Aliases'!$B$2:$B$501=B470)*ISNUMBER(SEARCH(CHAR(10)&amp;'Set Aliases'!$A$2:$A$501&amp;CHAR(10),H470)),0)),"")))</f>
        <v/>
      </c>
      <c r="J470" s="80" t="str">
        <f t="array" ref="J470">IF(I470="","",IFERROR(VALUE(TRIM(MID(SUBSTITUTE(INDEX('Deck 1'!$A:$Z,ROW()-250,'List Setup'!$G$3),CHAR(10),REPT(" ",100)),((SEARCH(CHAR(10)&amp;I470&amp;CHAR(10),H470)-LEN(SUBSTITUTE(LEFT(H470,SEARCH(CHAR(10)&amp;I470&amp;CHAR(10),H470)),CHAR(10),"")))-1)*100+1,100))),""))</f>
        <v/>
      </c>
      <c r="K470" s="80" t="str">
        <f t="array" ref="K470">IF(A470="","",IF(ISNUMBER(SEARCH("Land",LEFT(IFERROR(INDEX('Deck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70" s="80" t="str">
        <f t="shared" si="3"/>
        <v/>
      </c>
      <c r="M470" s="80" t="str">
        <f>IF(A470="","",IF(AND(E470="Y",B470='Use at Shop'!$B$4),K470*10000000000+(MAX(0,MIN(26,CODE(MID(UPPER(A470)&amp;"    ",1,1))-64))*19683+MAX(0,MIN(26,CODE(MID(UPPER(A470)&amp;"    ",2,1))-64))*729+MAX(0,MIN(26,CODE(MID(UPPER(A470)&amp;"    ",3,1))-64))*27+MAX(0,MIN(26,CODE(MID(UPPER(A470)&amp;"    ",4,1))-64))*1)*10000+ROW(),""))</f>
        <v/>
      </c>
      <c r="N470" s="80" t="str">
        <f t="shared" si="5"/>
        <v/>
      </c>
      <c r="O470" s="80" t="str">
        <f t="array" ref="O470">IF(A470="","",IFERROR(INDEX('Deck 1'!$A:$Z,ROW()-250,'List Setup'!$J$3)&amp;"",""))</f>
        <v/>
      </c>
      <c r="P470" s="2"/>
      <c r="Q470" s="80" t="str">
        <f>IF(A470="","",'List Setup'!$A$3)</f>
        <v/>
      </c>
      <c r="R470" s="80" t="str">
        <f t="array" ref="R470">IF(A470="","",IFERROR(OR(INDEX(Binders!$J$6:$J$30,MATCH(Q470,Binders!$I$6:$I$30,0))=TRUE(),UPPER(INDEX(Binders!$J$6:$J$30,MATCH(Q470,Binders!$I$6:$I$30,0))&amp;"")="TRUE"),FALSE()))</f>
        <v/>
      </c>
    </row>
    <row r="471" ht="15.75" customHeight="1">
      <c r="A471" s="80" t="str">
        <f t="array" ref="A471">IF(INDEX('Deck 1'!$A:$Z,ROW()-250,'List Setup'!$D$3)="","",INDEX('Deck 1'!$A:$Z,ROW()-250,'List Setup'!$D$3))</f>
        <v/>
      </c>
      <c r="B471" s="80" t="str">
        <f t="array" ref="B471">IF(A471="","",IFERROR(INDEX('Binder Setup'!$B$2:$B$401,MIN(IF(ISNUMBER(SEARCH(CHAR(10)&amp;'Binder Setup'!$B$2:$B$401&amp;CHAR(10),$H471)),'List Setup'!$Q$2:$Q$401,999),IF(ISNUMBER(SEARCH(CHAR(10)&amp;'Set Aliases'!$A$2:$A$501&amp;CHAR(10),$H471)),'Set Aliases'!$C$2:$C$501,999))),"(none)"))</f>
        <v/>
      </c>
      <c r="C471" s="80" t="str">
        <f t="shared" si="1"/>
        <v/>
      </c>
      <c r="D471" s="80" t="str">
        <f t="array" ref="D471">IF(A471="","",IF(ISLOGICAL(INDEX('Deck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71" s="80" t="str">
        <f t="shared" si="2"/>
        <v/>
      </c>
      <c r="F471" s="80" t="str">
        <f t="array" ref="F471">IF(A471="","",IF(ISNUMBER(J471),J471,IF(ISNUMBER(INDEX('Deck 1'!$A:$Z,ROW()-250,'List Setup'!$F$3)),INDEX('Deck 1'!$A:$Z,ROW()-250,'List Setup'!$F$3),0)))</f>
        <v/>
      </c>
      <c r="G471" s="80" t="str">
        <f t="array" ref="G471">IF(A471="","",A471&amp;IF(N(INDEX('Deck 1'!$A:$Z,ROW()-250,'List Setup'!$C$3))&gt;1," (x"&amp;INDEX('Deck 1'!$A:$Z,ROW()-250,'List Setup'!$C$3)&amp;")","")&amp;IF(COUNTIF(Binders!$J$6:$J$30,TRUE())&gt;1," ["&amp;Q471&amp;"]",""))</f>
        <v/>
      </c>
      <c r="H471" s="80" t="str">
        <f t="array" ref="H471">IF(A471="","",CHAR(10)&amp;INDEX('Deck 1'!$A:$Z,ROW()-250,'List Setup'!$E$3)&amp;CHAR(10))</f>
        <v/>
      </c>
      <c r="I471" s="80" t="str">
        <f t="array" ref="I471">IF(OR(B471="",B471="(none)"),"",IF(ISNUMBER(SEARCH(CHAR(10)&amp;B471&amp;CHAR(10),H471)),B471,IFERROR(INDEX('Set Aliases'!$A$2:$A$501,MATCH(1,('Set Aliases'!$B$2:$B$501=B471)*ISNUMBER(SEARCH(CHAR(10)&amp;'Set Aliases'!$A$2:$A$501&amp;CHAR(10),H471)),0)),"")))</f>
        <v/>
      </c>
      <c r="J471" s="80" t="str">
        <f t="array" ref="J471">IF(I471="","",IFERROR(VALUE(TRIM(MID(SUBSTITUTE(INDEX('Deck 1'!$A:$Z,ROW()-250,'List Setup'!$G$3),CHAR(10),REPT(" ",100)),((SEARCH(CHAR(10)&amp;I471&amp;CHAR(10),H471)-LEN(SUBSTITUTE(LEFT(H471,SEARCH(CHAR(10)&amp;I471&amp;CHAR(10),H471)),CHAR(10),"")))-1)*100+1,100))),""))</f>
        <v/>
      </c>
      <c r="K471" s="80" t="str">
        <f t="array" ref="K471">IF(A471="","",IF(ISNUMBER(SEARCH("Land",LEFT(IFERROR(INDEX('Deck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71" s="80" t="str">
        <f t="shared" si="3"/>
        <v/>
      </c>
      <c r="M471" s="80" t="str">
        <f>IF(A471="","",IF(AND(E471="Y",B471='Use at Shop'!$B$4),K471*10000000000+(MAX(0,MIN(26,CODE(MID(UPPER(A471)&amp;"    ",1,1))-64))*19683+MAX(0,MIN(26,CODE(MID(UPPER(A471)&amp;"    ",2,1))-64))*729+MAX(0,MIN(26,CODE(MID(UPPER(A471)&amp;"    ",3,1))-64))*27+MAX(0,MIN(26,CODE(MID(UPPER(A471)&amp;"    ",4,1))-64))*1)*10000+ROW(),""))</f>
        <v/>
      </c>
      <c r="N471" s="80" t="str">
        <f t="shared" si="5"/>
        <v/>
      </c>
      <c r="O471" s="80" t="str">
        <f t="array" ref="O471">IF(A471="","",IFERROR(INDEX('Deck 1'!$A:$Z,ROW()-250,'List Setup'!$J$3)&amp;"",""))</f>
        <v/>
      </c>
      <c r="P471" s="2"/>
      <c r="Q471" s="80" t="str">
        <f>IF(A471="","",'List Setup'!$A$3)</f>
        <v/>
      </c>
      <c r="R471" s="80" t="str">
        <f t="array" ref="R471">IF(A471="","",IFERROR(OR(INDEX(Binders!$J$6:$J$30,MATCH(Q471,Binders!$I$6:$I$30,0))=TRUE(),UPPER(INDEX(Binders!$J$6:$J$30,MATCH(Q471,Binders!$I$6:$I$30,0))&amp;"")="TRUE"),FALSE()))</f>
        <v/>
      </c>
    </row>
    <row r="472" ht="15.75" customHeight="1">
      <c r="A472" s="80" t="str">
        <f t="array" ref="A472">IF(INDEX('Deck 1'!$A:$Z,ROW()-250,'List Setup'!$D$3)="","",INDEX('Deck 1'!$A:$Z,ROW()-250,'List Setup'!$D$3))</f>
        <v/>
      </c>
      <c r="B472" s="80" t="str">
        <f t="array" ref="B472">IF(A472="","",IFERROR(INDEX('Binder Setup'!$B$2:$B$401,MIN(IF(ISNUMBER(SEARCH(CHAR(10)&amp;'Binder Setup'!$B$2:$B$401&amp;CHAR(10),$H472)),'List Setup'!$Q$2:$Q$401,999),IF(ISNUMBER(SEARCH(CHAR(10)&amp;'Set Aliases'!$A$2:$A$501&amp;CHAR(10),$H472)),'Set Aliases'!$C$2:$C$501,999))),"(none)"))</f>
        <v/>
      </c>
      <c r="C472" s="80" t="str">
        <f t="shared" si="1"/>
        <v/>
      </c>
      <c r="D472" s="80" t="str">
        <f t="array" ref="D472">IF(A472="","",IF(ISLOGICAL(INDEX('Deck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72" s="80" t="str">
        <f t="shared" si="2"/>
        <v/>
      </c>
      <c r="F472" s="80" t="str">
        <f t="array" ref="F472">IF(A472="","",IF(ISNUMBER(J472),J472,IF(ISNUMBER(INDEX('Deck 1'!$A:$Z,ROW()-250,'List Setup'!$F$3)),INDEX('Deck 1'!$A:$Z,ROW()-250,'List Setup'!$F$3),0)))</f>
        <v/>
      </c>
      <c r="G472" s="80" t="str">
        <f t="array" ref="G472">IF(A472="","",A472&amp;IF(N(INDEX('Deck 1'!$A:$Z,ROW()-250,'List Setup'!$C$3))&gt;1," (x"&amp;INDEX('Deck 1'!$A:$Z,ROW()-250,'List Setup'!$C$3)&amp;")","")&amp;IF(COUNTIF(Binders!$J$6:$J$30,TRUE())&gt;1," ["&amp;Q472&amp;"]",""))</f>
        <v/>
      </c>
      <c r="H472" s="80" t="str">
        <f t="array" ref="H472">IF(A472="","",CHAR(10)&amp;INDEX('Deck 1'!$A:$Z,ROW()-250,'List Setup'!$E$3)&amp;CHAR(10))</f>
        <v/>
      </c>
      <c r="I472" s="80" t="str">
        <f t="array" ref="I472">IF(OR(B472="",B472="(none)"),"",IF(ISNUMBER(SEARCH(CHAR(10)&amp;B472&amp;CHAR(10),H472)),B472,IFERROR(INDEX('Set Aliases'!$A$2:$A$501,MATCH(1,('Set Aliases'!$B$2:$B$501=B472)*ISNUMBER(SEARCH(CHAR(10)&amp;'Set Aliases'!$A$2:$A$501&amp;CHAR(10),H472)),0)),"")))</f>
        <v/>
      </c>
      <c r="J472" s="80" t="str">
        <f t="array" ref="J472">IF(I472="","",IFERROR(VALUE(TRIM(MID(SUBSTITUTE(INDEX('Deck 1'!$A:$Z,ROW()-250,'List Setup'!$G$3),CHAR(10),REPT(" ",100)),((SEARCH(CHAR(10)&amp;I472&amp;CHAR(10),H472)-LEN(SUBSTITUTE(LEFT(H472,SEARCH(CHAR(10)&amp;I472&amp;CHAR(10),H472)),CHAR(10),"")))-1)*100+1,100))),""))</f>
        <v/>
      </c>
      <c r="K472" s="80" t="str">
        <f t="array" ref="K472">IF(A472="","",IF(ISNUMBER(SEARCH("Land",LEFT(IFERROR(INDEX('Deck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72" s="80" t="str">
        <f t="shared" si="3"/>
        <v/>
      </c>
      <c r="M472" s="80" t="str">
        <f>IF(A472="","",IF(AND(E472="Y",B472='Use at Shop'!$B$4),K472*10000000000+(MAX(0,MIN(26,CODE(MID(UPPER(A472)&amp;"    ",1,1))-64))*19683+MAX(0,MIN(26,CODE(MID(UPPER(A472)&amp;"    ",2,1))-64))*729+MAX(0,MIN(26,CODE(MID(UPPER(A472)&amp;"    ",3,1))-64))*27+MAX(0,MIN(26,CODE(MID(UPPER(A472)&amp;"    ",4,1))-64))*1)*10000+ROW(),""))</f>
        <v/>
      </c>
      <c r="N472" s="80" t="str">
        <f t="shared" si="5"/>
        <v/>
      </c>
      <c r="O472" s="80" t="str">
        <f t="array" ref="O472">IF(A472="","",IFERROR(INDEX('Deck 1'!$A:$Z,ROW()-250,'List Setup'!$J$3)&amp;"",""))</f>
        <v/>
      </c>
      <c r="P472" s="2"/>
      <c r="Q472" s="80" t="str">
        <f>IF(A472="","",'List Setup'!$A$3)</f>
        <v/>
      </c>
      <c r="R472" s="80" t="str">
        <f t="array" ref="R472">IF(A472="","",IFERROR(OR(INDEX(Binders!$J$6:$J$30,MATCH(Q472,Binders!$I$6:$I$30,0))=TRUE(),UPPER(INDEX(Binders!$J$6:$J$30,MATCH(Q472,Binders!$I$6:$I$30,0))&amp;"")="TRUE"),FALSE()))</f>
        <v/>
      </c>
    </row>
    <row r="473" ht="15.75" customHeight="1">
      <c r="A473" s="80" t="str">
        <f t="array" ref="A473">IF(INDEX('Deck 1'!$A:$Z,ROW()-250,'List Setup'!$D$3)="","",INDEX('Deck 1'!$A:$Z,ROW()-250,'List Setup'!$D$3))</f>
        <v/>
      </c>
      <c r="B473" s="80" t="str">
        <f t="array" ref="B473">IF(A473="","",IFERROR(INDEX('Binder Setup'!$B$2:$B$401,MIN(IF(ISNUMBER(SEARCH(CHAR(10)&amp;'Binder Setup'!$B$2:$B$401&amp;CHAR(10),$H473)),'List Setup'!$Q$2:$Q$401,999),IF(ISNUMBER(SEARCH(CHAR(10)&amp;'Set Aliases'!$A$2:$A$501&amp;CHAR(10),$H473)),'Set Aliases'!$C$2:$C$501,999))),"(none)"))</f>
        <v/>
      </c>
      <c r="C473" s="80" t="str">
        <f t="shared" si="1"/>
        <v/>
      </c>
      <c r="D473" s="80" t="str">
        <f t="array" ref="D473">IF(A473="","",IF(ISLOGICAL(INDEX('Deck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73" s="80" t="str">
        <f t="shared" si="2"/>
        <v/>
      </c>
      <c r="F473" s="80" t="str">
        <f t="array" ref="F473">IF(A473="","",IF(ISNUMBER(J473),J473,IF(ISNUMBER(INDEX('Deck 1'!$A:$Z,ROW()-250,'List Setup'!$F$3)),INDEX('Deck 1'!$A:$Z,ROW()-250,'List Setup'!$F$3),0)))</f>
        <v/>
      </c>
      <c r="G473" s="80" t="str">
        <f t="array" ref="G473">IF(A473="","",A473&amp;IF(N(INDEX('Deck 1'!$A:$Z,ROW()-250,'List Setup'!$C$3))&gt;1," (x"&amp;INDEX('Deck 1'!$A:$Z,ROW()-250,'List Setup'!$C$3)&amp;")","")&amp;IF(COUNTIF(Binders!$J$6:$J$30,TRUE())&gt;1," ["&amp;Q473&amp;"]",""))</f>
        <v/>
      </c>
      <c r="H473" s="80" t="str">
        <f t="array" ref="H473">IF(A473="","",CHAR(10)&amp;INDEX('Deck 1'!$A:$Z,ROW()-250,'List Setup'!$E$3)&amp;CHAR(10))</f>
        <v/>
      </c>
      <c r="I473" s="80" t="str">
        <f t="array" ref="I473">IF(OR(B473="",B473="(none)"),"",IF(ISNUMBER(SEARCH(CHAR(10)&amp;B473&amp;CHAR(10),H473)),B473,IFERROR(INDEX('Set Aliases'!$A$2:$A$501,MATCH(1,('Set Aliases'!$B$2:$B$501=B473)*ISNUMBER(SEARCH(CHAR(10)&amp;'Set Aliases'!$A$2:$A$501&amp;CHAR(10),H473)),0)),"")))</f>
        <v/>
      </c>
      <c r="J473" s="80" t="str">
        <f t="array" ref="J473">IF(I473="","",IFERROR(VALUE(TRIM(MID(SUBSTITUTE(INDEX('Deck 1'!$A:$Z,ROW()-250,'List Setup'!$G$3),CHAR(10),REPT(" ",100)),((SEARCH(CHAR(10)&amp;I473&amp;CHAR(10),H473)-LEN(SUBSTITUTE(LEFT(H473,SEARCH(CHAR(10)&amp;I473&amp;CHAR(10),H473)),CHAR(10),"")))-1)*100+1,100))),""))</f>
        <v/>
      </c>
      <c r="K473" s="80" t="str">
        <f t="array" ref="K473">IF(A473="","",IF(ISNUMBER(SEARCH("Land",LEFT(IFERROR(INDEX('Deck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73" s="80" t="str">
        <f t="shared" si="3"/>
        <v/>
      </c>
      <c r="M473" s="80" t="str">
        <f>IF(A473="","",IF(AND(E473="Y",B473='Use at Shop'!$B$4),K473*10000000000+(MAX(0,MIN(26,CODE(MID(UPPER(A473)&amp;"    ",1,1))-64))*19683+MAX(0,MIN(26,CODE(MID(UPPER(A473)&amp;"    ",2,1))-64))*729+MAX(0,MIN(26,CODE(MID(UPPER(A473)&amp;"    ",3,1))-64))*27+MAX(0,MIN(26,CODE(MID(UPPER(A473)&amp;"    ",4,1))-64))*1)*10000+ROW(),""))</f>
        <v/>
      </c>
      <c r="N473" s="80" t="str">
        <f t="shared" si="5"/>
        <v/>
      </c>
      <c r="O473" s="80" t="str">
        <f t="array" ref="O473">IF(A473="","",IFERROR(INDEX('Deck 1'!$A:$Z,ROW()-250,'List Setup'!$J$3)&amp;"",""))</f>
        <v/>
      </c>
      <c r="P473" s="2"/>
      <c r="Q473" s="80" t="str">
        <f>IF(A473="","",'List Setup'!$A$3)</f>
        <v/>
      </c>
      <c r="R473" s="80" t="str">
        <f t="array" ref="R473">IF(A473="","",IFERROR(OR(INDEX(Binders!$J$6:$J$30,MATCH(Q473,Binders!$I$6:$I$30,0))=TRUE(),UPPER(INDEX(Binders!$J$6:$J$30,MATCH(Q473,Binders!$I$6:$I$30,0))&amp;"")="TRUE"),FALSE()))</f>
        <v/>
      </c>
    </row>
    <row r="474" ht="15.75" customHeight="1">
      <c r="A474" s="80" t="str">
        <f t="array" ref="A474">IF(INDEX('Deck 1'!$A:$Z,ROW()-250,'List Setup'!$D$3)="","",INDEX('Deck 1'!$A:$Z,ROW()-250,'List Setup'!$D$3))</f>
        <v/>
      </c>
      <c r="B474" s="80" t="str">
        <f t="array" ref="B474">IF(A474="","",IFERROR(INDEX('Binder Setup'!$B$2:$B$401,MIN(IF(ISNUMBER(SEARCH(CHAR(10)&amp;'Binder Setup'!$B$2:$B$401&amp;CHAR(10),$H474)),'List Setup'!$Q$2:$Q$401,999),IF(ISNUMBER(SEARCH(CHAR(10)&amp;'Set Aliases'!$A$2:$A$501&amp;CHAR(10),$H474)),'Set Aliases'!$C$2:$C$501,999))),"(none)"))</f>
        <v/>
      </c>
      <c r="C474" s="80" t="str">
        <f t="shared" si="1"/>
        <v/>
      </c>
      <c r="D474" s="80" t="str">
        <f t="array" ref="D474">IF(A474="","",IF(ISLOGICAL(INDEX('Deck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74" s="80" t="str">
        <f t="shared" si="2"/>
        <v/>
      </c>
      <c r="F474" s="80" t="str">
        <f t="array" ref="F474">IF(A474="","",IF(ISNUMBER(J474),J474,IF(ISNUMBER(INDEX('Deck 1'!$A:$Z,ROW()-250,'List Setup'!$F$3)),INDEX('Deck 1'!$A:$Z,ROW()-250,'List Setup'!$F$3),0)))</f>
        <v/>
      </c>
      <c r="G474" s="80" t="str">
        <f t="array" ref="G474">IF(A474="","",A474&amp;IF(N(INDEX('Deck 1'!$A:$Z,ROW()-250,'List Setup'!$C$3))&gt;1," (x"&amp;INDEX('Deck 1'!$A:$Z,ROW()-250,'List Setup'!$C$3)&amp;")","")&amp;IF(COUNTIF(Binders!$J$6:$J$30,TRUE())&gt;1," ["&amp;Q474&amp;"]",""))</f>
        <v/>
      </c>
      <c r="H474" s="80" t="str">
        <f t="array" ref="H474">IF(A474="","",CHAR(10)&amp;INDEX('Deck 1'!$A:$Z,ROW()-250,'List Setup'!$E$3)&amp;CHAR(10))</f>
        <v/>
      </c>
      <c r="I474" s="80" t="str">
        <f t="array" ref="I474">IF(OR(B474="",B474="(none)"),"",IF(ISNUMBER(SEARCH(CHAR(10)&amp;B474&amp;CHAR(10),H474)),B474,IFERROR(INDEX('Set Aliases'!$A$2:$A$501,MATCH(1,('Set Aliases'!$B$2:$B$501=B474)*ISNUMBER(SEARCH(CHAR(10)&amp;'Set Aliases'!$A$2:$A$501&amp;CHAR(10),H474)),0)),"")))</f>
        <v/>
      </c>
      <c r="J474" s="80" t="str">
        <f t="array" ref="J474">IF(I474="","",IFERROR(VALUE(TRIM(MID(SUBSTITUTE(INDEX('Deck 1'!$A:$Z,ROW()-250,'List Setup'!$G$3),CHAR(10),REPT(" ",100)),((SEARCH(CHAR(10)&amp;I474&amp;CHAR(10),H474)-LEN(SUBSTITUTE(LEFT(H474,SEARCH(CHAR(10)&amp;I474&amp;CHAR(10),H474)),CHAR(10),"")))-1)*100+1,100))),""))</f>
        <v/>
      </c>
      <c r="K474" s="80" t="str">
        <f t="array" ref="K474">IF(A474="","",IF(ISNUMBER(SEARCH("Land",LEFT(IFERROR(INDEX('Deck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74" s="80" t="str">
        <f t="shared" si="3"/>
        <v/>
      </c>
      <c r="M474" s="80" t="str">
        <f>IF(A474="","",IF(AND(E474="Y",B474='Use at Shop'!$B$4),K474*10000000000+(MAX(0,MIN(26,CODE(MID(UPPER(A474)&amp;"    ",1,1))-64))*19683+MAX(0,MIN(26,CODE(MID(UPPER(A474)&amp;"    ",2,1))-64))*729+MAX(0,MIN(26,CODE(MID(UPPER(A474)&amp;"    ",3,1))-64))*27+MAX(0,MIN(26,CODE(MID(UPPER(A474)&amp;"    ",4,1))-64))*1)*10000+ROW(),""))</f>
        <v/>
      </c>
      <c r="N474" s="80" t="str">
        <f t="shared" si="5"/>
        <v/>
      </c>
      <c r="O474" s="80" t="str">
        <f t="array" ref="O474">IF(A474="","",IFERROR(INDEX('Deck 1'!$A:$Z,ROW()-250,'List Setup'!$J$3)&amp;"",""))</f>
        <v/>
      </c>
      <c r="P474" s="2"/>
      <c r="Q474" s="80" t="str">
        <f>IF(A474="","",'List Setup'!$A$3)</f>
        <v/>
      </c>
      <c r="R474" s="80" t="str">
        <f t="array" ref="R474">IF(A474="","",IFERROR(OR(INDEX(Binders!$J$6:$J$30,MATCH(Q474,Binders!$I$6:$I$30,0))=TRUE(),UPPER(INDEX(Binders!$J$6:$J$30,MATCH(Q474,Binders!$I$6:$I$30,0))&amp;"")="TRUE"),FALSE()))</f>
        <v/>
      </c>
    </row>
    <row r="475" ht="15.75" customHeight="1">
      <c r="A475" s="80" t="str">
        <f t="array" ref="A475">IF(INDEX('Deck 1'!$A:$Z,ROW()-250,'List Setup'!$D$3)="","",INDEX('Deck 1'!$A:$Z,ROW()-250,'List Setup'!$D$3))</f>
        <v/>
      </c>
      <c r="B475" s="80" t="str">
        <f t="array" ref="B475">IF(A475="","",IFERROR(INDEX('Binder Setup'!$B$2:$B$401,MIN(IF(ISNUMBER(SEARCH(CHAR(10)&amp;'Binder Setup'!$B$2:$B$401&amp;CHAR(10),$H475)),'List Setup'!$Q$2:$Q$401,999),IF(ISNUMBER(SEARCH(CHAR(10)&amp;'Set Aliases'!$A$2:$A$501&amp;CHAR(10),$H475)),'Set Aliases'!$C$2:$C$501,999))),"(none)"))</f>
        <v/>
      </c>
      <c r="C475" s="80" t="str">
        <f t="shared" si="1"/>
        <v/>
      </c>
      <c r="D475" s="80" t="str">
        <f t="array" ref="D475">IF(A475="","",IF(ISLOGICAL(INDEX('Deck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75" s="80" t="str">
        <f t="shared" si="2"/>
        <v/>
      </c>
      <c r="F475" s="80" t="str">
        <f t="array" ref="F475">IF(A475="","",IF(ISNUMBER(J475),J475,IF(ISNUMBER(INDEX('Deck 1'!$A:$Z,ROW()-250,'List Setup'!$F$3)),INDEX('Deck 1'!$A:$Z,ROW()-250,'List Setup'!$F$3),0)))</f>
        <v/>
      </c>
      <c r="G475" s="80" t="str">
        <f t="array" ref="G475">IF(A475="","",A475&amp;IF(N(INDEX('Deck 1'!$A:$Z,ROW()-250,'List Setup'!$C$3))&gt;1," (x"&amp;INDEX('Deck 1'!$A:$Z,ROW()-250,'List Setup'!$C$3)&amp;")","")&amp;IF(COUNTIF(Binders!$J$6:$J$30,TRUE())&gt;1," ["&amp;Q475&amp;"]",""))</f>
        <v/>
      </c>
      <c r="H475" s="80" t="str">
        <f t="array" ref="H475">IF(A475="","",CHAR(10)&amp;INDEX('Deck 1'!$A:$Z,ROW()-250,'List Setup'!$E$3)&amp;CHAR(10))</f>
        <v/>
      </c>
      <c r="I475" s="80" t="str">
        <f t="array" ref="I475">IF(OR(B475="",B475="(none)"),"",IF(ISNUMBER(SEARCH(CHAR(10)&amp;B475&amp;CHAR(10),H475)),B475,IFERROR(INDEX('Set Aliases'!$A$2:$A$501,MATCH(1,('Set Aliases'!$B$2:$B$501=B475)*ISNUMBER(SEARCH(CHAR(10)&amp;'Set Aliases'!$A$2:$A$501&amp;CHAR(10),H475)),0)),"")))</f>
        <v/>
      </c>
      <c r="J475" s="80" t="str">
        <f t="array" ref="J475">IF(I475="","",IFERROR(VALUE(TRIM(MID(SUBSTITUTE(INDEX('Deck 1'!$A:$Z,ROW()-250,'List Setup'!$G$3),CHAR(10),REPT(" ",100)),((SEARCH(CHAR(10)&amp;I475&amp;CHAR(10),H475)-LEN(SUBSTITUTE(LEFT(H475,SEARCH(CHAR(10)&amp;I475&amp;CHAR(10),H475)),CHAR(10),"")))-1)*100+1,100))),""))</f>
        <v/>
      </c>
      <c r="K475" s="80" t="str">
        <f t="array" ref="K475">IF(A475="","",IF(ISNUMBER(SEARCH("Land",LEFT(IFERROR(INDEX('Deck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75" s="80" t="str">
        <f t="shared" si="3"/>
        <v/>
      </c>
      <c r="M475" s="80" t="str">
        <f>IF(A475="","",IF(AND(E475="Y",B475='Use at Shop'!$B$4),K475*10000000000+(MAX(0,MIN(26,CODE(MID(UPPER(A475)&amp;"    ",1,1))-64))*19683+MAX(0,MIN(26,CODE(MID(UPPER(A475)&amp;"    ",2,1))-64))*729+MAX(0,MIN(26,CODE(MID(UPPER(A475)&amp;"    ",3,1))-64))*27+MAX(0,MIN(26,CODE(MID(UPPER(A475)&amp;"    ",4,1))-64))*1)*10000+ROW(),""))</f>
        <v/>
      </c>
      <c r="N475" s="80" t="str">
        <f t="shared" si="5"/>
        <v/>
      </c>
      <c r="O475" s="80" t="str">
        <f t="array" ref="O475">IF(A475="","",IFERROR(INDEX('Deck 1'!$A:$Z,ROW()-250,'List Setup'!$J$3)&amp;"",""))</f>
        <v/>
      </c>
      <c r="P475" s="2"/>
      <c r="Q475" s="80" t="str">
        <f>IF(A475="","",'List Setup'!$A$3)</f>
        <v/>
      </c>
      <c r="R475" s="80" t="str">
        <f t="array" ref="R475">IF(A475="","",IFERROR(OR(INDEX(Binders!$J$6:$J$30,MATCH(Q475,Binders!$I$6:$I$30,0))=TRUE(),UPPER(INDEX(Binders!$J$6:$J$30,MATCH(Q475,Binders!$I$6:$I$30,0))&amp;"")="TRUE"),FALSE()))</f>
        <v/>
      </c>
    </row>
    <row r="476" ht="15.75" customHeight="1">
      <c r="A476" s="80" t="str">
        <f t="array" ref="A476">IF(INDEX('Deck 1'!$A:$Z,ROW()-250,'List Setup'!$D$3)="","",INDEX('Deck 1'!$A:$Z,ROW()-250,'List Setup'!$D$3))</f>
        <v/>
      </c>
      <c r="B476" s="80" t="str">
        <f t="array" ref="B476">IF(A476="","",IFERROR(INDEX('Binder Setup'!$B$2:$B$401,MIN(IF(ISNUMBER(SEARCH(CHAR(10)&amp;'Binder Setup'!$B$2:$B$401&amp;CHAR(10),$H476)),'List Setup'!$Q$2:$Q$401,999),IF(ISNUMBER(SEARCH(CHAR(10)&amp;'Set Aliases'!$A$2:$A$501&amp;CHAR(10),$H476)),'Set Aliases'!$C$2:$C$501,999))),"(none)"))</f>
        <v/>
      </c>
      <c r="C476" s="80" t="str">
        <f t="shared" si="1"/>
        <v/>
      </c>
      <c r="D476" s="80" t="str">
        <f t="array" ref="D476">IF(A476="","",IF(ISLOGICAL(INDEX('Deck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76" s="80" t="str">
        <f t="shared" si="2"/>
        <v/>
      </c>
      <c r="F476" s="80" t="str">
        <f t="array" ref="F476">IF(A476="","",IF(ISNUMBER(J476),J476,IF(ISNUMBER(INDEX('Deck 1'!$A:$Z,ROW()-250,'List Setup'!$F$3)),INDEX('Deck 1'!$A:$Z,ROW()-250,'List Setup'!$F$3),0)))</f>
        <v/>
      </c>
      <c r="G476" s="80" t="str">
        <f t="array" ref="G476">IF(A476="","",A476&amp;IF(N(INDEX('Deck 1'!$A:$Z,ROW()-250,'List Setup'!$C$3))&gt;1," (x"&amp;INDEX('Deck 1'!$A:$Z,ROW()-250,'List Setup'!$C$3)&amp;")","")&amp;IF(COUNTIF(Binders!$J$6:$J$30,TRUE())&gt;1," ["&amp;Q476&amp;"]",""))</f>
        <v/>
      </c>
      <c r="H476" s="80" t="str">
        <f t="array" ref="H476">IF(A476="","",CHAR(10)&amp;INDEX('Deck 1'!$A:$Z,ROW()-250,'List Setup'!$E$3)&amp;CHAR(10))</f>
        <v/>
      </c>
      <c r="I476" s="80" t="str">
        <f t="array" ref="I476">IF(OR(B476="",B476="(none)"),"",IF(ISNUMBER(SEARCH(CHAR(10)&amp;B476&amp;CHAR(10),H476)),B476,IFERROR(INDEX('Set Aliases'!$A$2:$A$501,MATCH(1,('Set Aliases'!$B$2:$B$501=B476)*ISNUMBER(SEARCH(CHAR(10)&amp;'Set Aliases'!$A$2:$A$501&amp;CHAR(10),H476)),0)),"")))</f>
        <v/>
      </c>
      <c r="J476" s="80" t="str">
        <f t="array" ref="J476">IF(I476="","",IFERROR(VALUE(TRIM(MID(SUBSTITUTE(INDEX('Deck 1'!$A:$Z,ROW()-250,'List Setup'!$G$3),CHAR(10),REPT(" ",100)),((SEARCH(CHAR(10)&amp;I476&amp;CHAR(10),H476)-LEN(SUBSTITUTE(LEFT(H476,SEARCH(CHAR(10)&amp;I476&amp;CHAR(10),H476)),CHAR(10),"")))-1)*100+1,100))),""))</f>
        <v/>
      </c>
      <c r="K476" s="80" t="str">
        <f t="array" ref="K476">IF(A476="","",IF(ISNUMBER(SEARCH("Land",LEFT(IFERROR(INDEX('Deck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76" s="80" t="str">
        <f t="shared" si="3"/>
        <v/>
      </c>
      <c r="M476" s="80" t="str">
        <f>IF(A476="","",IF(AND(E476="Y",B476='Use at Shop'!$B$4),K476*10000000000+(MAX(0,MIN(26,CODE(MID(UPPER(A476)&amp;"    ",1,1))-64))*19683+MAX(0,MIN(26,CODE(MID(UPPER(A476)&amp;"    ",2,1))-64))*729+MAX(0,MIN(26,CODE(MID(UPPER(A476)&amp;"    ",3,1))-64))*27+MAX(0,MIN(26,CODE(MID(UPPER(A476)&amp;"    ",4,1))-64))*1)*10000+ROW(),""))</f>
        <v/>
      </c>
      <c r="N476" s="80" t="str">
        <f t="shared" si="5"/>
        <v/>
      </c>
      <c r="O476" s="80" t="str">
        <f t="array" ref="O476">IF(A476="","",IFERROR(INDEX('Deck 1'!$A:$Z,ROW()-250,'List Setup'!$J$3)&amp;"",""))</f>
        <v/>
      </c>
      <c r="P476" s="2"/>
      <c r="Q476" s="80" t="str">
        <f>IF(A476="","",'List Setup'!$A$3)</f>
        <v/>
      </c>
      <c r="R476" s="80" t="str">
        <f t="array" ref="R476">IF(A476="","",IFERROR(OR(INDEX(Binders!$J$6:$J$30,MATCH(Q476,Binders!$I$6:$I$30,0))=TRUE(),UPPER(INDEX(Binders!$J$6:$J$30,MATCH(Q476,Binders!$I$6:$I$30,0))&amp;"")="TRUE"),FALSE()))</f>
        <v/>
      </c>
    </row>
    <row r="477" ht="15.75" customHeight="1">
      <c r="A477" s="80" t="str">
        <f t="array" ref="A477">IF(INDEX('Deck 1'!$A:$Z,ROW()-250,'List Setup'!$D$3)="","",INDEX('Deck 1'!$A:$Z,ROW()-250,'List Setup'!$D$3))</f>
        <v/>
      </c>
      <c r="B477" s="80" t="str">
        <f t="array" ref="B477">IF(A477="","",IFERROR(INDEX('Binder Setup'!$B$2:$B$401,MIN(IF(ISNUMBER(SEARCH(CHAR(10)&amp;'Binder Setup'!$B$2:$B$401&amp;CHAR(10),$H477)),'List Setup'!$Q$2:$Q$401,999),IF(ISNUMBER(SEARCH(CHAR(10)&amp;'Set Aliases'!$A$2:$A$501&amp;CHAR(10),$H477)),'Set Aliases'!$C$2:$C$501,999))),"(none)"))</f>
        <v/>
      </c>
      <c r="C477" s="80" t="str">
        <f t="shared" si="1"/>
        <v/>
      </c>
      <c r="D477" s="80" t="str">
        <f t="array" ref="D477">IF(A477="","",IF(ISLOGICAL(INDEX('Deck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77" s="80" t="str">
        <f t="shared" si="2"/>
        <v/>
      </c>
      <c r="F477" s="80" t="str">
        <f t="array" ref="F477">IF(A477="","",IF(ISNUMBER(J477),J477,IF(ISNUMBER(INDEX('Deck 1'!$A:$Z,ROW()-250,'List Setup'!$F$3)),INDEX('Deck 1'!$A:$Z,ROW()-250,'List Setup'!$F$3),0)))</f>
        <v/>
      </c>
      <c r="G477" s="80" t="str">
        <f t="array" ref="G477">IF(A477="","",A477&amp;IF(N(INDEX('Deck 1'!$A:$Z,ROW()-250,'List Setup'!$C$3))&gt;1," (x"&amp;INDEX('Deck 1'!$A:$Z,ROW()-250,'List Setup'!$C$3)&amp;")","")&amp;IF(COUNTIF(Binders!$J$6:$J$30,TRUE())&gt;1," ["&amp;Q477&amp;"]",""))</f>
        <v/>
      </c>
      <c r="H477" s="80" t="str">
        <f t="array" ref="H477">IF(A477="","",CHAR(10)&amp;INDEX('Deck 1'!$A:$Z,ROW()-250,'List Setup'!$E$3)&amp;CHAR(10))</f>
        <v/>
      </c>
      <c r="I477" s="80" t="str">
        <f t="array" ref="I477">IF(OR(B477="",B477="(none)"),"",IF(ISNUMBER(SEARCH(CHAR(10)&amp;B477&amp;CHAR(10),H477)),B477,IFERROR(INDEX('Set Aliases'!$A$2:$A$501,MATCH(1,('Set Aliases'!$B$2:$B$501=B477)*ISNUMBER(SEARCH(CHAR(10)&amp;'Set Aliases'!$A$2:$A$501&amp;CHAR(10),H477)),0)),"")))</f>
        <v/>
      </c>
      <c r="J477" s="80" t="str">
        <f t="array" ref="J477">IF(I477="","",IFERROR(VALUE(TRIM(MID(SUBSTITUTE(INDEX('Deck 1'!$A:$Z,ROW()-250,'List Setup'!$G$3),CHAR(10),REPT(" ",100)),((SEARCH(CHAR(10)&amp;I477&amp;CHAR(10),H477)-LEN(SUBSTITUTE(LEFT(H477,SEARCH(CHAR(10)&amp;I477&amp;CHAR(10),H477)),CHAR(10),"")))-1)*100+1,100))),""))</f>
        <v/>
      </c>
      <c r="K477" s="80" t="str">
        <f t="array" ref="K477">IF(A477="","",IF(ISNUMBER(SEARCH("Land",LEFT(IFERROR(INDEX('Deck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77" s="80" t="str">
        <f t="shared" si="3"/>
        <v/>
      </c>
      <c r="M477" s="80" t="str">
        <f>IF(A477="","",IF(AND(E477="Y",B477='Use at Shop'!$B$4),K477*10000000000+(MAX(0,MIN(26,CODE(MID(UPPER(A477)&amp;"    ",1,1))-64))*19683+MAX(0,MIN(26,CODE(MID(UPPER(A477)&amp;"    ",2,1))-64))*729+MAX(0,MIN(26,CODE(MID(UPPER(A477)&amp;"    ",3,1))-64))*27+MAX(0,MIN(26,CODE(MID(UPPER(A477)&amp;"    ",4,1))-64))*1)*10000+ROW(),""))</f>
        <v/>
      </c>
      <c r="N477" s="80" t="str">
        <f t="shared" si="5"/>
        <v/>
      </c>
      <c r="O477" s="80" t="str">
        <f t="array" ref="O477">IF(A477="","",IFERROR(INDEX('Deck 1'!$A:$Z,ROW()-250,'List Setup'!$J$3)&amp;"",""))</f>
        <v/>
      </c>
      <c r="P477" s="2"/>
      <c r="Q477" s="80" t="str">
        <f>IF(A477="","",'List Setup'!$A$3)</f>
        <v/>
      </c>
      <c r="R477" s="80" t="str">
        <f t="array" ref="R477">IF(A477="","",IFERROR(OR(INDEX(Binders!$J$6:$J$30,MATCH(Q477,Binders!$I$6:$I$30,0))=TRUE(),UPPER(INDEX(Binders!$J$6:$J$30,MATCH(Q477,Binders!$I$6:$I$30,0))&amp;"")="TRUE"),FALSE()))</f>
        <v/>
      </c>
    </row>
    <row r="478" ht="15.75" customHeight="1">
      <c r="A478" s="80" t="str">
        <f t="array" ref="A478">IF(INDEX('Deck 1'!$A:$Z,ROW()-250,'List Setup'!$D$3)="","",INDEX('Deck 1'!$A:$Z,ROW()-250,'List Setup'!$D$3))</f>
        <v/>
      </c>
      <c r="B478" s="80" t="str">
        <f t="array" ref="B478">IF(A478="","",IFERROR(INDEX('Binder Setup'!$B$2:$B$401,MIN(IF(ISNUMBER(SEARCH(CHAR(10)&amp;'Binder Setup'!$B$2:$B$401&amp;CHAR(10),$H478)),'List Setup'!$Q$2:$Q$401,999),IF(ISNUMBER(SEARCH(CHAR(10)&amp;'Set Aliases'!$A$2:$A$501&amp;CHAR(10),$H478)),'Set Aliases'!$C$2:$C$501,999))),"(none)"))</f>
        <v/>
      </c>
      <c r="C478" s="80" t="str">
        <f t="shared" si="1"/>
        <v/>
      </c>
      <c r="D478" s="80" t="str">
        <f t="array" ref="D478">IF(A478="","",IF(ISLOGICAL(INDEX('Deck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78" s="80" t="str">
        <f t="shared" si="2"/>
        <v/>
      </c>
      <c r="F478" s="80" t="str">
        <f t="array" ref="F478">IF(A478="","",IF(ISNUMBER(J478),J478,IF(ISNUMBER(INDEX('Deck 1'!$A:$Z,ROW()-250,'List Setup'!$F$3)),INDEX('Deck 1'!$A:$Z,ROW()-250,'List Setup'!$F$3),0)))</f>
        <v/>
      </c>
      <c r="G478" s="80" t="str">
        <f t="array" ref="G478">IF(A478="","",A478&amp;IF(N(INDEX('Deck 1'!$A:$Z,ROW()-250,'List Setup'!$C$3))&gt;1," (x"&amp;INDEX('Deck 1'!$A:$Z,ROW()-250,'List Setup'!$C$3)&amp;")","")&amp;IF(COUNTIF(Binders!$J$6:$J$30,TRUE())&gt;1," ["&amp;Q478&amp;"]",""))</f>
        <v/>
      </c>
      <c r="H478" s="80" t="str">
        <f t="array" ref="H478">IF(A478="","",CHAR(10)&amp;INDEX('Deck 1'!$A:$Z,ROW()-250,'List Setup'!$E$3)&amp;CHAR(10))</f>
        <v/>
      </c>
      <c r="I478" s="80" t="str">
        <f t="array" ref="I478">IF(OR(B478="",B478="(none)"),"",IF(ISNUMBER(SEARCH(CHAR(10)&amp;B478&amp;CHAR(10),H478)),B478,IFERROR(INDEX('Set Aliases'!$A$2:$A$501,MATCH(1,('Set Aliases'!$B$2:$B$501=B478)*ISNUMBER(SEARCH(CHAR(10)&amp;'Set Aliases'!$A$2:$A$501&amp;CHAR(10),H478)),0)),"")))</f>
        <v/>
      </c>
      <c r="J478" s="80" t="str">
        <f t="array" ref="J478">IF(I478="","",IFERROR(VALUE(TRIM(MID(SUBSTITUTE(INDEX('Deck 1'!$A:$Z,ROW()-250,'List Setup'!$G$3),CHAR(10),REPT(" ",100)),((SEARCH(CHAR(10)&amp;I478&amp;CHAR(10),H478)-LEN(SUBSTITUTE(LEFT(H478,SEARCH(CHAR(10)&amp;I478&amp;CHAR(10),H478)),CHAR(10),"")))-1)*100+1,100))),""))</f>
        <v/>
      </c>
      <c r="K478" s="80" t="str">
        <f t="array" ref="K478">IF(A478="","",IF(ISNUMBER(SEARCH("Land",LEFT(IFERROR(INDEX('Deck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78" s="80" t="str">
        <f t="shared" si="3"/>
        <v/>
      </c>
      <c r="M478" s="80" t="str">
        <f>IF(A478="","",IF(AND(E478="Y",B478='Use at Shop'!$B$4),K478*10000000000+(MAX(0,MIN(26,CODE(MID(UPPER(A478)&amp;"    ",1,1))-64))*19683+MAX(0,MIN(26,CODE(MID(UPPER(A478)&amp;"    ",2,1))-64))*729+MAX(0,MIN(26,CODE(MID(UPPER(A478)&amp;"    ",3,1))-64))*27+MAX(0,MIN(26,CODE(MID(UPPER(A478)&amp;"    ",4,1))-64))*1)*10000+ROW(),""))</f>
        <v/>
      </c>
      <c r="N478" s="80" t="str">
        <f t="shared" si="5"/>
        <v/>
      </c>
      <c r="O478" s="80" t="str">
        <f t="array" ref="O478">IF(A478="","",IFERROR(INDEX('Deck 1'!$A:$Z,ROW()-250,'List Setup'!$J$3)&amp;"",""))</f>
        <v/>
      </c>
      <c r="P478" s="2"/>
      <c r="Q478" s="80" t="str">
        <f>IF(A478="","",'List Setup'!$A$3)</f>
        <v/>
      </c>
      <c r="R478" s="80" t="str">
        <f t="array" ref="R478">IF(A478="","",IFERROR(OR(INDEX(Binders!$J$6:$J$30,MATCH(Q478,Binders!$I$6:$I$30,0))=TRUE(),UPPER(INDEX(Binders!$J$6:$J$30,MATCH(Q478,Binders!$I$6:$I$30,0))&amp;"")="TRUE"),FALSE()))</f>
        <v/>
      </c>
    </row>
    <row r="479" ht="15.75" customHeight="1">
      <c r="A479" s="80" t="str">
        <f t="array" ref="A479">IF(INDEX('Deck 1'!$A:$Z,ROW()-250,'List Setup'!$D$3)="","",INDEX('Deck 1'!$A:$Z,ROW()-250,'List Setup'!$D$3))</f>
        <v/>
      </c>
      <c r="B479" s="80" t="str">
        <f t="array" ref="B479">IF(A479="","",IFERROR(INDEX('Binder Setup'!$B$2:$B$401,MIN(IF(ISNUMBER(SEARCH(CHAR(10)&amp;'Binder Setup'!$B$2:$B$401&amp;CHAR(10),$H479)),'List Setup'!$Q$2:$Q$401,999),IF(ISNUMBER(SEARCH(CHAR(10)&amp;'Set Aliases'!$A$2:$A$501&amp;CHAR(10),$H479)),'Set Aliases'!$C$2:$C$501,999))),"(none)"))</f>
        <v/>
      </c>
      <c r="C479" s="80" t="str">
        <f t="shared" si="1"/>
        <v/>
      </c>
      <c r="D479" s="80" t="str">
        <f t="array" ref="D479">IF(A479="","",IF(ISLOGICAL(INDEX('Deck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79" s="80" t="str">
        <f t="shared" si="2"/>
        <v/>
      </c>
      <c r="F479" s="80" t="str">
        <f t="array" ref="F479">IF(A479="","",IF(ISNUMBER(J479),J479,IF(ISNUMBER(INDEX('Deck 1'!$A:$Z,ROW()-250,'List Setup'!$F$3)),INDEX('Deck 1'!$A:$Z,ROW()-250,'List Setup'!$F$3),0)))</f>
        <v/>
      </c>
      <c r="G479" s="80" t="str">
        <f t="array" ref="G479">IF(A479="","",A479&amp;IF(N(INDEX('Deck 1'!$A:$Z,ROW()-250,'List Setup'!$C$3))&gt;1," (x"&amp;INDEX('Deck 1'!$A:$Z,ROW()-250,'List Setup'!$C$3)&amp;")","")&amp;IF(COUNTIF(Binders!$J$6:$J$30,TRUE())&gt;1," ["&amp;Q479&amp;"]",""))</f>
        <v/>
      </c>
      <c r="H479" s="80" t="str">
        <f t="array" ref="H479">IF(A479="","",CHAR(10)&amp;INDEX('Deck 1'!$A:$Z,ROW()-250,'List Setup'!$E$3)&amp;CHAR(10))</f>
        <v/>
      </c>
      <c r="I479" s="80" t="str">
        <f t="array" ref="I479">IF(OR(B479="",B479="(none)"),"",IF(ISNUMBER(SEARCH(CHAR(10)&amp;B479&amp;CHAR(10),H479)),B479,IFERROR(INDEX('Set Aliases'!$A$2:$A$501,MATCH(1,('Set Aliases'!$B$2:$B$501=B479)*ISNUMBER(SEARCH(CHAR(10)&amp;'Set Aliases'!$A$2:$A$501&amp;CHAR(10),H479)),0)),"")))</f>
        <v/>
      </c>
      <c r="J479" s="80" t="str">
        <f t="array" ref="J479">IF(I479="","",IFERROR(VALUE(TRIM(MID(SUBSTITUTE(INDEX('Deck 1'!$A:$Z,ROW()-250,'List Setup'!$G$3),CHAR(10),REPT(" ",100)),((SEARCH(CHAR(10)&amp;I479&amp;CHAR(10),H479)-LEN(SUBSTITUTE(LEFT(H479,SEARCH(CHAR(10)&amp;I479&amp;CHAR(10),H479)),CHAR(10),"")))-1)*100+1,100))),""))</f>
        <v/>
      </c>
      <c r="K479" s="80" t="str">
        <f t="array" ref="K479">IF(A479="","",IF(ISNUMBER(SEARCH("Land",LEFT(IFERROR(INDEX('Deck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79" s="80" t="str">
        <f t="shared" si="3"/>
        <v/>
      </c>
      <c r="M479" s="80" t="str">
        <f>IF(A479="","",IF(AND(E479="Y",B479='Use at Shop'!$B$4),K479*10000000000+(MAX(0,MIN(26,CODE(MID(UPPER(A479)&amp;"    ",1,1))-64))*19683+MAX(0,MIN(26,CODE(MID(UPPER(A479)&amp;"    ",2,1))-64))*729+MAX(0,MIN(26,CODE(MID(UPPER(A479)&amp;"    ",3,1))-64))*27+MAX(0,MIN(26,CODE(MID(UPPER(A479)&amp;"    ",4,1))-64))*1)*10000+ROW(),""))</f>
        <v/>
      </c>
      <c r="N479" s="80" t="str">
        <f t="shared" si="5"/>
        <v/>
      </c>
      <c r="O479" s="80" t="str">
        <f t="array" ref="O479">IF(A479="","",IFERROR(INDEX('Deck 1'!$A:$Z,ROW()-250,'List Setup'!$J$3)&amp;"",""))</f>
        <v/>
      </c>
      <c r="P479" s="2"/>
      <c r="Q479" s="80" t="str">
        <f>IF(A479="","",'List Setup'!$A$3)</f>
        <v/>
      </c>
      <c r="R479" s="80" t="str">
        <f t="array" ref="R479">IF(A479="","",IFERROR(OR(INDEX(Binders!$J$6:$J$30,MATCH(Q479,Binders!$I$6:$I$30,0))=TRUE(),UPPER(INDEX(Binders!$J$6:$J$30,MATCH(Q479,Binders!$I$6:$I$30,0))&amp;"")="TRUE"),FALSE()))</f>
        <v/>
      </c>
    </row>
    <row r="480" ht="15.75" customHeight="1">
      <c r="A480" s="80" t="str">
        <f t="array" ref="A480">IF(INDEX('Deck 1'!$A:$Z,ROW()-250,'List Setup'!$D$3)="","",INDEX('Deck 1'!$A:$Z,ROW()-250,'List Setup'!$D$3))</f>
        <v/>
      </c>
      <c r="B480" s="80" t="str">
        <f t="array" ref="B480">IF(A480="","",IFERROR(INDEX('Binder Setup'!$B$2:$B$401,MIN(IF(ISNUMBER(SEARCH(CHAR(10)&amp;'Binder Setup'!$B$2:$B$401&amp;CHAR(10),$H480)),'List Setup'!$Q$2:$Q$401,999),IF(ISNUMBER(SEARCH(CHAR(10)&amp;'Set Aliases'!$A$2:$A$501&amp;CHAR(10),$H480)),'Set Aliases'!$C$2:$C$501,999))),"(none)"))</f>
        <v/>
      </c>
      <c r="C480" s="80" t="str">
        <f t="shared" si="1"/>
        <v/>
      </c>
      <c r="D480" s="80" t="str">
        <f t="array" ref="D480">IF(A480="","",IF(ISLOGICAL(INDEX('Deck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80" s="80" t="str">
        <f t="shared" si="2"/>
        <v/>
      </c>
      <c r="F480" s="80" t="str">
        <f t="array" ref="F480">IF(A480="","",IF(ISNUMBER(J480),J480,IF(ISNUMBER(INDEX('Deck 1'!$A:$Z,ROW()-250,'List Setup'!$F$3)),INDEX('Deck 1'!$A:$Z,ROW()-250,'List Setup'!$F$3),0)))</f>
        <v/>
      </c>
      <c r="G480" s="80" t="str">
        <f t="array" ref="G480">IF(A480="","",A480&amp;IF(N(INDEX('Deck 1'!$A:$Z,ROW()-250,'List Setup'!$C$3))&gt;1," (x"&amp;INDEX('Deck 1'!$A:$Z,ROW()-250,'List Setup'!$C$3)&amp;")","")&amp;IF(COUNTIF(Binders!$J$6:$J$30,TRUE())&gt;1," ["&amp;Q480&amp;"]",""))</f>
        <v/>
      </c>
      <c r="H480" s="80" t="str">
        <f t="array" ref="H480">IF(A480="","",CHAR(10)&amp;INDEX('Deck 1'!$A:$Z,ROW()-250,'List Setup'!$E$3)&amp;CHAR(10))</f>
        <v/>
      </c>
      <c r="I480" s="80" t="str">
        <f t="array" ref="I480">IF(OR(B480="",B480="(none)"),"",IF(ISNUMBER(SEARCH(CHAR(10)&amp;B480&amp;CHAR(10),H480)),B480,IFERROR(INDEX('Set Aliases'!$A$2:$A$501,MATCH(1,('Set Aliases'!$B$2:$B$501=B480)*ISNUMBER(SEARCH(CHAR(10)&amp;'Set Aliases'!$A$2:$A$501&amp;CHAR(10),H480)),0)),"")))</f>
        <v/>
      </c>
      <c r="J480" s="80" t="str">
        <f t="array" ref="J480">IF(I480="","",IFERROR(VALUE(TRIM(MID(SUBSTITUTE(INDEX('Deck 1'!$A:$Z,ROW()-250,'List Setup'!$G$3),CHAR(10),REPT(" ",100)),((SEARCH(CHAR(10)&amp;I480&amp;CHAR(10),H480)-LEN(SUBSTITUTE(LEFT(H480,SEARCH(CHAR(10)&amp;I480&amp;CHAR(10),H480)),CHAR(10),"")))-1)*100+1,100))),""))</f>
        <v/>
      </c>
      <c r="K480" s="80" t="str">
        <f t="array" ref="K480">IF(A480="","",IF(ISNUMBER(SEARCH("Land",LEFT(IFERROR(INDEX('Deck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80" s="80" t="str">
        <f t="shared" si="3"/>
        <v/>
      </c>
      <c r="M480" s="80" t="str">
        <f>IF(A480="","",IF(AND(E480="Y",B480='Use at Shop'!$B$4),K480*10000000000+(MAX(0,MIN(26,CODE(MID(UPPER(A480)&amp;"    ",1,1))-64))*19683+MAX(0,MIN(26,CODE(MID(UPPER(A480)&amp;"    ",2,1))-64))*729+MAX(0,MIN(26,CODE(MID(UPPER(A480)&amp;"    ",3,1))-64))*27+MAX(0,MIN(26,CODE(MID(UPPER(A480)&amp;"    ",4,1))-64))*1)*10000+ROW(),""))</f>
        <v/>
      </c>
      <c r="N480" s="80" t="str">
        <f t="shared" si="5"/>
        <v/>
      </c>
      <c r="O480" s="80" t="str">
        <f t="array" ref="O480">IF(A480="","",IFERROR(INDEX('Deck 1'!$A:$Z,ROW()-250,'List Setup'!$J$3)&amp;"",""))</f>
        <v/>
      </c>
      <c r="P480" s="2"/>
      <c r="Q480" s="80" t="str">
        <f>IF(A480="","",'List Setup'!$A$3)</f>
        <v/>
      </c>
      <c r="R480" s="80" t="str">
        <f t="array" ref="R480">IF(A480="","",IFERROR(OR(INDEX(Binders!$J$6:$J$30,MATCH(Q480,Binders!$I$6:$I$30,0))=TRUE(),UPPER(INDEX(Binders!$J$6:$J$30,MATCH(Q480,Binders!$I$6:$I$30,0))&amp;"")="TRUE"),FALSE()))</f>
        <v/>
      </c>
    </row>
    <row r="481" ht="15.75" customHeight="1">
      <c r="A481" s="80" t="str">
        <f t="array" ref="A481">IF(INDEX('Deck 1'!$A:$Z,ROW()-250,'List Setup'!$D$3)="","",INDEX('Deck 1'!$A:$Z,ROW()-250,'List Setup'!$D$3))</f>
        <v/>
      </c>
      <c r="B481" s="80" t="str">
        <f t="array" ref="B481">IF(A481="","",IFERROR(INDEX('Binder Setup'!$B$2:$B$401,MIN(IF(ISNUMBER(SEARCH(CHAR(10)&amp;'Binder Setup'!$B$2:$B$401&amp;CHAR(10),$H481)),'List Setup'!$Q$2:$Q$401,999),IF(ISNUMBER(SEARCH(CHAR(10)&amp;'Set Aliases'!$A$2:$A$501&amp;CHAR(10),$H481)),'Set Aliases'!$C$2:$C$501,999))),"(none)"))</f>
        <v/>
      </c>
      <c r="C481" s="80" t="str">
        <f t="shared" si="1"/>
        <v/>
      </c>
      <c r="D481" s="80" t="str">
        <f t="array" ref="D481">IF(A481="","",IF(ISLOGICAL(INDEX('Deck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81" s="80" t="str">
        <f t="shared" si="2"/>
        <v/>
      </c>
      <c r="F481" s="80" t="str">
        <f t="array" ref="F481">IF(A481="","",IF(ISNUMBER(J481),J481,IF(ISNUMBER(INDEX('Deck 1'!$A:$Z,ROW()-250,'List Setup'!$F$3)),INDEX('Deck 1'!$A:$Z,ROW()-250,'List Setup'!$F$3),0)))</f>
        <v/>
      </c>
      <c r="G481" s="80" t="str">
        <f t="array" ref="G481">IF(A481="","",A481&amp;IF(N(INDEX('Deck 1'!$A:$Z,ROW()-250,'List Setup'!$C$3))&gt;1," (x"&amp;INDEX('Deck 1'!$A:$Z,ROW()-250,'List Setup'!$C$3)&amp;")","")&amp;IF(COUNTIF(Binders!$J$6:$J$30,TRUE())&gt;1," ["&amp;Q481&amp;"]",""))</f>
        <v/>
      </c>
      <c r="H481" s="80" t="str">
        <f t="array" ref="H481">IF(A481="","",CHAR(10)&amp;INDEX('Deck 1'!$A:$Z,ROW()-250,'List Setup'!$E$3)&amp;CHAR(10))</f>
        <v/>
      </c>
      <c r="I481" s="80" t="str">
        <f t="array" ref="I481">IF(OR(B481="",B481="(none)"),"",IF(ISNUMBER(SEARCH(CHAR(10)&amp;B481&amp;CHAR(10),H481)),B481,IFERROR(INDEX('Set Aliases'!$A$2:$A$501,MATCH(1,('Set Aliases'!$B$2:$B$501=B481)*ISNUMBER(SEARCH(CHAR(10)&amp;'Set Aliases'!$A$2:$A$501&amp;CHAR(10),H481)),0)),"")))</f>
        <v/>
      </c>
      <c r="J481" s="80" t="str">
        <f t="array" ref="J481">IF(I481="","",IFERROR(VALUE(TRIM(MID(SUBSTITUTE(INDEX('Deck 1'!$A:$Z,ROW()-250,'List Setup'!$G$3),CHAR(10),REPT(" ",100)),((SEARCH(CHAR(10)&amp;I481&amp;CHAR(10),H481)-LEN(SUBSTITUTE(LEFT(H481,SEARCH(CHAR(10)&amp;I481&amp;CHAR(10),H481)),CHAR(10),"")))-1)*100+1,100))),""))</f>
        <v/>
      </c>
      <c r="K481" s="80" t="str">
        <f t="array" ref="K481">IF(A481="","",IF(ISNUMBER(SEARCH("Land",LEFT(IFERROR(INDEX('Deck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81" s="80" t="str">
        <f t="shared" si="3"/>
        <v/>
      </c>
      <c r="M481" s="80" t="str">
        <f>IF(A481="","",IF(AND(E481="Y",B481='Use at Shop'!$B$4),K481*10000000000+(MAX(0,MIN(26,CODE(MID(UPPER(A481)&amp;"    ",1,1))-64))*19683+MAX(0,MIN(26,CODE(MID(UPPER(A481)&amp;"    ",2,1))-64))*729+MAX(0,MIN(26,CODE(MID(UPPER(A481)&amp;"    ",3,1))-64))*27+MAX(0,MIN(26,CODE(MID(UPPER(A481)&amp;"    ",4,1))-64))*1)*10000+ROW(),""))</f>
        <v/>
      </c>
      <c r="N481" s="80" t="str">
        <f t="shared" si="5"/>
        <v/>
      </c>
      <c r="O481" s="80" t="str">
        <f t="array" ref="O481">IF(A481="","",IFERROR(INDEX('Deck 1'!$A:$Z,ROW()-250,'List Setup'!$J$3)&amp;"",""))</f>
        <v/>
      </c>
      <c r="P481" s="2"/>
      <c r="Q481" s="80" t="str">
        <f>IF(A481="","",'List Setup'!$A$3)</f>
        <v/>
      </c>
      <c r="R481" s="80" t="str">
        <f t="array" ref="R481">IF(A481="","",IFERROR(OR(INDEX(Binders!$J$6:$J$30,MATCH(Q481,Binders!$I$6:$I$30,0))=TRUE(),UPPER(INDEX(Binders!$J$6:$J$30,MATCH(Q481,Binders!$I$6:$I$30,0))&amp;"")="TRUE"),FALSE()))</f>
        <v/>
      </c>
    </row>
    <row r="482" ht="15.75" customHeight="1">
      <c r="A482" s="80" t="str">
        <f t="array" ref="A482">IF(INDEX('Deck 1'!$A:$Z,ROW()-250,'List Setup'!$D$3)="","",INDEX('Deck 1'!$A:$Z,ROW()-250,'List Setup'!$D$3))</f>
        <v/>
      </c>
      <c r="B482" s="80" t="str">
        <f t="array" ref="B482">IF(A482="","",IFERROR(INDEX('Binder Setup'!$B$2:$B$401,MIN(IF(ISNUMBER(SEARCH(CHAR(10)&amp;'Binder Setup'!$B$2:$B$401&amp;CHAR(10),$H482)),'List Setup'!$Q$2:$Q$401,999),IF(ISNUMBER(SEARCH(CHAR(10)&amp;'Set Aliases'!$A$2:$A$501&amp;CHAR(10),$H482)),'Set Aliases'!$C$2:$C$501,999))),"(none)"))</f>
        <v/>
      </c>
      <c r="C482" s="80" t="str">
        <f t="shared" si="1"/>
        <v/>
      </c>
      <c r="D482" s="80" t="str">
        <f t="array" ref="D482">IF(A482="","",IF(ISLOGICAL(INDEX('Deck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82" s="80" t="str">
        <f t="shared" si="2"/>
        <v/>
      </c>
      <c r="F482" s="80" t="str">
        <f t="array" ref="F482">IF(A482="","",IF(ISNUMBER(J482),J482,IF(ISNUMBER(INDEX('Deck 1'!$A:$Z,ROW()-250,'List Setup'!$F$3)),INDEX('Deck 1'!$A:$Z,ROW()-250,'List Setup'!$F$3),0)))</f>
        <v/>
      </c>
      <c r="G482" s="80" t="str">
        <f t="array" ref="G482">IF(A482="","",A482&amp;IF(N(INDEX('Deck 1'!$A:$Z,ROW()-250,'List Setup'!$C$3))&gt;1," (x"&amp;INDEX('Deck 1'!$A:$Z,ROW()-250,'List Setup'!$C$3)&amp;")","")&amp;IF(COUNTIF(Binders!$J$6:$J$30,TRUE())&gt;1," ["&amp;Q482&amp;"]",""))</f>
        <v/>
      </c>
      <c r="H482" s="80" t="str">
        <f t="array" ref="H482">IF(A482="","",CHAR(10)&amp;INDEX('Deck 1'!$A:$Z,ROW()-250,'List Setup'!$E$3)&amp;CHAR(10))</f>
        <v/>
      </c>
      <c r="I482" s="80" t="str">
        <f t="array" ref="I482">IF(OR(B482="",B482="(none)"),"",IF(ISNUMBER(SEARCH(CHAR(10)&amp;B482&amp;CHAR(10),H482)),B482,IFERROR(INDEX('Set Aliases'!$A$2:$A$501,MATCH(1,('Set Aliases'!$B$2:$B$501=B482)*ISNUMBER(SEARCH(CHAR(10)&amp;'Set Aliases'!$A$2:$A$501&amp;CHAR(10),H482)),0)),"")))</f>
        <v/>
      </c>
      <c r="J482" s="80" t="str">
        <f t="array" ref="J482">IF(I482="","",IFERROR(VALUE(TRIM(MID(SUBSTITUTE(INDEX('Deck 1'!$A:$Z,ROW()-250,'List Setup'!$G$3),CHAR(10),REPT(" ",100)),((SEARCH(CHAR(10)&amp;I482&amp;CHAR(10),H482)-LEN(SUBSTITUTE(LEFT(H482,SEARCH(CHAR(10)&amp;I482&amp;CHAR(10),H482)),CHAR(10),"")))-1)*100+1,100))),""))</f>
        <v/>
      </c>
      <c r="K482" s="80" t="str">
        <f t="array" ref="K482">IF(A482="","",IF(ISNUMBER(SEARCH("Land",LEFT(IFERROR(INDEX('Deck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82" s="80" t="str">
        <f t="shared" si="3"/>
        <v/>
      </c>
      <c r="M482" s="80" t="str">
        <f>IF(A482="","",IF(AND(E482="Y",B482='Use at Shop'!$B$4),K482*10000000000+(MAX(0,MIN(26,CODE(MID(UPPER(A482)&amp;"    ",1,1))-64))*19683+MAX(0,MIN(26,CODE(MID(UPPER(A482)&amp;"    ",2,1))-64))*729+MAX(0,MIN(26,CODE(MID(UPPER(A482)&amp;"    ",3,1))-64))*27+MAX(0,MIN(26,CODE(MID(UPPER(A482)&amp;"    ",4,1))-64))*1)*10000+ROW(),""))</f>
        <v/>
      </c>
      <c r="N482" s="80" t="str">
        <f t="shared" si="5"/>
        <v/>
      </c>
      <c r="O482" s="80" t="str">
        <f t="array" ref="O482">IF(A482="","",IFERROR(INDEX('Deck 1'!$A:$Z,ROW()-250,'List Setup'!$J$3)&amp;"",""))</f>
        <v/>
      </c>
      <c r="P482" s="2"/>
      <c r="Q482" s="80" t="str">
        <f>IF(A482="","",'List Setup'!$A$3)</f>
        <v/>
      </c>
      <c r="R482" s="80" t="str">
        <f t="array" ref="R482">IF(A482="","",IFERROR(OR(INDEX(Binders!$J$6:$J$30,MATCH(Q482,Binders!$I$6:$I$30,0))=TRUE(),UPPER(INDEX(Binders!$J$6:$J$30,MATCH(Q482,Binders!$I$6:$I$30,0))&amp;"")="TRUE"),FALSE()))</f>
        <v/>
      </c>
    </row>
    <row r="483" ht="15.75" customHeight="1">
      <c r="A483" s="80" t="str">
        <f t="array" ref="A483">IF(INDEX('Deck 1'!$A:$Z,ROW()-250,'List Setup'!$D$3)="","",INDEX('Deck 1'!$A:$Z,ROW()-250,'List Setup'!$D$3))</f>
        <v/>
      </c>
      <c r="B483" s="80" t="str">
        <f t="array" ref="B483">IF(A483="","",IFERROR(INDEX('Binder Setup'!$B$2:$B$401,MIN(IF(ISNUMBER(SEARCH(CHAR(10)&amp;'Binder Setup'!$B$2:$B$401&amp;CHAR(10),$H483)),'List Setup'!$Q$2:$Q$401,999),IF(ISNUMBER(SEARCH(CHAR(10)&amp;'Set Aliases'!$A$2:$A$501&amp;CHAR(10),$H483)),'Set Aliases'!$C$2:$C$501,999))),"(none)"))</f>
        <v/>
      </c>
      <c r="C483" s="80" t="str">
        <f t="shared" si="1"/>
        <v/>
      </c>
      <c r="D483" s="80" t="str">
        <f t="array" ref="D483">IF(A483="","",IF(ISLOGICAL(INDEX('Deck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83" s="80" t="str">
        <f t="shared" si="2"/>
        <v/>
      </c>
      <c r="F483" s="80" t="str">
        <f t="array" ref="F483">IF(A483="","",IF(ISNUMBER(J483),J483,IF(ISNUMBER(INDEX('Deck 1'!$A:$Z,ROW()-250,'List Setup'!$F$3)),INDEX('Deck 1'!$A:$Z,ROW()-250,'List Setup'!$F$3),0)))</f>
        <v/>
      </c>
      <c r="G483" s="80" t="str">
        <f t="array" ref="G483">IF(A483="","",A483&amp;IF(N(INDEX('Deck 1'!$A:$Z,ROW()-250,'List Setup'!$C$3))&gt;1," (x"&amp;INDEX('Deck 1'!$A:$Z,ROW()-250,'List Setup'!$C$3)&amp;")","")&amp;IF(COUNTIF(Binders!$J$6:$J$30,TRUE())&gt;1," ["&amp;Q483&amp;"]",""))</f>
        <v/>
      </c>
      <c r="H483" s="80" t="str">
        <f t="array" ref="H483">IF(A483="","",CHAR(10)&amp;INDEX('Deck 1'!$A:$Z,ROW()-250,'List Setup'!$E$3)&amp;CHAR(10))</f>
        <v/>
      </c>
      <c r="I483" s="80" t="str">
        <f t="array" ref="I483">IF(OR(B483="",B483="(none)"),"",IF(ISNUMBER(SEARCH(CHAR(10)&amp;B483&amp;CHAR(10),H483)),B483,IFERROR(INDEX('Set Aliases'!$A$2:$A$501,MATCH(1,('Set Aliases'!$B$2:$B$501=B483)*ISNUMBER(SEARCH(CHAR(10)&amp;'Set Aliases'!$A$2:$A$501&amp;CHAR(10),H483)),0)),"")))</f>
        <v/>
      </c>
      <c r="J483" s="80" t="str">
        <f t="array" ref="J483">IF(I483="","",IFERROR(VALUE(TRIM(MID(SUBSTITUTE(INDEX('Deck 1'!$A:$Z,ROW()-250,'List Setup'!$G$3),CHAR(10),REPT(" ",100)),((SEARCH(CHAR(10)&amp;I483&amp;CHAR(10),H483)-LEN(SUBSTITUTE(LEFT(H483,SEARCH(CHAR(10)&amp;I483&amp;CHAR(10),H483)),CHAR(10),"")))-1)*100+1,100))),""))</f>
        <v/>
      </c>
      <c r="K483" s="80" t="str">
        <f t="array" ref="K483">IF(A483="","",IF(ISNUMBER(SEARCH("Land",LEFT(IFERROR(INDEX('Deck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83" s="80" t="str">
        <f t="shared" si="3"/>
        <v/>
      </c>
      <c r="M483" s="80" t="str">
        <f>IF(A483="","",IF(AND(E483="Y",B483='Use at Shop'!$B$4),K483*10000000000+(MAX(0,MIN(26,CODE(MID(UPPER(A483)&amp;"    ",1,1))-64))*19683+MAX(0,MIN(26,CODE(MID(UPPER(A483)&amp;"    ",2,1))-64))*729+MAX(0,MIN(26,CODE(MID(UPPER(A483)&amp;"    ",3,1))-64))*27+MAX(0,MIN(26,CODE(MID(UPPER(A483)&amp;"    ",4,1))-64))*1)*10000+ROW(),""))</f>
        <v/>
      </c>
      <c r="N483" s="80" t="str">
        <f t="shared" si="5"/>
        <v/>
      </c>
      <c r="O483" s="80" t="str">
        <f t="array" ref="O483">IF(A483="","",IFERROR(INDEX('Deck 1'!$A:$Z,ROW()-250,'List Setup'!$J$3)&amp;"",""))</f>
        <v/>
      </c>
      <c r="P483" s="2"/>
      <c r="Q483" s="80" t="str">
        <f>IF(A483="","",'List Setup'!$A$3)</f>
        <v/>
      </c>
      <c r="R483" s="80" t="str">
        <f t="array" ref="R483">IF(A483="","",IFERROR(OR(INDEX(Binders!$J$6:$J$30,MATCH(Q483,Binders!$I$6:$I$30,0))=TRUE(),UPPER(INDEX(Binders!$J$6:$J$30,MATCH(Q483,Binders!$I$6:$I$30,0))&amp;"")="TRUE"),FALSE()))</f>
        <v/>
      </c>
    </row>
    <row r="484" ht="15.75" customHeight="1">
      <c r="A484" s="80" t="str">
        <f t="array" ref="A484">IF(INDEX('Deck 1'!$A:$Z,ROW()-250,'List Setup'!$D$3)="","",INDEX('Deck 1'!$A:$Z,ROW()-250,'List Setup'!$D$3))</f>
        <v/>
      </c>
      <c r="B484" s="80" t="str">
        <f t="array" ref="B484">IF(A484="","",IFERROR(INDEX('Binder Setup'!$B$2:$B$401,MIN(IF(ISNUMBER(SEARCH(CHAR(10)&amp;'Binder Setup'!$B$2:$B$401&amp;CHAR(10),$H484)),'List Setup'!$Q$2:$Q$401,999),IF(ISNUMBER(SEARCH(CHAR(10)&amp;'Set Aliases'!$A$2:$A$501&amp;CHAR(10),$H484)),'Set Aliases'!$C$2:$C$501,999))),"(none)"))</f>
        <v/>
      </c>
      <c r="C484" s="80" t="str">
        <f t="shared" si="1"/>
        <v/>
      </c>
      <c r="D484" s="80" t="str">
        <f t="array" ref="D484">IF(A484="","",IF(ISLOGICAL(INDEX('Deck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84" s="80" t="str">
        <f t="shared" si="2"/>
        <v/>
      </c>
      <c r="F484" s="80" t="str">
        <f t="array" ref="F484">IF(A484="","",IF(ISNUMBER(J484),J484,IF(ISNUMBER(INDEX('Deck 1'!$A:$Z,ROW()-250,'List Setup'!$F$3)),INDEX('Deck 1'!$A:$Z,ROW()-250,'List Setup'!$F$3),0)))</f>
        <v/>
      </c>
      <c r="G484" s="80" t="str">
        <f t="array" ref="G484">IF(A484="","",A484&amp;IF(N(INDEX('Deck 1'!$A:$Z,ROW()-250,'List Setup'!$C$3))&gt;1," (x"&amp;INDEX('Deck 1'!$A:$Z,ROW()-250,'List Setup'!$C$3)&amp;")","")&amp;IF(COUNTIF(Binders!$J$6:$J$30,TRUE())&gt;1," ["&amp;Q484&amp;"]",""))</f>
        <v/>
      </c>
      <c r="H484" s="80" t="str">
        <f t="array" ref="H484">IF(A484="","",CHAR(10)&amp;INDEX('Deck 1'!$A:$Z,ROW()-250,'List Setup'!$E$3)&amp;CHAR(10))</f>
        <v/>
      </c>
      <c r="I484" s="80" t="str">
        <f t="array" ref="I484">IF(OR(B484="",B484="(none)"),"",IF(ISNUMBER(SEARCH(CHAR(10)&amp;B484&amp;CHAR(10),H484)),B484,IFERROR(INDEX('Set Aliases'!$A$2:$A$501,MATCH(1,('Set Aliases'!$B$2:$B$501=B484)*ISNUMBER(SEARCH(CHAR(10)&amp;'Set Aliases'!$A$2:$A$501&amp;CHAR(10),H484)),0)),"")))</f>
        <v/>
      </c>
      <c r="J484" s="80" t="str">
        <f t="array" ref="J484">IF(I484="","",IFERROR(VALUE(TRIM(MID(SUBSTITUTE(INDEX('Deck 1'!$A:$Z,ROW()-250,'List Setup'!$G$3),CHAR(10),REPT(" ",100)),((SEARCH(CHAR(10)&amp;I484&amp;CHAR(10),H484)-LEN(SUBSTITUTE(LEFT(H484,SEARCH(CHAR(10)&amp;I484&amp;CHAR(10),H484)),CHAR(10),"")))-1)*100+1,100))),""))</f>
        <v/>
      </c>
      <c r="K484" s="80" t="str">
        <f t="array" ref="K484">IF(A484="","",IF(ISNUMBER(SEARCH("Land",LEFT(IFERROR(INDEX('Deck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84" s="80" t="str">
        <f t="shared" si="3"/>
        <v/>
      </c>
      <c r="M484" s="80" t="str">
        <f>IF(A484="","",IF(AND(E484="Y",B484='Use at Shop'!$B$4),K484*10000000000+(MAX(0,MIN(26,CODE(MID(UPPER(A484)&amp;"    ",1,1))-64))*19683+MAX(0,MIN(26,CODE(MID(UPPER(A484)&amp;"    ",2,1))-64))*729+MAX(0,MIN(26,CODE(MID(UPPER(A484)&amp;"    ",3,1))-64))*27+MAX(0,MIN(26,CODE(MID(UPPER(A484)&amp;"    ",4,1))-64))*1)*10000+ROW(),""))</f>
        <v/>
      </c>
      <c r="N484" s="80" t="str">
        <f t="shared" si="5"/>
        <v/>
      </c>
      <c r="O484" s="80" t="str">
        <f t="array" ref="O484">IF(A484="","",IFERROR(INDEX('Deck 1'!$A:$Z,ROW()-250,'List Setup'!$J$3)&amp;"",""))</f>
        <v/>
      </c>
      <c r="P484" s="2"/>
      <c r="Q484" s="80" t="str">
        <f>IF(A484="","",'List Setup'!$A$3)</f>
        <v/>
      </c>
      <c r="R484" s="80" t="str">
        <f t="array" ref="R484">IF(A484="","",IFERROR(OR(INDEX(Binders!$J$6:$J$30,MATCH(Q484,Binders!$I$6:$I$30,0))=TRUE(),UPPER(INDEX(Binders!$J$6:$J$30,MATCH(Q484,Binders!$I$6:$I$30,0))&amp;"")="TRUE"),FALSE()))</f>
        <v/>
      </c>
    </row>
    <row r="485" ht="15.75" customHeight="1">
      <c r="A485" s="80" t="str">
        <f t="array" ref="A485">IF(INDEX('Deck 1'!$A:$Z,ROW()-250,'List Setup'!$D$3)="","",INDEX('Deck 1'!$A:$Z,ROW()-250,'List Setup'!$D$3))</f>
        <v/>
      </c>
      <c r="B485" s="80" t="str">
        <f t="array" ref="B485">IF(A485="","",IFERROR(INDEX('Binder Setup'!$B$2:$B$401,MIN(IF(ISNUMBER(SEARCH(CHAR(10)&amp;'Binder Setup'!$B$2:$B$401&amp;CHAR(10),$H485)),'List Setup'!$Q$2:$Q$401,999),IF(ISNUMBER(SEARCH(CHAR(10)&amp;'Set Aliases'!$A$2:$A$501&amp;CHAR(10),$H485)),'Set Aliases'!$C$2:$C$501,999))),"(none)"))</f>
        <v/>
      </c>
      <c r="C485" s="80" t="str">
        <f t="shared" si="1"/>
        <v/>
      </c>
      <c r="D485" s="80" t="str">
        <f t="array" ref="D485">IF(A485="","",IF(ISLOGICAL(INDEX('Deck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85" s="80" t="str">
        <f t="shared" si="2"/>
        <v/>
      </c>
      <c r="F485" s="80" t="str">
        <f t="array" ref="F485">IF(A485="","",IF(ISNUMBER(J485),J485,IF(ISNUMBER(INDEX('Deck 1'!$A:$Z,ROW()-250,'List Setup'!$F$3)),INDEX('Deck 1'!$A:$Z,ROW()-250,'List Setup'!$F$3),0)))</f>
        <v/>
      </c>
      <c r="G485" s="80" t="str">
        <f t="array" ref="G485">IF(A485="","",A485&amp;IF(N(INDEX('Deck 1'!$A:$Z,ROW()-250,'List Setup'!$C$3))&gt;1," (x"&amp;INDEX('Deck 1'!$A:$Z,ROW()-250,'List Setup'!$C$3)&amp;")","")&amp;IF(COUNTIF(Binders!$J$6:$J$30,TRUE())&gt;1," ["&amp;Q485&amp;"]",""))</f>
        <v/>
      </c>
      <c r="H485" s="80" t="str">
        <f t="array" ref="H485">IF(A485="","",CHAR(10)&amp;INDEX('Deck 1'!$A:$Z,ROW()-250,'List Setup'!$E$3)&amp;CHAR(10))</f>
        <v/>
      </c>
      <c r="I485" s="80" t="str">
        <f t="array" ref="I485">IF(OR(B485="",B485="(none)"),"",IF(ISNUMBER(SEARCH(CHAR(10)&amp;B485&amp;CHAR(10),H485)),B485,IFERROR(INDEX('Set Aliases'!$A$2:$A$501,MATCH(1,('Set Aliases'!$B$2:$B$501=B485)*ISNUMBER(SEARCH(CHAR(10)&amp;'Set Aliases'!$A$2:$A$501&amp;CHAR(10),H485)),0)),"")))</f>
        <v/>
      </c>
      <c r="J485" s="80" t="str">
        <f t="array" ref="J485">IF(I485="","",IFERROR(VALUE(TRIM(MID(SUBSTITUTE(INDEX('Deck 1'!$A:$Z,ROW()-250,'List Setup'!$G$3),CHAR(10),REPT(" ",100)),((SEARCH(CHAR(10)&amp;I485&amp;CHAR(10),H485)-LEN(SUBSTITUTE(LEFT(H485,SEARCH(CHAR(10)&amp;I485&amp;CHAR(10),H485)),CHAR(10),"")))-1)*100+1,100))),""))</f>
        <v/>
      </c>
      <c r="K485" s="80" t="str">
        <f t="array" ref="K485">IF(A485="","",IF(ISNUMBER(SEARCH("Land",LEFT(IFERROR(INDEX('Deck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85" s="80" t="str">
        <f t="shared" si="3"/>
        <v/>
      </c>
      <c r="M485" s="80" t="str">
        <f>IF(A485="","",IF(AND(E485="Y",B485='Use at Shop'!$B$4),K485*10000000000+(MAX(0,MIN(26,CODE(MID(UPPER(A485)&amp;"    ",1,1))-64))*19683+MAX(0,MIN(26,CODE(MID(UPPER(A485)&amp;"    ",2,1))-64))*729+MAX(0,MIN(26,CODE(MID(UPPER(A485)&amp;"    ",3,1))-64))*27+MAX(0,MIN(26,CODE(MID(UPPER(A485)&amp;"    ",4,1))-64))*1)*10000+ROW(),""))</f>
        <v/>
      </c>
      <c r="N485" s="80" t="str">
        <f t="shared" si="5"/>
        <v/>
      </c>
      <c r="O485" s="80" t="str">
        <f t="array" ref="O485">IF(A485="","",IFERROR(INDEX('Deck 1'!$A:$Z,ROW()-250,'List Setup'!$J$3)&amp;"",""))</f>
        <v/>
      </c>
      <c r="P485" s="2"/>
      <c r="Q485" s="80" t="str">
        <f>IF(A485="","",'List Setup'!$A$3)</f>
        <v/>
      </c>
      <c r="R485" s="80" t="str">
        <f t="array" ref="R485">IF(A485="","",IFERROR(OR(INDEX(Binders!$J$6:$J$30,MATCH(Q485,Binders!$I$6:$I$30,0))=TRUE(),UPPER(INDEX(Binders!$J$6:$J$30,MATCH(Q485,Binders!$I$6:$I$30,0))&amp;"")="TRUE"),FALSE()))</f>
        <v/>
      </c>
    </row>
    <row r="486" ht="15.75" customHeight="1">
      <c r="A486" s="80" t="str">
        <f t="array" ref="A486">IF(INDEX('Deck 1'!$A:$Z,ROW()-250,'List Setup'!$D$3)="","",INDEX('Deck 1'!$A:$Z,ROW()-250,'List Setup'!$D$3))</f>
        <v/>
      </c>
      <c r="B486" s="80" t="str">
        <f t="array" ref="B486">IF(A486="","",IFERROR(INDEX('Binder Setup'!$B$2:$B$401,MIN(IF(ISNUMBER(SEARCH(CHAR(10)&amp;'Binder Setup'!$B$2:$B$401&amp;CHAR(10),$H486)),'List Setup'!$Q$2:$Q$401,999),IF(ISNUMBER(SEARCH(CHAR(10)&amp;'Set Aliases'!$A$2:$A$501&amp;CHAR(10),$H486)),'Set Aliases'!$C$2:$C$501,999))),"(none)"))</f>
        <v/>
      </c>
      <c r="C486" s="80" t="str">
        <f t="shared" si="1"/>
        <v/>
      </c>
      <c r="D486" s="80" t="str">
        <f t="array" ref="D486">IF(A486="","",IF(ISLOGICAL(INDEX('Deck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86" s="80" t="str">
        <f t="shared" si="2"/>
        <v/>
      </c>
      <c r="F486" s="80" t="str">
        <f t="array" ref="F486">IF(A486="","",IF(ISNUMBER(J486),J486,IF(ISNUMBER(INDEX('Deck 1'!$A:$Z,ROW()-250,'List Setup'!$F$3)),INDEX('Deck 1'!$A:$Z,ROW()-250,'List Setup'!$F$3),0)))</f>
        <v/>
      </c>
      <c r="G486" s="80" t="str">
        <f t="array" ref="G486">IF(A486="","",A486&amp;IF(N(INDEX('Deck 1'!$A:$Z,ROW()-250,'List Setup'!$C$3))&gt;1," (x"&amp;INDEX('Deck 1'!$A:$Z,ROW()-250,'List Setup'!$C$3)&amp;")","")&amp;IF(COUNTIF(Binders!$J$6:$J$30,TRUE())&gt;1," ["&amp;Q486&amp;"]",""))</f>
        <v/>
      </c>
      <c r="H486" s="80" t="str">
        <f t="array" ref="H486">IF(A486="","",CHAR(10)&amp;INDEX('Deck 1'!$A:$Z,ROW()-250,'List Setup'!$E$3)&amp;CHAR(10))</f>
        <v/>
      </c>
      <c r="I486" s="80" t="str">
        <f t="array" ref="I486">IF(OR(B486="",B486="(none)"),"",IF(ISNUMBER(SEARCH(CHAR(10)&amp;B486&amp;CHAR(10),H486)),B486,IFERROR(INDEX('Set Aliases'!$A$2:$A$501,MATCH(1,('Set Aliases'!$B$2:$B$501=B486)*ISNUMBER(SEARCH(CHAR(10)&amp;'Set Aliases'!$A$2:$A$501&amp;CHAR(10),H486)),0)),"")))</f>
        <v/>
      </c>
      <c r="J486" s="80" t="str">
        <f t="array" ref="J486">IF(I486="","",IFERROR(VALUE(TRIM(MID(SUBSTITUTE(INDEX('Deck 1'!$A:$Z,ROW()-250,'List Setup'!$G$3),CHAR(10),REPT(" ",100)),((SEARCH(CHAR(10)&amp;I486&amp;CHAR(10),H486)-LEN(SUBSTITUTE(LEFT(H486,SEARCH(CHAR(10)&amp;I486&amp;CHAR(10),H486)),CHAR(10),"")))-1)*100+1,100))),""))</f>
        <v/>
      </c>
      <c r="K486" s="80" t="str">
        <f t="array" ref="K486">IF(A486="","",IF(ISNUMBER(SEARCH("Land",LEFT(IFERROR(INDEX('Deck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86" s="80" t="str">
        <f t="shared" si="3"/>
        <v/>
      </c>
      <c r="M486" s="80" t="str">
        <f>IF(A486="","",IF(AND(E486="Y",B486='Use at Shop'!$B$4),K486*10000000000+(MAX(0,MIN(26,CODE(MID(UPPER(A486)&amp;"    ",1,1))-64))*19683+MAX(0,MIN(26,CODE(MID(UPPER(A486)&amp;"    ",2,1))-64))*729+MAX(0,MIN(26,CODE(MID(UPPER(A486)&amp;"    ",3,1))-64))*27+MAX(0,MIN(26,CODE(MID(UPPER(A486)&amp;"    ",4,1))-64))*1)*10000+ROW(),""))</f>
        <v/>
      </c>
      <c r="N486" s="80" t="str">
        <f t="shared" si="5"/>
        <v/>
      </c>
      <c r="O486" s="80" t="str">
        <f t="array" ref="O486">IF(A486="","",IFERROR(INDEX('Deck 1'!$A:$Z,ROW()-250,'List Setup'!$J$3)&amp;"",""))</f>
        <v/>
      </c>
      <c r="P486" s="2"/>
      <c r="Q486" s="80" t="str">
        <f>IF(A486="","",'List Setup'!$A$3)</f>
        <v/>
      </c>
      <c r="R486" s="80" t="str">
        <f t="array" ref="R486">IF(A486="","",IFERROR(OR(INDEX(Binders!$J$6:$J$30,MATCH(Q486,Binders!$I$6:$I$30,0))=TRUE(),UPPER(INDEX(Binders!$J$6:$J$30,MATCH(Q486,Binders!$I$6:$I$30,0))&amp;"")="TRUE"),FALSE()))</f>
        <v/>
      </c>
    </row>
    <row r="487" ht="15.75" customHeight="1">
      <c r="A487" s="80" t="str">
        <f t="array" ref="A487">IF(INDEX('Deck 1'!$A:$Z,ROW()-250,'List Setup'!$D$3)="","",INDEX('Deck 1'!$A:$Z,ROW()-250,'List Setup'!$D$3))</f>
        <v/>
      </c>
      <c r="B487" s="80" t="str">
        <f t="array" ref="B487">IF(A487="","",IFERROR(INDEX('Binder Setup'!$B$2:$B$401,MIN(IF(ISNUMBER(SEARCH(CHAR(10)&amp;'Binder Setup'!$B$2:$B$401&amp;CHAR(10),$H487)),'List Setup'!$Q$2:$Q$401,999),IF(ISNUMBER(SEARCH(CHAR(10)&amp;'Set Aliases'!$A$2:$A$501&amp;CHAR(10),$H487)),'Set Aliases'!$C$2:$C$501,999))),"(none)"))</f>
        <v/>
      </c>
      <c r="C487" s="80" t="str">
        <f t="shared" si="1"/>
        <v/>
      </c>
      <c r="D487" s="80" t="str">
        <f t="array" ref="D487">IF(A487="","",IF(ISLOGICAL(INDEX('Deck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87" s="80" t="str">
        <f t="shared" si="2"/>
        <v/>
      </c>
      <c r="F487" s="80" t="str">
        <f t="array" ref="F487">IF(A487="","",IF(ISNUMBER(J487),J487,IF(ISNUMBER(INDEX('Deck 1'!$A:$Z,ROW()-250,'List Setup'!$F$3)),INDEX('Deck 1'!$A:$Z,ROW()-250,'List Setup'!$F$3),0)))</f>
        <v/>
      </c>
      <c r="G487" s="80" t="str">
        <f t="array" ref="G487">IF(A487="","",A487&amp;IF(N(INDEX('Deck 1'!$A:$Z,ROW()-250,'List Setup'!$C$3))&gt;1," (x"&amp;INDEX('Deck 1'!$A:$Z,ROW()-250,'List Setup'!$C$3)&amp;")","")&amp;IF(COUNTIF(Binders!$J$6:$J$30,TRUE())&gt;1," ["&amp;Q487&amp;"]",""))</f>
        <v/>
      </c>
      <c r="H487" s="80" t="str">
        <f t="array" ref="H487">IF(A487="","",CHAR(10)&amp;INDEX('Deck 1'!$A:$Z,ROW()-250,'List Setup'!$E$3)&amp;CHAR(10))</f>
        <v/>
      </c>
      <c r="I487" s="80" t="str">
        <f t="array" ref="I487">IF(OR(B487="",B487="(none)"),"",IF(ISNUMBER(SEARCH(CHAR(10)&amp;B487&amp;CHAR(10),H487)),B487,IFERROR(INDEX('Set Aliases'!$A$2:$A$501,MATCH(1,('Set Aliases'!$B$2:$B$501=B487)*ISNUMBER(SEARCH(CHAR(10)&amp;'Set Aliases'!$A$2:$A$501&amp;CHAR(10),H487)),0)),"")))</f>
        <v/>
      </c>
      <c r="J487" s="80" t="str">
        <f t="array" ref="J487">IF(I487="","",IFERROR(VALUE(TRIM(MID(SUBSTITUTE(INDEX('Deck 1'!$A:$Z,ROW()-250,'List Setup'!$G$3),CHAR(10),REPT(" ",100)),((SEARCH(CHAR(10)&amp;I487&amp;CHAR(10),H487)-LEN(SUBSTITUTE(LEFT(H487,SEARCH(CHAR(10)&amp;I487&amp;CHAR(10),H487)),CHAR(10),"")))-1)*100+1,100))),""))</f>
        <v/>
      </c>
      <c r="K487" s="80" t="str">
        <f t="array" ref="K487">IF(A487="","",IF(ISNUMBER(SEARCH("Land",LEFT(IFERROR(INDEX('Deck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87" s="80" t="str">
        <f t="shared" si="3"/>
        <v/>
      </c>
      <c r="M487" s="80" t="str">
        <f>IF(A487="","",IF(AND(E487="Y",B487='Use at Shop'!$B$4),K487*10000000000+(MAX(0,MIN(26,CODE(MID(UPPER(A487)&amp;"    ",1,1))-64))*19683+MAX(0,MIN(26,CODE(MID(UPPER(A487)&amp;"    ",2,1))-64))*729+MAX(0,MIN(26,CODE(MID(UPPER(A487)&amp;"    ",3,1))-64))*27+MAX(0,MIN(26,CODE(MID(UPPER(A487)&amp;"    ",4,1))-64))*1)*10000+ROW(),""))</f>
        <v/>
      </c>
      <c r="N487" s="80" t="str">
        <f t="shared" si="5"/>
        <v/>
      </c>
      <c r="O487" s="80" t="str">
        <f t="array" ref="O487">IF(A487="","",IFERROR(INDEX('Deck 1'!$A:$Z,ROW()-250,'List Setup'!$J$3)&amp;"",""))</f>
        <v/>
      </c>
      <c r="P487" s="2"/>
      <c r="Q487" s="80" t="str">
        <f>IF(A487="","",'List Setup'!$A$3)</f>
        <v/>
      </c>
      <c r="R487" s="80" t="str">
        <f t="array" ref="R487">IF(A487="","",IFERROR(OR(INDEX(Binders!$J$6:$J$30,MATCH(Q487,Binders!$I$6:$I$30,0))=TRUE(),UPPER(INDEX(Binders!$J$6:$J$30,MATCH(Q487,Binders!$I$6:$I$30,0))&amp;"")="TRUE"),FALSE()))</f>
        <v/>
      </c>
    </row>
    <row r="488" ht="15.75" customHeight="1">
      <c r="A488" s="80" t="str">
        <f t="array" ref="A488">IF(INDEX('Deck 1'!$A:$Z,ROW()-250,'List Setup'!$D$3)="","",INDEX('Deck 1'!$A:$Z,ROW()-250,'List Setup'!$D$3))</f>
        <v/>
      </c>
      <c r="B488" s="80" t="str">
        <f t="array" ref="B488">IF(A488="","",IFERROR(INDEX('Binder Setup'!$B$2:$B$401,MIN(IF(ISNUMBER(SEARCH(CHAR(10)&amp;'Binder Setup'!$B$2:$B$401&amp;CHAR(10),$H488)),'List Setup'!$Q$2:$Q$401,999),IF(ISNUMBER(SEARCH(CHAR(10)&amp;'Set Aliases'!$A$2:$A$501&amp;CHAR(10),$H488)),'Set Aliases'!$C$2:$C$501,999))),"(none)"))</f>
        <v/>
      </c>
      <c r="C488" s="80" t="str">
        <f t="shared" si="1"/>
        <v/>
      </c>
      <c r="D488" s="80" t="str">
        <f t="array" ref="D488">IF(A488="","",IF(ISLOGICAL(INDEX('Deck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88" s="80" t="str">
        <f t="shared" si="2"/>
        <v/>
      </c>
      <c r="F488" s="80" t="str">
        <f t="array" ref="F488">IF(A488="","",IF(ISNUMBER(J488),J488,IF(ISNUMBER(INDEX('Deck 1'!$A:$Z,ROW()-250,'List Setup'!$F$3)),INDEX('Deck 1'!$A:$Z,ROW()-250,'List Setup'!$F$3),0)))</f>
        <v/>
      </c>
      <c r="G488" s="80" t="str">
        <f t="array" ref="G488">IF(A488="","",A488&amp;IF(N(INDEX('Deck 1'!$A:$Z,ROW()-250,'List Setup'!$C$3))&gt;1," (x"&amp;INDEX('Deck 1'!$A:$Z,ROW()-250,'List Setup'!$C$3)&amp;")","")&amp;IF(COUNTIF(Binders!$J$6:$J$30,TRUE())&gt;1," ["&amp;Q488&amp;"]",""))</f>
        <v/>
      </c>
      <c r="H488" s="80" t="str">
        <f t="array" ref="H488">IF(A488="","",CHAR(10)&amp;INDEX('Deck 1'!$A:$Z,ROW()-250,'List Setup'!$E$3)&amp;CHAR(10))</f>
        <v/>
      </c>
      <c r="I488" s="80" t="str">
        <f t="array" ref="I488">IF(OR(B488="",B488="(none)"),"",IF(ISNUMBER(SEARCH(CHAR(10)&amp;B488&amp;CHAR(10),H488)),B488,IFERROR(INDEX('Set Aliases'!$A$2:$A$501,MATCH(1,('Set Aliases'!$B$2:$B$501=B488)*ISNUMBER(SEARCH(CHAR(10)&amp;'Set Aliases'!$A$2:$A$501&amp;CHAR(10),H488)),0)),"")))</f>
        <v/>
      </c>
      <c r="J488" s="80" t="str">
        <f t="array" ref="J488">IF(I488="","",IFERROR(VALUE(TRIM(MID(SUBSTITUTE(INDEX('Deck 1'!$A:$Z,ROW()-250,'List Setup'!$G$3),CHAR(10),REPT(" ",100)),((SEARCH(CHAR(10)&amp;I488&amp;CHAR(10),H488)-LEN(SUBSTITUTE(LEFT(H488,SEARCH(CHAR(10)&amp;I488&amp;CHAR(10),H488)),CHAR(10),"")))-1)*100+1,100))),""))</f>
        <v/>
      </c>
      <c r="K488" s="80" t="str">
        <f t="array" ref="K488">IF(A488="","",IF(ISNUMBER(SEARCH("Land",LEFT(IFERROR(INDEX('Deck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88" s="80" t="str">
        <f t="shared" si="3"/>
        <v/>
      </c>
      <c r="M488" s="80" t="str">
        <f>IF(A488="","",IF(AND(E488="Y",B488='Use at Shop'!$B$4),K488*10000000000+(MAX(0,MIN(26,CODE(MID(UPPER(A488)&amp;"    ",1,1))-64))*19683+MAX(0,MIN(26,CODE(MID(UPPER(A488)&amp;"    ",2,1))-64))*729+MAX(0,MIN(26,CODE(MID(UPPER(A488)&amp;"    ",3,1))-64))*27+MAX(0,MIN(26,CODE(MID(UPPER(A488)&amp;"    ",4,1))-64))*1)*10000+ROW(),""))</f>
        <v/>
      </c>
      <c r="N488" s="80" t="str">
        <f t="shared" si="5"/>
        <v/>
      </c>
      <c r="O488" s="80" t="str">
        <f t="array" ref="O488">IF(A488="","",IFERROR(INDEX('Deck 1'!$A:$Z,ROW()-250,'List Setup'!$J$3)&amp;"",""))</f>
        <v/>
      </c>
      <c r="P488" s="2"/>
      <c r="Q488" s="80" t="str">
        <f>IF(A488="","",'List Setup'!$A$3)</f>
        <v/>
      </c>
      <c r="R488" s="80" t="str">
        <f t="array" ref="R488">IF(A488="","",IFERROR(OR(INDEX(Binders!$J$6:$J$30,MATCH(Q488,Binders!$I$6:$I$30,0))=TRUE(),UPPER(INDEX(Binders!$J$6:$J$30,MATCH(Q488,Binders!$I$6:$I$30,0))&amp;"")="TRUE"),FALSE()))</f>
        <v/>
      </c>
    </row>
    <row r="489" ht="15.75" customHeight="1">
      <c r="A489" s="80" t="str">
        <f t="array" ref="A489">IF(INDEX('Deck 1'!$A:$Z,ROW()-250,'List Setup'!$D$3)="","",INDEX('Deck 1'!$A:$Z,ROW()-250,'List Setup'!$D$3))</f>
        <v/>
      </c>
      <c r="B489" s="80" t="str">
        <f t="array" ref="B489">IF(A489="","",IFERROR(INDEX('Binder Setup'!$B$2:$B$401,MIN(IF(ISNUMBER(SEARCH(CHAR(10)&amp;'Binder Setup'!$B$2:$B$401&amp;CHAR(10),$H489)),'List Setup'!$Q$2:$Q$401,999),IF(ISNUMBER(SEARCH(CHAR(10)&amp;'Set Aliases'!$A$2:$A$501&amp;CHAR(10),$H489)),'Set Aliases'!$C$2:$C$501,999))),"(none)"))</f>
        <v/>
      </c>
      <c r="C489" s="80" t="str">
        <f t="shared" si="1"/>
        <v/>
      </c>
      <c r="D489" s="80" t="str">
        <f t="array" ref="D489">IF(A489="","",IF(ISLOGICAL(INDEX('Deck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89" s="80" t="str">
        <f t="shared" si="2"/>
        <v/>
      </c>
      <c r="F489" s="80" t="str">
        <f t="array" ref="F489">IF(A489="","",IF(ISNUMBER(J489),J489,IF(ISNUMBER(INDEX('Deck 1'!$A:$Z,ROW()-250,'List Setup'!$F$3)),INDEX('Deck 1'!$A:$Z,ROW()-250,'List Setup'!$F$3),0)))</f>
        <v/>
      </c>
      <c r="G489" s="80" t="str">
        <f t="array" ref="G489">IF(A489="","",A489&amp;IF(N(INDEX('Deck 1'!$A:$Z,ROW()-250,'List Setup'!$C$3))&gt;1," (x"&amp;INDEX('Deck 1'!$A:$Z,ROW()-250,'List Setup'!$C$3)&amp;")","")&amp;IF(COUNTIF(Binders!$J$6:$J$30,TRUE())&gt;1," ["&amp;Q489&amp;"]",""))</f>
        <v/>
      </c>
      <c r="H489" s="80" t="str">
        <f t="array" ref="H489">IF(A489="","",CHAR(10)&amp;INDEX('Deck 1'!$A:$Z,ROW()-250,'List Setup'!$E$3)&amp;CHAR(10))</f>
        <v/>
      </c>
      <c r="I489" s="80" t="str">
        <f t="array" ref="I489">IF(OR(B489="",B489="(none)"),"",IF(ISNUMBER(SEARCH(CHAR(10)&amp;B489&amp;CHAR(10),H489)),B489,IFERROR(INDEX('Set Aliases'!$A$2:$A$501,MATCH(1,('Set Aliases'!$B$2:$B$501=B489)*ISNUMBER(SEARCH(CHAR(10)&amp;'Set Aliases'!$A$2:$A$501&amp;CHAR(10),H489)),0)),"")))</f>
        <v/>
      </c>
      <c r="J489" s="80" t="str">
        <f t="array" ref="J489">IF(I489="","",IFERROR(VALUE(TRIM(MID(SUBSTITUTE(INDEX('Deck 1'!$A:$Z,ROW()-250,'List Setup'!$G$3),CHAR(10),REPT(" ",100)),((SEARCH(CHAR(10)&amp;I489&amp;CHAR(10),H489)-LEN(SUBSTITUTE(LEFT(H489,SEARCH(CHAR(10)&amp;I489&amp;CHAR(10),H489)),CHAR(10),"")))-1)*100+1,100))),""))</f>
        <v/>
      </c>
      <c r="K489" s="80" t="str">
        <f t="array" ref="K489">IF(A489="","",IF(ISNUMBER(SEARCH("Land",LEFT(IFERROR(INDEX('Deck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89" s="80" t="str">
        <f t="shared" si="3"/>
        <v/>
      </c>
      <c r="M489" s="80" t="str">
        <f>IF(A489="","",IF(AND(E489="Y",B489='Use at Shop'!$B$4),K489*10000000000+(MAX(0,MIN(26,CODE(MID(UPPER(A489)&amp;"    ",1,1))-64))*19683+MAX(0,MIN(26,CODE(MID(UPPER(A489)&amp;"    ",2,1))-64))*729+MAX(0,MIN(26,CODE(MID(UPPER(A489)&amp;"    ",3,1))-64))*27+MAX(0,MIN(26,CODE(MID(UPPER(A489)&amp;"    ",4,1))-64))*1)*10000+ROW(),""))</f>
        <v/>
      </c>
      <c r="N489" s="80" t="str">
        <f t="shared" si="5"/>
        <v/>
      </c>
      <c r="O489" s="80" t="str">
        <f t="array" ref="O489">IF(A489="","",IFERROR(INDEX('Deck 1'!$A:$Z,ROW()-250,'List Setup'!$J$3)&amp;"",""))</f>
        <v/>
      </c>
      <c r="P489" s="2"/>
      <c r="Q489" s="80" t="str">
        <f>IF(A489="","",'List Setup'!$A$3)</f>
        <v/>
      </c>
      <c r="R489" s="80" t="str">
        <f t="array" ref="R489">IF(A489="","",IFERROR(OR(INDEX(Binders!$J$6:$J$30,MATCH(Q489,Binders!$I$6:$I$30,0))=TRUE(),UPPER(INDEX(Binders!$J$6:$J$30,MATCH(Q489,Binders!$I$6:$I$30,0))&amp;"")="TRUE"),FALSE()))</f>
        <v/>
      </c>
    </row>
    <row r="490" ht="15.75" customHeight="1">
      <c r="A490" s="80" t="str">
        <f t="array" ref="A490">IF(INDEX('Deck 1'!$A:$Z,ROW()-250,'List Setup'!$D$3)="","",INDEX('Deck 1'!$A:$Z,ROW()-250,'List Setup'!$D$3))</f>
        <v/>
      </c>
      <c r="B490" s="80" t="str">
        <f t="array" ref="B490">IF(A490="","",IFERROR(INDEX('Binder Setup'!$B$2:$B$401,MIN(IF(ISNUMBER(SEARCH(CHAR(10)&amp;'Binder Setup'!$B$2:$B$401&amp;CHAR(10),$H490)),'List Setup'!$Q$2:$Q$401,999),IF(ISNUMBER(SEARCH(CHAR(10)&amp;'Set Aliases'!$A$2:$A$501&amp;CHAR(10),$H490)),'Set Aliases'!$C$2:$C$501,999))),"(none)"))</f>
        <v/>
      </c>
      <c r="C490" s="80" t="str">
        <f t="shared" si="1"/>
        <v/>
      </c>
      <c r="D490" s="80" t="str">
        <f t="array" ref="D490">IF(A490="","",IF(ISLOGICAL(INDEX('Deck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90" s="80" t="str">
        <f t="shared" si="2"/>
        <v/>
      </c>
      <c r="F490" s="80" t="str">
        <f t="array" ref="F490">IF(A490="","",IF(ISNUMBER(J490),J490,IF(ISNUMBER(INDEX('Deck 1'!$A:$Z,ROW()-250,'List Setup'!$F$3)),INDEX('Deck 1'!$A:$Z,ROW()-250,'List Setup'!$F$3),0)))</f>
        <v/>
      </c>
      <c r="G490" s="80" t="str">
        <f t="array" ref="G490">IF(A490="","",A490&amp;IF(N(INDEX('Deck 1'!$A:$Z,ROW()-250,'List Setup'!$C$3))&gt;1," (x"&amp;INDEX('Deck 1'!$A:$Z,ROW()-250,'List Setup'!$C$3)&amp;")","")&amp;IF(COUNTIF(Binders!$J$6:$J$30,TRUE())&gt;1," ["&amp;Q490&amp;"]",""))</f>
        <v/>
      </c>
      <c r="H490" s="80" t="str">
        <f t="array" ref="H490">IF(A490="","",CHAR(10)&amp;INDEX('Deck 1'!$A:$Z,ROW()-250,'List Setup'!$E$3)&amp;CHAR(10))</f>
        <v/>
      </c>
      <c r="I490" s="80" t="str">
        <f t="array" ref="I490">IF(OR(B490="",B490="(none)"),"",IF(ISNUMBER(SEARCH(CHAR(10)&amp;B490&amp;CHAR(10),H490)),B490,IFERROR(INDEX('Set Aliases'!$A$2:$A$501,MATCH(1,('Set Aliases'!$B$2:$B$501=B490)*ISNUMBER(SEARCH(CHAR(10)&amp;'Set Aliases'!$A$2:$A$501&amp;CHAR(10),H490)),0)),"")))</f>
        <v/>
      </c>
      <c r="J490" s="80" t="str">
        <f t="array" ref="J490">IF(I490="","",IFERROR(VALUE(TRIM(MID(SUBSTITUTE(INDEX('Deck 1'!$A:$Z,ROW()-250,'List Setup'!$G$3),CHAR(10),REPT(" ",100)),((SEARCH(CHAR(10)&amp;I490&amp;CHAR(10),H490)-LEN(SUBSTITUTE(LEFT(H490,SEARCH(CHAR(10)&amp;I490&amp;CHAR(10),H490)),CHAR(10),"")))-1)*100+1,100))),""))</f>
        <v/>
      </c>
      <c r="K490" s="80" t="str">
        <f t="array" ref="K490">IF(A490="","",IF(ISNUMBER(SEARCH("Land",LEFT(IFERROR(INDEX('Deck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90" s="80" t="str">
        <f t="shared" si="3"/>
        <v/>
      </c>
      <c r="M490" s="80" t="str">
        <f>IF(A490="","",IF(AND(E490="Y",B490='Use at Shop'!$B$4),K490*10000000000+(MAX(0,MIN(26,CODE(MID(UPPER(A490)&amp;"    ",1,1))-64))*19683+MAX(0,MIN(26,CODE(MID(UPPER(A490)&amp;"    ",2,1))-64))*729+MAX(0,MIN(26,CODE(MID(UPPER(A490)&amp;"    ",3,1))-64))*27+MAX(0,MIN(26,CODE(MID(UPPER(A490)&amp;"    ",4,1))-64))*1)*10000+ROW(),""))</f>
        <v/>
      </c>
      <c r="N490" s="80" t="str">
        <f t="shared" si="5"/>
        <v/>
      </c>
      <c r="O490" s="80" t="str">
        <f t="array" ref="O490">IF(A490="","",IFERROR(INDEX('Deck 1'!$A:$Z,ROW()-250,'List Setup'!$J$3)&amp;"",""))</f>
        <v/>
      </c>
      <c r="P490" s="2"/>
      <c r="Q490" s="80" t="str">
        <f>IF(A490="","",'List Setup'!$A$3)</f>
        <v/>
      </c>
      <c r="R490" s="80" t="str">
        <f t="array" ref="R490">IF(A490="","",IFERROR(OR(INDEX(Binders!$J$6:$J$30,MATCH(Q490,Binders!$I$6:$I$30,0))=TRUE(),UPPER(INDEX(Binders!$J$6:$J$30,MATCH(Q490,Binders!$I$6:$I$30,0))&amp;"")="TRUE"),FALSE()))</f>
        <v/>
      </c>
    </row>
    <row r="491" ht="15.75" customHeight="1">
      <c r="A491" s="80" t="str">
        <f t="array" ref="A491">IF(INDEX('Deck 1'!$A:$Z,ROW()-250,'List Setup'!$D$3)="","",INDEX('Deck 1'!$A:$Z,ROW()-250,'List Setup'!$D$3))</f>
        <v/>
      </c>
      <c r="B491" s="80" t="str">
        <f t="array" ref="B491">IF(A491="","",IFERROR(INDEX('Binder Setup'!$B$2:$B$401,MIN(IF(ISNUMBER(SEARCH(CHAR(10)&amp;'Binder Setup'!$B$2:$B$401&amp;CHAR(10),$H491)),'List Setup'!$Q$2:$Q$401,999),IF(ISNUMBER(SEARCH(CHAR(10)&amp;'Set Aliases'!$A$2:$A$501&amp;CHAR(10),$H491)),'Set Aliases'!$C$2:$C$501,999))),"(none)"))</f>
        <v/>
      </c>
      <c r="C491" s="80" t="str">
        <f t="shared" si="1"/>
        <v/>
      </c>
      <c r="D491" s="80" t="str">
        <f t="array" ref="D491">IF(A491="","",IF(ISLOGICAL(INDEX('Deck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91" s="80" t="str">
        <f t="shared" si="2"/>
        <v/>
      </c>
      <c r="F491" s="80" t="str">
        <f t="array" ref="F491">IF(A491="","",IF(ISNUMBER(J491),J491,IF(ISNUMBER(INDEX('Deck 1'!$A:$Z,ROW()-250,'List Setup'!$F$3)),INDEX('Deck 1'!$A:$Z,ROW()-250,'List Setup'!$F$3),0)))</f>
        <v/>
      </c>
      <c r="G491" s="80" t="str">
        <f t="array" ref="G491">IF(A491="","",A491&amp;IF(N(INDEX('Deck 1'!$A:$Z,ROW()-250,'List Setup'!$C$3))&gt;1," (x"&amp;INDEX('Deck 1'!$A:$Z,ROW()-250,'List Setup'!$C$3)&amp;")","")&amp;IF(COUNTIF(Binders!$J$6:$J$30,TRUE())&gt;1," ["&amp;Q491&amp;"]",""))</f>
        <v/>
      </c>
      <c r="H491" s="80" t="str">
        <f t="array" ref="H491">IF(A491="","",CHAR(10)&amp;INDEX('Deck 1'!$A:$Z,ROW()-250,'List Setup'!$E$3)&amp;CHAR(10))</f>
        <v/>
      </c>
      <c r="I491" s="80" t="str">
        <f t="array" ref="I491">IF(OR(B491="",B491="(none)"),"",IF(ISNUMBER(SEARCH(CHAR(10)&amp;B491&amp;CHAR(10),H491)),B491,IFERROR(INDEX('Set Aliases'!$A$2:$A$501,MATCH(1,('Set Aliases'!$B$2:$B$501=B491)*ISNUMBER(SEARCH(CHAR(10)&amp;'Set Aliases'!$A$2:$A$501&amp;CHAR(10),H491)),0)),"")))</f>
        <v/>
      </c>
      <c r="J491" s="80" t="str">
        <f t="array" ref="J491">IF(I491="","",IFERROR(VALUE(TRIM(MID(SUBSTITUTE(INDEX('Deck 1'!$A:$Z,ROW()-250,'List Setup'!$G$3),CHAR(10),REPT(" ",100)),((SEARCH(CHAR(10)&amp;I491&amp;CHAR(10),H491)-LEN(SUBSTITUTE(LEFT(H491,SEARCH(CHAR(10)&amp;I491&amp;CHAR(10),H491)),CHAR(10),"")))-1)*100+1,100))),""))</f>
        <v/>
      </c>
      <c r="K491" s="80" t="str">
        <f t="array" ref="K491">IF(A491="","",IF(ISNUMBER(SEARCH("Land",LEFT(IFERROR(INDEX('Deck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91" s="80" t="str">
        <f t="shared" si="3"/>
        <v/>
      </c>
      <c r="M491" s="80" t="str">
        <f>IF(A491="","",IF(AND(E491="Y",B491='Use at Shop'!$B$4),K491*10000000000+(MAX(0,MIN(26,CODE(MID(UPPER(A491)&amp;"    ",1,1))-64))*19683+MAX(0,MIN(26,CODE(MID(UPPER(A491)&amp;"    ",2,1))-64))*729+MAX(0,MIN(26,CODE(MID(UPPER(A491)&amp;"    ",3,1))-64))*27+MAX(0,MIN(26,CODE(MID(UPPER(A491)&amp;"    ",4,1))-64))*1)*10000+ROW(),""))</f>
        <v/>
      </c>
      <c r="N491" s="80" t="str">
        <f t="shared" si="5"/>
        <v/>
      </c>
      <c r="O491" s="80" t="str">
        <f t="array" ref="O491">IF(A491="","",IFERROR(INDEX('Deck 1'!$A:$Z,ROW()-250,'List Setup'!$J$3)&amp;"",""))</f>
        <v/>
      </c>
      <c r="P491" s="2"/>
      <c r="Q491" s="80" t="str">
        <f>IF(A491="","",'List Setup'!$A$3)</f>
        <v/>
      </c>
      <c r="R491" s="80" t="str">
        <f t="array" ref="R491">IF(A491="","",IFERROR(OR(INDEX(Binders!$J$6:$J$30,MATCH(Q491,Binders!$I$6:$I$30,0))=TRUE(),UPPER(INDEX(Binders!$J$6:$J$30,MATCH(Q491,Binders!$I$6:$I$30,0))&amp;"")="TRUE"),FALSE()))</f>
        <v/>
      </c>
    </row>
    <row r="492" ht="15.75" customHeight="1">
      <c r="A492" s="80" t="str">
        <f t="array" ref="A492">IF(INDEX('Deck 1'!$A:$Z,ROW()-250,'List Setup'!$D$3)="","",INDEX('Deck 1'!$A:$Z,ROW()-250,'List Setup'!$D$3))</f>
        <v/>
      </c>
      <c r="B492" s="80" t="str">
        <f t="array" ref="B492">IF(A492="","",IFERROR(INDEX('Binder Setup'!$B$2:$B$401,MIN(IF(ISNUMBER(SEARCH(CHAR(10)&amp;'Binder Setup'!$B$2:$B$401&amp;CHAR(10),$H492)),'List Setup'!$Q$2:$Q$401,999),IF(ISNUMBER(SEARCH(CHAR(10)&amp;'Set Aliases'!$A$2:$A$501&amp;CHAR(10),$H492)),'Set Aliases'!$C$2:$C$501,999))),"(none)"))</f>
        <v/>
      </c>
      <c r="C492" s="80" t="str">
        <f t="shared" si="1"/>
        <v/>
      </c>
      <c r="D492" s="80" t="str">
        <f t="array" ref="D492">IF(A492="","",IF(ISLOGICAL(INDEX('Deck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92" s="80" t="str">
        <f t="shared" si="2"/>
        <v/>
      </c>
      <c r="F492" s="80" t="str">
        <f t="array" ref="F492">IF(A492="","",IF(ISNUMBER(J492),J492,IF(ISNUMBER(INDEX('Deck 1'!$A:$Z,ROW()-250,'List Setup'!$F$3)),INDEX('Deck 1'!$A:$Z,ROW()-250,'List Setup'!$F$3),0)))</f>
        <v/>
      </c>
      <c r="G492" s="80" t="str">
        <f t="array" ref="G492">IF(A492="","",A492&amp;IF(N(INDEX('Deck 1'!$A:$Z,ROW()-250,'List Setup'!$C$3))&gt;1," (x"&amp;INDEX('Deck 1'!$A:$Z,ROW()-250,'List Setup'!$C$3)&amp;")","")&amp;IF(COUNTIF(Binders!$J$6:$J$30,TRUE())&gt;1," ["&amp;Q492&amp;"]",""))</f>
        <v/>
      </c>
      <c r="H492" s="80" t="str">
        <f t="array" ref="H492">IF(A492="","",CHAR(10)&amp;INDEX('Deck 1'!$A:$Z,ROW()-250,'List Setup'!$E$3)&amp;CHAR(10))</f>
        <v/>
      </c>
      <c r="I492" s="80" t="str">
        <f t="array" ref="I492">IF(OR(B492="",B492="(none)"),"",IF(ISNUMBER(SEARCH(CHAR(10)&amp;B492&amp;CHAR(10),H492)),B492,IFERROR(INDEX('Set Aliases'!$A$2:$A$501,MATCH(1,('Set Aliases'!$B$2:$B$501=B492)*ISNUMBER(SEARCH(CHAR(10)&amp;'Set Aliases'!$A$2:$A$501&amp;CHAR(10),H492)),0)),"")))</f>
        <v/>
      </c>
      <c r="J492" s="80" t="str">
        <f t="array" ref="J492">IF(I492="","",IFERROR(VALUE(TRIM(MID(SUBSTITUTE(INDEX('Deck 1'!$A:$Z,ROW()-250,'List Setup'!$G$3),CHAR(10),REPT(" ",100)),((SEARCH(CHAR(10)&amp;I492&amp;CHAR(10),H492)-LEN(SUBSTITUTE(LEFT(H492,SEARCH(CHAR(10)&amp;I492&amp;CHAR(10),H492)),CHAR(10),"")))-1)*100+1,100))),""))</f>
        <v/>
      </c>
      <c r="K492" s="80" t="str">
        <f t="array" ref="K492">IF(A492="","",IF(ISNUMBER(SEARCH("Land",LEFT(IFERROR(INDEX('Deck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92" s="80" t="str">
        <f t="shared" si="3"/>
        <v/>
      </c>
      <c r="M492" s="80" t="str">
        <f>IF(A492="","",IF(AND(E492="Y",B492='Use at Shop'!$B$4),K492*10000000000+(MAX(0,MIN(26,CODE(MID(UPPER(A492)&amp;"    ",1,1))-64))*19683+MAX(0,MIN(26,CODE(MID(UPPER(A492)&amp;"    ",2,1))-64))*729+MAX(0,MIN(26,CODE(MID(UPPER(A492)&amp;"    ",3,1))-64))*27+MAX(0,MIN(26,CODE(MID(UPPER(A492)&amp;"    ",4,1))-64))*1)*10000+ROW(),""))</f>
        <v/>
      </c>
      <c r="N492" s="80" t="str">
        <f t="shared" si="5"/>
        <v/>
      </c>
      <c r="O492" s="80" t="str">
        <f t="array" ref="O492">IF(A492="","",IFERROR(INDEX('Deck 1'!$A:$Z,ROW()-250,'List Setup'!$J$3)&amp;"",""))</f>
        <v/>
      </c>
      <c r="P492" s="2"/>
      <c r="Q492" s="80" t="str">
        <f>IF(A492="","",'List Setup'!$A$3)</f>
        <v/>
      </c>
      <c r="R492" s="80" t="str">
        <f t="array" ref="R492">IF(A492="","",IFERROR(OR(INDEX(Binders!$J$6:$J$30,MATCH(Q492,Binders!$I$6:$I$30,0))=TRUE(),UPPER(INDEX(Binders!$J$6:$J$30,MATCH(Q492,Binders!$I$6:$I$30,0))&amp;"")="TRUE"),FALSE()))</f>
        <v/>
      </c>
    </row>
    <row r="493" ht="15.75" customHeight="1">
      <c r="A493" s="80" t="str">
        <f t="array" ref="A493">IF(INDEX('Deck 1'!$A:$Z,ROW()-250,'List Setup'!$D$3)="","",INDEX('Deck 1'!$A:$Z,ROW()-250,'List Setup'!$D$3))</f>
        <v/>
      </c>
      <c r="B493" s="80" t="str">
        <f t="array" ref="B493">IF(A493="","",IFERROR(INDEX('Binder Setup'!$B$2:$B$401,MIN(IF(ISNUMBER(SEARCH(CHAR(10)&amp;'Binder Setup'!$B$2:$B$401&amp;CHAR(10),$H493)),'List Setup'!$Q$2:$Q$401,999),IF(ISNUMBER(SEARCH(CHAR(10)&amp;'Set Aliases'!$A$2:$A$501&amp;CHAR(10),$H493)),'Set Aliases'!$C$2:$C$501,999))),"(none)"))</f>
        <v/>
      </c>
      <c r="C493" s="80" t="str">
        <f t="shared" si="1"/>
        <v/>
      </c>
      <c r="D493" s="80" t="str">
        <f t="array" ref="D493">IF(A493="","",IF(ISLOGICAL(INDEX('Deck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93" s="80" t="str">
        <f t="shared" si="2"/>
        <v/>
      </c>
      <c r="F493" s="80" t="str">
        <f t="array" ref="F493">IF(A493="","",IF(ISNUMBER(J493),J493,IF(ISNUMBER(INDEX('Deck 1'!$A:$Z,ROW()-250,'List Setup'!$F$3)),INDEX('Deck 1'!$A:$Z,ROW()-250,'List Setup'!$F$3),0)))</f>
        <v/>
      </c>
      <c r="G493" s="80" t="str">
        <f t="array" ref="G493">IF(A493="","",A493&amp;IF(N(INDEX('Deck 1'!$A:$Z,ROW()-250,'List Setup'!$C$3))&gt;1," (x"&amp;INDEX('Deck 1'!$A:$Z,ROW()-250,'List Setup'!$C$3)&amp;")","")&amp;IF(COUNTIF(Binders!$J$6:$J$30,TRUE())&gt;1," ["&amp;Q493&amp;"]",""))</f>
        <v/>
      </c>
      <c r="H493" s="80" t="str">
        <f t="array" ref="H493">IF(A493="","",CHAR(10)&amp;INDEX('Deck 1'!$A:$Z,ROW()-250,'List Setup'!$E$3)&amp;CHAR(10))</f>
        <v/>
      </c>
      <c r="I493" s="80" t="str">
        <f t="array" ref="I493">IF(OR(B493="",B493="(none)"),"",IF(ISNUMBER(SEARCH(CHAR(10)&amp;B493&amp;CHAR(10),H493)),B493,IFERROR(INDEX('Set Aliases'!$A$2:$A$501,MATCH(1,('Set Aliases'!$B$2:$B$501=B493)*ISNUMBER(SEARCH(CHAR(10)&amp;'Set Aliases'!$A$2:$A$501&amp;CHAR(10),H493)),0)),"")))</f>
        <v/>
      </c>
      <c r="J493" s="80" t="str">
        <f t="array" ref="J493">IF(I493="","",IFERROR(VALUE(TRIM(MID(SUBSTITUTE(INDEX('Deck 1'!$A:$Z,ROW()-250,'List Setup'!$G$3),CHAR(10),REPT(" ",100)),((SEARCH(CHAR(10)&amp;I493&amp;CHAR(10),H493)-LEN(SUBSTITUTE(LEFT(H493,SEARCH(CHAR(10)&amp;I493&amp;CHAR(10),H493)),CHAR(10),"")))-1)*100+1,100))),""))</f>
        <v/>
      </c>
      <c r="K493" s="80" t="str">
        <f t="array" ref="K493">IF(A493="","",IF(ISNUMBER(SEARCH("Land",LEFT(IFERROR(INDEX('Deck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93" s="80" t="str">
        <f t="shared" si="3"/>
        <v/>
      </c>
      <c r="M493" s="80" t="str">
        <f>IF(A493="","",IF(AND(E493="Y",B493='Use at Shop'!$B$4),K493*10000000000+(MAX(0,MIN(26,CODE(MID(UPPER(A493)&amp;"    ",1,1))-64))*19683+MAX(0,MIN(26,CODE(MID(UPPER(A493)&amp;"    ",2,1))-64))*729+MAX(0,MIN(26,CODE(MID(UPPER(A493)&amp;"    ",3,1))-64))*27+MAX(0,MIN(26,CODE(MID(UPPER(A493)&amp;"    ",4,1))-64))*1)*10000+ROW(),""))</f>
        <v/>
      </c>
      <c r="N493" s="80" t="str">
        <f t="shared" si="5"/>
        <v/>
      </c>
      <c r="O493" s="80" t="str">
        <f t="array" ref="O493">IF(A493="","",IFERROR(INDEX('Deck 1'!$A:$Z,ROW()-250,'List Setup'!$J$3)&amp;"",""))</f>
        <v/>
      </c>
      <c r="P493" s="2"/>
      <c r="Q493" s="80" t="str">
        <f>IF(A493="","",'List Setup'!$A$3)</f>
        <v/>
      </c>
      <c r="R493" s="80" t="str">
        <f t="array" ref="R493">IF(A493="","",IFERROR(OR(INDEX(Binders!$J$6:$J$30,MATCH(Q493,Binders!$I$6:$I$30,0))=TRUE(),UPPER(INDEX(Binders!$J$6:$J$30,MATCH(Q493,Binders!$I$6:$I$30,0))&amp;"")="TRUE"),FALSE()))</f>
        <v/>
      </c>
    </row>
    <row r="494" ht="15.75" customHeight="1">
      <c r="A494" s="80" t="str">
        <f t="array" ref="A494">IF(INDEX('Deck 1'!$A:$Z,ROW()-250,'List Setup'!$D$3)="","",INDEX('Deck 1'!$A:$Z,ROW()-250,'List Setup'!$D$3))</f>
        <v/>
      </c>
      <c r="B494" s="80" t="str">
        <f t="array" ref="B494">IF(A494="","",IFERROR(INDEX('Binder Setup'!$B$2:$B$401,MIN(IF(ISNUMBER(SEARCH(CHAR(10)&amp;'Binder Setup'!$B$2:$B$401&amp;CHAR(10),$H494)),'List Setup'!$Q$2:$Q$401,999),IF(ISNUMBER(SEARCH(CHAR(10)&amp;'Set Aliases'!$A$2:$A$501&amp;CHAR(10),$H494)),'Set Aliases'!$C$2:$C$501,999))),"(none)"))</f>
        <v/>
      </c>
      <c r="C494" s="80" t="str">
        <f t="shared" si="1"/>
        <v/>
      </c>
      <c r="D494" s="80" t="str">
        <f t="array" ref="D494">IF(A494="","",IF(ISLOGICAL(INDEX('Deck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94" s="80" t="str">
        <f t="shared" si="2"/>
        <v/>
      </c>
      <c r="F494" s="80" t="str">
        <f t="array" ref="F494">IF(A494="","",IF(ISNUMBER(J494),J494,IF(ISNUMBER(INDEX('Deck 1'!$A:$Z,ROW()-250,'List Setup'!$F$3)),INDEX('Deck 1'!$A:$Z,ROW()-250,'List Setup'!$F$3),0)))</f>
        <v/>
      </c>
      <c r="G494" s="80" t="str">
        <f t="array" ref="G494">IF(A494="","",A494&amp;IF(N(INDEX('Deck 1'!$A:$Z,ROW()-250,'List Setup'!$C$3))&gt;1," (x"&amp;INDEX('Deck 1'!$A:$Z,ROW()-250,'List Setup'!$C$3)&amp;")","")&amp;IF(COUNTIF(Binders!$J$6:$J$30,TRUE())&gt;1," ["&amp;Q494&amp;"]",""))</f>
        <v/>
      </c>
      <c r="H494" s="80" t="str">
        <f t="array" ref="H494">IF(A494="","",CHAR(10)&amp;INDEX('Deck 1'!$A:$Z,ROW()-250,'List Setup'!$E$3)&amp;CHAR(10))</f>
        <v/>
      </c>
      <c r="I494" s="80" t="str">
        <f t="array" ref="I494">IF(OR(B494="",B494="(none)"),"",IF(ISNUMBER(SEARCH(CHAR(10)&amp;B494&amp;CHAR(10),H494)),B494,IFERROR(INDEX('Set Aliases'!$A$2:$A$501,MATCH(1,('Set Aliases'!$B$2:$B$501=B494)*ISNUMBER(SEARCH(CHAR(10)&amp;'Set Aliases'!$A$2:$A$501&amp;CHAR(10),H494)),0)),"")))</f>
        <v/>
      </c>
      <c r="J494" s="80" t="str">
        <f t="array" ref="J494">IF(I494="","",IFERROR(VALUE(TRIM(MID(SUBSTITUTE(INDEX('Deck 1'!$A:$Z,ROW()-250,'List Setup'!$G$3),CHAR(10),REPT(" ",100)),((SEARCH(CHAR(10)&amp;I494&amp;CHAR(10),H494)-LEN(SUBSTITUTE(LEFT(H494,SEARCH(CHAR(10)&amp;I494&amp;CHAR(10),H494)),CHAR(10),"")))-1)*100+1,100))),""))</f>
        <v/>
      </c>
      <c r="K494" s="80" t="str">
        <f t="array" ref="K494">IF(A494="","",IF(ISNUMBER(SEARCH("Land",LEFT(IFERROR(INDEX('Deck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94" s="80" t="str">
        <f t="shared" si="3"/>
        <v/>
      </c>
      <c r="M494" s="80" t="str">
        <f>IF(A494="","",IF(AND(E494="Y",B494='Use at Shop'!$B$4),K494*10000000000+(MAX(0,MIN(26,CODE(MID(UPPER(A494)&amp;"    ",1,1))-64))*19683+MAX(0,MIN(26,CODE(MID(UPPER(A494)&amp;"    ",2,1))-64))*729+MAX(0,MIN(26,CODE(MID(UPPER(A494)&amp;"    ",3,1))-64))*27+MAX(0,MIN(26,CODE(MID(UPPER(A494)&amp;"    ",4,1))-64))*1)*10000+ROW(),""))</f>
        <v/>
      </c>
      <c r="N494" s="80" t="str">
        <f t="shared" si="5"/>
        <v/>
      </c>
      <c r="O494" s="80" t="str">
        <f t="array" ref="O494">IF(A494="","",IFERROR(INDEX('Deck 1'!$A:$Z,ROW()-250,'List Setup'!$J$3)&amp;"",""))</f>
        <v/>
      </c>
      <c r="P494" s="2"/>
      <c r="Q494" s="80" t="str">
        <f>IF(A494="","",'List Setup'!$A$3)</f>
        <v/>
      </c>
      <c r="R494" s="80" t="str">
        <f t="array" ref="R494">IF(A494="","",IFERROR(OR(INDEX(Binders!$J$6:$J$30,MATCH(Q494,Binders!$I$6:$I$30,0))=TRUE(),UPPER(INDEX(Binders!$J$6:$J$30,MATCH(Q494,Binders!$I$6:$I$30,0))&amp;"")="TRUE"),FALSE()))</f>
        <v/>
      </c>
    </row>
    <row r="495" ht="15.75" customHeight="1">
      <c r="A495" s="80" t="str">
        <f t="array" ref="A495">IF(INDEX('Deck 1'!$A:$Z,ROW()-250,'List Setup'!$D$3)="","",INDEX('Deck 1'!$A:$Z,ROW()-250,'List Setup'!$D$3))</f>
        <v/>
      </c>
      <c r="B495" s="80" t="str">
        <f t="array" ref="B495">IF(A495="","",IFERROR(INDEX('Binder Setup'!$B$2:$B$401,MIN(IF(ISNUMBER(SEARCH(CHAR(10)&amp;'Binder Setup'!$B$2:$B$401&amp;CHAR(10),$H495)),'List Setup'!$Q$2:$Q$401,999),IF(ISNUMBER(SEARCH(CHAR(10)&amp;'Set Aliases'!$A$2:$A$501&amp;CHAR(10),$H495)),'Set Aliases'!$C$2:$C$501,999))),"(none)"))</f>
        <v/>
      </c>
      <c r="C495" s="80" t="str">
        <f t="shared" si="1"/>
        <v/>
      </c>
      <c r="D495" s="80" t="str">
        <f t="array" ref="D495">IF(A495="","",IF(ISLOGICAL(INDEX('Deck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95" s="80" t="str">
        <f t="shared" si="2"/>
        <v/>
      </c>
      <c r="F495" s="80" t="str">
        <f t="array" ref="F495">IF(A495="","",IF(ISNUMBER(J495),J495,IF(ISNUMBER(INDEX('Deck 1'!$A:$Z,ROW()-250,'List Setup'!$F$3)),INDEX('Deck 1'!$A:$Z,ROW()-250,'List Setup'!$F$3),0)))</f>
        <v/>
      </c>
      <c r="G495" s="80" t="str">
        <f t="array" ref="G495">IF(A495="","",A495&amp;IF(N(INDEX('Deck 1'!$A:$Z,ROW()-250,'List Setup'!$C$3))&gt;1," (x"&amp;INDEX('Deck 1'!$A:$Z,ROW()-250,'List Setup'!$C$3)&amp;")","")&amp;IF(COUNTIF(Binders!$J$6:$J$30,TRUE())&gt;1," ["&amp;Q495&amp;"]",""))</f>
        <v/>
      </c>
      <c r="H495" s="80" t="str">
        <f t="array" ref="H495">IF(A495="","",CHAR(10)&amp;INDEX('Deck 1'!$A:$Z,ROW()-250,'List Setup'!$E$3)&amp;CHAR(10))</f>
        <v/>
      </c>
      <c r="I495" s="80" t="str">
        <f t="array" ref="I495">IF(OR(B495="",B495="(none)"),"",IF(ISNUMBER(SEARCH(CHAR(10)&amp;B495&amp;CHAR(10),H495)),B495,IFERROR(INDEX('Set Aliases'!$A$2:$A$501,MATCH(1,('Set Aliases'!$B$2:$B$501=B495)*ISNUMBER(SEARCH(CHAR(10)&amp;'Set Aliases'!$A$2:$A$501&amp;CHAR(10),H495)),0)),"")))</f>
        <v/>
      </c>
      <c r="J495" s="80" t="str">
        <f t="array" ref="J495">IF(I495="","",IFERROR(VALUE(TRIM(MID(SUBSTITUTE(INDEX('Deck 1'!$A:$Z,ROW()-250,'List Setup'!$G$3),CHAR(10),REPT(" ",100)),((SEARCH(CHAR(10)&amp;I495&amp;CHAR(10),H495)-LEN(SUBSTITUTE(LEFT(H495,SEARCH(CHAR(10)&amp;I495&amp;CHAR(10),H495)),CHAR(10),"")))-1)*100+1,100))),""))</f>
        <v/>
      </c>
      <c r="K495" s="80" t="str">
        <f t="array" ref="K495">IF(A495="","",IF(ISNUMBER(SEARCH("Land",LEFT(IFERROR(INDEX('Deck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95" s="80" t="str">
        <f t="shared" si="3"/>
        <v/>
      </c>
      <c r="M495" s="80" t="str">
        <f>IF(A495="","",IF(AND(E495="Y",B495='Use at Shop'!$B$4),K495*10000000000+(MAX(0,MIN(26,CODE(MID(UPPER(A495)&amp;"    ",1,1))-64))*19683+MAX(0,MIN(26,CODE(MID(UPPER(A495)&amp;"    ",2,1))-64))*729+MAX(0,MIN(26,CODE(MID(UPPER(A495)&amp;"    ",3,1))-64))*27+MAX(0,MIN(26,CODE(MID(UPPER(A495)&amp;"    ",4,1))-64))*1)*10000+ROW(),""))</f>
        <v/>
      </c>
      <c r="N495" s="80" t="str">
        <f t="shared" si="5"/>
        <v/>
      </c>
      <c r="O495" s="80" t="str">
        <f t="array" ref="O495">IF(A495="","",IFERROR(INDEX('Deck 1'!$A:$Z,ROW()-250,'List Setup'!$J$3)&amp;"",""))</f>
        <v/>
      </c>
      <c r="P495" s="2"/>
      <c r="Q495" s="80" t="str">
        <f>IF(A495="","",'List Setup'!$A$3)</f>
        <v/>
      </c>
      <c r="R495" s="80" t="str">
        <f t="array" ref="R495">IF(A495="","",IFERROR(OR(INDEX(Binders!$J$6:$J$30,MATCH(Q495,Binders!$I$6:$I$30,0))=TRUE(),UPPER(INDEX(Binders!$J$6:$J$30,MATCH(Q495,Binders!$I$6:$I$30,0))&amp;"")="TRUE"),FALSE()))</f>
        <v/>
      </c>
    </row>
    <row r="496" ht="15.75" customHeight="1">
      <c r="A496" s="80" t="str">
        <f t="array" ref="A496">IF(INDEX('Deck 1'!$A:$Z,ROW()-250,'List Setup'!$D$3)="","",INDEX('Deck 1'!$A:$Z,ROW()-250,'List Setup'!$D$3))</f>
        <v/>
      </c>
      <c r="B496" s="80" t="str">
        <f t="array" ref="B496">IF(A496="","",IFERROR(INDEX('Binder Setup'!$B$2:$B$401,MIN(IF(ISNUMBER(SEARCH(CHAR(10)&amp;'Binder Setup'!$B$2:$B$401&amp;CHAR(10),$H496)),'List Setup'!$Q$2:$Q$401,999),IF(ISNUMBER(SEARCH(CHAR(10)&amp;'Set Aliases'!$A$2:$A$501&amp;CHAR(10),$H496)),'Set Aliases'!$C$2:$C$501,999))),"(none)"))</f>
        <v/>
      </c>
      <c r="C496" s="80" t="str">
        <f t="shared" si="1"/>
        <v/>
      </c>
      <c r="D496" s="80" t="str">
        <f t="array" ref="D496">IF(A496="","",IF(ISLOGICAL(INDEX('Deck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96" s="80" t="str">
        <f t="shared" si="2"/>
        <v/>
      </c>
      <c r="F496" s="80" t="str">
        <f t="array" ref="F496">IF(A496="","",IF(ISNUMBER(J496),J496,IF(ISNUMBER(INDEX('Deck 1'!$A:$Z,ROW()-250,'List Setup'!$F$3)),INDEX('Deck 1'!$A:$Z,ROW()-250,'List Setup'!$F$3),0)))</f>
        <v/>
      </c>
      <c r="G496" s="80" t="str">
        <f t="array" ref="G496">IF(A496="","",A496&amp;IF(N(INDEX('Deck 1'!$A:$Z,ROW()-250,'List Setup'!$C$3))&gt;1," (x"&amp;INDEX('Deck 1'!$A:$Z,ROW()-250,'List Setup'!$C$3)&amp;")","")&amp;IF(COUNTIF(Binders!$J$6:$J$30,TRUE())&gt;1," ["&amp;Q496&amp;"]",""))</f>
        <v/>
      </c>
      <c r="H496" s="80" t="str">
        <f t="array" ref="H496">IF(A496="","",CHAR(10)&amp;INDEX('Deck 1'!$A:$Z,ROW()-250,'List Setup'!$E$3)&amp;CHAR(10))</f>
        <v/>
      </c>
      <c r="I496" s="80" t="str">
        <f t="array" ref="I496">IF(OR(B496="",B496="(none)"),"",IF(ISNUMBER(SEARCH(CHAR(10)&amp;B496&amp;CHAR(10),H496)),B496,IFERROR(INDEX('Set Aliases'!$A$2:$A$501,MATCH(1,('Set Aliases'!$B$2:$B$501=B496)*ISNUMBER(SEARCH(CHAR(10)&amp;'Set Aliases'!$A$2:$A$501&amp;CHAR(10),H496)),0)),"")))</f>
        <v/>
      </c>
      <c r="J496" s="80" t="str">
        <f t="array" ref="J496">IF(I496="","",IFERROR(VALUE(TRIM(MID(SUBSTITUTE(INDEX('Deck 1'!$A:$Z,ROW()-250,'List Setup'!$G$3),CHAR(10),REPT(" ",100)),((SEARCH(CHAR(10)&amp;I496&amp;CHAR(10),H496)-LEN(SUBSTITUTE(LEFT(H496,SEARCH(CHAR(10)&amp;I496&amp;CHAR(10),H496)),CHAR(10),"")))-1)*100+1,100))),""))</f>
        <v/>
      </c>
      <c r="K496" s="80" t="str">
        <f t="array" ref="K496">IF(A496="","",IF(ISNUMBER(SEARCH("Land",LEFT(IFERROR(INDEX('Deck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96" s="80" t="str">
        <f t="shared" si="3"/>
        <v/>
      </c>
      <c r="M496" s="80" t="str">
        <f>IF(A496="","",IF(AND(E496="Y",B496='Use at Shop'!$B$4),K496*10000000000+(MAX(0,MIN(26,CODE(MID(UPPER(A496)&amp;"    ",1,1))-64))*19683+MAX(0,MIN(26,CODE(MID(UPPER(A496)&amp;"    ",2,1))-64))*729+MAX(0,MIN(26,CODE(MID(UPPER(A496)&amp;"    ",3,1))-64))*27+MAX(0,MIN(26,CODE(MID(UPPER(A496)&amp;"    ",4,1))-64))*1)*10000+ROW(),""))</f>
        <v/>
      </c>
      <c r="N496" s="80" t="str">
        <f t="shared" si="5"/>
        <v/>
      </c>
      <c r="O496" s="80" t="str">
        <f t="array" ref="O496">IF(A496="","",IFERROR(INDEX('Deck 1'!$A:$Z,ROW()-250,'List Setup'!$J$3)&amp;"",""))</f>
        <v/>
      </c>
      <c r="P496" s="2"/>
      <c r="Q496" s="80" t="str">
        <f>IF(A496="","",'List Setup'!$A$3)</f>
        <v/>
      </c>
      <c r="R496" s="80" t="str">
        <f t="array" ref="R496">IF(A496="","",IFERROR(OR(INDEX(Binders!$J$6:$J$30,MATCH(Q496,Binders!$I$6:$I$30,0))=TRUE(),UPPER(INDEX(Binders!$J$6:$J$30,MATCH(Q496,Binders!$I$6:$I$30,0))&amp;"")="TRUE"),FALSE()))</f>
        <v/>
      </c>
    </row>
    <row r="497" ht="15.75" customHeight="1">
      <c r="A497" s="80" t="str">
        <f t="array" ref="A497">IF(INDEX('Deck 1'!$A:$Z,ROW()-250,'List Setup'!$D$3)="","",INDEX('Deck 1'!$A:$Z,ROW()-250,'List Setup'!$D$3))</f>
        <v/>
      </c>
      <c r="B497" s="80" t="str">
        <f t="array" ref="B497">IF(A497="","",IFERROR(INDEX('Binder Setup'!$B$2:$B$401,MIN(IF(ISNUMBER(SEARCH(CHAR(10)&amp;'Binder Setup'!$B$2:$B$401&amp;CHAR(10),$H497)),'List Setup'!$Q$2:$Q$401,999),IF(ISNUMBER(SEARCH(CHAR(10)&amp;'Set Aliases'!$A$2:$A$501&amp;CHAR(10),$H497)),'Set Aliases'!$C$2:$C$501,999))),"(none)"))</f>
        <v/>
      </c>
      <c r="C497" s="80" t="str">
        <f t="shared" si="1"/>
        <v/>
      </c>
      <c r="D497" s="80" t="str">
        <f t="array" ref="D497">IF(A497="","",IF(ISLOGICAL(INDEX('Deck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97" s="80" t="str">
        <f t="shared" si="2"/>
        <v/>
      </c>
      <c r="F497" s="80" t="str">
        <f t="array" ref="F497">IF(A497="","",IF(ISNUMBER(J497),J497,IF(ISNUMBER(INDEX('Deck 1'!$A:$Z,ROW()-250,'List Setup'!$F$3)),INDEX('Deck 1'!$A:$Z,ROW()-250,'List Setup'!$F$3),0)))</f>
        <v/>
      </c>
      <c r="G497" s="80" t="str">
        <f t="array" ref="G497">IF(A497="","",A497&amp;IF(N(INDEX('Deck 1'!$A:$Z,ROW()-250,'List Setup'!$C$3))&gt;1," (x"&amp;INDEX('Deck 1'!$A:$Z,ROW()-250,'List Setup'!$C$3)&amp;")","")&amp;IF(COUNTIF(Binders!$J$6:$J$30,TRUE())&gt;1," ["&amp;Q497&amp;"]",""))</f>
        <v/>
      </c>
      <c r="H497" s="80" t="str">
        <f t="array" ref="H497">IF(A497="","",CHAR(10)&amp;INDEX('Deck 1'!$A:$Z,ROW()-250,'List Setup'!$E$3)&amp;CHAR(10))</f>
        <v/>
      </c>
      <c r="I497" s="80" t="str">
        <f t="array" ref="I497">IF(OR(B497="",B497="(none)"),"",IF(ISNUMBER(SEARCH(CHAR(10)&amp;B497&amp;CHAR(10),H497)),B497,IFERROR(INDEX('Set Aliases'!$A$2:$A$501,MATCH(1,('Set Aliases'!$B$2:$B$501=B497)*ISNUMBER(SEARCH(CHAR(10)&amp;'Set Aliases'!$A$2:$A$501&amp;CHAR(10),H497)),0)),"")))</f>
        <v/>
      </c>
      <c r="J497" s="80" t="str">
        <f t="array" ref="J497">IF(I497="","",IFERROR(VALUE(TRIM(MID(SUBSTITUTE(INDEX('Deck 1'!$A:$Z,ROW()-250,'List Setup'!$G$3),CHAR(10),REPT(" ",100)),((SEARCH(CHAR(10)&amp;I497&amp;CHAR(10),H497)-LEN(SUBSTITUTE(LEFT(H497,SEARCH(CHAR(10)&amp;I497&amp;CHAR(10),H497)),CHAR(10),"")))-1)*100+1,100))),""))</f>
        <v/>
      </c>
      <c r="K497" s="80" t="str">
        <f t="array" ref="K497">IF(A497="","",IF(ISNUMBER(SEARCH("Land",LEFT(IFERROR(INDEX('Deck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97" s="80" t="str">
        <f t="shared" si="3"/>
        <v/>
      </c>
      <c r="M497" s="80" t="str">
        <f>IF(A497="","",IF(AND(E497="Y",B497='Use at Shop'!$B$4),K497*10000000000+(MAX(0,MIN(26,CODE(MID(UPPER(A497)&amp;"    ",1,1))-64))*19683+MAX(0,MIN(26,CODE(MID(UPPER(A497)&amp;"    ",2,1))-64))*729+MAX(0,MIN(26,CODE(MID(UPPER(A497)&amp;"    ",3,1))-64))*27+MAX(0,MIN(26,CODE(MID(UPPER(A497)&amp;"    ",4,1))-64))*1)*10000+ROW(),""))</f>
        <v/>
      </c>
      <c r="N497" s="80" t="str">
        <f t="shared" si="5"/>
        <v/>
      </c>
      <c r="O497" s="80" t="str">
        <f t="array" ref="O497">IF(A497="","",IFERROR(INDEX('Deck 1'!$A:$Z,ROW()-250,'List Setup'!$J$3)&amp;"",""))</f>
        <v/>
      </c>
      <c r="P497" s="2"/>
      <c r="Q497" s="80" t="str">
        <f>IF(A497="","",'List Setup'!$A$3)</f>
        <v/>
      </c>
      <c r="R497" s="80" t="str">
        <f t="array" ref="R497">IF(A497="","",IFERROR(OR(INDEX(Binders!$J$6:$J$30,MATCH(Q497,Binders!$I$6:$I$30,0))=TRUE(),UPPER(INDEX(Binders!$J$6:$J$30,MATCH(Q497,Binders!$I$6:$I$30,0))&amp;"")="TRUE"),FALSE()))</f>
        <v/>
      </c>
    </row>
    <row r="498" ht="15.75" customHeight="1">
      <c r="A498" s="80" t="str">
        <f t="array" ref="A498">IF(INDEX('Deck 1'!$A:$Z,ROW()-250,'List Setup'!$D$3)="","",INDEX('Deck 1'!$A:$Z,ROW()-250,'List Setup'!$D$3))</f>
        <v/>
      </c>
      <c r="B498" s="80" t="str">
        <f t="array" ref="B498">IF(A498="","",IFERROR(INDEX('Binder Setup'!$B$2:$B$401,MIN(IF(ISNUMBER(SEARCH(CHAR(10)&amp;'Binder Setup'!$B$2:$B$401&amp;CHAR(10),$H498)),'List Setup'!$Q$2:$Q$401,999),IF(ISNUMBER(SEARCH(CHAR(10)&amp;'Set Aliases'!$A$2:$A$501&amp;CHAR(10),$H498)),'Set Aliases'!$C$2:$C$501,999))),"(none)"))</f>
        <v/>
      </c>
      <c r="C498" s="80" t="str">
        <f t="shared" si="1"/>
        <v/>
      </c>
      <c r="D498" s="80" t="str">
        <f t="array" ref="D498">IF(A498="","",IF(ISLOGICAL(INDEX('Deck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98" s="80" t="str">
        <f t="shared" si="2"/>
        <v/>
      </c>
      <c r="F498" s="80" t="str">
        <f t="array" ref="F498">IF(A498="","",IF(ISNUMBER(J498),J498,IF(ISNUMBER(INDEX('Deck 1'!$A:$Z,ROW()-250,'List Setup'!$F$3)),INDEX('Deck 1'!$A:$Z,ROW()-250,'List Setup'!$F$3),0)))</f>
        <v/>
      </c>
      <c r="G498" s="80" t="str">
        <f t="array" ref="G498">IF(A498="","",A498&amp;IF(N(INDEX('Deck 1'!$A:$Z,ROW()-250,'List Setup'!$C$3))&gt;1," (x"&amp;INDEX('Deck 1'!$A:$Z,ROW()-250,'List Setup'!$C$3)&amp;")","")&amp;IF(COUNTIF(Binders!$J$6:$J$30,TRUE())&gt;1," ["&amp;Q498&amp;"]",""))</f>
        <v/>
      </c>
      <c r="H498" s="80" t="str">
        <f t="array" ref="H498">IF(A498="","",CHAR(10)&amp;INDEX('Deck 1'!$A:$Z,ROW()-250,'List Setup'!$E$3)&amp;CHAR(10))</f>
        <v/>
      </c>
      <c r="I498" s="80" t="str">
        <f t="array" ref="I498">IF(OR(B498="",B498="(none)"),"",IF(ISNUMBER(SEARCH(CHAR(10)&amp;B498&amp;CHAR(10),H498)),B498,IFERROR(INDEX('Set Aliases'!$A$2:$A$501,MATCH(1,('Set Aliases'!$B$2:$B$501=B498)*ISNUMBER(SEARCH(CHAR(10)&amp;'Set Aliases'!$A$2:$A$501&amp;CHAR(10),H498)),0)),"")))</f>
        <v/>
      </c>
      <c r="J498" s="80" t="str">
        <f t="array" ref="J498">IF(I498="","",IFERROR(VALUE(TRIM(MID(SUBSTITUTE(INDEX('Deck 1'!$A:$Z,ROW()-250,'List Setup'!$G$3),CHAR(10),REPT(" ",100)),((SEARCH(CHAR(10)&amp;I498&amp;CHAR(10),H498)-LEN(SUBSTITUTE(LEFT(H498,SEARCH(CHAR(10)&amp;I498&amp;CHAR(10),H498)),CHAR(10),"")))-1)*100+1,100))),""))</f>
        <v/>
      </c>
      <c r="K498" s="80" t="str">
        <f t="array" ref="K498">IF(A498="","",IF(ISNUMBER(SEARCH("Land",LEFT(IFERROR(INDEX('Deck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98" s="80" t="str">
        <f t="shared" si="3"/>
        <v/>
      </c>
      <c r="M498" s="80" t="str">
        <f>IF(A498="","",IF(AND(E498="Y",B498='Use at Shop'!$B$4),K498*10000000000+(MAX(0,MIN(26,CODE(MID(UPPER(A498)&amp;"    ",1,1))-64))*19683+MAX(0,MIN(26,CODE(MID(UPPER(A498)&amp;"    ",2,1))-64))*729+MAX(0,MIN(26,CODE(MID(UPPER(A498)&amp;"    ",3,1))-64))*27+MAX(0,MIN(26,CODE(MID(UPPER(A498)&amp;"    ",4,1))-64))*1)*10000+ROW(),""))</f>
        <v/>
      </c>
      <c r="N498" s="80" t="str">
        <f t="shared" si="5"/>
        <v/>
      </c>
      <c r="O498" s="80" t="str">
        <f t="array" ref="O498">IF(A498="","",IFERROR(INDEX('Deck 1'!$A:$Z,ROW()-250,'List Setup'!$J$3)&amp;"",""))</f>
        <v/>
      </c>
      <c r="P498" s="2"/>
      <c r="Q498" s="80" t="str">
        <f>IF(A498="","",'List Setup'!$A$3)</f>
        <v/>
      </c>
      <c r="R498" s="80" t="str">
        <f t="array" ref="R498">IF(A498="","",IFERROR(OR(INDEX(Binders!$J$6:$J$30,MATCH(Q498,Binders!$I$6:$I$30,0))=TRUE(),UPPER(INDEX(Binders!$J$6:$J$30,MATCH(Q498,Binders!$I$6:$I$30,0))&amp;"")="TRUE"),FALSE()))</f>
        <v/>
      </c>
    </row>
    <row r="499" ht="15.75" customHeight="1">
      <c r="A499" s="80" t="str">
        <f t="array" ref="A499">IF(INDEX('Deck 1'!$A:$Z,ROW()-250,'List Setup'!$D$3)="","",INDEX('Deck 1'!$A:$Z,ROW()-250,'List Setup'!$D$3))</f>
        <v/>
      </c>
      <c r="B499" s="80" t="str">
        <f t="array" ref="B499">IF(A499="","",IFERROR(INDEX('Binder Setup'!$B$2:$B$401,MIN(IF(ISNUMBER(SEARCH(CHAR(10)&amp;'Binder Setup'!$B$2:$B$401&amp;CHAR(10),$H499)),'List Setup'!$Q$2:$Q$401,999),IF(ISNUMBER(SEARCH(CHAR(10)&amp;'Set Aliases'!$A$2:$A$501&amp;CHAR(10),$H499)),'Set Aliases'!$C$2:$C$501,999))),"(none)"))</f>
        <v/>
      </c>
      <c r="C499" s="80" t="str">
        <f t="shared" si="1"/>
        <v/>
      </c>
      <c r="D499" s="80" t="str">
        <f t="array" ref="D499">IF(A499="","",IF(ISLOGICAL(INDEX('Deck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499" s="80" t="str">
        <f t="shared" si="2"/>
        <v/>
      </c>
      <c r="F499" s="80" t="str">
        <f t="array" ref="F499">IF(A499="","",IF(ISNUMBER(J499),J499,IF(ISNUMBER(INDEX('Deck 1'!$A:$Z,ROW()-250,'List Setup'!$F$3)),INDEX('Deck 1'!$A:$Z,ROW()-250,'List Setup'!$F$3),0)))</f>
        <v/>
      </c>
      <c r="G499" s="80" t="str">
        <f t="array" ref="G499">IF(A499="","",A499&amp;IF(N(INDEX('Deck 1'!$A:$Z,ROW()-250,'List Setup'!$C$3))&gt;1," (x"&amp;INDEX('Deck 1'!$A:$Z,ROW()-250,'List Setup'!$C$3)&amp;")","")&amp;IF(COUNTIF(Binders!$J$6:$J$30,TRUE())&gt;1," ["&amp;Q499&amp;"]",""))</f>
        <v/>
      </c>
      <c r="H499" s="80" t="str">
        <f t="array" ref="H499">IF(A499="","",CHAR(10)&amp;INDEX('Deck 1'!$A:$Z,ROW()-250,'List Setup'!$E$3)&amp;CHAR(10))</f>
        <v/>
      </c>
      <c r="I499" s="80" t="str">
        <f t="array" ref="I499">IF(OR(B499="",B499="(none)"),"",IF(ISNUMBER(SEARCH(CHAR(10)&amp;B499&amp;CHAR(10),H499)),B499,IFERROR(INDEX('Set Aliases'!$A$2:$A$501,MATCH(1,('Set Aliases'!$B$2:$B$501=B499)*ISNUMBER(SEARCH(CHAR(10)&amp;'Set Aliases'!$A$2:$A$501&amp;CHAR(10),H499)),0)),"")))</f>
        <v/>
      </c>
      <c r="J499" s="80" t="str">
        <f t="array" ref="J499">IF(I499="","",IFERROR(VALUE(TRIM(MID(SUBSTITUTE(INDEX('Deck 1'!$A:$Z,ROW()-250,'List Setup'!$G$3),CHAR(10),REPT(" ",100)),((SEARCH(CHAR(10)&amp;I499&amp;CHAR(10),H499)-LEN(SUBSTITUTE(LEFT(H499,SEARCH(CHAR(10)&amp;I499&amp;CHAR(10),H499)),CHAR(10),"")))-1)*100+1,100))),""))</f>
        <v/>
      </c>
      <c r="K499" s="80" t="str">
        <f t="array" ref="K499">IF(A499="","",IF(ISNUMBER(SEARCH("Land",LEFT(IFERROR(INDEX('Deck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499" s="80" t="str">
        <f t="shared" si="3"/>
        <v/>
      </c>
      <c r="M499" s="80" t="str">
        <f>IF(A499="","",IF(AND(E499="Y",B499='Use at Shop'!$B$4),K499*10000000000+(MAX(0,MIN(26,CODE(MID(UPPER(A499)&amp;"    ",1,1))-64))*19683+MAX(0,MIN(26,CODE(MID(UPPER(A499)&amp;"    ",2,1))-64))*729+MAX(0,MIN(26,CODE(MID(UPPER(A499)&amp;"    ",3,1))-64))*27+MAX(0,MIN(26,CODE(MID(UPPER(A499)&amp;"    ",4,1))-64))*1)*10000+ROW(),""))</f>
        <v/>
      </c>
      <c r="N499" s="80" t="str">
        <f t="shared" si="5"/>
        <v/>
      </c>
      <c r="O499" s="80" t="str">
        <f t="array" ref="O499">IF(A499="","",IFERROR(INDEX('Deck 1'!$A:$Z,ROW()-250,'List Setup'!$J$3)&amp;"",""))</f>
        <v/>
      </c>
      <c r="P499" s="2"/>
      <c r="Q499" s="80" t="str">
        <f>IF(A499="","",'List Setup'!$A$3)</f>
        <v/>
      </c>
      <c r="R499" s="80" t="str">
        <f t="array" ref="R499">IF(A499="","",IFERROR(OR(INDEX(Binders!$J$6:$J$30,MATCH(Q499,Binders!$I$6:$I$30,0))=TRUE(),UPPER(INDEX(Binders!$J$6:$J$30,MATCH(Q499,Binders!$I$6:$I$30,0))&amp;"")="TRUE"),FALSE()))</f>
        <v/>
      </c>
    </row>
    <row r="500" ht="15.75" customHeight="1">
      <c r="A500" s="80" t="str">
        <f t="array" ref="A500">IF(INDEX('Deck 1'!$A:$Z,ROW()-250,'List Setup'!$D$3)="","",INDEX('Deck 1'!$A:$Z,ROW()-250,'List Setup'!$D$3))</f>
        <v/>
      </c>
      <c r="B500" s="80" t="str">
        <f t="array" ref="B500">IF(A500="","",IFERROR(INDEX('Binder Setup'!$B$2:$B$401,MIN(IF(ISNUMBER(SEARCH(CHAR(10)&amp;'Binder Setup'!$B$2:$B$401&amp;CHAR(10),$H500)),'List Setup'!$Q$2:$Q$401,999),IF(ISNUMBER(SEARCH(CHAR(10)&amp;'Set Aliases'!$A$2:$A$501&amp;CHAR(10),$H500)),'Set Aliases'!$C$2:$C$501,999))),"(none)"))</f>
        <v/>
      </c>
      <c r="C500" s="80" t="str">
        <f t="shared" si="1"/>
        <v/>
      </c>
      <c r="D500" s="80" t="str">
        <f t="array" ref="D500">IF(A500="","",IF(ISLOGICAL(INDEX('Deck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500" s="80" t="str">
        <f t="shared" si="2"/>
        <v/>
      </c>
      <c r="F500" s="80" t="str">
        <f t="array" ref="F500">IF(A500="","",IF(ISNUMBER(J500),J500,IF(ISNUMBER(INDEX('Deck 1'!$A:$Z,ROW()-250,'List Setup'!$F$3)),INDEX('Deck 1'!$A:$Z,ROW()-250,'List Setup'!$F$3),0)))</f>
        <v/>
      </c>
      <c r="G500" s="80" t="str">
        <f t="array" ref="G500">IF(A500="","",A500&amp;IF(N(INDEX('Deck 1'!$A:$Z,ROW()-250,'List Setup'!$C$3))&gt;1," (x"&amp;INDEX('Deck 1'!$A:$Z,ROW()-250,'List Setup'!$C$3)&amp;")","")&amp;IF(COUNTIF(Binders!$J$6:$J$30,TRUE())&gt;1," ["&amp;Q500&amp;"]",""))</f>
        <v/>
      </c>
      <c r="H500" s="80" t="str">
        <f t="array" ref="H500">IF(A500="","",CHAR(10)&amp;INDEX('Deck 1'!$A:$Z,ROW()-250,'List Setup'!$E$3)&amp;CHAR(10))</f>
        <v/>
      </c>
      <c r="I500" s="80" t="str">
        <f t="array" ref="I500">IF(OR(B500="",B500="(none)"),"",IF(ISNUMBER(SEARCH(CHAR(10)&amp;B500&amp;CHAR(10),H500)),B500,IFERROR(INDEX('Set Aliases'!$A$2:$A$501,MATCH(1,('Set Aliases'!$B$2:$B$501=B500)*ISNUMBER(SEARCH(CHAR(10)&amp;'Set Aliases'!$A$2:$A$501&amp;CHAR(10),H500)),0)),"")))</f>
        <v/>
      </c>
      <c r="J500" s="80" t="str">
        <f t="array" ref="J500">IF(I500="","",IFERROR(VALUE(TRIM(MID(SUBSTITUTE(INDEX('Deck 1'!$A:$Z,ROW()-250,'List Setup'!$G$3),CHAR(10),REPT(" ",100)),((SEARCH(CHAR(10)&amp;I500&amp;CHAR(10),H500)-LEN(SUBSTITUTE(LEFT(H500,SEARCH(CHAR(10)&amp;I500&amp;CHAR(10),H500)),CHAR(10),"")))-1)*100+1,100))),""))</f>
        <v/>
      </c>
      <c r="K500" s="80" t="str">
        <f t="array" ref="K500">IF(A500="","",IF(ISNUMBER(SEARCH("Land",LEFT(IFERROR(INDEX('Deck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500" s="80" t="str">
        <f t="shared" si="3"/>
        <v/>
      </c>
      <c r="M500" s="80" t="str">
        <f>IF(A500="","",IF(AND(E500="Y",B500='Use at Shop'!$B$4),K500*10000000000+(MAX(0,MIN(26,CODE(MID(UPPER(A500)&amp;"    ",1,1))-64))*19683+MAX(0,MIN(26,CODE(MID(UPPER(A500)&amp;"    ",2,1))-64))*729+MAX(0,MIN(26,CODE(MID(UPPER(A500)&amp;"    ",3,1))-64))*27+MAX(0,MIN(26,CODE(MID(UPPER(A500)&amp;"    ",4,1))-64))*1)*10000+ROW(),""))</f>
        <v/>
      </c>
      <c r="N500" s="80" t="str">
        <f t="shared" si="5"/>
        <v/>
      </c>
      <c r="O500" s="80" t="str">
        <f t="array" ref="O500">IF(A500="","",IFERROR(INDEX('Deck 1'!$A:$Z,ROW()-250,'List Setup'!$J$3)&amp;"",""))</f>
        <v/>
      </c>
      <c r="P500" s="2"/>
      <c r="Q500" s="80" t="str">
        <f>IF(A500="","",'List Setup'!$A$3)</f>
        <v/>
      </c>
      <c r="R500" s="80" t="str">
        <f t="array" ref="R500">IF(A500="","",IFERROR(OR(INDEX(Binders!$J$6:$J$30,MATCH(Q500,Binders!$I$6:$I$30,0))=TRUE(),UPPER(INDEX(Binders!$J$6:$J$30,MATCH(Q500,Binders!$I$6:$I$30,0))&amp;"")="TRUE"),FALSE()))</f>
        <v/>
      </c>
    </row>
    <row r="501" ht="15.75" customHeight="1">
      <c r="A501" s="80" t="str">
        <f t="array" ref="A501">IF(INDEX('Deck 1'!$A:$Z,ROW()-250,'List Setup'!$D$3)="","",INDEX('Deck 1'!$A:$Z,ROW()-250,'List Setup'!$D$3))</f>
        <v/>
      </c>
      <c r="B501" s="80" t="str">
        <f t="array" ref="B501">IF(A501="","",IFERROR(INDEX('Binder Setup'!$B$2:$B$401,MIN(IF(ISNUMBER(SEARCH(CHAR(10)&amp;'Binder Setup'!$B$2:$B$401&amp;CHAR(10),$H501)),'List Setup'!$Q$2:$Q$401,999),IF(ISNUMBER(SEARCH(CHAR(10)&amp;'Set Aliases'!$A$2:$A$501&amp;CHAR(10),$H501)),'Set Aliases'!$C$2:$C$501,999))),"(none)"))</f>
        <v/>
      </c>
      <c r="C501" s="80" t="str">
        <f t="shared" si="1"/>
        <v/>
      </c>
      <c r="D501" s="80" t="str">
        <f t="array" ref="D501">IF(A501="","",IF(ISLOGICAL(INDEX('Deck 1'!$A:$Z,ROW()-250,'List Setup'!$B$3)),IF(INDEX('Deck 1'!$A:$Z,ROW()-250,'List Setup'!$B$3),"In collection","Needed"),IF(UPPER(TRIM(INDEX('Deck 1'!$A:$Z,ROW()-250,'List Setup'!$B$3)))="ORDERED","Ordered",IF(UPPER(TRIM(INDEX('Deck 1'!$A:$Z,ROW()-250,'List Setup'!$B$3)))="PROXY","Proxy",IF(UPPER(TRIM(INDEX('Deck 1'!$A:$Z,ROW()-250,'List Setup'!$B$3)))="OUT OF DECK","Out of deck",IF(UPPER(TRIM(INDEX('Deck 1'!$A:$Z,ROW()-250,'List Setup'!$B$3)))="TRUE","In collection","Needed"))))))</f>
        <v/>
      </c>
      <c r="E501" s="80" t="str">
        <f t="shared" si="2"/>
        <v/>
      </c>
      <c r="F501" s="80" t="str">
        <f t="array" ref="F501">IF(A501="","",IF(ISNUMBER(J501),J501,IF(ISNUMBER(INDEX('Deck 1'!$A:$Z,ROW()-250,'List Setup'!$F$3)),INDEX('Deck 1'!$A:$Z,ROW()-250,'List Setup'!$F$3),0)))</f>
        <v/>
      </c>
      <c r="G501" s="80" t="str">
        <f t="array" ref="G501">IF(A501="","",A501&amp;IF(N(INDEX('Deck 1'!$A:$Z,ROW()-250,'List Setup'!$C$3))&gt;1," (x"&amp;INDEX('Deck 1'!$A:$Z,ROW()-250,'List Setup'!$C$3)&amp;")","")&amp;IF(COUNTIF(Binders!$J$6:$J$30,TRUE())&gt;1," ["&amp;Q501&amp;"]",""))</f>
        <v/>
      </c>
      <c r="H501" s="80" t="str">
        <f t="array" ref="H501">IF(A501="","",CHAR(10)&amp;INDEX('Deck 1'!$A:$Z,ROW()-250,'List Setup'!$E$3)&amp;CHAR(10))</f>
        <v/>
      </c>
      <c r="I501" s="80" t="str">
        <f t="array" ref="I501">IF(OR(B501="",B501="(none)"),"",IF(ISNUMBER(SEARCH(CHAR(10)&amp;B501&amp;CHAR(10),H501)),B501,IFERROR(INDEX('Set Aliases'!$A$2:$A$501,MATCH(1,('Set Aliases'!$B$2:$B$501=B501)*ISNUMBER(SEARCH(CHAR(10)&amp;'Set Aliases'!$A$2:$A$501&amp;CHAR(10),H501)),0)),"")))</f>
        <v/>
      </c>
      <c r="J501" s="80" t="str">
        <f t="array" ref="J501">IF(I501="","",IFERROR(VALUE(TRIM(MID(SUBSTITUTE(INDEX('Deck 1'!$A:$Z,ROW()-250,'List Setup'!$G$3),CHAR(10),REPT(" ",100)),((SEARCH(CHAR(10)&amp;I501&amp;CHAR(10),H501)-LEN(SUBSTITUTE(LEFT(H501,SEARCH(CHAR(10)&amp;I501&amp;CHAR(10),H501)),CHAR(10),"")))-1)*100+1,100))),""))</f>
        <v/>
      </c>
      <c r="K501" s="80" t="str">
        <f t="array" ref="K501">IF(A501="","",IF(ISNUMBER(SEARCH("Land",LEFT(IFERROR(INDEX('Deck 1'!$A:$Z,ROW()-250,'List Setup'!$I$3)&amp;"",""),IFERROR(SEARCH(" // ",IFERROR(INDEX('Deck 1'!$A:$Z,ROW()-250,'List Setup'!$I$3)&amp;"",""))-1,LEN(IFERROR(INDEX('Deck 1'!$A:$Z,ROW()-250,'List Setup'!$I$3)&amp;"","")))))),8,IF(LEN(IFERROR(INDEX('Deck 1'!$A:$Z,ROW()-250,'List Setup'!$H$3)&amp;"",""))=0,7,IF(LEN(IFERROR(INDEX('Deck 1'!$A:$Z,ROW()-250,'List Setup'!$H$3)&amp;"",""))&gt;1,6,FIND(IFERROR(INDEX('Deck 1'!$A:$Z,ROW()-250,'List Setup'!$H$3)&amp;"",""),"WUBRG")))))</f>
        <v/>
      </c>
      <c r="L501" s="80" t="str">
        <f t="shared" si="3"/>
        <v/>
      </c>
      <c r="M501" s="80" t="str">
        <f>IF(A501="","",IF(AND(E501="Y",B501='Use at Shop'!$B$4),K501*10000000000+(MAX(0,MIN(26,CODE(MID(UPPER(A501)&amp;"    ",1,1))-64))*19683+MAX(0,MIN(26,CODE(MID(UPPER(A501)&amp;"    ",2,1))-64))*729+MAX(0,MIN(26,CODE(MID(UPPER(A501)&amp;"    ",3,1))-64))*27+MAX(0,MIN(26,CODE(MID(UPPER(A501)&amp;"    ",4,1))-64))*1)*10000+ROW(),""))</f>
        <v/>
      </c>
      <c r="N501" s="80" t="str">
        <f t="shared" si="5"/>
        <v/>
      </c>
      <c r="O501" s="80" t="str">
        <f t="array" ref="O501">IF(A501="","",IFERROR(INDEX('Deck 1'!$A:$Z,ROW()-250,'List Setup'!$J$3)&amp;"",""))</f>
        <v/>
      </c>
      <c r="P501" s="2"/>
      <c r="Q501" s="80" t="str">
        <f>IF(A501="","",'List Setup'!$A$3)</f>
        <v/>
      </c>
      <c r="R501" s="80" t="str">
        <f t="array" ref="R501">IF(A501="","",IFERROR(OR(INDEX(Binders!$J$6:$J$30,MATCH(Q501,Binders!$I$6:$I$30,0))=TRUE(),UPPER(INDEX(Binders!$J$6:$J$30,MATCH(Q501,Binders!$I$6:$I$30,0))&amp;"")="TRUE"),FALSE()))</f>
        <v/>
      </c>
    </row>
    <row r="502" ht="15.75" customHeight="1">
      <c r="A502" s="80" t="str">
        <f t="array" ref="A502">IF(INDEX('Deck 2'!$A:$Z,ROW()-500,'List Setup'!$D$4)="","",INDEX('Deck 2'!$A:$Z,ROW()-500,'List Setup'!$D$4))</f>
        <v/>
      </c>
      <c r="B502" s="80" t="str">
        <f t="array" ref="B502">IF(A502="","",IFERROR(INDEX('Binder Setup'!$B$2:$B$401,MIN(IF(ISNUMBER(SEARCH(CHAR(10)&amp;'Binder Setup'!$B$2:$B$401&amp;CHAR(10),$H502)),'List Setup'!$Q$2:$Q$401,999),IF(ISNUMBER(SEARCH(CHAR(10)&amp;'Set Aliases'!$A$2:$A$501&amp;CHAR(10),$H502)),'Set Aliases'!$C$2:$C$501,999))),"(none)"))</f>
        <v/>
      </c>
      <c r="C502" s="80" t="str">
        <f t="shared" si="1"/>
        <v/>
      </c>
      <c r="D502" s="80" t="str">
        <f t="array" ref="D502">IF(A502="","",IF(ISLOGICAL(INDEX('Deck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02" s="80" t="str">
        <f t="shared" si="2"/>
        <v/>
      </c>
      <c r="F502" s="80" t="str">
        <f t="array" ref="F502">IF(A502="","",IF(ISNUMBER(J502),J502,IF(ISNUMBER(INDEX('Deck 2'!$A:$Z,ROW()-500,'List Setup'!$F$4)),INDEX('Deck 2'!$A:$Z,ROW()-500,'List Setup'!$F$4),0)))</f>
        <v/>
      </c>
      <c r="G502" s="80" t="str">
        <f t="array" ref="G502">IF(A502="","",A502&amp;IF(N(INDEX('Deck 2'!$A:$Z,ROW()-500,'List Setup'!$C$4))&gt;1," (x"&amp;INDEX('Deck 2'!$A:$Z,ROW()-500,'List Setup'!$C$4)&amp;")","")&amp;IF(COUNTIF(Binders!$J$6:$J$30,TRUE())&gt;1," ["&amp;Q502&amp;"]",""))</f>
        <v/>
      </c>
      <c r="H502" s="80" t="str">
        <f t="array" ref="H502">IF(A502="","",CHAR(10)&amp;INDEX('Deck 2'!$A:$Z,ROW()-500,'List Setup'!$E$4)&amp;CHAR(10))</f>
        <v/>
      </c>
      <c r="I502" s="80" t="str">
        <f t="array" ref="I502">IF(OR(B502="",B502="(none)"),"",IF(ISNUMBER(SEARCH(CHAR(10)&amp;B502&amp;CHAR(10),H502)),B502,IFERROR(INDEX('Set Aliases'!$A$2:$A$501,MATCH(1,('Set Aliases'!$B$2:$B$501=B502)*ISNUMBER(SEARCH(CHAR(10)&amp;'Set Aliases'!$A$2:$A$501&amp;CHAR(10),H502)),0)),"")))</f>
        <v/>
      </c>
      <c r="J502" s="80" t="str">
        <f t="array" ref="J502">IF(I502="","",IFERROR(VALUE(TRIM(MID(SUBSTITUTE(INDEX('Deck 2'!$A:$Z,ROW()-500,'List Setup'!$G$4),CHAR(10),REPT(" ",100)),((SEARCH(CHAR(10)&amp;I502&amp;CHAR(10),H502)-LEN(SUBSTITUTE(LEFT(H502,SEARCH(CHAR(10)&amp;I502&amp;CHAR(10),H502)),CHAR(10),"")))-1)*100+1,100))),""))</f>
        <v/>
      </c>
      <c r="K502" s="80" t="str">
        <f t="array" ref="K502">IF(A502="","",IF(ISNUMBER(SEARCH("Land",LEFT(IFERROR(INDEX('Deck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02" s="80" t="str">
        <f t="shared" si="3"/>
        <v/>
      </c>
      <c r="M502" s="80" t="str">
        <f>IF(A502="","",IF(AND(E502="Y",B502='Use at Shop'!$B$4),K502*10000000000+(MAX(0,MIN(26,CODE(MID(UPPER(A502)&amp;"    ",1,1))-64))*19683+MAX(0,MIN(26,CODE(MID(UPPER(A502)&amp;"    ",2,1))-64))*729+MAX(0,MIN(26,CODE(MID(UPPER(A502)&amp;"    ",3,1))-64))*27+MAX(0,MIN(26,CODE(MID(UPPER(A502)&amp;"    ",4,1))-64))*1)*10000+ROW(),""))</f>
        <v/>
      </c>
      <c r="N502" s="80" t="str">
        <f t="shared" ref="N502:N751" si="6">IF(A502="","",ROW()-500)</f>
        <v/>
      </c>
      <c r="O502" s="80" t="str">
        <f t="array" ref="O502">IF(A502="","",IFERROR(INDEX('Deck 2'!$A:$Z,ROW()-500,'List Setup'!$J$4)&amp;"",""))</f>
        <v/>
      </c>
      <c r="P502" s="2"/>
      <c r="Q502" s="80" t="str">
        <f>IF(A502="","",'List Setup'!$A$4)</f>
        <v/>
      </c>
      <c r="R502" s="80" t="str">
        <f t="array" ref="R502">IF(A502="","",IFERROR(OR(INDEX(Binders!$J$6:$J$30,MATCH(Q502,Binders!$I$6:$I$30,0))=TRUE(),UPPER(INDEX(Binders!$J$6:$J$30,MATCH(Q502,Binders!$I$6:$I$30,0))&amp;"")="TRUE"),FALSE()))</f>
        <v/>
      </c>
    </row>
    <row r="503" ht="15.75" customHeight="1">
      <c r="A503" s="80" t="str">
        <f t="array" ref="A503">IF(INDEX('Deck 2'!$A:$Z,ROW()-500,'List Setup'!$D$4)="","",INDEX('Deck 2'!$A:$Z,ROW()-500,'List Setup'!$D$4))</f>
        <v/>
      </c>
      <c r="B503" s="80" t="str">
        <f t="array" ref="B503">IF(A503="","",IFERROR(INDEX('Binder Setup'!$B$2:$B$401,MIN(IF(ISNUMBER(SEARCH(CHAR(10)&amp;'Binder Setup'!$B$2:$B$401&amp;CHAR(10),$H503)),'List Setup'!$Q$2:$Q$401,999),IF(ISNUMBER(SEARCH(CHAR(10)&amp;'Set Aliases'!$A$2:$A$501&amp;CHAR(10),$H503)),'Set Aliases'!$C$2:$C$501,999))),"(none)"))</f>
        <v/>
      </c>
      <c r="C503" s="80" t="str">
        <f t="shared" si="1"/>
        <v/>
      </c>
      <c r="D503" s="80" t="str">
        <f t="array" ref="D503">IF(A503="","",IF(ISLOGICAL(INDEX('Deck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03" s="80" t="str">
        <f t="shared" si="2"/>
        <v/>
      </c>
      <c r="F503" s="80" t="str">
        <f t="array" ref="F503">IF(A503="","",IF(ISNUMBER(J503),J503,IF(ISNUMBER(INDEX('Deck 2'!$A:$Z,ROW()-500,'List Setup'!$F$4)),INDEX('Deck 2'!$A:$Z,ROW()-500,'List Setup'!$F$4),0)))</f>
        <v/>
      </c>
      <c r="G503" s="80" t="str">
        <f t="array" ref="G503">IF(A503="","",A503&amp;IF(N(INDEX('Deck 2'!$A:$Z,ROW()-500,'List Setup'!$C$4))&gt;1," (x"&amp;INDEX('Deck 2'!$A:$Z,ROW()-500,'List Setup'!$C$4)&amp;")","")&amp;IF(COUNTIF(Binders!$J$6:$J$30,TRUE())&gt;1," ["&amp;Q503&amp;"]",""))</f>
        <v/>
      </c>
      <c r="H503" s="80" t="str">
        <f t="array" ref="H503">IF(A503="","",CHAR(10)&amp;INDEX('Deck 2'!$A:$Z,ROW()-500,'List Setup'!$E$4)&amp;CHAR(10))</f>
        <v/>
      </c>
      <c r="I503" s="80" t="str">
        <f t="array" ref="I503">IF(OR(B503="",B503="(none)"),"",IF(ISNUMBER(SEARCH(CHAR(10)&amp;B503&amp;CHAR(10),H503)),B503,IFERROR(INDEX('Set Aliases'!$A$2:$A$501,MATCH(1,('Set Aliases'!$B$2:$B$501=B503)*ISNUMBER(SEARCH(CHAR(10)&amp;'Set Aliases'!$A$2:$A$501&amp;CHAR(10),H503)),0)),"")))</f>
        <v/>
      </c>
      <c r="J503" s="80" t="str">
        <f t="array" ref="J503">IF(I503="","",IFERROR(VALUE(TRIM(MID(SUBSTITUTE(INDEX('Deck 2'!$A:$Z,ROW()-500,'List Setup'!$G$4),CHAR(10),REPT(" ",100)),((SEARCH(CHAR(10)&amp;I503&amp;CHAR(10),H503)-LEN(SUBSTITUTE(LEFT(H503,SEARCH(CHAR(10)&amp;I503&amp;CHAR(10),H503)),CHAR(10),"")))-1)*100+1,100))),""))</f>
        <v/>
      </c>
      <c r="K503" s="80" t="str">
        <f t="array" ref="K503">IF(A503="","",IF(ISNUMBER(SEARCH("Land",LEFT(IFERROR(INDEX('Deck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03" s="80" t="str">
        <f t="shared" si="3"/>
        <v/>
      </c>
      <c r="M503" s="80" t="str">
        <f>IF(A503="","",IF(AND(E503="Y",B503='Use at Shop'!$B$4),K503*10000000000+(MAX(0,MIN(26,CODE(MID(UPPER(A503)&amp;"    ",1,1))-64))*19683+MAX(0,MIN(26,CODE(MID(UPPER(A503)&amp;"    ",2,1))-64))*729+MAX(0,MIN(26,CODE(MID(UPPER(A503)&amp;"    ",3,1))-64))*27+MAX(0,MIN(26,CODE(MID(UPPER(A503)&amp;"    ",4,1))-64))*1)*10000+ROW(),""))</f>
        <v/>
      </c>
      <c r="N503" s="80" t="str">
        <f t="shared" si="6"/>
        <v/>
      </c>
      <c r="O503" s="80" t="str">
        <f t="array" ref="O503">IF(A503="","",IFERROR(INDEX('Deck 2'!$A:$Z,ROW()-500,'List Setup'!$J$4)&amp;"",""))</f>
        <v/>
      </c>
      <c r="P503" s="2"/>
      <c r="Q503" s="80" t="str">
        <f>IF(A503="","",'List Setup'!$A$4)</f>
        <v/>
      </c>
      <c r="R503" s="80" t="str">
        <f t="array" ref="R503">IF(A503="","",IFERROR(OR(INDEX(Binders!$J$6:$J$30,MATCH(Q503,Binders!$I$6:$I$30,0))=TRUE(),UPPER(INDEX(Binders!$J$6:$J$30,MATCH(Q503,Binders!$I$6:$I$30,0))&amp;"")="TRUE"),FALSE()))</f>
        <v/>
      </c>
    </row>
    <row r="504" ht="15.75" customHeight="1">
      <c r="A504" s="80" t="str">
        <f t="array" ref="A504">IF(INDEX('Deck 2'!$A:$Z,ROW()-500,'List Setup'!$D$4)="","",INDEX('Deck 2'!$A:$Z,ROW()-500,'List Setup'!$D$4))</f>
        <v/>
      </c>
      <c r="B504" s="80" t="str">
        <f t="array" ref="B504">IF(A504="","",IFERROR(INDEX('Binder Setup'!$B$2:$B$401,MIN(IF(ISNUMBER(SEARCH(CHAR(10)&amp;'Binder Setup'!$B$2:$B$401&amp;CHAR(10),$H504)),'List Setup'!$Q$2:$Q$401,999),IF(ISNUMBER(SEARCH(CHAR(10)&amp;'Set Aliases'!$A$2:$A$501&amp;CHAR(10),$H504)),'Set Aliases'!$C$2:$C$501,999))),"(none)"))</f>
        <v/>
      </c>
      <c r="C504" s="80" t="str">
        <f t="shared" si="1"/>
        <v/>
      </c>
      <c r="D504" s="80" t="str">
        <f t="array" ref="D504">IF(A504="","",IF(ISLOGICAL(INDEX('Deck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04" s="80" t="str">
        <f t="shared" si="2"/>
        <v/>
      </c>
      <c r="F504" s="80" t="str">
        <f t="array" ref="F504">IF(A504="","",IF(ISNUMBER(J504),J504,IF(ISNUMBER(INDEX('Deck 2'!$A:$Z,ROW()-500,'List Setup'!$F$4)),INDEX('Deck 2'!$A:$Z,ROW()-500,'List Setup'!$F$4),0)))</f>
        <v/>
      </c>
      <c r="G504" s="80" t="str">
        <f t="array" ref="G504">IF(A504="","",A504&amp;IF(N(INDEX('Deck 2'!$A:$Z,ROW()-500,'List Setup'!$C$4))&gt;1," (x"&amp;INDEX('Deck 2'!$A:$Z,ROW()-500,'List Setup'!$C$4)&amp;")","")&amp;IF(COUNTIF(Binders!$J$6:$J$30,TRUE())&gt;1," ["&amp;Q504&amp;"]",""))</f>
        <v/>
      </c>
      <c r="H504" s="80" t="str">
        <f t="array" ref="H504">IF(A504="","",CHAR(10)&amp;INDEX('Deck 2'!$A:$Z,ROW()-500,'List Setup'!$E$4)&amp;CHAR(10))</f>
        <v/>
      </c>
      <c r="I504" s="80" t="str">
        <f t="array" ref="I504">IF(OR(B504="",B504="(none)"),"",IF(ISNUMBER(SEARCH(CHAR(10)&amp;B504&amp;CHAR(10),H504)),B504,IFERROR(INDEX('Set Aliases'!$A$2:$A$501,MATCH(1,('Set Aliases'!$B$2:$B$501=B504)*ISNUMBER(SEARCH(CHAR(10)&amp;'Set Aliases'!$A$2:$A$501&amp;CHAR(10),H504)),0)),"")))</f>
        <v/>
      </c>
      <c r="J504" s="80" t="str">
        <f t="array" ref="J504">IF(I504="","",IFERROR(VALUE(TRIM(MID(SUBSTITUTE(INDEX('Deck 2'!$A:$Z,ROW()-500,'List Setup'!$G$4),CHAR(10),REPT(" ",100)),((SEARCH(CHAR(10)&amp;I504&amp;CHAR(10),H504)-LEN(SUBSTITUTE(LEFT(H504,SEARCH(CHAR(10)&amp;I504&amp;CHAR(10),H504)),CHAR(10),"")))-1)*100+1,100))),""))</f>
        <v/>
      </c>
      <c r="K504" s="80" t="str">
        <f t="array" ref="K504">IF(A504="","",IF(ISNUMBER(SEARCH("Land",LEFT(IFERROR(INDEX('Deck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04" s="80" t="str">
        <f t="shared" si="3"/>
        <v/>
      </c>
      <c r="M504" s="80" t="str">
        <f>IF(A504="","",IF(AND(E504="Y",B504='Use at Shop'!$B$4),K504*10000000000+(MAX(0,MIN(26,CODE(MID(UPPER(A504)&amp;"    ",1,1))-64))*19683+MAX(0,MIN(26,CODE(MID(UPPER(A504)&amp;"    ",2,1))-64))*729+MAX(0,MIN(26,CODE(MID(UPPER(A504)&amp;"    ",3,1))-64))*27+MAX(0,MIN(26,CODE(MID(UPPER(A504)&amp;"    ",4,1))-64))*1)*10000+ROW(),""))</f>
        <v/>
      </c>
      <c r="N504" s="80" t="str">
        <f t="shared" si="6"/>
        <v/>
      </c>
      <c r="O504" s="80" t="str">
        <f t="array" ref="O504">IF(A504="","",IFERROR(INDEX('Deck 2'!$A:$Z,ROW()-500,'List Setup'!$J$4)&amp;"",""))</f>
        <v/>
      </c>
      <c r="P504" s="2"/>
      <c r="Q504" s="80" t="str">
        <f>IF(A504="","",'List Setup'!$A$4)</f>
        <v/>
      </c>
      <c r="R504" s="80" t="str">
        <f t="array" ref="R504">IF(A504="","",IFERROR(OR(INDEX(Binders!$J$6:$J$30,MATCH(Q504,Binders!$I$6:$I$30,0))=TRUE(),UPPER(INDEX(Binders!$J$6:$J$30,MATCH(Q504,Binders!$I$6:$I$30,0))&amp;"")="TRUE"),FALSE()))</f>
        <v/>
      </c>
    </row>
    <row r="505" ht="15.75" customHeight="1">
      <c r="A505" s="80" t="str">
        <f t="array" ref="A505">IF(INDEX('Deck 2'!$A:$Z,ROW()-500,'List Setup'!$D$4)="","",INDEX('Deck 2'!$A:$Z,ROW()-500,'List Setup'!$D$4))</f>
        <v/>
      </c>
      <c r="B505" s="80" t="str">
        <f t="array" ref="B505">IF(A505="","",IFERROR(INDEX('Binder Setup'!$B$2:$B$401,MIN(IF(ISNUMBER(SEARCH(CHAR(10)&amp;'Binder Setup'!$B$2:$B$401&amp;CHAR(10),$H505)),'List Setup'!$Q$2:$Q$401,999),IF(ISNUMBER(SEARCH(CHAR(10)&amp;'Set Aliases'!$A$2:$A$501&amp;CHAR(10),$H505)),'Set Aliases'!$C$2:$C$501,999))),"(none)"))</f>
        <v/>
      </c>
      <c r="C505" s="80" t="str">
        <f t="shared" si="1"/>
        <v/>
      </c>
      <c r="D505" s="80" t="str">
        <f t="array" ref="D505">IF(A505="","",IF(ISLOGICAL(INDEX('Deck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05" s="80" t="str">
        <f t="shared" si="2"/>
        <v/>
      </c>
      <c r="F505" s="80" t="str">
        <f t="array" ref="F505">IF(A505="","",IF(ISNUMBER(J505),J505,IF(ISNUMBER(INDEX('Deck 2'!$A:$Z,ROW()-500,'List Setup'!$F$4)),INDEX('Deck 2'!$A:$Z,ROW()-500,'List Setup'!$F$4),0)))</f>
        <v/>
      </c>
      <c r="G505" s="80" t="str">
        <f t="array" ref="G505">IF(A505="","",A505&amp;IF(N(INDEX('Deck 2'!$A:$Z,ROW()-500,'List Setup'!$C$4))&gt;1," (x"&amp;INDEX('Deck 2'!$A:$Z,ROW()-500,'List Setup'!$C$4)&amp;")","")&amp;IF(COUNTIF(Binders!$J$6:$J$30,TRUE())&gt;1," ["&amp;Q505&amp;"]",""))</f>
        <v/>
      </c>
      <c r="H505" s="80" t="str">
        <f t="array" ref="H505">IF(A505="","",CHAR(10)&amp;INDEX('Deck 2'!$A:$Z,ROW()-500,'List Setup'!$E$4)&amp;CHAR(10))</f>
        <v/>
      </c>
      <c r="I505" s="80" t="str">
        <f t="array" ref="I505">IF(OR(B505="",B505="(none)"),"",IF(ISNUMBER(SEARCH(CHAR(10)&amp;B505&amp;CHAR(10),H505)),B505,IFERROR(INDEX('Set Aliases'!$A$2:$A$501,MATCH(1,('Set Aliases'!$B$2:$B$501=B505)*ISNUMBER(SEARCH(CHAR(10)&amp;'Set Aliases'!$A$2:$A$501&amp;CHAR(10),H505)),0)),"")))</f>
        <v/>
      </c>
      <c r="J505" s="80" t="str">
        <f t="array" ref="J505">IF(I505="","",IFERROR(VALUE(TRIM(MID(SUBSTITUTE(INDEX('Deck 2'!$A:$Z,ROW()-500,'List Setup'!$G$4),CHAR(10),REPT(" ",100)),((SEARCH(CHAR(10)&amp;I505&amp;CHAR(10),H505)-LEN(SUBSTITUTE(LEFT(H505,SEARCH(CHAR(10)&amp;I505&amp;CHAR(10),H505)),CHAR(10),"")))-1)*100+1,100))),""))</f>
        <v/>
      </c>
      <c r="K505" s="80" t="str">
        <f t="array" ref="K505">IF(A505="","",IF(ISNUMBER(SEARCH("Land",LEFT(IFERROR(INDEX('Deck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05" s="80" t="str">
        <f t="shared" si="3"/>
        <v/>
      </c>
      <c r="M505" s="80" t="str">
        <f>IF(A505="","",IF(AND(E505="Y",B505='Use at Shop'!$B$4),K505*10000000000+(MAX(0,MIN(26,CODE(MID(UPPER(A505)&amp;"    ",1,1))-64))*19683+MAX(0,MIN(26,CODE(MID(UPPER(A505)&amp;"    ",2,1))-64))*729+MAX(0,MIN(26,CODE(MID(UPPER(A505)&amp;"    ",3,1))-64))*27+MAX(0,MIN(26,CODE(MID(UPPER(A505)&amp;"    ",4,1))-64))*1)*10000+ROW(),""))</f>
        <v/>
      </c>
      <c r="N505" s="80" t="str">
        <f t="shared" si="6"/>
        <v/>
      </c>
      <c r="O505" s="80" t="str">
        <f t="array" ref="O505">IF(A505="","",IFERROR(INDEX('Deck 2'!$A:$Z,ROW()-500,'List Setup'!$J$4)&amp;"",""))</f>
        <v/>
      </c>
      <c r="P505" s="2"/>
      <c r="Q505" s="80" t="str">
        <f>IF(A505="","",'List Setup'!$A$4)</f>
        <v/>
      </c>
      <c r="R505" s="80" t="str">
        <f t="array" ref="R505">IF(A505="","",IFERROR(OR(INDEX(Binders!$J$6:$J$30,MATCH(Q505,Binders!$I$6:$I$30,0))=TRUE(),UPPER(INDEX(Binders!$J$6:$J$30,MATCH(Q505,Binders!$I$6:$I$30,0))&amp;"")="TRUE"),FALSE()))</f>
        <v/>
      </c>
    </row>
    <row r="506" ht="15.75" customHeight="1">
      <c r="A506" s="80" t="str">
        <f t="array" ref="A506">IF(INDEX('Deck 2'!$A:$Z,ROW()-500,'List Setup'!$D$4)="","",INDEX('Deck 2'!$A:$Z,ROW()-500,'List Setup'!$D$4))</f>
        <v/>
      </c>
      <c r="B506" s="80" t="str">
        <f t="array" ref="B506">IF(A506="","",IFERROR(INDEX('Binder Setup'!$B$2:$B$401,MIN(IF(ISNUMBER(SEARCH(CHAR(10)&amp;'Binder Setup'!$B$2:$B$401&amp;CHAR(10),$H506)),'List Setup'!$Q$2:$Q$401,999),IF(ISNUMBER(SEARCH(CHAR(10)&amp;'Set Aliases'!$A$2:$A$501&amp;CHAR(10),$H506)),'Set Aliases'!$C$2:$C$501,999))),"(none)"))</f>
        <v/>
      </c>
      <c r="C506" s="80" t="str">
        <f t="shared" si="1"/>
        <v/>
      </c>
      <c r="D506" s="80" t="str">
        <f t="array" ref="D506">IF(A506="","",IF(ISLOGICAL(INDEX('Deck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06" s="80" t="str">
        <f t="shared" si="2"/>
        <v/>
      </c>
      <c r="F506" s="80" t="str">
        <f t="array" ref="F506">IF(A506="","",IF(ISNUMBER(J506),J506,IF(ISNUMBER(INDEX('Deck 2'!$A:$Z,ROW()-500,'List Setup'!$F$4)),INDEX('Deck 2'!$A:$Z,ROW()-500,'List Setup'!$F$4),0)))</f>
        <v/>
      </c>
      <c r="G506" s="80" t="str">
        <f t="array" ref="G506">IF(A506="","",A506&amp;IF(N(INDEX('Deck 2'!$A:$Z,ROW()-500,'List Setup'!$C$4))&gt;1," (x"&amp;INDEX('Deck 2'!$A:$Z,ROW()-500,'List Setup'!$C$4)&amp;")","")&amp;IF(COUNTIF(Binders!$J$6:$J$30,TRUE())&gt;1," ["&amp;Q506&amp;"]",""))</f>
        <v/>
      </c>
      <c r="H506" s="80" t="str">
        <f t="array" ref="H506">IF(A506="","",CHAR(10)&amp;INDEX('Deck 2'!$A:$Z,ROW()-500,'List Setup'!$E$4)&amp;CHAR(10))</f>
        <v/>
      </c>
      <c r="I506" s="80" t="str">
        <f t="array" ref="I506">IF(OR(B506="",B506="(none)"),"",IF(ISNUMBER(SEARCH(CHAR(10)&amp;B506&amp;CHAR(10),H506)),B506,IFERROR(INDEX('Set Aliases'!$A$2:$A$501,MATCH(1,('Set Aliases'!$B$2:$B$501=B506)*ISNUMBER(SEARCH(CHAR(10)&amp;'Set Aliases'!$A$2:$A$501&amp;CHAR(10),H506)),0)),"")))</f>
        <v/>
      </c>
      <c r="J506" s="80" t="str">
        <f t="array" ref="J506">IF(I506="","",IFERROR(VALUE(TRIM(MID(SUBSTITUTE(INDEX('Deck 2'!$A:$Z,ROW()-500,'List Setup'!$G$4),CHAR(10),REPT(" ",100)),((SEARCH(CHAR(10)&amp;I506&amp;CHAR(10),H506)-LEN(SUBSTITUTE(LEFT(H506,SEARCH(CHAR(10)&amp;I506&amp;CHAR(10),H506)),CHAR(10),"")))-1)*100+1,100))),""))</f>
        <v/>
      </c>
      <c r="K506" s="80" t="str">
        <f t="array" ref="K506">IF(A506="","",IF(ISNUMBER(SEARCH("Land",LEFT(IFERROR(INDEX('Deck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06" s="80" t="str">
        <f t="shared" si="3"/>
        <v/>
      </c>
      <c r="M506" s="80" t="str">
        <f>IF(A506="","",IF(AND(E506="Y",B506='Use at Shop'!$B$4),K506*10000000000+(MAX(0,MIN(26,CODE(MID(UPPER(A506)&amp;"    ",1,1))-64))*19683+MAX(0,MIN(26,CODE(MID(UPPER(A506)&amp;"    ",2,1))-64))*729+MAX(0,MIN(26,CODE(MID(UPPER(A506)&amp;"    ",3,1))-64))*27+MAX(0,MIN(26,CODE(MID(UPPER(A506)&amp;"    ",4,1))-64))*1)*10000+ROW(),""))</f>
        <v/>
      </c>
      <c r="N506" s="80" t="str">
        <f t="shared" si="6"/>
        <v/>
      </c>
      <c r="O506" s="80" t="str">
        <f t="array" ref="O506">IF(A506="","",IFERROR(INDEX('Deck 2'!$A:$Z,ROW()-500,'List Setup'!$J$4)&amp;"",""))</f>
        <v/>
      </c>
      <c r="P506" s="2"/>
      <c r="Q506" s="80" t="str">
        <f>IF(A506="","",'List Setup'!$A$4)</f>
        <v/>
      </c>
      <c r="R506" s="80" t="str">
        <f t="array" ref="R506">IF(A506="","",IFERROR(OR(INDEX(Binders!$J$6:$J$30,MATCH(Q506,Binders!$I$6:$I$30,0))=TRUE(),UPPER(INDEX(Binders!$J$6:$J$30,MATCH(Q506,Binders!$I$6:$I$30,0))&amp;"")="TRUE"),FALSE()))</f>
        <v/>
      </c>
    </row>
    <row r="507" ht="15.75" customHeight="1">
      <c r="A507" s="80" t="str">
        <f t="array" ref="A507">IF(INDEX('Deck 2'!$A:$Z,ROW()-500,'List Setup'!$D$4)="","",INDEX('Deck 2'!$A:$Z,ROW()-500,'List Setup'!$D$4))</f>
        <v/>
      </c>
      <c r="B507" s="80" t="str">
        <f t="array" ref="B507">IF(A507="","",IFERROR(INDEX('Binder Setup'!$B$2:$B$401,MIN(IF(ISNUMBER(SEARCH(CHAR(10)&amp;'Binder Setup'!$B$2:$B$401&amp;CHAR(10),$H507)),'List Setup'!$Q$2:$Q$401,999),IF(ISNUMBER(SEARCH(CHAR(10)&amp;'Set Aliases'!$A$2:$A$501&amp;CHAR(10),$H507)),'Set Aliases'!$C$2:$C$501,999))),"(none)"))</f>
        <v/>
      </c>
      <c r="C507" s="80" t="str">
        <f t="shared" si="1"/>
        <v/>
      </c>
      <c r="D507" s="80" t="str">
        <f t="array" ref="D507">IF(A507="","",IF(ISLOGICAL(INDEX('Deck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07" s="80" t="str">
        <f t="shared" si="2"/>
        <v/>
      </c>
      <c r="F507" s="80" t="str">
        <f t="array" ref="F507">IF(A507="","",IF(ISNUMBER(J507),J507,IF(ISNUMBER(INDEX('Deck 2'!$A:$Z,ROW()-500,'List Setup'!$F$4)),INDEX('Deck 2'!$A:$Z,ROW()-500,'List Setup'!$F$4),0)))</f>
        <v/>
      </c>
      <c r="G507" s="80" t="str">
        <f t="array" ref="G507">IF(A507="","",A507&amp;IF(N(INDEX('Deck 2'!$A:$Z,ROW()-500,'List Setup'!$C$4))&gt;1," (x"&amp;INDEX('Deck 2'!$A:$Z,ROW()-500,'List Setup'!$C$4)&amp;")","")&amp;IF(COUNTIF(Binders!$J$6:$J$30,TRUE())&gt;1," ["&amp;Q507&amp;"]",""))</f>
        <v/>
      </c>
      <c r="H507" s="80" t="str">
        <f t="array" ref="H507">IF(A507="","",CHAR(10)&amp;INDEX('Deck 2'!$A:$Z,ROW()-500,'List Setup'!$E$4)&amp;CHAR(10))</f>
        <v/>
      </c>
      <c r="I507" s="80" t="str">
        <f t="array" ref="I507">IF(OR(B507="",B507="(none)"),"",IF(ISNUMBER(SEARCH(CHAR(10)&amp;B507&amp;CHAR(10),H507)),B507,IFERROR(INDEX('Set Aliases'!$A$2:$A$501,MATCH(1,('Set Aliases'!$B$2:$B$501=B507)*ISNUMBER(SEARCH(CHAR(10)&amp;'Set Aliases'!$A$2:$A$501&amp;CHAR(10),H507)),0)),"")))</f>
        <v/>
      </c>
      <c r="J507" s="80" t="str">
        <f t="array" ref="J507">IF(I507="","",IFERROR(VALUE(TRIM(MID(SUBSTITUTE(INDEX('Deck 2'!$A:$Z,ROW()-500,'List Setup'!$G$4),CHAR(10),REPT(" ",100)),((SEARCH(CHAR(10)&amp;I507&amp;CHAR(10),H507)-LEN(SUBSTITUTE(LEFT(H507,SEARCH(CHAR(10)&amp;I507&amp;CHAR(10),H507)),CHAR(10),"")))-1)*100+1,100))),""))</f>
        <v/>
      </c>
      <c r="K507" s="80" t="str">
        <f t="array" ref="K507">IF(A507="","",IF(ISNUMBER(SEARCH("Land",LEFT(IFERROR(INDEX('Deck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07" s="80" t="str">
        <f t="shared" si="3"/>
        <v/>
      </c>
      <c r="M507" s="80" t="str">
        <f>IF(A507="","",IF(AND(E507="Y",B507='Use at Shop'!$B$4),K507*10000000000+(MAX(0,MIN(26,CODE(MID(UPPER(A507)&amp;"    ",1,1))-64))*19683+MAX(0,MIN(26,CODE(MID(UPPER(A507)&amp;"    ",2,1))-64))*729+MAX(0,MIN(26,CODE(MID(UPPER(A507)&amp;"    ",3,1))-64))*27+MAX(0,MIN(26,CODE(MID(UPPER(A507)&amp;"    ",4,1))-64))*1)*10000+ROW(),""))</f>
        <v/>
      </c>
      <c r="N507" s="80" t="str">
        <f t="shared" si="6"/>
        <v/>
      </c>
      <c r="O507" s="80" t="str">
        <f t="array" ref="O507">IF(A507="","",IFERROR(INDEX('Deck 2'!$A:$Z,ROW()-500,'List Setup'!$J$4)&amp;"",""))</f>
        <v/>
      </c>
      <c r="P507" s="2"/>
      <c r="Q507" s="80" t="str">
        <f>IF(A507="","",'List Setup'!$A$4)</f>
        <v/>
      </c>
      <c r="R507" s="80" t="str">
        <f t="array" ref="R507">IF(A507="","",IFERROR(OR(INDEX(Binders!$J$6:$J$30,MATCH(Q507,Binders!$I$6:$I$30,0))=TRUE(),UPPER(INDEX(Binders!$J$6:$J$30,MATCH(Q507,Binders!$I$6:$I$30,0))&amp;"")="TRUE"),FALSE()))</f>
        <v/>
      </c>
    </row>
    <row r="508" ht="15.75" customHeight="1">
      <c r="A508" s="80" t="str">
        <f t="array" ref="A508">IF(INDEX('Deck 2'!$A:$Z,ROW()-500,'List Setup'!$D$4)="","",INDEX('Deck 2'!$A:$Z,ROW()-500,'List Setup'!$D$4))</f>
        <v/>
      </c>
      <c r="B508" s="80" t="str">
        <f t="array" ref="B508">IF(A508="","",IFERROR(INDEX('Binder Setup'!$B$2:$B$401,MIN(IF(ISNUMBER(SEARCH(CHAR(10)&amp;'Binder Setup'!$B$2:$B$401&amp;CHAR(10),$H508)),'List Setup'!$Q$2:$Q$401,999),IF(ISNUMBER(SEARCH(CHAR(10)&amp;'Set Aliases'!$A$2:$A$501&amp;CHAR(10),$H508)),'Set Aliases'!$C$2:$C$501,999))),"(none)"))</f>
        <v/>
      </c>
      <c r="C508" s="80" t="str">
        <f t="shared" si="1"/>
        <v/>
      </c>
      <c r="D508" s="80" t="str">
        <f t="array" ref="D508">IF(A508="","",IF(ISLOGICAL(INDEX('Deck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08" s="80" t="str">
        <f t="shared" si="2"/>
        <v/>
      </c>
      <c r="F508" s="80" t="str">
        <f t="array" ref="F508">IF(A508="","",IF(ISNUMBER(J508),J508,IF(ISNUMBER(INDEX('Deck 2'!$A:$Z,ROW()-500,'List Setup'!$F$4)),INDEX('Deck 2'!$A:$Z,ROW()-500,'List Setup'!$F$4),0)))</f>
        <v/>
      </c>
      <c r="G508" s="80" t="str">
        <f t="array" ref="G508">IF(A508="","",A508&amp;IF(N(INDEX('Deck 2'!$A:$Z,ROW()-500,'List Setup'!$C$4))&gt;1," (x"&amp;INDEX('Deck 2'!$A:$Z,ROW()-500,'List Setup'!$C$4)&amp;")","")&amp;IF(COUNTIF(Binders!$J$6:$J$30,TRUE())&gt;1," ["&amp;Q508&amp;"]",""))</f>
        <v/>
      </c>
      <c r="H508" s="80" t="str">
        <f t="array" ref="H508">IF(A508="","",CHAR(10)&amp;INDEX('Deck 2'!$A:$Z,ROW()-500,'List Setup'!$E$4)&amp;CHAR(10))</f>
        <v/>
      </c>
      <c r="I508" s="80" t="str">
        <f t="array" ref="I508">IF(OR(B508="",B508="(none)"),"",IF(ISNUMBER(SEARCH(CHAR(10)&amp;B508&amp;CHAR(10),H508)),B508,IFERROR(INDEX('Set Aliases'!$A$2:$A$501,MATCH(1,('Set Aliases'!$B$2:$B$501=B508)*ISNUMBER(SEARCH(CHAR(10)&amp;'Set Aliases'!$A$2:$A$501&amp;CHAR(10),H508)),0)),"")))</f>
        <v/>
      </c>
      <c r="J508" s="80" t="str">
        <f t="array" ref="J508">IF(I508="","",IFERROR(VALUE(TRIM(MID(SUBSTITUTE(INDEX('Deck 2'!$A:$Z,ROW()-500,'List Setup'!$G$4),CHAR(10),REPT(" ",100)),((SEARCH(CHAR(10)&amp;I508&amp;CHAR(10),H508)-LEN(SUBSTITUTE(LEFT(H508,SEARCH(CHAR(10)&amp;I508&amp;CHAR(10),H508)),CHAR(10),"")))-1)*100+1,100))),""))</f>
        <v/>
      </c>
      <c r="K508" s="80" t="str">
        <f t="array" ref="K508">IF(A508="","",IF(ISNUMBER(SEARCH("Land",LEFT(IFERROR(INDEX('Deck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08" s="80" t="str">
        <f t="shared" si="3"/>
        <v/>
      </c>
      <c r="M508" s="80" t="str">
        <f>IF(A508="","",IF(AND(E508="Y",B508='Use at Shop'!$B$4),K508*10000000000+(MAX(0,MIN(26,CODE(MID(UPPER(A508)&amp;"    ",1,1))-64))*19683+MAX(0,MIN(26,CODE(MID(UPPER(A508)&amp;"    ",2,1))-64))*729+MAX(0,MIN(26,CODE(MID(UPPER(A508)&amp;"    ",3,1))-64))*27+MAX(0,MIN(26,CODE(MID(UPPER(A508)&amp;"    ",4,1))-64))*1)*10000+ROW(),""))</f>
        <v/>
      </c>
      <c r="N508" s="80" t="str">
        <f t="shared" si="6"/>
        <v/>
      </c>
      <c r="O508" s="80" t="str">
        <f t="array" ref="O508">IF(A508="","",IFERROR(INDEX('Deck 2'!$A:$Z,ROW()-500,'List Setup'!$J$4)&amp;"",""))</f>
        <v/>
      </c>
      <c r="P508" s="2"/>
      <c r="Q508" s="80" t="str">
        <f>IF(A508="","",'List Setup'!$A$4)</f>
        <v/>
      </c>
      <c r="R508" s="80" t="str">
        <f t="array" ref="R508">IF(A508="","",IFERROR(OR(INDEX(Binders!$J$6:$J$30,MATCH(Q508,Binders!$I$6:$I$30,0))=TRUE(),UPPER(INDEX(Binders!$J$6:$J$30,MATCH(Q508,Binders!$I$6:$I$30,0))&amp;"")="TRUE"),FALSE()))</f>
        <v/>
      </c>
    </row>
    <row r="509" ht="15.75" customHeight="1">
      <c r="A509" s="80" t="str">
        <f t="array" ref="A509">IF(INDEX('Deck 2'!$A:$Z,ROW()-500,'List Setup'!$D$4)="","",INDEX('Deck 2'!$A:$Z,ROW()-500,'List Setup'!$D$4))</f>
        <v/>
      </c>
      <c r="B509" s="80" t="str">
        <f t="array" ref="B509">IF(A509="","",IFERROR(INDEX('Binder Setup'!$B$2:$B$401,MIN(IF(ISNUMBER(SEARCH(CHAR(10)&amp;'Binder Setup'!$B$2:$B$401&amp;CHAR(10),$H509)),'List Setup'!$Q$2:$Q$401,999),IF(ISNUMBER(SEARCH(CHAR(10)&amp;'Set Aliases'!$A$2:$A$501&amp;CHAR(10),$H509)),'Set Aliases'!$C$2:$C$501,999))),"(none)"))</f>
        <v/>
      </c>
      <c r="C509" s="80" t="str">
        <f t="shared" si="1"/>
        <v/>
      </c>
      <c r="D509" s="80" t="str">
        <f t="array" ref="D509">IF(A509="","",IF(ISLOGICAL(INDEX('Deck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09" s="80" t="str">
        <f t="shared" si="2"/>
        <v/>
      </c>
      <c r="F509" s="80" t="str">
        <f t="array" ref="F509">IF(A509="","",IF(ISNUMBER(J509),J509,IF(ISNUMBER(INDEX('Deck 2'!$A:$Z,ROW()-500,'List Setup'!$F$4)),INDEX('Deck 2'!$A:$Z,ROW()-500,'List Setup'!$F$4),0)))</f>
        <v/>
      </c>
      <c r="G509" s="80" t="str">
        <f t="array" ref="G509">IF(A509="","",A509&amp;IF(N(INDEX('Deck 2'!$A:$Z,ROW()-500,'List Setup'!$C$4))&gt;1," (x"&amp;INDEX('Deck 2'!$A:$Z,ROW()-500,'List Setup'!$C$4)&amp;")","")&amp;IF(COUNTIF(Binders!$J$6:$J$30,TRUE())&gt;1," ["&amp;Q509&amp;"]",""))</f>
        <v/>
      </c>
      <c r="H509" s="80" t="str">
        <f t="array" ref="H509">IF(A509="","",CHAR(10)&amp;INDEX('Deck 2'!$A:$Z,ROW()-500,'List Setup'!$E$4)&amp;CHAR(10))</f>
        <v/>
      </c>
      <c r="I509" s="80" t="str">
        <f t="array" ref="I509">IF(OR(B509="",B509="(none)"),"",IF(ISNUMBER(SEARCH(CHAR(10)&amp;B509&amp;CHAR(10),H509)),B509,IFERROR(INDEX('Set Aliases'!$A$2:$A$501,MATCH(1,('Set Aliases'!$B$2:$B$501=B509)*ISNUMBER(SEARCH(CHAR(10)&amp;'Set Aliases'!$A$2:$A$501&amp;CHAR(10),H509)),0)),"")))</f>
        <v/>
      </c>
      <c r="J509" s="80" t="str">
        <f t="array" ref="J509">IF(I509="","",IFERROR(VALUE(TRIM(MID(SUBSTITUTE(INDEX('Deck 2'!$A:$Z,ROW()-500,'List Setup'!$G$4),CHAR(10),REPT(" ",100)),((SEARCH(CHAR(10)&amp;I509&amp;CHAR(10),H509)-LEN(SUBSTITUTE(LEFT(H509,SEARCH(CHAR(10)&amp;I509&amp;CHAR(10),H509)),CHAR(10),"")))-1)*100+1,100))),""))</f>
        <v/>
      </c>
      <c r="K509" s="80" t="str">
        <f t="array" ref="K509">IF(A509="","",IF(ISNUMBER(SEARCH("Land",LEFT(IFERROR(INDEX('Deck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09" s="80" t="str">
        <f t="shared" si="3"/>
        <v/>
      </c>
      <c r="M509" s="80" t="str">
        <f>IF(A509="","",IF(AND(E509="Y",B509='Use at Shop'!$B$4),K509*10000000000+(MAX(0,MIN(26,CODE(MID(UPPER(A509)&amp;"    ",1,1))-64))*19683+MAX(0,MIN(26,CODE(MID(UPPER(A509)&amp;"    ",2,1))-64))*729+MAX(0,MIN(26,CODE(MID(UPPER(A509)&amp;"    ",3,1))-64))*27+MAX(0,MIN(26,CODE(MID(UPPER(A509)&amp;"    ",4,1))-64))*1)*10000+ROW(),""))</f>
        <v/>
      </c>
      <c r="N509" s="80" t="str">
        <f t="shared" si="6"/>
        <v/>
      </c>
      <c r="O509" s="80" t="str">
        <f t="array" ref="O509">IF(A509="","",IFERROR(INDEX('Deck 2'!$A:$Z,ROW()-500,'List Setup'!$J$4)&amp;"",""))</f>
        <v/>
      </c>
      <c r="P509" s="2"/>
      <c r="Q509" s="80" t="str">
        <f>IF(A509="","",'List Setup'!$A$4)</f>
        <v/>
      </c>
      <c r="R509" s="80" t="str">
        <f t="array" ref="R509">IF(A509="","",IFERROR(OR(INDEX(Binders!$J$6:$J$30,MATCH(Q509,Binders!$I$6:$I$30,0))=TRUE(),UPPER(INDEX(Binders!$J$6:$J$30,MATCH(Q509,Binders!$I$6:$I$30,0))&amp;"")="TRUE"),FALSE()))</f>
        <v/>
      </c>
    </row>
    <row r="510" ht="15.75" customHeight="1">
      <c r="A510" s="80" t="str">
        <f t="array" ref="A510">IF(INDEX('Deck 2'!$A:$Z,ROW()-500,'List Setup'!$D$4)="","",INDEX('Deck 2'!$A:$Z,ROW()-500,'List Setup'!$D$4))</f>
        <v/>
      </c>
      <c r="B510" s="80" t="str">
        <f t="array" ref="B510">IF(A510="","",IFERROR(INDEX('Binder Setup'!$B$2:$B$401,MIN(IF(ISNUMBER(SEARCH(CHAR(10)&amp;'Binder Setup'!$B$2:$B$401&amp;CHAR(10),$H510)),'List Setup'!$Q$2:$Q$401,999),IF(ISNUMBER(SEARCH(CHAR(10)&amp;'Set Aliases'!$A$2:$A$501&amp;CHAR(10),$H510)),'Set Aliases'!$C$2:$C$501,999))),"(none)"))</f>
        <v/>
      </c>
      <c r="C510" s="80" t="str">
        <f t="shared" si="1"/>
        <v/>
      </c>
      <c r="D510" s="80" t="str">
        <f t="array" ref="D510">IF(A510="","",IF(ISLOGICAL(INDEX('Deck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10" s="80" t="str">
        <f t="shared" si="2"/>
        <v/>
      </c>
      <c r="F510" s="80" t="str">
        <f t="array" ref="F510">IF(A510="","",IF(ISNUMBER(J510),J510,IF(ISNUMBER(INDEX('Deck 2'!$A:$Z,ROW()-500,'List Setup'!$F$4)),INDEX('Deck 2'!$A:$Z,ROW()-500,'List Setup'!$F$4),0)))</f>
        <v/>
      </c>
      <c r="G510" s="80" t="str">
        <f t="array" ref="G510">IF(A510="","",A510&amp;IF(N(INDEX('Deck 2'!$A:$Z,ROW()-500,'List Setup'!$C$4))&gt;1," (x"&amp;INDEX('Deck 2'!$A:$Z,ROW()-500,'List Setup'!$C$4)&amp;")","")&amp;IF(COUNTIF(Binders!$J$6:$J$30,TRUE())&gt;1," ["&amp;Q510&amp;"]",""))</f>
        <v/>
      </c>
      <c r="H510" s="80" t="str">
        <f t="array" ref="H510">IF(A510="","",CHAR(10)&amp;INDEX('Deck 2'!$A:$Z,ROW()-500,'List Setup'!$E$4)&amp;CHAR(10))</f>
        <v/>
      </c>
      <c r="I510" s="80" t="str">
        <f t="array" ref="I510">IF(OR(B510="",B510="(none)"),"",IF(ISNUMBER(SEARCH(CHAR(10)&amp;B510&amp;CHAR(10),H510)),B510,IFERROR(INDEX('Set Aliases'!$A$2:$A$501,MATCH(1,('Set Aliases'!$B$2:$B$501=B510)*ISNUMBER(SEARCH(CHAR(10)&amp;'Set Aliases'!$A$2:$A$501&amp;CHAR(10),H510)),0)),"")))</f>
        <v/>
      </c>
      <c r="J510" s="80" t="str">
        <f t="array" ref="J510">IF(I510="","",IFERROR(VALUE(TRIM(MID(SUBSTITUTE(INDEX('Deck 2'!$A:$Z,ROW()-500,'List Setup'!$G$4),CHAR(10),REPT(" ",100)),((SEARCH(CHAR(10)&amp;I510&amp;CHAR(10),H510)-LEN(SUBSTITUTE(LEFT(H510,SEARCH(CHAR(10)&amp;I510&amp;CHAR(10),H510)),CHAR(10),"")))-1)*100+1,100))),""))</f>
        <v/>
      </c>
      <c r="K510" s="80" t="str">
        <f t="array" ref="K510">IF(A510="","",IF(ISNUMBER(SEARCH("Land",LEFT(IFERROR(INDEX('Deck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10" s="80" t="str">
        <f t="shared" si="3"/>
        <v/>
      </c>
      <c r="M510" s="80" t="str">
        <f>IF(A510="","",IF(AND(E510="Y",B510='Use at Shop'!$B$4),K510*10000000000+(MAX(0,MIN(26,CODE(MID(UPPER(A510)&amp;"    ",1,1))-64))*19683+MAX(0,MIN(26,CODE(MID(UPPER(A510)&amp;"    ",2,1))-64))*729+MAX(0,MIN(26,CODE(MID(UPPER(A510)&amp;"    ",3,1))-64))*27+MAX(0,MIN(26,CODE(MID(UPPER(A510)&amp;"    ",4,1))-64))*1)*10000+ROW(),""))</f>
        <v/>
      </c>
      <c r="N510" s="80" t="str">
        <f t="shared" si="6"/>
        <v/>
      </c>
      <c r="O510" s="80" t="str">
        <f t="array" ref="O510">IF(A510="","",IFERROR(INDEX('Deck 2'!$A:$Z,ROW()-500,'List Setup'!$J$4)&amp;"",""))</f>
        <v/>
      </c>
      <c r="P510" s="2"/>
      <c r="Q510" s="80" t="str">
        <f>IF(A510="","",'List Setup'!$A$4)</f>
        <v/>
      </c>
      <c r="R510" s="80" t="str">
        <f t="array" ref="R510">IF(A510="","",IFERROR(OR(INDEX(Binders!$J$6:$J$30,MATCH(Q510,Binders!$I$6:$I$30,0))=TRUE(),UPPER(INDEX(Binders!$J$6:$J$30,MATCH(Q510,Binders!$I$6:$I$30,0))&amp;"")="TRUE"),FALSE()))</f>
        <v/>
      </c>
    </row>
    <row r="511" ht="15.75" customHeight="1">
      <c r="A511" s="80" t="str">
        <f t="array" ref="A511">IF(INDEX('Deck 2'!$A:$Z,ROW()-500,'List Setup'!$D$4)="","",INDEX('Deck 2'!$A:$Z,ROW()-500,'List Setup'!$D$4))</f>
        <v/>
      </c>
      <c r="B511" s="80" t="str">
        <f t="array" ref="B511">IF(A511="","",IFERROR(INDEX('Binder Setup'!$B$2:$B$401,MIN(IF(ISNUMBER(SEARCH(CHAR(10)&amp;'Binder Setup'!$B$2:$B$401&amp;CHAR(10),$H511)),'List Setup'!$Q$2:$Q$401,999),IF(ISNUMBER(SEARCH(CHAR(10)&amp;'Set Aliases'!$A$2:$A$501&amp;CHAR(10),$H511)),'Set Aliases'!$C$2:$C$501,999))),"(none)"))</f>
        <v/>
      </c>
      <c r="C511" s="80" t="str">
        <f t="shared" si="1"/>
        <v/>
      </c>
      <c r="D511" s="80" t="str">
        <f t="array" ref="D511">IF(A511="","",IF(ISLOGICAL(INDEX('Deck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11" s="80" t="str">
        <f t="shared" si="2"/>
        <v/>
      </c>
      <c r="F511" s="80" t="str">
        <f t="array" ref="F511">IF(A511="","",IF(ISNUMBER(J511),J511,IF(ISNUMBER(INDEX('Deck 2'!$A:$Z,ROW()-500,'List Setup'!$F$4)),INDEX('Deck 2'!$A:$Z,ROW()-500,'List Setup'!$F$4),0)))</f>
        <v/>
      </c>
      <c r="G511" s="80" t="str">
        <f t="array" ref="G511">IF(A511="","",A511&amp;IF(N(INDEX('Deck 2'!$A:$Z,ROW()-500,'List Setup'!$C$4))&gt;1," (x"&amp;INDEX('Deck 2'!$A:$Z,ROW()-500,'List Setup'!$C$4)&amp;")","")&amp;IF(COUNTIF(Binders!$J$6:$J$30,TRUE())&gt;1," ["&amp;Q511&amp;"]",""))</f>
        <v/>
      </c>
      <c r="H511" s="80" t="str">
        <f t="array" ref="H511">IF(A511="","",CHAR(10)&amp;INDEX('Deck 2'!$A:$Z,ROW()-500,'List Setup'!$E$4)&amp;CHAR(10))</f>
        <v/>
      </c>
      <c r="I511" s="80" t="str">
        <f t="array" ref="I511">IF(OR(B511="",B511="(none)"),"",IF(ISNUMBER(SEARCH(CHAR(10)&amp;B511&amp;CHAR(10),H511)),B511,IFERROR(INDEX('Set Aliases'!$A$2:$A$501,MATCH(1,('Set Aliases'!$B$2:$B$501=B511)*ISNUMBER(SEARCH(CHAR(10)&amp;'Set Aliases'!$A$2:$A$501&amp;CHAR(10),H511)),0)),"")))</f>
        <v/>
      </c>
      <c r="J511" s="80" t="str">
        <f t="array" ref="J511">IF(I511="","",IFERROR(VALUE(TRIM(MID(SUBSTITUTE(INDEX('Deck 2'!$A:$Z,ROW()-500,'List Setup'!$G$4),CHAR(10),REPT(" ",100)),((SEARCH(CHAR(10)&amp;I511&amp;CHAR(10),H511)-LEN(SUBSTITUTE(LEFT(H511,SEARCH(CHAR(10)&amp;I511&amp;CHAR(10),H511)),CHAR(10),"")))-1)*100+1,100))),""))</f>
        <v/>
      </c>
      <c r="K511" s="80" t="str">
        <f t="array" ref="K511">IF(A511="","",IF(ISNUMBER(SEARCH("Land",LEFT(IFERROR(INDEX('Deck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11" s="80" t="str">
        <f t="shared" si="3"/>
        <v/>
      </c>
      <c r="M511" s="80" t="str">
        <f>IF(A511="","",IF(AND(E511="Y",B511='Use at Shop'!$B$4),K511*10000000000+(MAX(0,MIN(26,CODE(MID(UPPER(A511)&amp;"    ",1,1))-64))*19683+MAX(0,MIN(26,CODE(MID(UPPER(A511)&amp;"    ",2,1))-64))*729+MAX(0,MIN(26,CODE(MID(UPPER(A511)&amp;"    ",3,1))-64))*27+MAX(0,MIN(26,CODE(MID(UPPER(A511)&amp;"    ",4,1))-64))*1)*10000+ROW(),""))</f>
        <v/>
      </c>
      <c r="N511" s="80" t="str">
        <f t="shared" si="6"/>
        <v/>
      </c>
      <c r="O511" s="80" t="str">
        <f t="array" ref="O511">IF(A511="","",IFERROR(INDEX('Deck 2'!$A:$Z,ROW()-500,'List Setup'!$J$4)&amp;"",""))</f>
        <v/>
      </c>
      <c r="P511" s="2"/>
      <c r="Q511" s="80" t="str">
        <f>IF(A511="","",'List Setup'!$A$4)</f>
        <v/>
      </c>
      <c r="R511" s="80" t="str">
        <f t="array" ref="R511">IF(A511="","",IFERROR(OR(INDEX(Binders!$J$6:$J$30,MATCH(Q511,Binders!$I$6:$I$30,0))=TRUE(),UPPER(INDEX(Binders!$J$6:$J$30,MATCH(Q511,Binders!$I$6:$I$30,0))&amp;"")="TRUE"),FALSE()))</f>
        <v/>
      </c>
    </row>
    <row r="512" ht="15.75" customHeight="1">
      <c r="A512" s="80" t="str">
        <f t="array" ref="A512">IF(INDEX('Deck 2'!$A:$Z,ROW()-500,'List Setup'!$D$4)="","",INDEX('Deck 2'!$A:$Z,ROW()-500,'List Setup'!$D$4))</f>
        <v/>
      </c>
      <c r="B512" s="80" t="str">
        <f t="array" ref="B512">IF(A512="","",IFERROR(INDEX('Binder Setup'!$B$2:$B$401,MIN(IF(ISNUMBER(SEARCH(CHAR(10)&amp;'Binder Setup'!$B$2:$B$401&amp;CHAR(10),$H512)),'List Setup'!$Q$2:$Q$401,999),IF(ISNUMBER(SEARCH(CHAR(10)&amp;'Set Aliases'!$A$2:$A$501&amp;CHAR(10),$H512)),'Set Aliases'!$C$2:$C$501,999))),"(none)"))</f>
        <v/>
      </c>
      <c r="C512" s="80" t="str">
        <f t="shared" si="1"/>
        <v/>
      </c>
      <c r="D512" s="80" t="str">
        <f t="array" ref="D512">IF(A512="","",IF(ISLOGICAL(INDEX('Deck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12" s="80" t="str">
        <f t="shared" si="2"/>
        <v/>
      </c>
      <c r="F512" s="80" t="str">
        <f t="array" ref="F512">IF(A512="","",IF(ISNUMBER(J512),J512,IF(ISNUMBER(INDEX('Deck 2'!$A:$Z,ROW()-500,'List Setup'!$F$4)),INDEX('Deck 2'!$A:$Z,ROW()-500,'List Setup'!$F$4),0)))</f>
        <v/>
      </c>
      <c r="G512" s="80" t="str">
        <f t="array" ref="G512">IF(A512="","",A512&amp;IF(N(INDEX('Deck 2'!$A:$Z,ROW()-500,'List Setup'!$C$4))&gt;1," (x"&amp;INDEX('Deck 2'!$A:$Z,ROW()-500,'List Setup'!$C$4)&amp;")","")&amp;IF(COUNTIF(Binders!$J$6:$J$30,TRUE())&gt;1," ["&amp;Q512&amp;"]",""))</f>
        <v/>
      </c>
      <c r="H512" s="80" t="str">
        <f t="array" ref="H512">IF(A512="","",CHAR(10)&amp;INDEX('Deck 2'!$A:$Z,ROW()-500,'List Setup'!$E$4)&amp;CHAR(10))</f>
        <v/>
      </c>
      <c r="I512" s="80" t="str">
        <f t="array" ref="I512">IF(OR(B512="",B512="(none)"),"",IF(ISNUMBER(SEARCH(CHAR(10)&amp;B512&amp;CHAR(10),H512)),B512,IFERROR(INDEX('Set Aliases'!$A$2:$A$501,MATCH(1,('Set Aliases'!$B$2:$B$501=B512)*ISNUMBER(SEARCH(CHAR(10)&amp;'Set Aliases'!$A$2:$A$501&amp;CHAR(10),H512)),0)),"")))</f>
        <v/>
      </c>
      <c r="J512" s="80" t="str">
        <f t="array" ref="J512">IF(I512="","",IFERROR(VALUE(TRIM(MID(SUBSTITUTE(INDEX('Deck 2'!$A:$Z,ROW()-500,'List Setup'!$G$4),CHAR(10),REPT(" ",100)),((SEARCH(CHAR(10)&amp;I512&amp;CHAR(10),H512)-LEN(SUBSTITUTE(LEFT(H512,SEARCH(CHAR(10)&amp;I512&amp;CHAR(10),H512)),CHAR(10),"")))-1)*100+1,100))),""))</f>
        <v/>
      </c>
      <c r="K512" s="80" t="str">
        <f t="array" ref="K512">IF(A512="","",IF(ISNUMBER(SEARCH("Land",LEFT(IFERROR(INDEX('Deck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12" s="80" t="str">
        <f t="shared" si="3"/>
        <v/>
      </c>
      <c r="M512" s="80" t="str">
        <f>IF(A512="","",IF(AND(E512="Y",B512='Use at Shop'!$B$4),K512*10000000000+(MAX(0,MIN(26,CODE(MID(UPPER(A512)&amp;"    ",1,1))-64))*19683+MAX(0,MIN(26,CODE(MID(UPPER(A512)&amp;"    ",2,1))-64))*729+MAX(0,MIN(26,CODE(MID(UPPER(A512)&amp;"    ",3,1))-64))*27+MAX(0,MIN(26,CODE(MID(UPPER(A512)&amp;"    ",4,1))-64))*1)*10000+ROW(),""))</f>
        <v/>
      </c>
      <c r="N512" s="80" t="str">
        <f t="shared" si="6"/>
        <v/>
      </c>
      <c r="O512" s="80" t="str">
        <f t="array" ref="O512">IF(A512="","",IFERROR(INDEX('Deck 2'!$A:$Z,ROW()-500,'List Setup'!$J$4)&amp;"",""))</f>
        <v/>
      </c>
      <c r="P512" s="2"/>
      <c r="Q512" s="80" t="str">
        <f>IF(A512="","",'List Setup'!$A$4)</f>
        <v/>
      </c>
      <c r="R512" s="80" t="str">
        <f t="array" ref="R512">IF(A512="","",IFERROR(OR(INDEX(Binders!$J$6:$J$30,MATCH(Q512,Binders!$I$6:$I$30,0))=TRUE(),UPPER(INDEX(Binders!$J$6:$J$30,MATCH(Q512,Binders!$I$6:$I$30,0))&amp;"")="TRUE"),FALSE()))</f>
        <v/>
      </c>
    </row>
    <row r="513" ht="15.75" customHeight="1">
      <c r="A513" s="80" t="str">
        <f t="array" ref="A513">IF(INDEX('Deck 2'!$A:$Z,ROW()-500,'List Setup'!$D$4)="","",INDEX('Deck 2'!$A:$Z,ROW()-500,'List Setup'!$D$4))</f>
        <v/>
      </c>
      <c r="B513" s="80" t="str">
        <f t="array" ref="B513">IF(A513="","",IFERROR(INDEX('Binder Setup'!$B$2:$B$401,MIN(IF(ISNUMBER(SEARCH(CHAR(10)&amp;'Binder Setup'!$B$2:$B$401&amp;CHAR(10),$H513)),'List Setup'!$Q$2:$Q$401,999),IF(ISNUMBER(SEARCH(CHAR(10)&amp;'Set Aliases'!$A$2:$A$501&amp;CHAR(10),$H513)),'Set Aliases'!$C$2:$C$501,999))),"(none)"))</f>
        <v/>
      </c>
      <c r="C513" s="80" t="str">
        <f t="shared" si="1"/>
        <v/>
      </c>
      <c r="D513" s="80" t="str">
        <f t="array" ref="D513">IF(A513="","",IF(ISLOGICAL(INDEX('Deck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13" s="80" t="str">
        <f t="shared" si="2"/>
        <v/>
      </c>
      <c r="F513" s="80" t="str">
        <f t="array" ref="F513">IF(A513="","",IF(ISNUMBER(J513),J513,IF(ISNUMBER(INDEX('Deck 2'!$A:$Z,ROW()-500,'List Setup'!$F$4)),INDEX('Deck 2'!$A:$Z,ROW()-500,'List Setup'!$F$4),0)))</f>
        <v/>
      </c>
      <c r="G513" s="80" t="str">
        <f t="array" ref="G513">IF(A513="","",A513&amp;IF(N(INDEX('Deck 2'!$A:$Z,ROW()-500,'List Setup'!$C$4))&gt;1," (x"&amp;INDEX('Deck 2'!$A:$Z,ROW()-500,'List Setup'!$C$4)&amp;")","")&amp;IF(COUNTIF(Binders!$J$6:$J$30,TRUE())&gt;1," ["&amp;Q513&amp;"]",""))</f>
        <v/>
      </c>
      <c r="H513" s="80" t="str">
        <f t="array" ref="H513">IF(A513="","",CHAR(10)&amp;INDEX('Deck 2'!$A:$Z,ROW()-500,'List Setup'!$E$4)&amp;CHAR(10))</f>
        <v/>
      </c>
      <c r="I513" s="80" t="str">
        <f t="array" ref="I513">IF(OR(B513="",B513="(none)"),"",IF(ISNUMBER(SEARCH(CHAR(10)&amp;B513&amp;CHAR(10),H513)),B513,IFERROR(INDEX('Set Aliases'!$A$2:$A$501,MATCH(1,('Set Aliases'!$B$2:$B$501=B513)*ISNUMBER(SEARCH(CHAR(10)&amp;'Set Aliases'!$A$2:$A$501&amp;CHAR(10),H513)),0)),"")))</f>
        <v/>
      </c>
      <c r="J513" s="80" t="str">
        <f t="array" ref="J513">IF(I513="","",IFERROR(VALUE(TRIM(MID(SUBSTITUTE(INDEX('Deck 2'!$A:$Z,ROW()-500,'List Setup'!$G$4),CHAR(10),REPT(" ",100)),((SEARCH(CHAR(10)&amp;I513&amp;CHAR(10),H513)-LEN(SUBSTITUTE(LEFT(H513,SEARCH(CHAR(10)&amp;I513&amp;CHAR(10),H513)),CHAR(10),"")))-1)*100+1,100))),""))</f>
        <v/>
      </c>
      <c r="K513" s="80" t="str">
        <f t="array" ref="K513">IF(A513="","",IF(ISNUMBER(SEARCH("Land",LEFT(IFERROR(INDEX('Deck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13" s="80" t="str">
        <f t="shared" si="3"/>
        <v/>
      </c>
      <c r="M513" s="80" t="str">
        <f>IF(A513="","",IF(AND(E513="Y",B513='Use at Shop'!$B$4),K513*10000000000+(MAX(0,MIN(26,CODE(MID(UPPER(A513)&amp;"    ",1,1))-64))*19683+MAX(0,MIN(26,CODE(MID(UPPER(A513)&amp;"    ",2,1))-64))*729+MAX(0,MIN(26,CODE(MID(UPPER(A513)&amp;"    ",3,1))-64))*27+MAX(0,MIN(26,CODE(MID(UPPER(A513)&amp;"    ",4,1))-64))*1)*10000+ROW(),""))</f>
        <v/>
      </c>
      <c r="N513" s="80" t="str">
        <f t="shared" si="6"/>
        <v/>
      </c>
      <c r="O513" s="80" t="str">
        <f t="array" ref="O513">IF(A513="","",IFERROR(INDEX('Deck 2'!$A:$Z,ROW()-500,'List Setup'!$J$4)&amp;"",""))</f>
        <v/>
      </c>
      <c r="P513" s="2"/>
      <c r="Q513" s="80" t="str">
        <f>IF(A513="","",'List Setup'!$A$4)</f>
        <v/>
      </c>
      <c r="R513" s="80" t="str">
        <f t="array" ref="R513">IF(A513="","",IFERROR(OR(INDEX(Binders!$J$6:$J$30,MATCH(Q513,Binders!$I$6:$I$30,0))=TRUE(),UPPER(INDEX(Binders!$J$6:$J$30,MATCH(Q513,Binders!$I$6:$I$30,0))&amp;"")="TRUE"),FALSE()))</f>
        <v/>
      </c>
    </row>
    <row r="514" ht="15.75" customHeight="1">
      <c r="A514" s="80" t="str">
        <f t="array" ref="A514">IF(INDEX('Deck 2'!$A:$Z,ROW()-500,'List Setup'!$D$4)="","",INDEX('Deck 2'!$A:$Z,ROW()-500,'List Setup'!$D$4))</f>
        <v/>
      </c>
      <c r="B514" s="80" t="str">
        <f t="array" ref="B514">IF(A514="","",IFERROR(INDEX('Binder Setup'!$B$2:$B$401,MIN(IF(ISNUMBER(SEARCH(CHAR(10)&amp;'Binder Setup'!$B$2:$B$401&amp;CHAR(10),$H514)),'List Setup'!$Q$2:$Q$401,999),IF(ISNUMBER(SEARCH(CHAR(10)&amp;'Set Aliases'!$A$2:$A$501&amp;CHAR(10),$H514)),'Set Aliases'!$C$2:$C$501,999))),"(none)"))</f>
        <v/>
      </c>
      <c r="C514" s="80" t="str">
        <f t="shared" si="1"/>
        <v/>
      </c>
      <c r="D514" s="80" t="str">
        <f t="array" ref="D514">IF(A514="","",IF(ISLOGICAL(INDEX('Deck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14" s="80" t="str">
        <f t="shared" si="2"/>
        <v/>
      </c>
      <c r="F514" s="80" t="str">
        <f t="array" ref="F514">IF(A514="","",IF(ISNUMBER(J514),J514,IF(ISNUMBER(INDEX('Deck 2'!$A:$Z,ROW()-500,'List Setup'!$F$4)),INDEX('Deck 2'!$A:$Z,ROW()-500,'List Setup'!$F$4),0)))</f>
        <v/>
      </c>
      <c r="G514" s="80" t="str">
        <f t="array" ref="G514">IF(A514="","",A514&amp;IF(N(INDEX('Deck 2'!$A:$Z,ROW()-500,'List Setup'!$C$4))&gt;1," (x"&amp;INDEX('Deck 2'!$A:$Z,ROW()-500,'List Setup'!$C$4)&amp;")","")&amp;IF(COUNTIF(Binders!$J$6:$J$30,TRUE())&gt;1," ["&amp;Q514&amp;"]",""))</f>
        <v/>
      </c>
      <c r="H514" s="80" t="str">
        <f t="array" ref="H514">IF(A514="","",CHAR(10)&amp;INDEX('Deck 2'!$A:$Z,ROW()-500,'List Setup'!$E$4)&amp;CHAR(10))</f>
        <v/>
      </c>
      <c r="I514" s="80" t="str">
        <f t="array" ref="I514">IF(OR(B514="",B514="(none)"),"",IF(ISNUMBER(SEARCH(CHAR(10)&amp;B514&amp;CHAR(10),H514)),B514,IFERROR(INDEX('Set Aliases'!$A$2:$A$501,MATCH(1,('Set Aliases'!$B$2:$B$501=B514)*ISNUMBER(SEARCH(CHAR(10)&amp;'Set Aliases'!$A$2:$A$501&amp;CHAR(10),H514)),0)),"")))</f>
        <v/>
      </c>
      <c r="J514" s="80" t="str">
        <f t="array" ref="J514">IF(I514="","",IFERROR(VALUE(TRIM(MID(SUBSTITUTE(INDEX('Deck 2'!$A:$Z,ROW()-500,'List Setup'!$G$4),CHAR(10),REPT(" ",100)),((SEARCH(CHAR(10)&amp;I514&amp;CHAR(10),H514)-LEN(SUBSTITUTE(LEFT(H514,SEARCH(CHAR(10)&amp;I514&amp;CHAR(10),H514)),CHAR(10),"")))-1)*100+1,100))),""))</f>
        <v/>
      </c>
      <c r="K514" s="80" t="str">
        <f t="array" ref="K514">IF(A514="","",IF(ISNUMBER(SEARCH("Land",LEFT(IFERROR(INDEX('Deck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14" s="80" t="str">
        <f t="shared" si="3"/>
        <v/>
      </c>
      <c r="M514" s="80" t="str">
        <f>IF(A514="","",IF(AND(E514="Y",B514='Use at Shop'!$B$4),K514*10000000000+(MAX(0,MIN(26,CODE(MID(UPPER(A514)&amp;"    ",1,1))-64))*19683+MAX(0,MIN(26,CODE(MID(UPPER(A514)&amp;"    ",2,1))-64))*729+MAX(0,MIN(26,CODE(MID(UPPER(A514)&amp;"    ",3,1))-64))*27+MAX(0,MIN(26,CODE(MID(UPPER(A514)&amp;"    ",4,1))-64))*1)*10000+ROW(),""))</f>
        <v/>
      </c>
      <c r="N514" s="80" t="str">
        <f t="shared" si="6"/>
        <v/>
      </c>
      <c r="O514" s="80" t="str">
        <f t="array" ref="O514">IF(A514="","",IFERROR(INDEX('Deck 2'!$A:$Z,ROW()-500,'List Setup'!$J$4)&amp;"",""))</f>
        <v/>
      </c>
      <c r="P514" s="2"/>
      <c r="Q514" s="80" t="str">
        <f>IF(A514="","",'List Setup'!$A$4)</f>
        <v/>
      </c>
      <c r="R514" s="80" t="str">
        <f t="array" ref="R514">IF(A514="","",IFERROR(OR(INDEX(Binders!$J$6:$J$30,MATCH(Q514,Binders!$I$6:$I$30,0))=TRUE(),UPPER(INDEX(Binders!$J$6:$J$30,MATCH(Q514,Binders!$I$6:$I$30,0))&amp;"")="TRUE"),FALSE()))</f>
        <v/>
      </c>
    </row>
    <row r="515" ht="15.75" customHeight="1">
      <c r="A515" s="80" t="str">
        <f t="array" ref="A515">IF(INDEX('Deck 2'!$A:$Z,ROW()-500,'List Setup'!$D$4)="","",INDEX('Deck 2'!$A:$Z,ROW()-500,'List Setup'!$D$4))</f>
        <v/>
      </c>
      <c r="B515" s="80" t="str">
        <f t="array" ref="B515">IF(A515="","",IFERROR(INDEX('Binder Setup'!$B$2:$B$401,MIN(IF(ISNUMBER(SEARCH(CHAR(10)&amp;'Binder Setup'!$B$2:$B$401&amp;CHAR(10),$H515)),'List Setup'!$Q$2:$Q$401,999),IF(ISNUMBER(SEARCH(CHAR(10)&amp;'Set Aliases'!$A$2:$A$501&amp;CHAR(10),$H515)),'Set Aliases'!$C$2:$C$501,999))),"(none)"))</f>
        <v/>
      </c>
      <c r="C515" s="80" t="str">
        <f t="shared" si="1"/>
        <v/>
      </c>
      <c r="D515" s="80" t="str">
        <f t="array" ref="D515">IF(A515="","",IF(ISLOGICAL(INDEX('Deck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15" s="80" t="str">
        <f t="shared" si="2"/>
        <v/>
      </c>
      <c r="F515" s="80" t="str">
        <f t="array" ref="F515">IF(A515="","",IF(ISNUMBER(J515),J515,IF(ISNUMBER(INDEX('Deck 2'!$A:$Z,ROW()-500,'List Setup'!$F$4)),INDEX('Deck 2'!$A:$Z,ROW()-500,'List Setup'!$F$4),0)))</f>
        <v/>
      </c>
      <c r="G515" s="80" t="str">
        <f t="array" ref="G515">IF(A515="","",A515&amp;IF(N(INDEX('Deck 2'!$A:$Z,ROW()-500,'List Setup'!$C$4))&gt;1," (x"&amp;INDEX('Deck 2'!$A:$Z,ROW()-500,'List Setup'!$C$4)&amp;")","")&amp;IF(COUNTIF(Binders!$J$6:$J$30,TRUE())&gt;1," ["&amp;Q515&amp;"]",""))</f>
        <v/>
      </c>
      <c r="H515" s="80" t="str">
        <f t="array" ref="H515">IF(A515="","",CHAR(10)&amp;INDEX('Deck 2'!$A:$Z,ROW()-500,'List Setup'!$E$4)&amp;CHAR(10))</f>
        <v/>
      </c>
      <c r="I515" s="80" t="str">
        <f t="array" ref="I515">IF(OR(B515="",B515="(none)"),"",IF(ISNUMBER(SEARCH(CHAR(10)&amp;B515&amp;CHAR(10),H515)),B515,IFERROR(INDEX('Set Aliases'!$A$2:$A$501,MATCH(1,('Set Aliases'!$B$2:$B$501=B515)*ISNUMBER(SEARCH(CHAR(10)&amp;'Set Aliases'!$A$2:$A$501&amp;CHAR(10),H515)),0)),"")))</f>
        <v/>
      </c>
      <c r="J515" s="80" t="str">
        <f t="array" ref="J515">IF(I515="","",IFERROR(VALUE(TRIM(MID(SUBSTITUTE(INDEX('Deck 2'!$A:$Z,ROW()-500,'List Setup'!$G$4),CHAR(10),REPT(" ",100)),((SEARCH(CHAR(10)&amp;I515&amp;CHAR(10),H515)-LEN(SUBSTITUTE(LEFT(H515,SEARCH(CHAR(10)&amp;I515&amp;CHAR(10),H515)),CHAR(10),"")))-1)*100+1,100))),""))</f>
        <v/>
      </c>
      <c r="K515" s="80" t="str">
        <f t="array" ref="K515">IF(A515="","",IF(ISNUMBER(SEARCH("Land",LEFT(IFERROR(INDEX('Deck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15" s="80" t="str">
        <f t="shared" si="3"/>
        <v/>
      </c>
      <c r="M515" s="80" t="str">
        <f>IF(A515="","",IF(AND(E515="Y",B515='Use at Shop'!$B$4),K515*10000000000+(MAX(0,MIN(26,CODE(MID(UPPER(A515)&amp;"    ",1,1))-64))*19683+MAX(0,MIN(26,CODE(MID(UPPER(A515)&amp;"    ",2,1))-64))*729+MAX(0,MIN(26,CODE(MID(UPPER(A515)&amp;"    ",3,1))-64))*27+MAX(0,MIN(26,CODE(MID(UPPER(A515)&amp;"    ",4,1))-64))*1)*10000+ROW(),""))</f>
        <v/>
      </c>
      <c r="N515" s="80" t="str">
        <f t="shared" si="6"/>
        <v/>
      </c>
      <c r="O515" s="80" t="str">
        <f t="array" ref="O515">IF(A515="","",IFERROR(INDEX('Deck 2'!$A:$Z,ROW()-500,'List Setup'!$J$4)&amp;"",""))</f>
        <v/>
      </c>
      <c r="P515" s="2"/>
      <c r="Q515" s="80" t="str">
        <f>IF(A515="","",'List Setup'!$A$4)</f>
        <v/>
      </c>
      <c r="R515" s="80" t="str">
        <f t="array" ref="R515">IF(A515="","",IFERROR(OR(INDEX(Binders!$J$6:$J$30,MATCH(Q515,Binders!$I$6:$I$30,0))=TRUE(),UPPER(INDEX(Binders!$J$6:$J$30,MATCH(Q515,Binders!$I$6:$I$30,0))&amp;"")="TRUE"),FALSE()))</f>
        <v/>
      </c>
    </row>
    <row r="516" ht="15.75" customHeight="1">
      <c r="A516" s="80" t="str">
        <f t="array" ref="A516">IF(INDEX('Deck 2'!$A:$Z,ROW()-500,'List Setup'!$D$4)="","",INDEX('Deck 2'!$A:$Z,ROW()-500,'List Setup'!$D$4))</f>
        <v/>
      </c>
      <c r="B516" s="80" t="str">
        <f t="array" ref="B516">IF(A516="","",IFERROR(INDEX('Binder Setup'!$B$2:$B$401,MIN(IF(ISNUMBER(SEARCH(CHAR(10)&amp;'Binder Setup'!$B$2:$B$401&amp;CHAR(10),$H516)),'List Setup'!$Q$2:$Q$401,999),IF(ISNUMBER(SEARCH(CHAR(10)&amp;'Set Aliases'!$A$2:$A$501&amp;CHAR(10),$H516)),'Set Aliases'!$C$2:$C$501,999))),"(none)"))</f>
        <v/>
      </c>
      <c r="C516" s="80" t="str">
        <f t="shared" si="1"/>
        <v/>
      </c>
      <c r="D516" s="80" t="str">
        <f t="array" ref="D516">IF(A516="","",IF(ISLOGICAL(INDEX('Deck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16" s="80" t="str">
        <f t="shared" si="2"/>
        <v/>
      </c>
      <c r="F516" s="80" t="str">
        <f t="array" ref="F516">IF(A516="","",IF(ISNUMBER(J516),J516,IF(ISNUMBER(INDEX('Deck 2'!$A:$Z,ROW()-500,'List Setup'!$F$4)),INDEX('Deck 2'!$A:$Z,ROW()-500,'List Setup'!$F$4),0)))</f>
        <v/>
      </c>
      <c r="G516" s="80" t="str">
        <f t="array" ref="G516">IF(A516="","",A516&amp;IF(N(INDEX('Deck 2'!$A:$Z,ROW()-500,'List Setup'!$C$4))&gt;1," (x"&amp;INDEX('Deck 2'!$A:$Z,ROW()-500,'List Setup'!$C$4)&amp;")","")&amp;IF(COUNTIF(Binders!$J$6:$J$30,TRUE())&gt;1," ["&amp;Q516&amp;"]",""))</f>
        <v/>
      </c>
      <c r="H516" s="80" t="str">
        <f t="array" ref="H516">IF(A516="","",CHAR(10)&amp;INDEX('Deck 2'!$A:$Z,ROW()-500,'List Setup'!$E$4)&amp;CHAR(10))</f>
        <v/>
      </c>
      <c r="I516" s="80" t="str">
        <f t="array" ref="I516">IF(OR(B516="",B516="(none)"),"",IF(ISNUMBER(SEARCH(CHAR(10)&amp;B516&amp;CHAR(10),H516)),B516,IFERROR(INDEX('Set Aliases'!$A$2:$A$501,MATCH(1,('Set Aliases'!$B$2:$B$501=B516)*ISNUMBER(SEARCH(CHAR(10)&amp;'Set Aliases'!$A$2:$A$501&amp;CHAR(10),H516)),0)),"")))</f>
        <v/>
      </c>
      <c r="J516" s="80" t="str">
        <f t="array" ref="J516">IF(I516="","",IFERROR(VALUE(TRIM(MID(SUBSTITUTE(INDEX('Deck 2'!$A:$Z,ROW()-500,'List Setup'!$G$4),CHAR(10),REPT(" ",100)),((SEARCH(CHAR(10)&amp;I516&amp;CHAR(10),H516)-LEN(SUBSTITUTE(LEFT(H516,SEARCH(CHAR(10)&amp;I516&amp;CHAR(10),H516)),CHAR(10),"")))-1)*100+1,100))),""))</f>
        <v/>
      </c>
      <c r="K516" s="80" t="str">
        <f t="array" ref="K516">IF(A516="","",IF(ISNUMBER(SEARCH("Land",LEFT(IFERROR(INDEX('Deck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16" s="80" t="str">
        <f t="shared" si="3"/>
        <v/>
      </c>
      <c r="M516" s="80" t="str">
        <f>IF(A516="","",IF(AND(E516="Y",B516='Use at Shop'!$B$4),K516*10000000000+(MAX(0,MIN(26,CODE(MID(UPPER(A516)&amp;"    ",1,1))-64))*19683+MAX(0,MIN(26,CODE(MID(UPPER(A516)&amp;"    ",2,1))-64))*729+MAX(0,MIN(26,CODE(MID(UPPER(A516)&amp;"    ",3,1))-64))*27+MAX(0,MIN(26,CODE(MID(UPPER(A516)&amp;"    ",4,1))-64))*1)*10000+ROW(),""))</f>
        <v/>
      </c>
      <c r="N516" s="80" t="str">
        <f t="shared" si="6"/>
        <v/>
      </c>
      <c r="O516" s="80" t="str">
        <f t="array" ref="O516">IF(A516="","",IFERROR(INDEX('Deck 2'!$A:$Z,ROW()-500,'List Setup'!$J$4)&amp;"",""))</f>
        <v/>
      </c>
      <c r="P516" s="2"/>
      <c r="Q516" s="80" t="str">
        <f>IF(A516="","",'List Setup'!$A$4)</f>
        <v/>
      </c>
      <c r="R516" s="80" t="str">
        <f t="array" ref="R516">IF(A516="","",IFERROR(OR(INDEX(Binders!$J$6:$J$30,MATCH(Q516,Binders!$I$6:$I$30,0))=TRUE(),UPPER(INDEX(Binders!$J$6:$J$30,MATCH(Q516,Binders!$I$6:$I$30,0))&amp;"")="TRUE"),FALSE()))</f>
        <v/>
      </c>
    </row>
    <row r="517" ht="15.75" customHeight="1">
      <c r="A517" s="80" t="str">
        <f t="array" ref="A517">IF(INDEX('Deck 2'!$A:$Z,ROW()-500,'List Setup'!$D$4)="","",INDEX('Deck 2'!$A:$Z,ROW()-500,'List Setup'!$D$4))</f>
        <v/>
      </c>
      <c r="B517" s="80" t="str">
        <f t="array" ref="B517">IF(A517="","",IFERROR(INDEX('Binder Setup'!$B$2:$B$401,MIN(IF(ISNUMBER(SEARCH(CHAR(10)&amp;'Binder Setup'!$B$2:$B$401&amp;CHAR(10),$H517)),'List Setup'!$Q$2:$Q$401,999),IF(ISNUMBER(SEARCH(CHAR(10)&amp;'Set Aliases'!$A$2:$A$501&amp;CHAR(10),$H517)),'Set Aliases'!$C$2:$C$501,999))),"(none)"))</f>
        <v/>
      </c>
      <c r="C517" s="80" t="str">
        <f t="shared" si="1"/>
        <v/>
      </c>
      <c r="D517" s="80" t="str">
        <f t="array" ref="D517">IF(A517="","",IF(ISLOGICAL(INDEX('Deck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17" s="80" t="str">
        <f t="shared" si="2"/>
        <v/>
      </c>
      <c r="F517" s="80" t="str">
        <f t="array" ref="F517">IF(A517="","",IF(ISNUMBER(J517),J517,IF(ISNUMBER(INDEX('Deck 2'!$A:$Z,ROW()-500,'List Setup'!$F$4)),INDEX('Deck 2'!$A:$Z,ROW()-500,'List Setup'!$F$4),0)))</f>
        <v/>
      </c>
      <c r="G517" s="80" t="str">
        <f t="array" ref="G517">IF(A517="","",A517&amp;IF(N(INDEX('Deck 2'!$A:$Z,ROW()-500,'List Setup'!$C$4))&gt;1," (x"&amp;INDEX('Deck 2'!$A:$Z,ROW()-500,'List Setup'!$C$4)&amp;")","")&amp;IF(COUNTIF(Binders!$J$6:$J$30,TRUE())&gt;1," ["&amp;Q517&amp;"]",""))</f>
        <v/>
      </c>
      <c r="H517" s="80" t="str">
        <f t="array" ref="H517">IF(A517="","",CHAR(10)&amp;INDEX('Deck 2'!$A:$Z,ROW()-500,'List Setup'!$E$4)&amp;CHAR(10))</f>
        <v/>
      </c>
      <c r="I517" s="80" t="str">
        <f t="array" ref="I517">IF(OR(B517="",B517="(none)"),"",IF(ISNUMBER(SEARCH(CHAR(10)&amp;B517&amp;CHAR(10),H517)),B517,IFERROR(INDEX('Set Aliases'!$A$2:$A$501,MATCH(1,('Set Aliases'!$B$2:$B$501=B517)*ISNUMBER(SEARCH(CHAR(10)&amp;'Set Aliases'!$A$2:$A$501&amp;CHAR(10),H517)),0)),"")))</f>
        <v/>
      </c>
      <c r="J517" s="80" t="str">
        <f t="array" ref="J517">IF(I517="","",IFERROR(VALUE(TRIM(MID(SUBSTITUTE(INDEX('Deck 2'!$A:$Z,ROW()-500,'List Setup'!$G$4),CHAR(10),REPT(" ",100)),((SEARCH(CHAR(10)&amp;I517&amp;CHAR(10),H517)-LEN(SUBSTITUTE(LEFT(H517,SEARCH(CHAR(10)&amp;I517&amp;CHAR(10),H517)),CHAR(10),"")))-1)*100+1,100))),""))</f>
        <v/>
      </c>
      <c r="K517" s="80" t="str">
        <f t="array" ref="K517">IF(A517="","",IF(ISNUMBER(SEARCH("Land",LEFT(IFERROR(INDEX('Deck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17" s="80" t="str">
        <f t="shared" si="3"/>
        <v/>
      </c>
      <c r="M517" s="80" t="str">
        <f>IF(A517="","",IF(AND(E517="Y",B517='Use at Shop'!$B$4),K517*10000000000+(MAX(0,MIN(26,CODE(MID(UPPER(A517)&amp;"    ",1,1))-64))*19683+MAX(0,MIN(26,CODE(MID(UPPER(A517)&amp;"    ",2,1))-64))*729+MAX(0,MIN(26,CODE(MID(UPPER(A517)&amp;"    ",3,1))-64))*27+MAX(0,MIN(26,CODE(MID(UPPER(A517)&amp;"    ",4,1))-64))*1)*10000+ROW(),""))</f>
        <v/>
      </c>
      <c r="N517" s="80" t="str">
        <f t="shared" si="6"/>
        <v/>
      </c>
      <c r="O517" s="80" t="str">
        <f t="array" ref="O517">IF(A517="","",IFERROR(INDEX('Deck 2'!$A:$Z,ROW()-500,'List Setup'!$J$4)&amp;"",""))</f>
        <v/>
      </c>
      <c r="P517" s="2"/>
      <c r="Q517" s="80" t="str">
        <f>IF(A517="","",'List Setup'!$A$4)</f>
        <v/>
      </c>
      <c r="R517" s="80" t="str">
        <f t="array" ref="R517">IF(A517="","",IFERROR(OR(INDEX(Binders!$J$6:$J$30,MATCH(Q517,Binders!$I$6:$I$30,0))=TRUE(),UPPER(INDEX(Binders!$J$6:$J$30,MATCH(Q517,Binders!$I$6:$I$30,0))&amp;"")="TRUE"),FALSE()))</f>
        <v/>
      </c>
    </row>
    <row r="518" ht="15.75" customHeight="1">
      <c r="A518" s="80" t="str">
        <f t="array" ref="A518">IF(INDEX('Deck 2'!$A:$Z,ROW()-500,'List Setup'!$D$4)="","",INDEX('Deck 2'!$A:$Z,ROW()-500,'List Setup'!$D$4))</f>
        <v/>
      </c>
      <c r="B518" s="80" t="str">
        <f t="array" ref="B518">IF(A518="","",IFERROR(INDEX('Binder Setup'!$B$2:$B$401,MIN(IF(ISNUMBER(SEARCH(CHAR(10)&amp;'Binder Setup'!$B$2:$B$401&amp;CHAR(10),$H518)),'List Setup'!$Q$2:$Q$401,999),IF(ISNUMBER(SEARCH(CHAR(10)&amp;'Set Aliases'!$A$2:$A$501&amp;CHAR(10),$H518)),'Set Aliases'!$C$2:$C$501,999))),"(none)"))</f>
        <v/>
      </c>
      <c r="C518" s="80" t="str">
        <f t="shared" si="1"/>
        <v/>
      </c>
      <c r="D518" s="80" t="str">
        <f t="array" ref="D518">IF(A518="","",IF(ISLOGICAL(INDEX('Deck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18" s="80" t="str">
        <f t="shared" si="2"/>
        <v/>
      </c>
      <c r="F518" s="80" t="str">
        <f t="array" ref="F518">IF(A518="","",IF(ISNUMBER(J518),J518,IF(ISNUMBER(INDEX('Deck 2'!$A:$Z,ROW()-500,'List Setup'!$F$4)),INDEX('Deck 2'!$A:$Z,ROW()-500,'List Setup'!$F$4),0)))</f>
        <v/>
      </c>
      <c r="G518" s="80" t="str">
        <f t="array" ref="G518">IF(A518="","",A518&amp;IF(N(INDEX('Deck 2'!$A:$Z,ROW()-500,'List Setup'!$C$4))&gt;1," (x"&amp;INDEX('Deck 2'!$A:$Z,ROW()-500,'List Setup'!$C$4)&amp;")","")&amp;IF(COUNTIF(Binders!$J$6:$J$30,TRUE())&gt;1," ["&amp;Q518&amp;"]",""))</f>
        <v/>
      </c>
      <c r="H518" s="80" t="str">
        <f t="array" ref="H518">IF(A518="","",CHAR(10)&amp;INDEX('Deck 2'!$A:$Z,ROW()-500,'List Setup'!$E$4)&amp;CHAR(10))</f>
        <v/>
      </c>
      <c r="I518" s="80" t="str">
        <f t="array" ref="I518">IF(OR(B518="",B518="(none)"),"",IF(ISNUMBER(SEARCH(CHAR(10)&amp;B518&amp;CHAR(10),H518)),B518,IFERROR(INDEX('Set Aliases'!$A$2:$A$501,MATCH(1,('Set Aliases'!$B$2:$B$501=B518)*ISNUMBER(SEARCH(CHAR(10)&amp;'Set Aliases'!$A$2:$A$501&amp;CHAR(10),H518)),0)),"")))</f>
        <v/>
      </c>
      <c r="J518" s="80" t="str">
        <f t="array" ref="J518">IF(I518="","",IFERROR(VALUE(TRIM(MID(SUBSTITUTE(INDEX('Deck 2'!$A:$Z,ROW()-500,'List Setup'!$G$4),CHAR(10),REPT(" ",100)),((SEARCH(CHAR(10)&amp;I518&amp;CHAR(10),H518)-LEN(SUBSTITUTE(LEFT(H518,SEARCH(CHAR(10)&amp;I518&amp;CHAR(10),H518)),CHAR(10),"")))-1)*100+1,100))),""))</f>
        <v/>
      </c>
      <c r="K518" s="80" t="str">
        <f t="array" ref="K518">IF(A518="","",IF(ISNUMBER(SEARCH("Land",LEFT(IFERROR(INDEX('Deck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18" s="80" t="str">
        <f t="shared" si="3"/>
        <v/>
      </c>
      <c r="M518" s="80" t="str">
        <f>IF(A518="","",IF(AND(E518="Y",B518='Use at Shop'!$B$4),K518*10000000000+(MAX(0,MIN(26,CODE(MID(UPPER(A518)&amp;"    ",1,1))-64))*19683+MAX(0,MIN(26,CODE(MID(UPPER(A518)&amp;"    ",2,1))-64))*729+MAX(0,MIN(26,CODE(MID(UPPER(A518)&amp;"    ",3,1))-64))*27+MAX(0,MIN(26,CODE(MID(UPPER(A518)&amp;"    ",4,1))-64))*1)*10000+ROW(),""))</f>
        <v/>
      </c>
      <c r="N518" s="80" t="str">
        <f t="shared" si="6"/>
        <v/>
      </c>
      <c r="O518" s="80" t="str">
        <f t="array" ref="O518">IF(A518="","",IFERROR(INDEX('Deck 2'!$A:$Z,ROW()-500,'List Setup'!$J$4)&amp;"",""))</f>
        <v/>
      </c>
      <c r="P518" s="2"/>
      <c r="Q518" s="80" t="str">
        <f>IF(A518="","",'List Setup'!$A$4)</f>
        <v/>
      </c>
      <c r="R518" s="80" t="str">
        <f t="array" ref="R518">IF(A518="","",IFERROR(OR(INDEX(Binders!$J$6:$J$30,MATCH(Q518,Binders!$I$6:$I$30,0))=TRUE(),UPPER(INDEX(Binders!$J$6:$J$30,MATCH(Q518,Binders!$I$6:$I$30,0))&amp;"")="TRUE"),FALSE()))</f>
        <v/>
      </c>
    </row>
    <row r="519" ht="15.75" customHeight="1">
      <c r="A519" s="80" t="str">
        <f t="array" ref="A519">IF(INDEX('Deck 2'!$A:$Z,ROW()-500,'List Setup'!$D$4)="","",INDEX('Deck 2'!$A:$Z,ROW()-500,'List Setup'!$D$4))</f>
        <v/>
      </c>
      <c r="B519" s="80" t="str">
        <f t="array" ref="B519">IF(A519="","",IFERROR(INDEX('Binder Setup'!$B$2:$B$401,MIN(IF(ISNUMBER(SEARCH(CHAR(10)&amp;'Binder Setup'!$B$2:$B$401&amp;CHAR(10),$H519)),'List Setup'!$Q$2:$Q$401,999),IF(ISNUMBER(SEARCH(CHAR(10)&amp;'Set Aliases'!$A$2:$A$501&amp;CHAR(10),$H519)),'Set Aliases'!$C$2:$C$501,999))),"(none)"))</f>
        <v/>
      </c>
      <c r="C519" s="80" t="str">
        <f t="shared" si="1"/>
        <v/>
      </c>
      <c r="D519" s="80" t="str">
        <f t="array" ref="D519">IF(A519="","",IF(ISLOGICAL(INDEX('Deck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19" s="80" t="str">
        <f t="shared" si="2"/>
        <v/>
      </c>
      <c r="F519" s="80" t="str">
        <f t="array" ref="F519">IF(A519="","",IF(ISNUMBER(J519),J519,IF(ISNUMBER(INDEX('Deck 2'!$A:$Z,ROW()-500,'List Setup'!$F$4)),INDEX('Deck 2'!$A:$Z,ROW()-500,'List Setup'!$F$4),0)))</f>
        <v/>
      </c>
      <c r="G519" s="80" t="str">
        <f t="array" ref="G519">IF(A519="","",A519&amp;IF(N(INDEX('Deck 2'!$A:$Z,ROW()-500,'List Setup'!$C$4))&gt;1," (x"&amp;INDEX('Deck 2'!$A:$Z,ROW()-500,'List Setup'!$C$4)&amp;")","")&amp;IF(COUNTIF(Binders!$J$6:$J$30,TRUE())&gt;1," ["&amp;Q519&amp;"]",""))</f>
        <v/>
      </c>
      <c r="H519" s="80" t="str">
        <f t="array" ref="H519">IF(A519="","",CHAR(10)&amp;INDEX('Deck 2'!$A:$Z,ROW()-500,'List Setup'!$E$4)&amp;CHAR(10))</f>
        <v/>
      </c>
      <c r="I519" s="80" t="str">
        <f t="array" ref="I519">IF(OR(B519="",B519="(none)"),"",IF(ISNUMBER(SEARCH(CHAR(10)&amp;B519&amp;CHAR(10),H519)),B519,IFERROR(INDEX('Set Aliases'!$A$2:$A$501,MATCH(1,('Set Aliases'!$B$2:$B$501=B519)*ISNUMBER(SEARCH(CHAR(10)&amp;'Set Aliases'!$A$2:$A$501&amp;CHAR(10),H519)),0)),"")))</f>
        <v/>
      </c>
      <c r="J519" s="80" t="str">
        <f t="array" ref="J519">IF(I519="","",IFERROR(VALUE(TRIM(MID(SUBSTITUTE(INDEX('Deck 2'!$A:$Z,ROW()-500,'List Setup'!$G$4),CHAR(10),REPT(" ",100)),((SEARCH(CHAR(10)&amp;I519&amp;CHAR(10),H519)-LEN(SUBSTITUTE(LEFT(H519,SEARCH(CHAR(10)&amp;I519&amp;CHAR(10),H519)),CHAR(10),"")))-1)*100+1,100))),""))</f>
        <v/>
      </c>
      <c r="K519" s="80" t="str">
        <f t="array" ref="K519">IF(A519="","",IF(ISNUMBER(SEARCH("Land",LEFT(IFERROR(INDEX('Deck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19" s="80" t="str">
        <f t="shared" si="3"/>
        <v/>
      </c>
      <c r="M519" s="80" t="str">
        <f>IF(A519="","",IF(AND(E519="Y",B519='Use at Shop'!$B$4),K519*10000000000+(MAX(0,MIN(26,CODE(MID(UPPER(A519)&amp;"    ",1,1))-64))*19683+MAX(0,MIN(26,CODE(MID(UPPER(A519)&amp;"    ",2,1))-64))*729+MAX(0,MIN(26,CODE(MID(UPPER(A519)&amp;"    ",3,1))-64))*27+MAX(0,MIN(26,CODE(MID(UPPER(A519)&amp;"    ",4,1))-64))*1)*10000+ROW(),""))</f>
        <v/>
      </c>
      <c r="N519" s="80" t="str">
        <f t="shared" si="6"/>
        <v/>
      </c>
      <c r="O519" s="80" t="str">
        <f t="array" ref="O519">IF(A519="","",IFERROR(INDEX('Deck 2'!$A:$Z,ROW()-500,'List Setup'!$J$4)&amp;"",""))</f>
        <v/>
      </c>
      <c r="P519" s="2"/>
      <c r="Q519" s="80" t="str">
        <f>IF(A519="","",'List Setup'!$A$4)</f>
        <v/>
      </c>
      <c r="R519" s="80" t="str">
        <f t="array" ref="R519">IF(A519="","",IFERROR(OR(INDEX(Binders!$J$6:$J$30,MATCH(Q519,Binders!$I$6:$I$30,0))=TRUE(),UPPER(INDEX(Binders!$J$6:$J$30,MATCH(Q519,Binders!$I$6:$I$30,0))&amp;"")="TRUE"),FALSE()))</f>
        <v/>
      </c>
    </row>
    <row r="520" ht="15.75" customHeight="1">
      <c r="A520" s="80" t="str">
        <f t="array" ref="A520">IF(INDEX('Deck 2'!$A:$Z,ROW()-500,'List Setup'!$D$4)="","",INDEX('Deck 2'!$A:$Z,ROW()-500,'List Setup'!$D$4))</f>
        <v/>
      </c>
      <c r="B520" s="80" t="str">
        <f t="array" ref="B520">IF(A520="","",IFERROR(INDEX('Binder Setup'!$B$2:$B$401,MIN(IF(ISNUMBER(SEARCH(CHAR(10)&amp;'Binder Setup'!$B$2:$B$401&amp;CHAR(10),$H520)),'List Setup'!$Q$2:$Q$401,999),IF(ISNUMBER(SEARCH(CHAR(10)&amp;'Set Aliases'!$A$2:$A$501&amp;CHAR(10),$H520)),'Set Aliases'!$C$2:$C$501,999))),"(none)"))</f>
        <v/>
      </c>
      <c r="C520" s="80" t="str">
        <f t="shared" si="1"/>
        <v/>
      </c>
      <c r="D520" s="80" t="str">
        <f t="array" ref="D520">IF(A520="","",IF(ISLOGICAL(INDEX('Deck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20" s="80" t="str">
        <f t="shared" si="2"/>
        <v/>
      </c>
      <c r="F520" s="80" t="str">
        <f t="array" ref="F520">IF(A520="","",IF(ISNUMBER(J520),J520,IF(ISNUMBER(INDEX('Deck 2'!$A:$Z,ROW()-500,'List Setup'!$F$4)),INDEX('Deck 2'!$A:$Z,ROW()-500,'List Setup'!$F$4),0)))</f>
        <v/>
      </c>
      <c r="G520" s="80" t="str">
        <f t="array" ref="G520">IF(A520="","",A520&amp;IF(N(INDEX('Deck 2'!$A:$Z,ROW()-500,'List Setup'!$C$4))&gt;1," (x"&amp;INDEX('Deck 2'!$A:$Z,ROW()-500,'List Setup'!$C$4)&amp;")","")&amp;IF(COUNTIF(Binders!$J$6:$J$30,TRUE())&gt;1," ["&amp;Q520&amp;"]",""))</f>
        <v/>
      </c>
      <c r="H520" s="80" t="str">
        <f t="array" ref="H520">IF(A520="","",CHAR(10)&amp;INDEX('Deck 2'!$A:$Z,ROW()-500,'List Setup'!$E$4)&amp;CHAR(10))</f>
        <v/>
      </c>
      <c r="I520" s="80" t="str">
        <f t="array" ref="I520">IF(OR(B520="",B520="(none)"),"",IF(ISNUMBER(SEARCH(CHAR(10)&amp;B520&amp;CHAR(10),H520)),B520,IFERROR(INDEX('Set Aliases'!$A$2:$A$501,MATCH(1,('Set Aliases'!$B$2:$B$501=B520)*ISNUMBER(SEARCH(CHAR(10)&amp;'Set Aliases'!$A$2:$A$501&amp;CHAR(10),H520)),0)),"")))</f>
        <v/>
      </c>
      <c r="J520" s="80" t="str">
        <f t="array" ref="J520">IF(I520="","",IFERROR(VALUE(TRIM(MID(SUBSTITUTE(INDEX('Deck 2'!$A:$Z,ROW()-500,'List Setup'!$G$4),CHAR(10),REPT(" ",100)),((SEARCH(CHAR(10)&amp;I520&amp;CHAR(10),H520)-LEN(SUBSTITUTE(LEFT(H520,SEARCH(CHAR(10)&amp;I520&amp;CHAR(10),H520)),CHAR(10),"")))-1)*100+1,100))),""))</f>
        <v/>
      </c>
      <c r="K520" s="80" t="str">
        <f t="array" ref="K520">IF(A520="","",IF(ISNUMBER(SEARCH("Land",LEFT(IFERROR(INDEX('Deck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20" s="80" t="str">
        <f t="shared" si="3"/>
        <v/>
      </c>
      <c r="M520" s="80" t="str">
        <f>IF(A520="","",IF(AND(E520="Y",B520='Use at Shop'!$B$4),K520*10000000000+(MAX(0,MIN(26,CODE(MID(UPPER(A520)&amp;"    ",1,1))-64))*19683+MAX(0,MIN(26,CODE(MID(UPPER(A520)&amp;"    ",2,1))-64))*729+MAX(0,MIN(26,CODE(MID(UPPER(A520)&amp;"    ",3,1))-64))*27+MAX(0,MIN(26,CODE(MID(UPPER(A520)&amp;"    ",4,1))-64))*1)*10000+ROW(),""))</f>
        <v/>
      </c>
      <c r="N520" s="80" t="str">
        <f t="shared" si="6"/>
        <v/>
      </c>
      <c r="O520" s="80" t="str">
        <f t="array" ref="O520">IF(A520="","",IFERROR(INDEX('Deck 2'!$A:$Z,ROW()-500,'List Setup'!$J$4)&amp;"",""))</f>
        <v/>
      </c>
      <c r="P520" s="2"/>
      <c r="Q520" s="80" t="str">
        <f>IF(A520="","",'List Setup'!$A$4)</f>
        <v/>
      </c>
      <c r="R520" s="80" t="str">
        <f t="array" ref="R520">IF(A520="","",IFERROR(OR(INDEX(Binders!$J$6:$J$30,MATCH(Q520,Binders!$I$6:$I$30,0))=TRUE(),UPPER(INDEX(Binders!$J$6:$J$30,MATCH(Q520,Binders!$I$6:$I$30,0))&amp;"")="TRUE"),FALSE()))</f>
        <v/>
      </c>
    </row>
    <row r="521" ht="15.75" customHeight="1">
      <c r="A521" s="80" t="str">
        <f t="array" ref="A521">IF(INDEX('Deck 2'!$A:$Z,ROW()-500,'List Setup'!$D$4)="","",INDEX('Deck 2'!$A:$Z,ROW()-500,'List Setup'!$D$4))</f>
        <v/>
      </c>
      <c r="B521" s="80" t="str">
        <f t="array" ref="B521">IF(A521="","",IFERROR(INDEX('Binder Setup'!$B$2:$B$401,MIN(IF(ISNUMBER(SEARCH(CHAR(10)&amp;'Binder Setup'!$B$2:$B$401&amp;CHAR(10),$H521)),'List Setup'!$Q$2:$Q$401,999),IF(ISNUMBER(SEARCH(CHAR(10)&amp;'Set Aliases'!$A$2:$A$501&amp;CHAR(10),$H521)),'Set Aliases'!$C$2:$C$501,999))),"(none)"))</f>
        <v/>
      </c>
      <c r="C521" s="80" t="str">
        <f t="shared" si="1"/>
        <v/>
      </c>
      <c r="D521" s="80" t="str">
        <f t="array" ref="D521">IF(A521="","",IF(ISLOGICAL(INDEX('Deck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21" s="80" t="str">
        <f t="shared" si="2"/>
        <v/>
      </c>
      <c r="F521" s="80" t="str">
        <f t="array" ref="F521">IF(A521="","",IF(ISNUMBER(J521),J521,IF(ISNUMBER(INDEX('Deck 2'!$A:$Z,ROW()-500,'List Setup'!$F$4)),INDEX('Deck 2'!$A:$Z,ROW()-500,'List Setup'!$F$4),0)))</f>
        <v/>
      </c>
      <c r="G521" s="80" t="str">
        <f t="array" ref="G521">IF(A521="","",A521&amp;IF(N(INDEX('Deck 2'!$A:$Z,ROW()-500,'List Setup'!$C$4))&gt;1," (x"&amp;INDEX('Deck 2'!$A:$Z,ROW()-500,'List Setup'!$C$4)&amp;")","")&amp;IF(COUNTIF(Binders!$J$6:$J$30,TRUE())&gt;1," ["&amp;Q521&amp;"]",""))</f>
        <v/>
      </c>
      <c r="H521" s="80" t="str">
        <f t="array" ref="H521">IF(A521="","",CHAR(10)&amp;INDEX('Deck 2'!$A:$Z,ROW()-500,'List Setup'!$E$4)&amp;CHAR(10))</f>
        <v/>
      </c>
      <c r="I521" s="80" t="str">
        <f t="array" ref="I521">IF(OR(B521="",B521="(none)"),"",IF(ISNUMBER(SEARCH(CHAR(10)&amp;B521&amp;CHAR(10),H521)),B521,IFERROR(INDEX('Set Aliases'!$A$2:$A$501,MATCH(1,('Set Aliases'!$B$2:$B$501=B521)*ISNUMBER(SEARCH(CHAR(10)&amp;'Set Aliases'!$A$2:$A$501&amp;CHAR(10),H521)),0)),"")))</f>
        <v/>
      </c>
      <c r="J521" s="80" t="str">
        <f t="array" ref="J521">IF(I521="","",IFERROR(VALUE(TRIM(MID(SUBSTITUTE(INDEX('Deck 2'!$A:$Z,ROW()-500,'List Setup'!$G$4),CHAR(10),REPT(" ",100)),((SEARCH(CHAR(10)&amp;I521&amp;CHAR(10),H521)-LEN(SUBSTITUTE(LEFT(H521,SEARCH(CHAR(10)&amp;I521&amp;CHAR(10),H521)),CHAR(10),"")))-1)*100+1,100))),""))</f>
        <v/>
      </c>
      <c r="K521" s="80" t="str">
        <f t="array" ref="K521">IF(A521="","",IF(ISNUMBER(SEARCH("Land",LEFT(IFERROR(INDEX('Deck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21" s="80" t="str">
        <f t="shared" si="3"/>
        <v/>
      </c>
      <c r="M521" s="80" t="str">
        <f>IF(A521="","",IF(AND(E521="Y",B521='Use at Shop'!$B$4),K521*10000000000+(MAX(0,MIN(26,CODE(MID(UPPER(A521)&amp;"    ",1,1))-64))*19683+MAX(0,MIN(26,CODE(MID(UPPER(A521)&amp;"    ",2,1))-64))*729+MAX(0,MIN(26,CODE(MID(UPPER(A521)&amp;"    ",3,1))-64))*27+MAX(0,MIN(26,CODE(MID(UPPER(A521)&amp;"    ",4,1))-64))*1)*10000+ROW(),""))</f>
        <v/>
      </c>
      <c r="N521" s="80" t="str">
        <f t="shared" si="6"/>
        <v/>
      </c>
      <c r="O521" s="80" t="str">
        <f t="array" ref="O521">IF(A521="","",IFERROR(INDEX('Deck 2'!$A:$Z,ROW()-500,'List Setup'!$J$4)&amp;"",""))</f>
        <v/>
      </c>
      <c r="P521" s="2"/>
      <c r="Q521" s="80" t="str">
        <f>IF(A521="","",'List Setup'!$A$4)</f>
        <v/>
      </c>
      <c r="R521" s="80" t="str">
        <f t="array" ref="R521">IF(A521="","",IFERROR(OR(INDEX(Binders!$J$6:$J$30,MATCH(Q521,Binders!$I$6:$I$30,0))=TRUE(),UPPER(INDEX(Binders!$J$6:$J$30,MATCH(Q521,Binders!$I$6:$I$30,0))&amp;"")="TRUE"),FALSE()))</f>
        <v/>
      </c>
    </row>
    <row r="522" ht="15.75" customHeight="1">
      <c r="A522" s="80" t="str">
        <f t="array" ref="A522">IF(INDEX('Deck 2'!$A:$Z,ROW()-500,'List Setup'!$D$4)="","",INDEX('Deck 2'!$A:$Z,ROW()-500,'List Setup'!$D$4))</f>
        <v/>
      </c>
      <c r="B522" s="80" t="str">
        <f t="array" ref="B522">IF(A522="","",IFERROR(INDEX('Binder Setup'!$B$2:$B$401,MIN(IF(ISNUMBER(SEARCH(CHAR(10)&amp;'Binder Setup'!$B$2:$B$401&amp;CHAR(10),$H522)),'List Setup'!$Q$2:$Q$401,999),IF(ISNUMBER(SEARCH(CHAR(10)&amp;'Set Aliases'!$A$2:$A$501&amp;CHAR(10),$H522)),'Set Aliases'!$C$2:$C$501,999))),"(none)"))</f>
        <v/>
      </c>
      <c r="C522" s="80" t="str">
        <f t="shared" si="1"/>
        <v/>
      </c>
      <c r="D522" s="80" t="str">
        <f t="array" ref="D522">IF(A522="","",IF(ISLOGICAL(INDEX('Deck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22" s="80" t="str">
        <f t="shared" si="2"/>
        <v/>
      </c>
      <c r="F522" s="80" t="str">
        <f t="array" ref="F522">IF(A522="","",IF(ISNUMBER(J522),J522,IF(ISNUMBER(INDEX('Deck 2'!$A:$Z,ROW()-500,'List Setup'!$F$4)),INDEX('Deck 2'!$A:$Z,ROW()-500,'List Setup'!$F$4),0)))</f>
        <v/>
      </c>
      <c r="G522" s="80" t="str">
        <f t="array" ref="G522">IF(A522="","",A522&amp;IF(N(INDEX('Deck 2'!$A:$Z,ROW()-500,'List Setup'!$C$4))&gt;1," (x"&amp;INDEX('Deck 2'!$A:$Z,ROW()-500,'List Setup'!$C$4)&amp;")","")&amp;IF(COUNTIF(Binders!$J$6:$J$30,TRUE())&gt;1," ["&amp;Q522&amp;"]",""))</f>
        <v/>
      </c>
      <c r="H522" s="80" t="str">
        <f t="array" ref="H522">IF(A522="","",CHAR(10)&amp;INDEX('Deck 2'!$A:$Z,ROW()-500,'List Setup'!$E$4)&amp;CHAR(10))</f>
        <v/>
      </c>
      <c r="I522" s="80" t="str">
        <f t="array" ref="I522">IF(OR(B522="",B522="(none)"),"",IF(ISNUMBER(SEARCH(CHAR(10)&amp;B522&amp;CHAR(10),H522)),B522,IFERROR(INDEX('Set Aliases'!$A$2:$A$501,MATCH(1,('Set Aliases'!$B$2:$B$501=B522)*ISNUMBER(SEARCH(CHAR(10)&amp;'Set Aliases'!$A$2:$A$501&amp;CHAR(10),H522)),0)),"")))</f>
        <v/>
      </c>
      <c r="J522" s="80" t="str">
        <f t="array" ref="J522">IF(I522="","",IFERROR(VALUE(TRIM(MID(SUBSTITUTE(INDEX('Deck 2'!$A:$Z,ROW()-500,'List Setup'!$G$4),CHAR(10),REPT(" ",100)),((SEARCH(CHAR(10)&amp;I522&amp;CHAR(10),H522)-LEN(SUBSTITUTE(LEFT(H522,SEARCH(CHAR(10)&amp;I522&amp;CHAR(10),H522)),CHAR(10),"")))-1)*100+1,100))),""))</f>
        <v/>
      </c>
      <c r="K522" s="80" t="str">
        <f t="array" ref="K522">IF(A522="","",IF(ISNUMBER(SEARCH("Land",LEFT(IFERROR(INDEX('Deck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22" s="80" t="str">
        <f t="shared" si="3"/>
        <v/>
      </c>
      <c r="M522" s="80" t="str">
        <f>IF(A522="","",IF(AND(E522="Y",B522='Use at Shop'!$B$4),K522*10000000000+(MAX(0,MIN(26,CODE(MID(UPPER(A522)&amp;"    ",1,1))-64))*19683+MAX(0,MIN(26,CODE(MID(UPPER(A522)&amp;"    ",2,1))-64))*729+MAX(0,MIN(26,CODE(MID(UPPER(A522)&amp;"    ",3,1))-64))*27+MAX(0,MIN(26,CODE(MID(UPPER(A522)&amp;"    ",4,1))-64))*1)*10000+ROW(),""))</f>
        <v/>
      </c>
      <c r="N522" s="80" t="str">
        <f t="shared" si="6"/>
        <v/>
      </c>
      <c r="O522" s="80" t="str">
        <f t="array" ref="O522">IF(A522="","",IFERROR(INDEX('Deck 2'!$A:$Z,ROW()-500,'List Setup'!$J$4)&amp;"",""))</f>
        <v/>
      </c>
      <c r="P522" s="2"/>
      <c r="Q522" s="80" t="str">
        <f>IF(A522="","",'List Setup'!$A$4)</f>
        <v/>
      </c>
      <c r="R522" s="80" t="str">
        <f t="array" ref="R522">IF(A522="","",IFERROR(OR(INDEX(Binders!$J$6:$J$30,MATCH(Q522,Binders!$I$6:$I$30,0))=TRUE(),UPPER(INDEX(Binders!$J$6:$J$30,MATCH(Q522,Binders!$I$6:$I$30,0))&amp;"")="TRUE"),FALSE()))</f>
        <v/>
      </c>
    </row>
    <row r="523" ht="15.75" customHeight="1">
      <c r="A523" s="80" t="str">
        <f t="array" ref="A523">IF(INDEX('Deck 2'!$A:$Z,ROW()-500,'List Setup'!$D$4)="","",INDEX('Deck 2'!$A:$Z,ROW()-500,'List Setup'!$D$4))</f>
        <v/>
      </c>
      <c r="B523" s="80" t="str">
        <f t="array" ref="B523">IF(A523="","",IFERROR(INDEX('Binder Setup'!$B$2:$B$401,MIN(IF(ISNUMBER(SEARCH(CHAR(10)&amp;'Binder Setup'!$B$2:$B$401&amp;CHAR(10),$H523)),'List Setup'!$Q$2:$Q$401,999),IF(ISNUMBER(SEARCH(CHAR(10)&amp;'Set Aliases'!$A$2:$A$501&amp;CHAR(10),$H523)),'Set Aliases'!$C$2:$C$501,999))),"(none)"))</f>
        <v/>
      </c>
      <c r="C523" s="80" t="str">
        <f t="shared" si="1"/>
        <v/>
      </c>
      <c r="D523" s="80" t="str">
        <f t="array" ref="D523">IF(A523="","",IF(ISLOGICAL(INDEX('Deck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23" s="80" t="str">
        <f t="shared" si="2"/>
        <v/>
      </c>
      <c r="F523" s="80" t="str">
        <f t="array" ref="F523">IF(A523="","",IF(ISNUMBER(J523),J523,IF(ISNUMBER(INDEX('Deck 2'!$A:$Z,ROW()-500,'List Setup'!$F$4)),INDEX('Deck 2'!$A:$Z,ROW()-500,'List Setup'!$F$4),0)))</f>
        <v/>
      </c>
      <c r="G523" s="80" t="str">
        <f t="array" ref="G523">IF(A523="","",A523&amp;IF(N(INDEX('Deck 2'!$A:$Z,ROW()-500,'List Setup'!$C$4))&gt;1," (x"&amp;INDEX('Deck 2'!$A:$Z,ROW()-500,'List Setup'!$C$4)&amp;")","")&amp;IF(COUNTIF(Binders!$J$6:$J$30,TRUE())&gt;1," ["&amp;Q523&amp;"]",""))</f>
        <v/>
      </c>
      <c r="H523" s="80" t="str">
        <f t="array" ref="H523">IF(A523="","",CHAR(10)&amp;INDEX('Deck 2'!$A:$Z,ROW()-500,'List Setup'!$E$4)&amp;CHAR(10))</f>
        <v/>
      </c>
      <c r="I523" s="80" t="str">
        <f t="array" ref="I523">IF(OR(B523="",B523="(none)"),"",IF(ISNUMBER(SEARCH(CHAR(10)&amp;B523&amp;CHAR(10),H523)),B523,IFERROR(INDEX('Set Aliases'!$A$2:$A$501,MATCH(1,('Set Aliases'!$B$2:$B$501=B523)*ISNUMBER(SEARCH(CHAR(10)&amp;'Set Aliases'!$A$2:$A$501&amp;CHAR(10),H523)),0)),"")))</f>
        <v/>
      </c>
      <c r="J523" s="80" t="str">
        <f t="array" ref="J523">IF(I523="","",IFERROR(VALUE(TRIM(MID(SUBSTITUTE(INDEX('Deck 2'!$A:$Z,ROW()-500,'List Setup'!$G$4),CHAR(10),REPT(" ",100)),((SEARCH(CHAR(10)&amp;I523&amp;CHAR(10),H523)-LEN(SUBSTITUTE(LEFT(H523,SEARCH(CHAR(10)&amp;I523&amp;CHAR(10),H523)),CHAR(10),"")))-1)*100+1,100))),""))</f>
        <v/>
      </c>
      <c r="K523" s="80" t="str">
        <f t="array" ref="K523">IF(A523="","",IF(ISNUMBER(SEARCH("Land",LEFT(IFERROR(INDEX('Deck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23" s="80" t="str">
        <f t="shared" si="3"/>
        <v/>
      </c>
      <c r="M523" s="80" t="str">
        <f>IF(A523="","",IF(AND(E523="Y",B523='Use at Shop'!$B$4),K523*10000000000+(MAX(0,MIN(26,CODE(MID(UPPER(A523)&amp;"    ",1,1))-64))*19683+MAX(0,MIN(26,CODE(MID(UPPER(A523)&amp;"    ",2,1))-64))*729+MAX(0,MIN(26,CODE(MID(UPPER(A523)&amp;"    ",3,1))-64))*27+MAX(0,MIN(26,CODE(MID(UPPER(A523)&amp;"    ",4,1))-64))*1)*10000+ROW(),""))</f>
        <v/>
      </c>
      <c r="N523" s="80" t="str">
        <f t="shared" si="6"/>
        <v/>
      </c>
      <c r="O523" s="80" t="str">
        <f t="array" ref="O523">IF(A523="","",IFERROR(INDEX('Deck 2'!$A:$Z,ROW()-500,'List Setup'!$J$4)&amp;"",""))</f>
        <v/>
      </c>
      <c r="P523" s="2"/>
      <c r="Q523" s="80" t="str">
        <f>IF(A523="","",'List Setup'!$A$4)</f>
        <v/>
      </c>
      <c r="R523" s="80" t="str">
        <f t="array" ref="R523">IF(A523="","",IFERROR(OR(INDEX(Binders!$J$6:$J$30,MATCH(Q523,Binders!$I$6:$I$30,0))=TRUE(),UPPER(INDEX(Binders!$J$6:$J$30,MATCH(Q523,Binders!$I$6:$I$30,0))&amp;"")="TRUE"),FALSE()))</f>
        <v/>
      </c>
    </row>
    <row r="524" ht="15.75" customHeight="1">
      <c r="A524" s="80" t="str">
        <f t="array" ref="A524">IF(INDEX('Deck 2'!$A:$Z,ROW()-500,'List Setup'!$D$4)="","",INDEX('Deck 2'!$A:$Z,ROW()-500,'List Setup'!$D$4))</f>
        <v/>
      </c>
      <c r="B524" s="80" t="str">
        <f t="array" ref="B524">IF(A524="","",IFERROR(INDEX('Binder Setup'!$B$2:$B$401,MIN(IF(ISNUMBER(SEARCH(CHAR(10)&amp;'Binder Setup'!$B$2:$B$401&amp;CHAR(10),$H524)),'List Setup'!$Q$2:$Q$401,999),IF(ISNUMBER(SEARCH(CHAR(10)&amp;'Set Aliases'!$A$2:$A$501&amp;CHAR(10),$H524)),'Set Aliases'!$C$2:$C$501,999))),"(none)"))</f>
        <v/>
      </c>
      <c r="C524" s="80" t="str">
        <f t="shared" si="1"/>
        <v/>
      </c>
      <c r="D524" s="80" t="str">
        <f t="array" ref="D524">IF(A524="","",IF(ISLOGICAL(INDEX('Deck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24" s="80" t="str">
        <f t="shared" si="2"/>
        <v/>
      </c>
      <c r="F524" s="80" t="str">
        <f t="array" ref="F524">IF(A524="","",IF(ISNUMBER(J524),J524,IF(ISNUMBER(INDEX('Deck 2'!$A:$Z,ROW()-500,'List Setup'!$F$4)),INDEX('Deck 2'!$A:$Z,ROW()-500,'List Setup'!$F$4),0)))</f>
        <v/>
      </c>
      <c r="G524" s="80" t="str">
        <f t="array" ref="G524">IF(A524="","",A524&amp;IF(N(INDEX('Deck 2'!$A:$Z,ROW()-500,'List Setup'!$C$4))&gt;1," (x"&amp;INDEX('Deck 2'!$A:$Z,ROW()-500,'List Setup'!$C$4)&amp;")","")&amp;IF(COUNTIF(Binders!$J$6:$J$30,TRUE())&gt;1," ["&amp;Q524&amp;"]",""))</f>
        <v/>
      </c>
      <c r="H524" s="80" t="str">
        <f t="array" ref="H524">IF(A524="","",CHAR(10)&amp;INDEX('Deck 2'!$A:$Z,ROW()-500,'List Setup'!$E$4)&amp;CHAR(10))</f>
        <v/>
      </c>
      <c r="I524" s="80" t="str">
        <f t="array" ref="I524">IF(OR(B524="",B524="(none)"),"",IF(ISNUMBER(SEARCH(CHAR(10)&amp;B524&amp;CHAR(10),H524)),B524,IFERROR(INDEX('Set Aliases'!$A$2:$A$501,MATCH(1,('Set Aliases'!$B$2:$B$501=B524)*ISNUMBER(SEARCH(CHAR(10)&amp;'Set Aliases'!$A$2:$A$501&amp;CHAR(10),H524)),0)),"")))</f>
        <v/>
      </c>
      <c r="J524" s="80" t="str">
        <f t="array" ref="J524">IF(I524="","",IFERROR(VALUE(TRIM(MID(SUBSTITUTE(INDEX('Deck 2'!$A:$Z,ROW()-500,'List Setup'!$G$4),CHAR(10),REPT(" ",100)),((SEARCH(CHAR(10)&amp;I524&amp;CHAR(10),H524)-LEN(SUBSTITUTE(LEFT(H524,SEARCH(CHAR(10)&amp;I524&amp;CHAR(10),H524)),CHAR(10),"")))-1)*100+1,100))),""))</f>
        <v/>
      </c>
      <c r="K524" s="80" t="str">
        <f t="array" ref="K524">IF(A524="","",IF(ISNUMBER(SEARCH("Land",LEFT(IFERROR(INDEX('Deck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24" s="80" t="str">
        <f t="shared" si="3"/>
        <v/>
      </c>
      <c r="M524" s="80" t="str">
        <f>IF(A524="","",IF(AND(E524="Y",B524='Use at Shop'!$B$4),K524*10000000000+(MAX(0,MIN(26,CODE(MID(UPPER(A524)&amp;"    ",1,1))-64))*19683+MAX(0,MIN(26,CODE(MID(UPPER(A524)&amp;"    ",2,1))-64))*729+MAX(0,MIN(26,CODE(MID(UPPER(A524)&amp;"    ",3,1))-64))*27+MAX(0,MIN(26,CODE(MID(UPPER(A524)&amp;"    ",4,1))-64))*1)*10000+ROW(),""))</f>
        <v/>
      </c>
      <c r="N524" s="80" t="str">
        <f t="shared" si="6"/>
        <v/>
      </c>
      <c r="O524" s="80" t="str">
        <f t="array" ref="O524">IF(A524="","",IFERROR(INDEX('Deck 2'!$A:$Z,ROW()-500,'List Setup'!$J$4)&amp;"",""))</f>
        <v/>
      </c>
      <c r="P524" s="2"/>
      <c r="Q524" s="80" t="str">
        <f>IF(A524="","",'List Setup'!$A$4)</f>
        <v/>
      </c>
      <c r="R524" s="80" t="str">
        <f t="array" ref="R524">IF(A524="","",IFERROR(OR(INDEX(Binders!$J$6:$J$30,MATCH(Q524,Binders!$I$6:$I$30,0))=TRUE(),UPPER(INDEX(Binders!$J$6:$J$30,MATCH(Q524,Binders!$I$6:$I$30,0))&amp;"")="TRUE"),FALSE()))</f>
        <v/>
      </c>
    </row>
    <row r="525" ht="15.75" customHeight="1">
      <c r="A525" s="80" t="str">
        <f t="array" ref="A525">IF(INDEX('Deck 2'!$A:$Z,ROW()-500,'List Setup'!$D$4)="","",INDEX('Deck 2'!$A:$Z,ROW()-500,'List Setup'!$D$4))</f>
        <v/>
      </c>
      <c r="B525" s="80" t="str">
        <f t="array" ref="B525">IF(A525="","",IFERROR(INDEX('Binder Setup'!$B$2:$B$401,MIN(IF(ISNUMBER(SEARCH(CHAR(10)&amp;'Binder Setup'!$B$2:$B$401&amp;CHAR(10),$H525)),'List Setup'!$Q$2:$Q$401,999),IF(ISNUMBER(SEARCH(CHAR(10)&amp;'Set Aliases'!$A$2:$A$501&amp;CHAR(10),$H525)),'Set Aliases'!$C$2:$C$501,999))),"(none)"))</f>
        <v/>
      </c>
      <c r="C525" s="80" t="str">
        <f t="shared" si="1"/>
        <v/>
      </c>
      <c r="D525" s="80" t="str">
        <f t="array" ref="D525">IF(A525="","",IF(ISLOGICAL(INDEX('Deck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25" s="80" t="str">
        <f t="shared" si="2"/>
        <v/>
      </c>
      <c r="F525" s="80" t="str">
        <f t="array" ref="F525">IF(A525="","",IF(ISNUMBER(J525),J525,IF(ISNUMBER(INDEX('Deck 2'!$A:$Z,ROW()-500,'List Setup'!$F$4)),INDEX('Deck 2'!$A:$Z,ROW()-500,'List Setup'!$F$4),0)))</f>
        <v/>
      </c>
      <c r="G525" s="80" t="str">
        <f t="array" ref="G525">IF(A525="","",A525&amp;IF(N(INDEX('Deck 2'!$A:$Z,ROW()-500,'List Setup'!$C$4))&gt;1," (x"&amp;INDEX('Deck 2'!$A:$Z,ROW()-500,'List Setup'!$C$4)&amp;")","")&amp;IF(COUNTIF(Binders!$J$6:$J$30,TRUE())&gt;1," ["&amp;Q525&amp;"]",""))</f>
        <v/>
      </c>
      <c r="H525" s="80" t="str">
        <f t="array" ref="H525">IF(A525="","",CHAR(10)&amp;INDEX('Deck 2'!$A:$Z,ROW()-500,'List Setup'!$E$4)&amp;CHAR(10))</f>
        <v/>
      </c>
      <c r="I525" s="80" t="str">
        <f t="array" ref="I525">IF(OR(B525="",B525="(none)"),"",IF(ISNUMBER(SEARCH(CHAR(10)&amp;B525&amp;CHAR(10),H525)),B525,IFERROR(INDEX('Set Aliases'!$A$2:$A$501,MATCH(1,('Set Aliases'!$B$2:$B$501=B525)*ISNUMBER(SEARCH(CHAR(10)&amp;'Set Aliases'!$A$2:$A$501&amp;CHAR(10),H525)),0)),"")))</f>
        <v/>
      </c>
      <c r="J525" s="80" t="str">
        <f t="array" ref="J525">IF(I525="","",IFERROR(VALUE(TRIM(MID(SUBSTITUTE(INDEX('Deck 2'!$A:$Z,ROW()-500,'List Setup'!$G$4),CHAR(10),REPT(" ",100)),((SEARCH(CHAR(10)&amp;I525&amp;CHAR(10),H525)-LEN(SUBSTITUTE(LEFT(H525,SEARCH(CHAR(10)&amp;I525&amp;CHAR(10),H525)),CHAR(10),"")))-1)*100+1,100))),""))</f>
        <v/>
      </c>
      <c r="K525" s="80" t="str">
        <f t="array" ref="K525">IF(A525="","",IF(ISNUMBER(SEARCH("Land",LEFT(IFERROR(INDEX('Deck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25" s="80" t="str">
        <f t="shared" si="3"/>
        <v/>
      </c>
      <c r="M525" s="80" t="str">
        <f>IF(A525="","",IF(AND(E525="Y",B525='Use at Shop'!$B$4),K525*10000000000+(MAX(0,MIN(26,CODE(MID(UPPER(A525)&amp;"    ",1,1))-64))*19683+MAX(0,MIN(26,CODE(MID(UPPER(A525)&amp;"    ",2,1))-64))*729+MAX(0,MIN(26,CODE(MID(UPPER(A525)&amp;"    ",3,1))-64))*27+MAX(0,MIN(26,CODE(MID(UPPER(A525)&amp;"    ",4,1))-64))*1)*10000+ROW(),""))</f>
        <v/>
      </c>
      <c r="N525" s="80" t="str">
        <f t="shared" si="6"/>
        <v/>
      </c>
      <c r="O525" s="80" t="str">
        <f t="array" ref="O525">IF(A525="","",IFERROR(INDEX('Deck 2'!$A:$Z,ROW()-500,'List Setup'!$J$4)&amp;"",""))</f>
        <v/>
      </c>
      <c r="P525" s="2"/>
      <c r="Q525" s="80" t="str">
        <f>IF(A525="","",'List Setup'!$A$4)</f>
        <v/>
      </c>
      <c r="R525" s="80" t="str">
        <f t="array" ref="R525">IF(A525="","",IFERROR(OR(INDEX(Binders!$J$6:$J$30,MATCH(Q525,Binders!$I$6:$I$30,0))=TRUE(),UPPER(INDEX(Binders!$J$6:$J$30,MATCH(Q525,Binders!$I$6:$I$30,0))&amp;"")="TRUE"),FALSE()))</f>
        <v/>
      </c>
    </row>
    <row r="526" ht="15.75" customHeight="1">
      <c r="A526" s="80" t="str">
        <f t="array" ref="A526">IF(INDEX('Deck 2'!$A:$Z,ROW()-500,'List Setup'!$D$4)="","",INDEX('Deck 2'!$A:$Z,ROW()-500,'List Setup'!$D$4))</f>
        <v/>
      </c>
      <c r="B526" s="80" t="str">
        <f t="array" ref="B526">IF(A526="","",IFERROR(INDEX('Binder Setup'!$B$2:$B$401,MIN(IF(ISNUMBER(SEARCH(CHAR(10)&amp;'Binder Setup'!$B$2:$B$401&amp;CHAR(10),$H526)),'List Setup'!$Q$2:$Q$401,999),IF(ISNUMBER(SEARCH(CHAR(10)&amp;'Set Aliases'!$A$2:$A$501&amp;CHAR(10),$H526)),'Set Aliases'!$C$2:$C$501,999))),"(none)"))</f>
        <v/>
      </c>
      <c r="C526" s="80" t="str">
        <f t="shared" si="1"/>
        <v/>
      </c>
      <c r="D526" s="80" t="str">
        <f t="array" ref="D526">IF(A526="","",IF(ISLOGICAL(INDEX('Deck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26" s="80" t="str">
        <f t="shared" si="2"/>
        <v/>
      </c>
      <c r="F526" s="80" t="str">
        <f t="array" ref="F526">IF(A526="","",IF(ISNUMBER(J526),J526,IF(ISNUMBER(INDEX('Deck 2'!$A:$Z,ROW()-500,'List Setup'!$F$4)),INDEX('Deck 2'!$A:$Z,ROW()-500,'List Setup'!$F$4),0)))</f>
        <v/>
      </c>
      <c r="G526" s="80" t="str">
        <f t="array" ref="G526">IF(A526="","",A526&amp;IF(N(INDEX('Deck 2'!$A:$Z,ROW()-500,'List Setup'!$C$4))&gt;1," (x"&amp;INDEX('Deck 2'!$A:$Z,ROW()-500,'List Setup'!$C$4)&amp;")","")&amp;IF(COUNTIF(Binders!$J$6:$J$30,TRUE())&gt;1," ["&amp;Q526&amp;"]",""))</f>
        <v/>
      </c>
      <c r="H526" s="80" t="str">
        <f t="array" ref="H526">IF(A526="","",CHAR(10)&amp;INDEX('Deck 2'!$A:$Z,ROW()-500,'List Setup'!$E$4)&amp;CHAR(10))</f>
        <v/>
      </c>
      <c r="I526" s="80" t="str">
        <f t="array" ref="I526">IF(OR(B526="",B526="(none)"),"",IF(ISNUMBER(SEARCH(CHAR(10)&amp;B526&amp;CHAR(10),H526)),B526,IFERROR(INDEX('Set Aliases'!$A$2:$A$501,MATCH(1,('Set Aliases'!$B$2:$B$501=B526)*ISNUMBER(SEARCH(CHAR(10)&amp;'Set Aliases'!$A$2:$A$501&amp;CHAR(10),H526)),0)),"")))</f>
        <v/>
      </c>
      <c r="J526" s="80" t="str">
        <f t="array" ref="J526">IF(I526="","",IFERROR(VALUE(TRIM(MID(SUBSTITUTE(INDEX('Deck 2'!$A:$Z,ROW()-500,'List Setup'!$G$4),CHAR(10),REPT(" ",100)),((SEARCH(CHAR(10)&amp;I526&amp;CHAR(10),H526)-LEN(SUBSTITUTE(LEFT(H526,SEARCH(CHAR(10)&amp;I526&amp;CHAR(10),H526)),CHAR(10),"")))-1)*100+1,100))),""))</f>
        <v/>
      </c>
      <c r="K526" s="80" t="str">
        <f t="array" ref="K526">IF(A526="","",IF(ISNUMBER(SEARCH("Land",LEFT(IFERROR(INDEX('Deck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26" s="80" t="str">
        <f t="shared" si="3"/>
        <v/>
      </c>
      <c r="M526" s="80" t="str">
        <f>IF(A526="","",IF(AND(E526="Y",B526='Use at Shop'!$B$4),K526*10000000000+(MAX(0,MIN(26,CODE(MID(UPPER(A526)&amp;"    ",1,1))-64))*19683+MAX(0,MIN(26,CODE(MID(UPPER(A526)&amp;"    ",2,1))-64))*729+MAX(0,MIN(26,CODE(MID(UPPER(A526)&amp;"    ",3,1))-64))*27+MAX(0,MIN(26,CODE(MID(UPPER(A526)&amp;"    ",4,1))-64))*1)*10000+ROW(),""))</f>
        <v/>
      </c>
      <c r="N526" s="80" t="str">
        <f t="shared" si="6"/>
        <v/>
      </c>
      <c r="O526" s="80" t="str">
        <f t="array" ref="O526">IF(A526="","",IFERROR(INDEX('Deck 2'!$A:$Z,ROW()-500,'List Setup'!$J$4)&amp;"",""))</f>
        <v/>
      </c>
      <c r="P526" s="2"/>
      <c r="Q526" s="80" t="str">
        <f>IF(A526="","",'List Setup'!$A$4)</f>
        <v/>
      </c>
      <c r="R526" s="80" t="str">
        <f t="array" ref="R526">IF(A526="","",IFERROR(OR(INDEX(Binders!$J$6:$J$30,MATCH(Q526,Binders!$I$6:$I$30,0))=TRUE(),UPPER(INDEX(Binders!$J$6:$J$30,MATCH(Q526,Binders!$I$6:$I$30,0))&amp;"")="TRUE"),FALSE()))</f>
        <v/>
      </c>
    </row>
    <row r="527" ht="15.75" customHeight="1">
      <c r="A527" s="80" t="str">
        <f t="array" ref="A527">IF(INDEX('Deck 2'!$A:$Z,ROW()-500,'List Setup'!$D$4)="","",INDEX('Deck 2'!$A:$Z,ROW()-500,'List Setup'!$D$4))</f>
        <v/>
      </c>
      <c r="B527" s="80" t="str">
        <f t="array" ref="B527">IF(A527="","",IFERROR(INDEX('Binder Setup'!$B$2:$B$401,MIN(IF(ISNUMBER(SEARCH(CHAR(10)&amp;'Binder Setup'!$B$2:$B$401&amp;CHAR(10),$H527)),'List Setup'!$Q$2:$Q$401,999),IF(ISNUMBER(SEARCH(CHAR(10)&amp;'Set Aliases'!$A$2:$A$501&amp;CHAR(10),$H527)),'Set Aliases'!$C$2:$C$501,999))),"(none)"))</f>
        <v/>
      </c>
      <c r="C527" s="80" t="str">
        <f t="shared" si="1"/>
        <v/>
      </c>
      <c r="D527" s="80" t="str">
        <f t="array" ref="D527">IF(A527="","",IF(ISLOGICAL(INDEX('Deck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27" s="80" t="str">
        <f t="shared" si="2"/>
        <v/>
      </c>
      <c r="F527" s="80" t="str">
        <f t="array" ref="F527">IF(A527="","",IF(ISNUMBER(J527),J527,IF(ISNUMBER(INDEX('Deck 2'!$A:$Z,ROW()-500,'List Setup'!$F$4)),INDEX('Deck 2'!$A:$Z,ROW()-500,'List Setup'!$F$4),0)))</f>
        <v/>
      </c>
      <c r="G527" s="80" t="str">
        <f t="array" ref="G527">IF(A527="","",A527&amp;IF(N(INDEX('Deck 2'!$A:$Z,ROW()-500,'List Setup'!$C$4))&gt;1," (x"&amp;INDEX('Deck 2'!$A:$Z,ROW()-500,'List Setup'!$C$4)&amp;")","")&amp;IF(COUNTIF(Binders!$J$6:$J$30,TRUE())&gt;1," ["&amp;Q527&amp;"]",""))</f>
        <v/>
      </c>
      <c r="H527" s="80" t="str">
        <f t="array" ref="H527">IF(A527="","",CHAR(10)&amp;INDEX('Deck 2'!$A:$Z,ROW()-500,'List Setup'!$E$4)&amp;CHAR(10))</f>
        <v/>
      </c>
      <c r="I527" s="80" t="str">
        <f t="array" ref="I527">IF(OR(B527="",B527="(none)"),"",IF(ISNUMBER(SEARCH(CHAR(10)&amp;B527&amp;CHAR(10),H527)),B527,IFERROR(INDEX('Set Aliases'!$A$2:$A$501,MATCH(1,('Set Aliases'!$B$2:$B$501=B527)*ISNUMBER(SEARCH(CHAR(10)&amp;'Set Aliases'!$A$2:$A$501&amp;CHAR(10),H527)),0)),"")))</f>
        <v/>
      </c>
      <c r="J527" s="80" t="str">
        <f t="array" ref="J527">IF(I527="","",IFERROR(VALUE(TRIM(MID(SUBSTITUTE(INDEX('Deck 2'!$A:$Z,ROW()-500,'List Setup'!$G$4),CHAR(10),REPT(" ",100)),((SEARCH(CHAR(10)&amp;I527&amp;CHAR(10),H527)-LEN(SUBSTITUTE(LEFT(H527,SEARCH(CHAR(10)&amp;I527&amp;CHAR(10),H527)),CHAR(10),"")))-1)*100+1,100))),""))</f>
        <v/>
      </c>
      <c r="K527" s="80" t="str">
        <f t="array" ref="K527">IF(A527="","",IF(ISNUMBER(SEARCH("Land",LEFT(IFERROR(INDEX('Deck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27" s="80" t="str">
        <f t="shared" si="3"/>
        <v/>
      </c>
      <c r="M527" s="80" t="str">
        <f>IF(A527="","",IF(AND(E527="Y",B527='Use at Shop'!$B$4),K527*10000000000+(MAX(0,MIN(26,CODE(MID(UPPER(A527)&amp;"    ",1,1))-64))*19683+MAX(0,MIN(26,CODE(MID(UPPER(A527)&amp;"    ",2,1))-64))*729+MAX(0,MIN(26,CODE(MID(UPPER(A527)&amp;"    ",3,1))-64))*27+MAX(0,MIN(26,CODE(MID(UPPER(A527)&amp;"    ",4,1))-64))*1)*10000+ROW(),""))</f>
        <v/>
      </c>
      <c r="N527" s="80" t="str">
        <f t="shared" si="6"/>
        <v/>
      </c>
      <c r="O527" s="80" t="str">
        <f t="array" ref="O527">IF(A527="","",IFERROR(INDEX('Deck 2'!$A:$Z,ROW()-500,'List Setup'!$J$4)&amp;"",""))</f>
        <v/>
      </c>
      <c r="P527" s="2"/>
      <c r="Q527" s="80" t="str">
        <f>IF(A527="","",'List Setup'!$A$4)</f>
        <v/>
      </c>
      <c r="R527" s="80" t="str">
        <f t="array" ref="R527">IF(A527="","",IFERROR(OR(INDEX(Binders!$J$6:$J$30,MATCH(Q527,Binders!$I$6:$I$30,0))=TRUE(),UPPER(INDEX(Binders!$J$6:$J$30,MATCH(Q527,Binders!$I$6:$I$30,0))&amp;"")="TRUE"),FALSE()))</f>
        <v/>
      </c>
    </row>
    <row r="528" ht="15.75" customHeight="1">
      <c r="A528" s="80" t="str">
        <f t="array" ref="A528">IF(INDEX('Deck 2'!$A:$Z,ROW()-500,'List Setup'!$D$4)="","",INDEX('Deck 2'!$A:$Z,ROW()-500,'List Setup'!$D$4))</f>
        <v/>
      </c>
      <c r="B528" s="80" t="str">
        <f t="array" ref="B528">IF(A528="","",IFERROR(INDEX('Binder Setup'!$B$2:$B$401,MIN(IF(ISNUMBER(SEARCH(CHAR(10)&amp;'Binder Setup'!$B$2:$B$401&amp;CHAR(10),$H528)),'List Setup'!$Q$2:$Q$401,999),IF(ISNUMBER(SEARCH(CHAR(10)&amp;'Set Aliases'!$A$2:$A$501&amp;CHAR(10),$H528)),'Set Aliases'!$C$2:$C$501,999))),"(none)"))</f>
        <v/>
      </c>
      <c r="C528" s="80" t="str">
        <f t="shared" si="1"/>
        <v/>
      </c>
      <c r="D528" s="80" t="str">
        <f t="array" ref="D528">IF(A528="","",IF(ISLOGICAL(INDEX('Deck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28" s="80" t="str">
        <f t="shared" si="2"/>
        <v/>
      </c>
      <c r="F528" s="80" t="str">
        <f t="array" ref="F528">IF(A528="","",IF(ISNUMBER(J528),J528,IF(ISNUMBER(INDEX('Deck 2'!$A:$Z,ROW()-500,'List Setup'!$F$4)),INDEX('Deck 2'!$A:$Z,ROW()-500,'List Setup'!$F$4),0)))</f>
        <v/>
      </c>
      <c r="G528" s="80" t="str">
        <f t="array" ref="G528">IF(A528="","",A528&amp;IF(N(INDEX('Deck 2'!$A:$Z,ROW()-500,'List Setup'!$C$4))&gt;1," (x"&amp;INDEX('Deck 2'!$A:$Z,ROW()-500,'List Setup'!$C$4)&amp;")","")&amp;IF(COUNTIF(Binders!$J$6:$J$30,TRUE())&gt;1," ["&amp;Q528&amp;"]",""))</f>
        <v/>
      </c>
      <c r="H528" s="80" t="str">
        <f t="array" ref="H528">IF(A528="","",CHAR(10)&amp;INDEX('Deck 2'!$A:$Z,ROW()-500,'List Setup'!$E$4)&amp;CHAR(10))</f>
        <v/>
      </c>
      <c r="I528" s="80" t="str">
        <f t="array" ref="I528">IF(OR(B528="",B528="(none)"),"",IF(ISNUMBER(SEARCH(CHAR(10)&amp;B528&amp;CHAR(10),H528)),B528,IFERROR(INDEX('Set Aliases'!$A$2:$A$501,MATCH(1,('Set Aliases'!$B$2:$B$501=B528)*ISNUMBER(SEARCH(CHAR(10)&amp;'Set Aliases'!$A$2:$A$501&amp;CHAR(10),H528)),0)),"")))</f>
        <v/>
      </c>
      <c r="J528" s="80" t="str">
        <f t="array" ref="J528">IF(I528="","",IFERROR(VALUE(TRIM(MID(SUBSTITUTE(INDEX('Deck 2'!$A:$Z,ROW()-500,'List Setup'!$G$4),CHAR(10),REPT(" ",100)),((SEARCH(CHAR(10)&amp;I528&amp;CHAR(10),H528)-LEN(SUBSTITUTE(LEFT(H528,SEARCH(CHAR(10)&amp;I528&amp;CHAR(10),H528)),CHAR(10),"")))-1)*100+1,100))),""))</f>
        <v/>
      </c>
      <c r="K528" s="80" t="str">
        <f t="array" ref="K528">IF(A528="","",IF(ISNUMBER(SEARCH("Land",LEFT(IFERROR(INDEX('Deck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28" s="80" t="str">
        <f t="shared" si="3"/>
        <v/>
      </c>
      <c r="M528" s="80" t="str">
        <f>IF(A528="","",IF(AND(E528="Y",B528='Use at Shop'!$B$4),K528*10000000000+(MAX(0,MIN(26,CODE(MID(UPPER(A528)&amp;"    ",1,1))-64))*19683+MAX(0,MIN(26,CODE(MID(UPPER(A528)&amp;"    ",2,1))-64))*729+MAX(0,MIN(26,CODE(MID(UPPER(A528)&amp;"    ",3,1))-64))*27+MAX(0,MIN(26,CODE(MID(UPPER(A528)&amp;"    ",4,1))-64))*1)*10000+ROW(),""))</f>
        <v/>
      </c>
      <c r="N528" s="80" t="str">
        <f t="shared" si="6"/>
        <v/>
      </c>
      <c r="O528" s="80" t="str">
        <f t="array" ref="O528">IF(A528="","",IFERROR(INDEX('Deck 2'!$A:$Z,ROW()-500,'List Setup'!$J$4)&amp;"",""))</f>
        <v/>
      </c>
      <c r="P528" s="2"/>
      <c r="Q528" s="80" t="str">
        <f>IF(A528="","",'List Setup'!$A$4)</f>
        <v/>
      </c>
      <c r="R528" s="80" t="str">
        <f t="array" ref="R528">IF(A528="","",IFERROR(OR(INDEX(Binders!$J$6:$J$30,MATCH(Q528,Binders!$I$6:$I$30,0))=TRUE(),UPPER(INDEX(Binders!$J$6:$J$30,MATCH(Q528,Binders!$I$6:$I$30,0))&amp;"")="TRUE"),FALSE()))</f>
        <v/>
      </c>
    </row>
    <row r="529" ht="15.75" customHeight="1">
      <c r="A529" s="80" t="str">
        <f t="array" ref="A529">IF(INDEX('Deck 2'!$A:$Z,ROW()-500,'List Setup'!$D$4)="","",INDEX('Deck 2'!$A:$Z,ROW()-500,'List Setup'!$D$4))</f>
        <v/>
      </c>
      <c r="B529" s="80" t="str">
        <f t="array" ref="B529">IF(A529="","",IFERROR(INDEX('Binder Setup'!$B$2:$B$401,MIN(IF(ISNUMBER(SEARCH(CHAR(10)&amp;'Binder Setup'!$B$2:$B$401&amp;CHAR(10),$H529)),'List Setup'!$Q$2:$Q$401,999),IF(ISNUMBER(SEARCH(CHAR(10)&amp;'Set Aliases'!$A$2:$A$501&amp;CHAR(10),$H529)),'Set Aliases'!$C$2:$C$501,999))),"(none)"))</f>
        <v/>
      </c>
      <c r="C529" s="80" t="str">
        <f t="shared" si="1"/>
        <v/>
      </c>
      <c r="D529" s="80" t="str">
        <f t="array" ref="D529">IF(A529="","",IF(ISLOGICAL(INDEX('Deck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29" s="80" t="str">
        <f t="shared" si="2"/>
        <v/>
      </c>
      <c r="F529" s="80" t="str">
        <f t="array" ref="F529">IF(A529="","",IF(ISNUMBER(J529),J529,IF(ISNUMBER(INDEX('Deck 2'!$A:$Z,ROW()-500,'List Setup'!$F$4)),INDEX('Deck 2'!$A:$Z,ROW()-500,'List Setup'!$F$4),0)))</f>
        <v/>
      </c>
      <c r="G529" s="80" t="str">
        <f t="array" ref="G529">IF(A529="","",A529&amp;IF(N(INDEX('Deck 2'!$A:$Z,ROW()-500,'List Setup'!$C$4))&gt;1," (x"&amp;INDEX('Deck 2'!$A:$Z,ROW()-500,'List Setup'!$C$4)&amp;")","")&amp;IF(COUNTIF(Binders!$J$6:$J$30,TRUE())&gt;1," ["&amp;Q529&amp;"]",""))</f>
        <v/>
      </c>
      <c r="H529" s="80" t="str">
        <f t="array" ref="H529">IF(A529="","",CHAR(10)&amp;INDEX('Deck 2'!$A:$Z,ROW()-500,'List Setup'!$E$4)&amp;CHAR(10))</f>
        <v/>
      </c>
      <c r="I529" s="80" t="str">
        <f t="array" ref="I529">IF(OR(B529="",B529="(none)"),"",IF(ISNUMBER(SEARCH(CHAR(10)&amp;B529&amp;CHAR(10),H529)),B529,IFERROR(INDEX('Set Aliases'!$A$2:$A$501,MATCH(1,('Set Aliases'!$B$2:$B$501=B529)*ISNUMBER(SEARCH(CHAR(10)&amp;'Set Aliases'!$A$2:$A$501&amp;CHAR(10),H529)),0)),"")))</f>
        <v/>
      </c>
      <c r="J529" s="80" t="str">
        <f t="array" ref="J529">IF(I529="","",IFERROR(VALUE(TRIM(MID(SUBSTITUTE(INDEX('Deck 2'!$A:$Z,ROW()-500,'List Setup'!$G$4),CHAR(10),REPT(" ",100)),((SEARCH(CHAR(10)&amp;I529&amp;CHAR(10),H529)-LEN(SUBSTITUTE(LEFT(H529,SEARCH(CHAR(10)&amp;I529&amp;CHAR(10),H529)),CHAR(10),"")))-1)*100+1,100))),""))</f>
        <v/>
      </c>
      <c r="K529" s="80" t="str">
        <f t="array" ref="K529">IF(A529="","",IF(ISNUMBER(SEARCH("Land",LEFT(IFERROR(INDEX('Deck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29" s="80" t="str">
        <f t="shared" si="3"/>
        <v/>
      </c>
      <c r="M529" s="80" t="str">
        <f>IF(A529="","",IF(AND(E529="Y",B529='Use at Shop'!$B$4),K529*10000000000+(MAX(0,MIN(26,CODE(MID(UPPER(A529)&amp;"    ",1,1))-64))*19683+MAX(0,MIN(26,CODE(MID(UPPER(A529)&amp;"    ",2,1))-64))*729+MAX(0,MIN(26,CODE(MID(UPPER(A529)&amp;"    ",3,1))-64))*27+MAX(0,MIN(26,CODE(MID(UPPER(A529)&amp;"    ",4,1))-64))*1)*10000+ROW(),""))</f>
        <v/>
      </c>
      <c r="N529" s="80" t="str">
        <f t="shared" si="6"/>
        <v/>
      </c>
      <c r="O529" s="80" t="str">
        <f t="array" ref="O529">IF(A529="","",IFERROR(INDEX('Deck 2'!$A:$Z,ROW()-500,'List Setup'!$J$4)&amp;"",""))</f>
        <v/>
      </c>
      <c r="P529" s="2"/>
      <c r="Q529" s="80" t="str">
        <f>IF(A529="","",'List Setup'!$A$4)</f>
        <v/>
      </c>
      <c r="R529" s="80" t="str">
        <f t="array" ref="R529">IF(A529="","",IFERROR(OR(INDEX(Binders!$J$6:$J$30,MATCH(Q529,Binders!$I$6:$I$30,0))=TRUE(),UPPER(INDEX(Binders!$J$6:$J$30,MATCH(Q529,Binders!$I$6:$I$30,0))&amp;"")="TRUE"),FALSE()))</f>
        <v/>
      </c>
    </row>
    <row r="530" ht="15.75" customHeight="1">
      <c r="A530" s="80" t="str">
        <f t="array" ref="A530">IF(INDEX('Deck 2'!$A:$Z,ROW()-500,'List Setup'!$D$4)="","",INDEX('Deck 2'!$A:$Z,ROW()-500,'List Setup'!$D$4))</f>
        <v/>
      </c>
      <c r="B530" s="80" t="str">
        <f t="array" ref="B530">IF(A530="","",IFERROR(INDEX('Binder Setup'!$B$2:$B$401,MIN(IF(ISNUMBER(SEARCH(CHAR(10)&amp;'Binder Setup'!$B$2:$B$401&amp;CHAR(10),$H530)),'List Setup'!$Q$2:$Q$401,999),IF(ISNUMBER(SEARCH(CHAR(10)&amp;'Set Aliases'!$A$2:$A$501&amp;CHAR(10),$H530)),'Set Aliases'!$C$2:$C$501,999))),"(none)"))</f>
        <v/>
      </c>
      <c r="C530" s="80" t="str">
        <f t="shared" si="1"/>
        <v/>
      </c>
      <c r="D530" s="80" t="str">
        <f t="array" ref="D530">IF(A530="","",IF(ISLOGICAL(INDEX('Deck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30" s="80" t="str">
        <f t="shared" si="2"/>
        <v/>
      </c>
      <c r="F530" s="80" t="str">
        <f t="array" ref="F530">IF(A530="","",IF(ISNUMBER(J530),J530,IF(ISNUMBER(INDEX('Deck 2'!$A:$Z,ROW()-500,'List Setup'!$F$4)),INDEX('Deck 2'!$A:$Z,ROW()-500,'List Setup'!$F$4),0)))</f>
        <v/>
      </c>
      <c r="G530" s="80" t="str">
        <f t="array" ref="G530">IF(A530="","",A530&amp;IF(N(INDEX('Deck 2'!$A:$Z,ROW()-500,'List Setup'!$C$4))&gt;1," (x"&amp;INDEX('Deck 2'!$A:$Z,ROW()-500,'List Setup'!$C$4)&amp;")","")&amp;IF(COUNTIF(Binders!$J$6:$J$30,TRUE())&gt;1," ["&amp;Q530&amp;"]",""))</f>
        <v/>
      </c>
      <c r="H530" s="80" t="str">
        <f t="array" ref="H530">IF(A530="","",CHAR(10)&amp;INDEX('Deck 2'!$A:$Z,ROW()-500,'List Setup'!$E$4)&amp;CHAR(10))</f>
        <v/>
      </c>
      <c r="I530" s="80" t="str">
        <f t="array" ref="I530">IF(OR(B530="",B530="(none)"),"",IF(ISNUMBER(SEARCH(CHAR(10)&amp;B530&amp;CHAR(10),H530)),B530,IFERROR(INDEX('Set Aliases'!$A$2:$A$501,MATCH(1,('Set Aliases'!$B$2:$B$501=B530)*ISNUMBER(SEARCH(CHAR(10)&amp;'Set Aliases'!$A$2:$A$501&amp;CHAR(10),H530)),0)),"")))</f>
        <v/>
      </c>
      <c r="J530" s="80" t="str">
        <f t="array" ref="J530">IF(I530="","",IFERROR(VALUE(TRIM(MID(SUBSTITUTE(INDEX('Deck 2'!$A:$Z,ROW()-500,'List Setup'!$G$4),CHAR(10),REPT(" ",100)),((SEARCH(CHAR(10)&amp;I530&amp;CHAR(10),H530)-LEN(SUBSTITUTE(LEFT(H530,SEARCH(CHAR(10)&amp;I530&amp;CHAR(10),H530)),CHAR(10),"")))-1)*100+1,100))),""))</f>
        <v/>
      </c>
      <c r="K530" s="80" t="str">
        <f t="array" ref="K530">IF(A530="","",IF(ISNUMBER(SEARCH("Land",LEFT(IFERROR(INDEX('Deck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30" s="80" t="str">
        <f t="shared" si="3"/>
        <v/>
      </c>
      <c r="M530" s="80" t="str">
        <f>IF(A530="","",IF(AND(E530="Y",B530='Use at Shop'!$B$4),K530*10000000000+(MAX(0,MIN(26,CODE(MID(UPPER(A530)&amp;"    ",1,1))-64))*19683+MAX(0,MIN(26,CODE(MID(UPPER(A530)&amp;"    ",2,1))-64))*729+MAX(0,MIN(26,CODE(MID(UPPER(A530)&amp;"    ",3,1))-64))*27+MAX(0,MIN(26,CODE(MID(UPPER(A530)&amp;"    ",4,1))-64))*1)*10000+ROW(),""))</f>
        <v/>
      </c>
      <c r="N530" s="80" t="str">
        <f t="shared" si="6"/>
        <v/>
      </c>
      <c r="O530" s="80" t="str">
        <f t="array" ref="O530">IF(A530="","",IFERROR(INDEX('Deck 2'!$A:$Z,ROW()-500,'List Setup'!$J$4)&amp;"",""))</f>
        <v/>
      </c>
      <c r="P530" s="2"/>
      <c r="Q530" s="80" t="str">
        <f>IF(A530="","",'List Setup'!$A$4)</f>
        <v/>
      </c>
      <c r="R530" s="80" t="str">
        <f t="array" ref="R530">IF(A530="","",IFERROR(OR(INDEX(Binders!$J$6:$J$30,MATCH(Q530,Binders!$I$6:$I$30,0))=TRUE(),UPPER(INDEX(Binders!$J$6:$J$30,MATCH(Q530,Binders!$I$6:$I$30,0))&amp;"")="TRUE"),FALSE()))</f>
        <v/>
      </c>
    </row>
    <row r="531" ht="15.75" customHeight="1">
      <c r="A531" s="80" t="str">
        <f t="array" ref="A531">IF(INDEX('Deck 2'!$A:$Z,ROW()-500,'List Setup'!$D$4)="","",INDEX('Deck 2'!$A:$Z,ROW()-500,'List Setup'!$D$4))</f>
        <v/>
      </c>
      <c r="B531" s="80" t="str">
        <f t="array" ref="B531">IF(A531="","",IFERROR(INDEX('Binder Setup'!$B$2:$B$401,MIN(IF(ISNUMBER(SEARCH(CHAR(10)&amp;'Binder Setup'!$B$2:$B$401&amp;CHAR(10),$H531)),'List Setup'!$Q$2:$Q$401,999),IF(ISNUMBER(SEARCH(CHAR(10)&amp;'Set Aliases'!$A$2:$A$501&amp;CHAR(10),$H531)),'Set Aliases'!$C$2:$C$501,999))),"(none)"))</f>
        <v/>
      </c>
      <c r="C531" s="80" t="str">
        <f t="shared" si="1"/>
        <v/>
      </c>
      <c r="D531" s="80" t="str">
        <f t="array" ref="D531">IF(A531="","",IF(ISLOGICAL(INDEX('Deck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31" s="80" t="str">
        <f t="shared" si="2"/>
        <v/>
      </c>
      <c r="F531" s="80" t="str">
        <f t="array" ref="F531">IF(A531="","",IF(ISNUMBER(J531),J531,IF(ISNUMBER(INDEX('Deck 2'!$A:$Z,ROW()-500,'List Setup'!$F$4)),INDEX('Deck 2'!$A:$Z,ROW()-500,'List Setup'!$F$4),0)))</f>
        <v/>
      </c>
      <c r="G531" s="80" t="str">
        <f t="array" ref="G531">IF(A531="","",A531&amp;IF(N(INDEX('Deck 2'!$A:$Z,ROW()-500,'List Setup'!$C$4))&gt;1," (x"&amp;INDEX('Deck 2'!$A:$Z,ROW()-500,'List Setup'!$C$4)&amp;")","")&amp;IF(COUNTIF(Binders!$J$6:$J$30,TRUE())&gt;1," ["&amp;Q531&amp;"]",""))</f>
        <v/>
      </c>
      <c r="H531" s="80" t="str">
        <f t="array" ref="H531">IF(A531="","",CHAR(10)&amp;INDEX('Deck 2'!$A:$Z,ROW()-500,'List Setup'!$E$4)&amp;CHAR(10))</f>
        <v/>
      </c>
      <c r="I531" s="80" t="str">
        <f t="array" ref="I531">IF(OR(B531="",B531="(none)"),"",IF(ISNUMBER(SEARCH(CHAR(10)&amp;B531&amp;CHAR(10),H531)),B531,IFERROR(INDEX('Set Aliases'!$A$2:$A$501,MATCH(1,('Set Aliases'!$B$2:$B$501=B531)*ISNUMBER(SEARCH(CHAR(10)&amp;'Set Aliases'!$A$2:$A$501&amp;CHAR(10),H531)),0)),"")))</f>
        <v/>
      </c>
      <c r="J531" s="80" t="str">
        <f t="array" ref="J531">IF(I531="","",IFERROR(VALUE(TRIM(MID(SUBSTITUTE(INDEX('Deck 2'!$A:$Z,ROW()-500,'List Setup'!$G$4),CHAR(10),REPT(" ",100)),((SEARCH(CHAR(10)&amp;I531&amp;CHAR(10),H531)-LEN(SUBSTITUTE(LEFT(H531,SEARCH(CHAR(10)&amp;I531&amp;CHAR(10),H531)),CHAR(10),"")))-1)*100+1,100))),""))</f>
        <v/>
      </c>
      <c r="K531" s="80" t="str">
        <f t="array" ref="K531">IF(A531="","",IF(ISNUMBER(SEARCH("Land",LEFT(IFERROR(INDEX('Deck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31" s="80" t="str">
        <f t="shared" si="3"/>
        <v/>
      </c>
      <c r="M531" s="80" t="str">
        <f>IF(A531="","",IF(AND(E531="Y",B531='Use at Shop'!$B$4),K531*10000000000+(MAX(0,MIN(26,CODE(MID(UPPER(A531)&amp;"    ",1,1))-64))*19683+MAX(0,MIN(26,CODE(MID(UPPER(A531)&amp;"    ",2,1))-64))*729+MAX(0,MIN(26,CODE(MID(UPPER(A531)&amp;"    ",3,1))-64))*27+MAX(0,MIN(26,CODE(MID(UPPER(A531)&amp;"    ",4,1))-64))*1)*10000+ROW(),""))</f>
        <v/>
      </c>
      <c r="N531" s="80" t="str">
        <f t="shared" si="6"/>
        <v/>
      </c>
      <c r="O531" s="80" t="str">
        <f t="array" ref="O531">IF(A531="","",IFERROR(INDEX('Deck 2'!$A:$Z,ROW()-500,'List Setup'!$J$4)&amp;"",""))</f>
        <v/>
      </c>
      <c r="P531" s="2"/>
      <c r="Q531" s="80" t="str">
        <f>IF(A531="","",'List Setup'!$A$4)</f>
        <v/>
      </c>
      <c r="R531" s="80" t="str">
        <f t="array" ref="R531">IF(A531="","",IFERROR(OR(INDEX(Binders!$J$6:$J$30,MATCH(Q531,Binders!$I$6:$I$30,0))=TRUE(),UPPER(INDEX(Binders!$J$6:$J$30,MATCH(Q531,Binders!$I$6:$I$30,0))&amp;"")="TRUE"),FALSE()))</f>
        <v/>
      </c>
    </row>
    <row r="532" ht="15.75" customHeight="1">
      <c r="A532" s="80" t="str">
        <f t="array" ref="A532">IF(INDEX('Deck 2'!$A:$Z,ROW()-500,'List Setup'!$D$4)="","",INDEX('Deck 2'!$A:$Z,ROW()-500,'List Setup'!$D$4))</f>
        <v/>
      </c>
      <c r="B532" s="80" t="str">
        <f t="array" ref="B532">IF(A532="","",IFERROR(INDEX('Binder Setup'!$B$2:$B$401,MIN(IF(ISNUMBER(SEARCH(CHAR(10)&amp;'Binder Setup'!$B$2:$B$401&amp;CHAR(10),$H532)),'List Setup'!$Q$2:$Q$401,999),IF(ISNUMBER(SEARCH(CHAR(10)&amp;'Set Aliases'!$A$2:$A$501&amp;CHAR(10),$H532)),'Set Aliases'!$C$2:$C$501,999))),"(none)"))</f>
        <v/>
      </c>
      <c r="C532" s="80" t="str">
        <f t="shared" si="1"/>
        <v/>
      </c>
      <c r="D532" s="80" t="str">
        <f t="array" ref="D532">IF(A532="","",IF(ISLOGICAL(INDEX('Deck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32" s="80" t="str">
        <f t="shared" si="2"/>
        <v/>
      </c>
      <c r="F532" s="80" t="str">
        <f t="array" ref="F532">IF(A532="","",IF(ISNUMBER(J532),J532,IF(ISNUMBER(INDEX('Deck 2'!$A:$Z,ROW()-500,'List Setup'!$F$4)),INDEX('Deck 2'!$A:$Z,ROW()-500,'List Setup'!$F$4),0)))</f>
        <v/>
      </c>
      <c r="G532" s="80" t="str">
        <f t="array" ref="G532">IF(A532="","",A532&amp;IF(N(INDEX('Deck 2'!$A:$Z,ROW()-500,'List Setup'!$C$4))&gt;1," (x"&amp;INDEX('Deck 2'!$A:$Z,ROW()-500,'List Setup'!$C$4)&amp;")","")&amp;IF(COUNTIF(Binders!$J$6:$J$30,TRUE())&gt;1," ["&amp;Q532&amp;"]",""))</f>
        <v/>
      </c>
      <c r="H532" s="80" t="str">
        <f t="array" ref="H532">IF(A532="","",CHAR(10)&amp;INDEX('Deck 2'!$A:$Z,ROW()-500,'List Setup'!$E$4)&amp;CHAR(10))</f>
        <v/>
      </c>
      <c r="I532" s="80" t="str">
        <f t="array" ref="I532">IF(OR(B532="",B532="(none)"),"",IF(ISNUMBER(SEARCH(CHAR(10)&amp;B532&amp;CHAR(10),H532)),B532,IFERROR(INDEX('Set Aliases'!$A$2:$A$501,MATCH(1,('Set Aliases'!$B$2:$B$501=B532)*ISNUMBER(SEARCH(CHAR(10)&amp;'Set Aliases'!$A$2:$A$501&amp;CHAR(10),H532)),0)),"")))</f>
        <v/>
      </c>
      <c r="J532" s="80" t="str">
        <f t="array" ref="J532">IF(I532="","",IFERROR(VALUE(TRIM(MID(SUBSTITUTE(INDEX('Deck 2'!$A:$Z,ROW()-500,'List Setup'!$G$4),CHAR(10),REPT(" ",100)),((SEARCH(CHAR(10)&amp;I532&amp;CHAR(10),H532)-LEN(SUBSTITUTE(LEFT(H532,SEARCH(CHAR(10)&amp;I532&amp;CHAR(10),H532)),CHAR(10),"")))-1)*100+1,100))),""))</f>
        <v/>
      </c>
      <c r="K532" s="80" t="str">
        <f t="array" ref="K532">IF(A532="","",IF(ISNUMBER(SEARCH("Land",LEFT(IFERROR(INDEX('Deck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32" s="80" t="str">
        <f t="shared" si="3"/>
        <v/>
      </c>
      <c r="M532" s="80" t="str">
        <f>IF(A532="","",IF(AND(E532="Y",B532='Use at Shop'!$B$4),K532*10000000000+(MAX(0,MIN(26,CODE(MID(UPPER(A532)&amp;"    ",1,1))-64))*19683+MAX(0,MIN(26,CODE(MID(UPPER(A532)&amp;"    ",2,1))-64))*729+MAX(0,MIN(26,CODE(MID(UPPER(A532)&amp;"    ",3,1))-64))*27+MAX(0,MIN(26,CODE(MID(UPPER(A532)&amp;"    ",4,1))-64))*1)*10000+ROW(),""))</f>
        <v/>
      </c>
      <c r="N532" s="80" t="str">
        <f t="shared" si="6"/>
        <v/>
      </c>
      <c r="O532" s="80" t="str">
        <f t="array" ref="O532">IF(A532="","",IFERROR(INDEX('Deck 2'!$A:$Z,ROW()-500,'List Setup'!$J$4)&amp;"",""))</f>
        <v/>
      </c>
      <c r="P532" s="2"/>
      <c r="Q532" s="80" t="str">
        <f>IF(A532="","",'List Setup'!$A$4)</f>
        <v/>
      </c>
      <c r="R532" s="80" t="str">
        <f t="array" ref="R532">IF(A532="","",IFERROR(OR(INDEX(Binders!$J$6:$J$30,MATCH(Q532,Binders!$I$6:$I$30,0))=TRUE(),UPPER(INDEX(Binders!$J$6:$J$30,MATCH(Q532,Binders!$I$6:$I$30,0))&amp;"")="TRUE"),FALSE()))</f>
        <v/>
      </c>
    </row>
    <row r="533" ht="15.75" customHeight="1">
      <c r="A533" s="80" t="str">
        <f t="array" ref="A533">IF(INDEX('Deck 2'!$A:$Z,ROW()-500,'List Setup'!$D$4)="","",INDEX('Deck 2'!$A:$Z,ROW()-500,'List Setup'!$D$4))</f>
        <v/>
      </c>
      <c r="B533" s="80" t="str">
        <f t="array" ref="B533">IF(A533="","",IFERROR(INDEX('Binder Setup'!$B$2:$B$401,MIN(IF(ISNUMBER(SEARCH(CHAR(10)&amp;'Binder Setup'!$B$2:$B$401&amp;CHAR(10),$H533)),'List Setup'!$Q$2:$Q$401,999),IF(ISNUMBER(SEARCH(CHAR(10)&amp;'Set Aliases'!$A$2:$A$501&amp;CHAR(10),$H533)),'Set Aliases'!$C$2:$C$501,999))),"(none)"))</f>
        <v/>
      </c>
      <c r="C533" s="80" t="str">
        <f t="shared" si="1"/>
        <v/>
      </c>
      <c r="D533" s="80" t="str">
        <f t="array" ref="D533">IF(A533="","",IF(ISLOGICAL(INDEX('Deck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33" s="80" t="str">
        <f t="shared" si="2"/>
        <v/>
      </c>
      <c r="F533" s="80" t="str">
        <f t="array" ref="F533">IF(A533="","",IF(ISNUMBER(J533),J533,IF(ISNUMBER(INDEX('Deck 2'!$A:$Z,ROW()-500,'List Setup'!$F$4)),INDEX('Deck 2'!$A:$Z,ROW()-500,'List Setup'!$F$4),0)))</f>
        <v/>
      </c>
      <c r="G533" s="80" t="str">
        <f t="array" ref="G533">IF(A533="","",A533&amp;IF(N(INDEX('Deck 2'!$A:$Z,ROW()-500,'List Setup'!$C$4))&gt;1," (x"&amp;INDEX('Deck 2'!$A:$Z,ROW()-500,'List Setup'!$C$4)&amp;")","")&amp;IF(COUNTIF(Binders!$J$6:$J$30,TRUE())&gt;1," ["&amp;Q533&amp;"]",""))</f>
        <v/>
      </c>
      <c r="H533" s="80" t="str">
        <f t="array" ref="H533">IF(A533="","",CHAR(10)&amp;INDEX('Deck 2'!$A:$Z,ROW()-500,'List Setup'!$E$4)&amp;CHAR(10))</f>
        <v/>
      </c>
      <c r="I533" s="80" t="str">
        <f t="array" ref="I533">IF(OR(B533="",B533="(none)"),"",IF(ISNUMBER(SEARCH(CHAR(10)&amp;B533&amp;CHAR(10),H533)),B533,IFERROR(INDEX('Set Aliases'!$A$2:$A$501,MATCH(1,('Set Aliases'!$B$2:$B$501=B533)*ISNUMBER(SEARCH(CHAR(10)&amp;'Set Aliases'!$A$2:$A$501&amp;CHAR(10),H533)),0)),"")))</f>
        <v/>
      </c>
      <c r="J533" s="80" t="str">
        <f t="array" ref="J533">IF(I533="","",IFERROR(VALUE(TRIM(MID(SUBSTITUTE(INDEX('Deck 2'!$A:$Z,ROW()-500,'List Setup'!$G$4),CHAR(10),REPT(" ",100)),((SEARCH(CHAR(10)&amp;I533&amp;CHAR(10),H533)-LEN(SUBSTITUTE(LEFT(H533,SEARCH(CHAR(10)&amp;I533&amp;CHAR(10),H533)),CHAR(10),"")))-1)*100+1,100))),""))</f>
        <v/>
      </c>
      <c r="K533" s="80" t="str">
        <f t="array" ref="K533">IF(A533="","",IF(ISNUMBER(SEARCH("Land",LEFT(IFERROR(INDEX('Deck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33" s="80" t="str">
        <f t="shared" si="3"/>
        <v/>
      </c>
      <c r="M533" s="80" t="str">
        <f>IF(A533="","",IF(AND(E533="Y",B533='Use at Shop'!$B$4),K533*10000000000+(MAX(0,MIN(26,CODE(MID(UPPER(A533)&amp;"    ",1,1))-64))*19683+MAX(0,MIN(26,CODE(MID(UPPER(A533)&amp;"    ",2,1))-64))*729+MAX(0,MIN(26,CODE(MID(UPPER(A533)&amp;"    ",3,1))-64))*27+MAX(0,MIN(26,CODE(MID(UPPER(A533)&amp;"    ",4,1))-64))*1)*10000+ROW(),""))</f>
        <v/>
      </c>
      <c r="N533" s="80" t="str">
        <f t="shared" si="6"/>
        <v/>
      </c>
      <c r="O533" s="80" t="str">
        <f t="array" ref="O533">IF(A533="","",IFERROR(INDEX('Deck 2'!$A:$Z,ROW()-500,'List Setup'!$J$4)&amp;"",""))</f>
        <v/>
      </c>
      <c r="P533" s="2"/>
      <c r="Q533" s="80" t="str">
        <f>IF(A533="","",'List Setup'!$A$4)</f>
        <v/>
      </c>
      <c r="R533" s="80" t="str">
        <f t="array" ref="R533">IF(A533="","",IFERROR(OR(INDEX(Binders!$J$6:$J$30,MATCH(Q533,Binders!$I$6:$I$30,0))=TRUE(),UPPER(INDEX(Binders!$J$6:$J$30,MATCH(Q533,Binders!$I$6:$I$30,0))&amp;"")="TRUE"),FALSE()))</f>
        <v/>
      </c>
    </row>
    <row r="534" ht="15.75" customHeight="1">
      <c r="A534" s="80" t="str">
        <f t="array" ref="A534">IF(INDEX('Deck 2'!$A:$Z,ROW()-500,'List Setup'!$D$4)="","",INDEX('Deck 2'!$A:$Z,ROW()-500,'List Setup'!$D$4))</f>
        <v/>
      </c>
      <c r="B534" s="80" t="str">
        <f t="array" ref="B534">IF(A534="","",IFERROR(INDEX('Binder Setup'!$B$2:$B$401,MIN(IF(ISNUMBER(SEARCH(CHAR(10)&amp;'Binder Setup'!$B$2:$B$401&amp;CHAR(10),$H534)),'List Setup'!$Q$2:$Q$401,999),IF(ISNUMBER(SEARCH(CHAR(10)&amp;'Set Aliases'!$A$2:$A$501&amp;CHAR(10),$H534)),'Set Aliases'!$C$2:$C$501,999))),"(none)"))</f>
        <v/>
      </c>
      <c r="C534" s="80" t="str">
        <f t="shared" si="1"/>
        <v/>
      </c>
      <c r="D534" s="80" t="str">
        <f t="array" ref="D534">IF(A534="","",IF(ISLOGICAL(INDEX('Deck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34" s="80" t="str">
        <f t="shared" si="2"/>
        <v/>
      </c>
      <c r="F534" s="80" t="str">
        <f t="array" ref="F534">IF(A534="","",IF(ISNUMBER(J534),J534,IF(ISNUMBER(INDEX('Deck 2'!$A:$Z,ROW()-500,'List Setup'!$F$4)),INDEX('Deck 2'!$A:$Z,ROW()-500,'List Setup'!$F$4),0)))</f>
        <v/>
      </c>
      <c r="G534" s="80" t="str">
        <f t="array" ref="G534">IF(A534="","",A534&amp;IF(N(INDEX('Deck 2'!$A:$Z,ROW()-500,'List Setup'!$C$4))&gt;1," (x"&amp;INDEX('Deck 2'!$A:$Z,ROW()-500,'List Setup'!$C$4)&amp;")","")&amp;IF(COUNTIF(Binders!$J$6:$J$30,TRUE())&gt;1," ["&amp;Q534&amp;"]",""))</f>
        <v/>
      </c>
      <c r="H534" s="80" t="str">
        <f t="array" ref="H534">IF(A534="","",CHAR(10)&amp;INDEX('Deck 2'!$A:$Z,ROW()-500,'List Setup'!$E$4)&amp;CHAR(10))</f>
        <v/>
      </c>
      <c r="I534" s="80" t="str">
        <f t="array" ref="I534">IF(OR(B534="",B534="(none)"),"",IF(ISNUMBER(SEARCH(CHAR(10)&amp;B534&amp;CHAR(10),H534)),B534,IFERROR(INDEX('Set Aliases'!$A$2:$A$501,MATCH(1,('Set Aliases'!$B$2:$B$501=B534)*ISNUMBER(SEARCH(CHAR(10)&amp;'Set Aliases'!$A$2:$A$501&amp;CHAR(10),H534)),0)),"")))</f>
        <v/>
      </c>
      <c r="J534" s="80" t="str">
        <f t="array" ref="J534">IF(I534="","",IFERROR(VALUE(TRIM(MID(SUBSTITUTE(INDEX('Deck 2'!$A:$Z,ROW()-500,'List Setup'!$G$4),CHAR(10),REPT(" ",100)),((SEARCH(CHAR(10)&amp;I534&amp;CHAR(10),H534)-LEN(SUBSTITUTE(LEFT(H534,SEARCH(CHAR(10)&amp;I534&amp;CHAR(10),H534)),CHAR(10),"")))-1)*100+1,100))),""))</f>
        <v/>
      </c>
      <c r="K534" s="80" t="str">
        <f t="array" ref="K534">IF(A534="","",IF(ISNUMBER(SEARCH("Land",LEFT(IFERROR(INDEX('Deck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34" s="80" t="str">
        <f t="shared" si="3"/>
        <v/>
      </c>
      <c r="M534" s="80" t="str">
        <f>IF(A534="","",IF(AND(E534="Y",B534='Use at Shop'!$B$4),K534*10000000000+(MAX(0,MIN(26,CODE(MID(UPPER(A534)&amp;"    ",1,1))-64))*19683+MAX(0,MIN(26,CODE(MID(UPPER(A534)&amp;"    ",2,1))-64))*729+MAX(0,MIN(26,CODE(MID(UPPER(A534)&amp;"    ",3,1))-64))*27+MAX(0,MIN(26,CODE(MID(UPPER(A534)&amp;"    ",4,1))-64))*1)*10000+ROW(),""))</f>
        <v/>
      </c>
      <c r="N534" s="80" t="str">
        <f t="shared" si="6"/>
        <v/>
      </c>
      <c r="O534" s="80" t="str">
        <f t="array" ref="O534">IF(A534="","",IFERROR(INDEX('Deck 2'!$A:$Z,ROW()-500,'List Setup'!$J$4)&amp;"",""))</f>
        <v/>
      </c>
      <c r="P534" s="2"/>
      <c r="Q534" s="80" t="str">
        <f>IF(A534="","",'List Setup'!$A$4)</f>
        <v/>
      </c>
      <c r="R534" s="80" t="str">
        <f t="array" ref="R534">IF(A534="","",IFERROR(OR(INDEX(Binders!$J$6:$J$30,MATCH(Q534,Binders!$I$6:$I$30,0))=TRUE(),UPPER(INDEX(Binders!$J$6:$J$30,MATCH(Q534,Binders!$I$6:$I$30,0))&amp;"")="TRUE"),FALSE()))</f>
        <v/>
      </c>
    </row>
    <row r="535" ht="15.75" customHeight="1">
      <c r="A535" s="80" t="str">
        <f t="array" ref="A535">IF(INDEX('Deck 2'!$A:$Z,ROW()-500,'List Setup'!$D$4)="","",INDEX('Deck 2'!$A:$Z,ROW()-500,'List Setup'!$D$4))</f>
        <v/>
      </c>
      <c r="B535" s="80" t="str">
        <f t="array" ref="B535">IF(A535="","",IFERROR(INDEX('Binder Setup'!$B$2:$B$401,MIN(IF(ISNUMBER(SEARCH(CHAR(10)&amp;'Binder Setup'!$B$2:$B$401&amp;CHAR(10),$H535)),'List Setup'!$Q$2:$Q$401,999),IF(ISNUMBER(SEARCH(CHAR(10)&amp;'Set Aliases'!$A$2:$A$501&amp;CHAR(10),$H535)),'Set Aliases'!$C$2:$C$501,999))),"(none)"))</f>
        <v/>
      </c>
      <c r="C535" s="80" t="str">
        <f t="shared" si="1"/>
        <v/>
      </c>
      <c r="D535" s="80" t="str">
        <f t="array" ref="D535">IF(A535="","",IF(ISLOGICAL(INDEX('Deck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35" s="80" t="str">
        <f t="shared" si="2"/>
        <v/>
      </c>
      <c r="F535" s="80" t="str">
        <f t="array" ref="F535">IF(A535="","",IF(ISNUMBER(J535),J535,IF(ISNUMBER(INDEX('Deck 2'!$A:$Z,ROW()-500,'List Setup'!$F$4)),INDEX('Deck 2'!$A:$Z,ROW()-500,'List Setup'!$F$4),0)))</f>
        <v/>
      </c>
      <c r="G535" s="80" t="str">
        <f t="array" ref="G535">IF(A535="","",A535&amp;IF(N(INDEX('Deck 2'!$A:$Z,ROW()-500,'List Setup'!$C$4))&gt;1," (x"&amp;INDEX('Deck 2'!$A:$Z,ROW()-500,'List Setup'!$C$4)&amp;")","")&amp;IF(COUNTIF(Binders!$J$6:$J$30,TRUE())&gt;1," ["&amp;Q535&amp;"]",""))</f>
        <v/>
      </c>
      <c r="H535" s="80" t="str">
        <f t="array" ref="H535">IF(A535="","",CHAR(10)&amp;INDEX('Deck 2'!$A:$Z,ROW()-500,'List Setup'!$E$4)&amp;CHAR(10))</f>
        <v/>
      </c>
      <c r="I535" s="80" t="str">
        <f t="array" ref="I535">IF(OR(B535="",B535="(none)"),"",IF(ISNUMBER(SEARCH(CHAR(10)&amp;B535&amp;CHAR(10),H535)),B535,IFERROR(INDEX('Set Aliases'!$A$2:$A$501,MATCH(1,('Set Aliases'!$B$2:$B$501=B535)*ISNUMBER(SEARCH(CHAR(10)&amp;'Set Aliases'!$A$2:$A$501&amp;CHAR(10),H535)),0)),"")))</f>
        <v/>
      </c>
      <c r="J535" s="80" t="str">
        <f t="array" ref="J535">IF(I535="","",IFERROR(VALUE(TRIM(MID(SUBSTITUTE(INDEX('Deck 2'!$A:$Z,ROW()-500,'List Setup'!$G$4),CHAR(10),REPT(" ",100)),((SEARCH(CHAR(10)&amp;I535&amp;CHAR(10),H535)-LEN(SUBSTITUTE(LEFT(H535,SEARCH(CHAR(10)&amp;I535&amp;CHAR(10),H535)),CHAR(10),"")))-1)*100+1,100))),""))</f>
        <v/>
      </c>
      <c r="K535" s="80" t="str">
        <f t="array" ref="K535">IF(A535="","",IF(ISNUMBER(SEARCH("Land",LEFT(IFERROR(INDEX('Deck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35" s="80" t="str">
        <f t="shared" si="3"/>
        <v/>
      </c>
      <c r="M535" s="80" t="str">
        <f>IF(A535="","",IF(AND(E535="Y",B535='Use at Shop'!$B$4),K535*10000000000+(MAX(0,MIN(26,CODE(MID(UPPER(A535)&amp;"    ",1,1))-64))*19683+MAX(0,MIN(26,CODE(MID(UPPER(A535)&amp;"    ",2,1))-64))*729+MAX(0,MIN(26,CODE(MID(UPPER(A535)&amp;"    ",3,1))-64))*27+MAX(0,MIN(26,CODE(MID(UPPER(A535)&amp;"    ",4,1))-64))*1)*10000+ROW(),""))</f>
        <v/>
      </c>
      <c r="N535" s="80" t="str">
        <f t="shared" si="6"/>
        <v/>
      </c>
      <c r="O535" s="80" t="str">
        <f t="array" ref="O535">IF(A535="","",IFERROR(INDEX('Deck 2'!$A:$Z,ROW()-500,'List Setup'!$J$4)&amp;"",""))</f>
        <v/>
      </c>
      <c r="P535" s="2"/>
      <c r="Q535" s="80" t="str">
        <f>IF(A535="","",'List Setup'!$A$4)</f>
        <v/>
      </c>
      <c r="R535" s="80" t="str">
        <f t="array" ref="R535">IF(A535="","",IFERROR(OR(INDEX(Binders!$J$6:$J$30,MATCH(Q535,Binders!$I$6:$I$30,0))=TRUE(),UPPER(INDEX(Binders!$J$6:$J$30,MATCH(Q535,Binders!$I$6:$I$30,0))&amp;"")="TRUE"),FALSE()))</f>
        <v/>
      </c>
    </row>
    <row r="536" ht="15.75" customHeight="1">
      <c r="A536" s="80" t="str">
        <f t="array" ref="A536">IF(INDEX('Deck 2'!$A:$Z,ROW()-500,'List Setup'!$D$4)="","",INDEX('Deck 2'!$A:$Z,ROW()-500,'List Setup'!$D$4))</f>
        <v/>
      </c>
      <c r="B536" s="80" t="str">
        <f t="array" ref="B536">IF(A536="","",IFERROR(INDEX('Binder Setup'!$B$2:$B$401,MIN(IF(ISNUMBER(SEARCH(CHAR(10)&amp;'Binder Setup'!$B$2:$B$401&amp;CHAR(10),$H536)),'List Setup'!$Q$2:$Q$401,999),IF(ISNUMBER(SEARCH(CHAR(10)&amp;'Set Aliases'!$A$2:$A$501&amp;CHAR(10),$H536)),'Set Aliases'!$C$2:$C$501,999))),"(none)"))</f>
        <v/>
      </c>
      <c r="C536" s="80" t="str">
        <f t="shared" si="1"/>
        <v/>
      </c>
      <c r="D536" s="80" t="str">
        <f t="array" ref="D536">IF(A536="","",IF(ISLOGICAL(INDEX('Deck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36" s="80" t="str">
        <f t="shared" si="2"/>
        <v/>
      </c>
      <c r="F536" s="80" t="str">
        <f t="array" ref="F536">IF(A536="","",IF(ISNUMBER(J536),J536,IF(ISNUMBER(INDEX('Deck 2'!$A:$Z,ROW()-500,'List Setup'!$F$4)),INDEX('Deck 2'!$A:$Z,ROW()-500,'List Setup'!$F$4),0)))</f>
        <v/>
      </c>
      <c r="G536" s="80" t="str">
        <f t="array" ref="G536">IF(A536="","",A536&amp;IF(N(INDEX('Deck 2'!$A:$Z,ROW()-500,'List Setup'!$C$4))&gt;1," (x"&amp;INDEX('Deck 2'!$A:$Z,ROW()-500,'List Setup'!$C$4)&amp;")","")&amp;IF(COUNTIF(Binders!$J$6:$J$30,TRUE())&gt;1," ["&amp;Q536&amp;"]",""))</f>
        <v/>
      </c>
      <c r="H536" s="80" t="str">
        <f t="array" ref="H536">IF(A536="","",CHAR(10)&amp;INDEX('Deck 2'!$A:$Z,ROW()-500,'List Setup'!$E$4)&amp;CHAR(10))</f>
        <v/>
      </c>
      <c r="I536" s="80" t="str">
        <f t="array" ref="I536">IF(OR(B536="",B536="(none)"),"",IF(ISNUMBER(SEARCH(CHAR(10)&amp;B536&amp;CHAR(10),H536)),B536,IFERROR(INDEX('Set Aliases'!$A$2:$A$501,MATCH(1,('Set Aliases'!$B$2:$B$501=B536)*ISNUMBER(SEARCH(CHAR(10)&amp;'Set Aliases'!$A$2:$A$501&amp;CHAR(10),H536)),0)),"")))</f>
        <v/>
      </c>
      <c r="J536" s="80" t="str">
        <f t="array" ref="J536">IF(I536="","",IFERROR(VALUE(TRIM(MID(SUBSTITUTE(INDEX('Deck 2'!$A:$Z,ROW()-500,'List Setup'!$G$4),CHAR(10),REPT(" ",100)),((SEARCH(CHAR(10)&amp;I536&amp;CHAR(10),H536)-LEN(SUBSTITUTE(LEFT(H536,SEARCH(CHAR(10)&amp;I536&amp;CHAR(10),H536)),CHAR(10),"")))-1)*100+1,100))),""))</f>
        <v/>
      </c>
      <c r="K536" s="80" t="str">
        <f t="array" ref="K536">IF(A536="","",IF(ISNUMBER(SEARCH("Land",LEFT(IFERROR(INDEX('Deck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36" s="80" t="str">
        <f t="shared" si="3"/>
        <v/>
      </c>
      <c r="M536" s="80" t="str">
        <f>IF(A536="","",IF(AND(E536="Y",B536='Use at Shop'!$B$4),K536*10000000000+(MAX(0,MIN(26,CODE(MID(UPPER(A536)&amp;"    ",1,1))-64))*19683+MAX(0,MIN(26,CODE(MID(UPPER(A536)&amp;"    ",2,1))-64))*729+MAX(0,MIN(26,CODE(MID(UPPER(A536)&amp;"    ",3,1))-64))*27+MAX(0,MIN(26,CODE(MID(UPPER(A536)&amp;"    ",4,1))-64))*1)*10000+ROW(),""))</f>
        <v/>
      </c>
      <c r="N536" s="80" t="str">
        <f t="shared" si="6"/>
        <v/>
      </c>
      <c r="O536" s="80" t="str">
        <f t="array" ref="O536">IF(A536="","",IFERROR(INDEX('Deck 2'!$A:$Z,ROW()-500,'List Setup'!$J$4)&amp;"",""))</f>
        <v/>
      </c>
      <c r="P536" s="2"/>
      <c r="Q536" s="80" t="str">
        <f>IF(A536="","",'List Setup'!$A$4)</f>
        <v/>
      </c>
      <c r="R536" s="80" t="str">
        <f t="array" ref="R536">IF(A536="","",IFERROR(OR(INDEX(Binders!$J$6:$J$30,MATCH(Q536,Binders!$I$6:$I$30,0))=TRUE(),UPPER(INDEX(Binders!$J$6:$J$30,MATCH(Q536,Binders!$I$6:$I$30,0))&amp;"")="TRUE"),FALSE()))</f>
        <v/>
      </c>
    </row>
    <row r="537" ht="15.75" customHeight="1">
      <c r="A537" s="80" t="str">
        <f t="array" ref="A537">IF(INDEX('Deck 2'!$A:$Z,ROW()-500,'List Setup'!$D$4)="","",INDEX('Deck 2'!$A:$Z,ROW()-500,'List Setup'!$D$4))</f>
        <v/>
      </c>
      <c r="B537" s="80" t="str">
        <f t="array" ref="B537">IF(A537="","",IFERROR(INDEX('Binder Setup'!$B$2:$B$401,MIN(IF(ISNUMBER(SEARCH(CHAR(10)&amp;'Binder Setup'!$B$2:$B$401&amp;CHAR(10),$H537)),'List Setup'!$Q$2:$Q$401,999),IF(ISNUMBER(SEARCH(CHAR(10)&amp;'Set Aliases'!$A$2:$A$501&amp;CHAR(10),$H537)),'Set Aliases'!$C$2:$C$501,999))),"(none)"))</f>
        <v/>
      </c>
      <c r="C537" s="80" t="str">
        <f t="shared" si="1"/>
        <v/>
      </c>
      <c r="D537" s="80" t="str">
        <f t="array" ref="D537">IF(A537="","",IF(ISLOGICAL(INDEX('Deck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37" s="80" t="str">
        <f t="shared" si="2"/>
        <v/>
      </c>
      <c r="F537" s="80" t="str">
        <f t="array" ref="F537">IF(A537="","",IF(ISNUMBER(J537),J537,IF(ISNUMBER(INDEX('Deck 2'!$A:$Z,ROW()-500,'List Setup'!$F$4)),INDEX('Deck 2'!$A:$Z,ROW()-500,'List Setup'!$F$4),0)))</f>
        <v/>
      </c>
      <c r="G537" s="80" t="str">
        <f t="array" ref="G537">IF(A537="","",A537&amp;IF(N(INDEX('Deck 2'!$A:$Z,ROW()-500,'List Setup'!$C$4))&gt;1," (x"&amp;INDEX('Deck 2'!$A:$Z,ROW()-500,'List Setup'!$C$4)&amp;")","")&amp;IF(COUNTIF(Binders!$J$6:$J$30,TRUE())&gt;1," ["&amp;Q537&amp;"]",""))</f>
        <v/>
      </c>
      <c r="H537" s="80" t="str">
        <f t="array" ref="H537">IF(A537="","",CHAR(10)&amp;INDEX('Deck 2'!$A:$Z,ROW()-500,'List Setup'!$E$4)&amp;CHAR(10))</f>
        <v/>
      </c>
      <c r="I537" s="80" t="str">
        <f t="array" ref="I537">IF(OR(B537="",B537="(none)"),"",IF(ISNUMBER(SEARCH(CHAR(10)&amp;B537&amp;CHAR(10),H537)),B537,IFERROR(INDEX('Set Aliases'!$A$2:$A$501,MATCH(1,('Set Aliases'!$B$2:$B$501=B537)*ISNUMBER(SEARCH(CHAR(10)&amp;'Set Aliases'!$A$2:$A$501&amp;CHAR(10),H537)),0)),"")))</f>
        <v/>
      </c>
      <c r="J537" s="80" t="str">
        <f t="array" ref="J537">IF(I537="","",IFERROR(VALUE(TRIM(MID(SUBSTITUTE(INDEX('Deck 2'!$A:$Z,ROW()-500,'List Setup'!$G$4),CHAR(10),REPT(" ",100)),((SEARCH(CHAR(10)&amp;I537&amp;CHAR(10),H537)-LEN(SUBSTITUTE(LEFT(H537,SEARCH(CHAR(10)&amp;I537&amp;CHAR(10),H537)),CHAR(10),"")))-1)*100+1,100))),""))</f>
        <v/>
      </c>
      <c r="K537" s="80" t="str">
        <f t="array" ref="K537">IF(A537="","",IF(ISNUMBER(SEARCH("Land",LEFT(IFERROR(INDEX('Deck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37" s="80" t="str">
        <f t="shared" si="3"/>
        <v/>
      </c>
      <c r="M537" s="80" t="str">
        <f>IF(A537="","",IF(AND(E537="Y",B537='Use at Shop'!$B$4),K537*10000000000+(MAX(0,MIN(26,CODE(MID(UPPER(A537)&amp;"    ",1,1))-64))*19683+MAX(0,MIN(26,CODE(MID(UPPER(A537)&amp;"    ",2,1))-64))*729+MAX(0,MIN(26,CODE(MID(UPPER(A537)&amp;"    ",3,1))-64))*27+MAX(0,MIN(26,CODE(MID(UPPER(A537)&amp;"    ",4,1))-64))*1)*10000+ROW(),""))</f>
        <v/>
      </c>
      <c r="N537" s="80" t="str">
        <f t="shared" si="6"/>
        <v/>
      </c>
      <c r="O537" s="80" t="str">
        <f t="array" ref="O537">IF(A537="","",IFERROR(INDEX('Deck 2'!$A:$Z,ROW()-500,'List Setup'!$J$4)&amp;"",""))</f>
        <v/>
      </c>
      <c r="P537" s="2"/>
      <c r="Q537" s="80" t="str">
        <f>IF(A537="","",'List Setup'!$A$4)</f>
        <v/>
      </c>
      <c r="R537" s="80" t="str">
        <f t="array" ref="R537">IF(A537="","",IFERROR(OR(INDEX(Binders!$J$6:$J$30,MATCH(Q537,Binders!$I$6:$I$30,0))=TRUE(),UPPER(INDEX(Binders!$J$6:$J$30,MATCH(Q537,Binders!$I$6:$I$30,0))&amp;"")="TRUE"),FALSE()))</f>
        <v/>
      </c>
    </row>
    <row r="538" ht="15.75" customHeight="1">
      <c r="A538" s="80" t="str">
        <f t="array" ref="A538">IF(INDEX('Deck 2'!$A:$Z,ROW()-500,'List Setup'!$D$4)="","",INDEX('Deck 2'!$A:$Z,ROW()-500,'List Setup'!$D$4))</f>
        <v/>
      </c>
      <c r="B538" s="80" t="str">
        <f t="array" ref="B538">IF(A538="","",IFERROR(INDEX('Binder Setup'!$B$2:$B$401,MIN(IF(ISNUMBER(SEARCH(CHAR(10)&amp;'Binder Setup'!$B$2:$B$401&amp;CHAR(10),$H538)),'List Setup'!$Q$2:$Q$401,999),IF(ISNUMBER(SEARCH(CHAR(10)&amp;'Set Aliases'!$A$2:$A$501&amp;CHAR(10),$H538)),'Set Aliases'!$C$2:$C$501,999))),"(none)"))</f>
        <v/>
      </c>
      <c r="C538" s="80" t="str">
        <f t="shared" si="1"/>
        <v/>
      </c>
      <c r="D538" s="80" t="str">
        <f t="array" ref="D538">IF(A538="","",IF(ISLOGICAL(INDEX('Deck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38" s="80" t="str">
        <f t="shared" si="2"/>
        <v/>
      </c>
      <c r="F538" s="80" t="str">
        <f t="array" ref="F538">IF(A538="","",IF(ISNUMBER(J538),J538,IF(ISNUMBER(INDEX('Deck 2'!$A:$Z,ROW()-500,'List Setup'!$F$4)),INDEX('Deck 2'!$A:$Z,ROW()-500,'List Setup'!$F$4),0)))</f>
        <v/>
      </c>
      <c r="G538" s="80" t="str">
        <f t="array" ref="G538">IF(A538="","",A538&amp;IF(N(INDEX('Deck 2'!$A:$Z,ROW()-500,'List Setup'!$C$4))&gt;1," (x"&amp;INDEX('Deck 2'!$A:$Z,ROW()-500,'List Setup'!$C$4)&amp;")","")&amp;IF(COUNTIF(Binders!$J$6:$J$30,TRUE())&gt;1," ["&amp;Q538&amp;"]",""))</f>
        <v/>
      </c>
      <c r="H538" s="80" t="str">
        <f t="array" ref="H538">IF(A538="","",CHAR(10)&amp;INDEX('Deck 2'!$A:$Z,ROW()-500,'List Setup'!$E$4)&amp;CHAR(10))</f>
        <v/>
      </c>
      <c r="I538" s="80" t="str">
        <f t="array" ref="I538">IF(OR(B538="",B538="(none)"),"",IF(ISNUMBER(SEARCH(CHAR(10)&amp;B538&amp;CHAR(10),H538)),B538,IFERROR(INDEX('Set Aliases'!$A$2:$A$501,MATCH(1,('Set Aliases'!$B$2:$B$501=B538)*ISNUMBER(SEARCH(CHAR(10)&amp;'Set Aliases'!$A$2:$A$501&amp;CHAR(10),H538)),0)),"")))</f>
        <v/>
      </c>
      <c r="J538" s="80" t="str">
        <f t="array" ref="J538">IF(I538="","",IFERROR(VALUE(TRIM(MID(SUBSTITUTE(INDEX('Deck 2'!$A:$Z,ROW()-500,'List Setup'!$G$4),CHAR(10),REPT(" ",100)),((SEARCH(CHAR(10)&amp;I538&amp;CHAR(10),H538)-LEN(SUBSTITUTE(LEFT(H538,SEARCH(CHAR(10)&amp;I538&amp;CHAR(10),H538)),CHAR(10),"")))-1)*100+1,100))),""))</f>
        <v/>
      </c>
      <c r="K538" s="80" t="str">
        <f t="array" ref="K538">IF(A538="","",IF(ISNUMBER(SEARCH("Land",LEFT(IFERROR(INDEX('Deck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38" s="80" t="str">
        <f t="shared" si="3"/>
        <v/>
      </c>
      <c r="M538" s="80" t="str">
        <f>IF(A538="","",IF(AND(E538="Y",B538='Use at Shop'!$B$4),K538*10000000000+(MAX(0,MIN(26,CODE(MID(UPPER(A538)&amp;"    ",1,1))-64))*19683+MAX(0,MIN(26,CODE(MID(UPPER(A538)&amp;"    ",2,1))-64))*729+MAX(0,MIN(26,CODE(MID(UPPER(A538)&amp;"    ",3,1))-64))*27+MAX(0,MIN(26,CODE(MID(UPPER(A538)&amp;"    ",4,1))-64))*1)*10000+ROW(),""))</f>
        <v/>
      </c>
      <c r="N538" s="80" t="str">
        <f t="shared" si="6"/>
        <v/>
      </c>
      <c r="O538" s="80" t="str">
        <f t="array" ref="O538">IF(A538="","",IFERROR(INDEX('Deck 2'!$A:$Z,ROW()-500,'List Setup'!$J$4)&amp;"",""))</f>
        <v/>
      </c>
      <c r="P538" s="2"/>
      <c r="Q538" s="80" t="str">
        <f>IF(A538="","",'List Setup'!$A$4)</f>
        <v/>
      </c>
      <c r="R538" s="80" t="str">
        <f t="array" ref="R538">IF(A538="","",IFERROR(OR(INDEX(Binders!$J$6:$J$30,MATCH(Q538,Binders!$I$6:$I$30,0))=TRUE(),UPPER(INDEX(Binders!$J$6:$J$30,MATCH(Q538,Binders!$I$6:$I$30,0))&amp;"")="TRUE"),FALSE()))</f>
        <v/>
      </c>
    </row>
    <row r="539" ht="15.75" customHeight="1">
      <c r="A539" s="80" t="str">
        <f t="array" ref="A539">IF(INDEX('Deck 2'!$A:$Z,ROW()-500,'List Setup'!$D$4)="","",INDEX('Deck 2'!$A:$Z,ROW()-500,'List Setup'!$D$4))</f>
        <v/>
      </c>
      <c r="B539" s="80" t="str">
        <f t="array" ref="B539">IF(A539="","",IFERROR(INDEX('Binder Setup'!$B$2:$B$401,MIN(IF(ISNUMBER(SEARCH(CHAR(10)&amp;'Binder Setup'!$B$2:$B$401&amp;CHAR(10),$H539)),'List Setup'!$Q$2:$Q$401,999),IF(ISNUMBER(SEARCH(CHAR(10)&amp;'Set Aliases'!$A$2:$A$501&amp;CHAR(10),$H539)),'Set Aliases'!$C$2:$C$501,999))),"(none)"))</f>
        <v/>
      </c>
      <c r="C539" s="80" t="str">
        <f t="shared" si="1"/>
        <v/>
      </c>
      <c r="D539" s="80" t="str">
        <f t="array" ref="D539">IF(A539="","",IF(ISLOGICAL(INDEX('Deck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39" s="80" t="str">
        <f t="shared" si="2"/>
        <v/>
      </c>
      <c r="F539" s="80" t="str">
        <f t="array" ref="F539">IF(A539="","",IF(ISNUMBER(J539),J539,IF(ISNUMBER(INDEX('Deck 2'!$A:$Z,ROW()-500,'List Setup'!$F$4)),INDEX('Deck 2'!$A:$Z,ROW()-500,'List Setup'!$F$4),0)))</f>
        <v/>
      </c>
      <c r="G539" s="80" t="str">
        <f t="array" ref="G539">IF(A539="","",A539&amp;IF(N(INDEX('Deck 2'!$A:$Z,ROW()-500,'List Setup'!$C$4))&gt;1," (x"&amp;INDEX('Deck 2'!$A:$Z,ROW()-500,'List Setup'!$C$4)&amp;")","")&amp;IF(COUNTIF(Binders!$J$6:$J$30,TRUE())&gt;1," ["&amp;Q539&amp;"]",""))</f>
        <v/>
      </c>
      <c r="H539" s="80" t="str">
        <f t="array" ref="H539">IF(A539="","",CHAR(10)&amp;INDEX('Deck 2'!$A:$Z,ROW()-500,'List Setup'!$E$4)&amp;CHAR(10))</f>
        <v/>
      </c>
      <c r="I539" s="80" t="str">
        <f t="array" ref="I539">IF(OR(B539="",B539="(none)"),"",IF(ISNUMBER(SEARCH(CHAR(10)&amp;B539&amp;CHAR(10),H539)),B539,IFERROR(INDEX('Set Aliases'!$A$2:$A$501,MATCH(1,('Set Aliases'!$B$2:$B$501=B539)*ISNUMBER(SEARCH(CHAR(10)&amp;'Set Aliases'!$A$2:$A$501&amp;CHAR(10),H539)),0)),"")))</f>
        <v/>
      </c>
      <c r="J539" s="80" t="str">
        <f t="array" ref="J539">IF(I539="","",IFERROR(VALUE(TRIM(MID(SUBSTITUTE(INDEX('Deck 2'!$A:$Z,ROW()-500,'List Setup'!$G$4),CHAR(10),REPT(" ",100)),((SEARCH(CHAR(10)&amp;I539&amp;CHAR(10),H539)-LEN(SUBSTITUTE(LEFT(H539,SEARCH(CHAR(10)&amp;I539&amp;CHAR(10),H539)),CHAR(10),"")))-1)*100+1,100))),""))</f>
        <v/>
      </c>
      <c r="K539" s="80" t="str">
        <f t="array" ref="K539">IF(A539="","",IF(ISNUMBER(SEARCH("Land",LEFT(IFERROR(INDEX('Deck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39" s="80" t="str">
        <f t="shared" si="3"/>
        <v/>
      </c>
      <c r="M539" s="80" t="str">
        <f>IF(A539="","",IF(AND(E539="Y",B539='Use at Shop'!$B$4),K539*10000000000+(MAX(0,MIN(26,CODE(MID(UPPER(A539)&amp;"    ",1,1))-64))*19683+MAX(0,MIN(26,CODE(MID(UPPER(A539)&amp;"    ",2,1))-64))*729+MAX(0,MIN(26,CODE(MID(UPPER(A539)&amp;"    ",3,1))-64))*27+MAX(0,MIN(26,CODE(MID(UPPER(A539)&amp;"    ",4,1))-64))*1)*10000+ROW(),""))</f>
        <v/>
      </c>
      <c r="N539" s="80" t="str">
        <f t="shared" si="6"/>
        <v/>
      </c>
      <c r="O539" s="80" t="str">
        <f t="array" ref="O539">IF(A539="","",IFERROR(INDEX('Deck 2'!$A:$Z,ROW()-500,'List Setup'!$J$4)&amp;"",""))</f>
        <v/>
      </c>
      <c r="P539" s="2"/>
      <c r="Q539" s="80" t="str">
        <f>IF(A539="","",'List Setup'!$A$4)</f>
        <v/>
      </c>
      <c r="R539" s="80" t="str">
        <f t="array" ref="R539">IF(A539="","",IFERROR(OR(INDEX(Binders!$J$6:$J$30,MATCH(Q539,Binders!$I$6:$I$30,0))=TRUE(),UPPER(INDEX(Binders!$J$6:$J$30,MATCH(Q539,Binders!$I$6:$I$30,0))&amp;"")="TRUE"),FALSE()))</f>
        <v/>
      </c>
    </row>
    <row r="540" ht="15.75" customHeight="1">
      <c r="A540" s="80" t="str">
        <f t="array" ref="A540">IF(INDEX('Deck 2'!$A:$Z,ROW()-500,'List Setup'!$D$4)="","",INDEX('Deck 2'!$A:$Z,ROW()-500,'List Setup'!$D$4))</f>
        <v/>
      </c>
      <c r="B540" s="80" t="str">
        <f t="array" ref="B540">IF(A540="","",IFERROR(INDEX('Binder Setup'!$B$2:$B$401,MIN(IF(ISNUMBER(SEARCH(CHAR(10)&amp;'Binder Setup'!$B$2:$B$401&amp;CHAR(10),$H540)),'List Setup'!$Q$2:$Q$401,999),IF(ISNUMBER(SEARCH(CHAR(10)&amp;'Set Aliases'!$A$2:$A$501&amp;CHAR(10),$H540)),'Set Aliases'!$C$2:$C$501,999))),"(none)"))</f>
        <v/>
      </c>
      <c r="C540" s="80" t="str">
        <f t="shared" si="1"/>
        <v/>
      </c>
      <c r="D540" s="80" t="str">
        <f t="array" ref="D540">IF(A540="","",IF(ISLOGICAL(INDEX('Deck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40" s="80" t="str">
        <f t="shared" si="2"/>
        <v/>
      </c>
      <c r="F540" s="80" t="str">
        <f t="array" ref="F540">IF(A540="","",IF(ISNUMBER(J540),J540,IF(ISNUMBER(INDEX('Deck 2'!$A:$Z,ROW()-500,'List Setup'!$F$4)),INDEX('Deck 2'!$A:$Z,ROW()-500,'List Setup'!$F$4),0)))</f>
        <v/>
      </c>
      <c r="G540" s="80" t="str">
        <f t="array" ref="G540">IF(A540="","",A540&amp;IF(N(INDEX('Deck 2'!$A:$Z,ROW()-500,'List Setup'!$C$4))&gt;1," (x"&amp;INDEX('Deck 2'!$A:$Z,ROW()-500,'List Setup'!$C$4)&amp;")","")&amp;IF(COUNTIF(Binders!$J$6:$J$30,TRUE())&gt;1," ["&amp;Q540&amp;"]",""))</f>
        <v/>
      </c>
      <c r="H540" s="80" t="str">
        <f t="array" ref="H540">IF(A540="","",CHAR(10)&amp;INDEX('Deck 2'!$A:$Z,ROW()-500,'List Setup'!$E$4)&amp;CHAR(10))</f>
        <v/>
      </c>
      <c r="I540" s="80" t="str">
        <f t="array" ref="I540">IF(OR(B540="",B540="(none)"),"",IF(ISNUMBER(SEARCH(CHAR(10)&amp;B540&amp;CHAR(10),H540)),B540,IFERROR(INDEX('Set Aliases'!$A$2:$A$501,MATCH(1,('Set Aliases'!$B$2:$B$501=B540)*ISNUMBER(SEARCH(CHAR(10)&amp;'Set Aliases'!$A$2:$A$501&amp;CHAR(10),H540)),0)),"")))</f>
        <v/>
      </c>
      <c r="J540" s="80" t="str">
        <f t="array" ref="J540">IF(I540="","",IFERROR(VALUE(TRIM(MID(SUBSTITUTE(INDEX('Deck 2'!$A:$Z,ROW()-500,'List Setup'!$G$4),CHAR(10),REPT(" ",100)),((SEARCH(CHAR(10)&amp;I540&amp;CHAR(10),H540)-LEN(SUBSTITUTE(LEFT(H540,SEARCH(CHAR(10)&amp;I540&amp;CHAR(10),H540)),CHAR(10),"")))-1)*100+1,100))),""))</f>
        <v/>
      </c>
      <c r="K540" s="80" t="str">
        <f t="array" ref="K540">IF(A540="","",IF(ISNUMBER(SEARCH("Land",LEFT(IFERROR(INDEX('Deck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40" s="80" t="str">
        <f t="shared" si="3"/>
        <v/>
      </c>
      <c r="M540" s="80" t="str">
        <f>IF(A540="","",IF(AND(E540="Y",B540='Use at Shop'!$B$4),K540*10000000000+(MAX(0,MIN(26,CODE(MID(UPPER(A540)&amp;"    ",1,1))-64))*19683+MAX(0,MIN(26,CODE(MID(UPPER(A540)&amp;"    ",2,1))-64))*729+MAX(0,MIN(26,CODE(MID(UPPER(A540)&amp;"    ",3,1))-64))*27+MAX(0,MIN(26,CODE(MID(UPPER(A540)&amp;"    ",4,1))-64))*1)*10000+ROW(),""))</f>
        <v/>
      </c>
      <c r="N540" s="80" t="str">
        <f t="shared" si="6"/>
        <v/>
      </c>
      <c r="O540" s="80" t="str">
        <f t="array" ref="O540">IF(A540="","",IFERROR(INDEX('Deck 2'!$A:$Z,ROW()-500,'List Setup'!$J$4)&amp;"",""))</f>
        <v/>
      </c>
      <c r="P540" s="2"/>
      <c r="Q540" s="80" t="str">
        <f>IF(A540="","",'List Setup'!$A$4)</f>
        <v/>
      </c>
      <c r="R540" s="80" t="str">
        <f t="array" ref="R540">IF(A540="","",IFERROR(OR(INDEX(Binders!$J$6:$J$30,MATCH(Q540,Binders!$I$6:$I$30,0))=TRUE(),UPPER(INDEX(Binders!$J$6:$J$30,MATCH(Q540,Binders!$I$6:$I$30,0))&amp;"")="TRUE"),FALSE()))</f>
        <v/>
      </c>
    </row>
    <row r="541" ht="15.75" customHeight="1">
      <c r="A541" s="80" t="str">
        <f t="array" ref="A541">IF(INDEX('Deck 2'!$A:$Z,ROW()-500,'List Setup'!$D$4)="","",INDEX('Deck 2'!$A:$Z,ROW()-500,'List Setup'!$D$4))</f>
        <v/>
      </c>
      <c r="B541" s="80" t="str">
        <f t="array" ref="B541">IF(A541="","",IFERROR(INDEX('Binder Setup'!$B$2:$B$401,MIN(IF(ISNUMBER(SEARCH(CHAR(10)&amp;'Binder Setup'!$B$2:$B$401&amp;CHAR(10),$H541)),'List Setup'!$Q$2:$Q$401,999),IF(ISNUMBER(SEARCH(CHAR(10)&amp;'Set Aliases'!$A$2:$A$501&amp;CHAR(10),$H541)),'Set Aliases'!$C$2:$C$501,999))),"(none)"))</f>
        <v/>
      </c>
      <c r="C541" s="80" t="str">
        <f t="shared" si="1"/>
        <v/>
      </c>
      <c r="D541" s="80" t="str">
        <f t="array" ref="D541">IF(A541="","",IF(ISLOGICAL(INDEX('Deck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41" s="80" t="str">
        <f t="shared" si="2"/>
        <v/>
      </c>
      <c r="F541" s="80" t="str">
        <f t="array" ref="F541">IF(A541="","",IF(ISNUMBER(J541),J541,IF(ISNUMBER(INDEX('Deck 2'!$A:$Z,ROW()-500,'List Setup'!$F$4)),INDEX('Deck 2'!$A:$Z,ROW()-500,'List Setup'!$F$4),0)))</f>
        <v/>
      </c>
      <c r="G541" s="80" t="str">
        <f t="array" ref="G541">IF(A541="","",A541&amp;IF(N(INDEX('Deck 2'!$A:$Z,ROW()-500,'List Setup'!$C$4))&gt;1," (x"&amp;INDEX('Deck 2'!$A:$Z,ROW()-500,'List Setup'!$C$4)&amp;")","")&amp;IF(COUNTIF(Binders!$J$6:$J$30,TRUE())&gt;1," ["&amp;Q541&amp;"]",""))</f>
        <v/>
      </c>
      <c r="H541" s="80" t="str">
        <f t="array" ref="H541">IF(A541="","",CHAR(10)&amp;INDEX('Deck 2'!$A:$Z,ROW()-500,'List Setup'!$E$4)&amp;CHAR(10))</f>
        <v/>
      </c>
      <c r="I541" s="80" t="str">
        <f t="array" ref="I541">IF(OR(B541="",B541="(none)"),"",IF(ISNUMBER(SEARCH(CHAR(10)&amp;B541&amp;CHAR(10),H541)),B541,IFERROR(INDEX('Set Aliases'!$A$2:$A$501,MATCH(1,('Set Aliases'!$B$2:$B$501=B541)*ISNUMBER(SEARCH(CHAR(10)&amp;'Set Aliases'!$A$2:$A$501&amp;CHAR(10),H541)),0)),"")))</f>
        <v/>
      </c>
      <c r="J541" s="80" t="str">
        <f t="array" ref="J541">IF(I541="","",IFERROR(VALUE(TRIM(MID(SUBSTITUTE(INDEX('Deck 2'!$A:$Z,ROW()-500,'List Setup'!$G$4),CHAR(10),REPT(" ",100)),((SEARCH(CHAR(10)&amp;I541&amp;CHAR(10),H541)-LEN(SUBSTITUTE(LEFT(H541,SEARCH(CHAR(10)&amp;I541&amp;CHAR(10),H541)),CHAR(10),"")))-1)*100+1,100))),""))</f>
        <v/>
      </c>
      <c r="K541" s="80" t="str">
        <f t="array" ref="K541">IF(A541="","",IF(ISNUMBER(SEARCH("Land",LEFT(IFERROR(INDEX('Deck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41" s="80" t="str">
        <f t="shared" si="3"/>
        <v/>
      </c>
      <c r="M541" s="80" t="str">
        <f>IF(A541="","",IF(AND(E541="Y",B541='Use at Shop'!$B$4),K541*10000000000+(MAX(0,MIN(26,CODE(MID(UPPER(A541)&amp;"    ",1,1))-64))*19683+MAX(0,MIN(26,CODE(MID(UPPER(A541)&amp;"    ",2,1))-64))*729+MAX(0,MIN(26,CODE(MID(UPPER(A541)&amp;"    ",3,1))-64))*27+MAX(0,MIN(26,CODE(MID(UPPER(A541)&amp;"    ",4,1))-64))*1)*10000+ROW(),""))</f>
        <v/>
      </c>
      <c r="N541" s="80" t="str">
        <f t="shared" si="6"/>
        <v/>
      </c>
      <c r="O541" s="80" t="str">
        <f t="array" ref="O541">IF(A541="","",IFERROR(INDEX('Deck 2'!$A:$Z,ROW()-500,'List Setup'!$J$4)&amp;"",""))</f>
        <v/>
      </c>
      <c r="P541" s="2"/>
      <c r="Q541" s="80" t="str">
        <f>IF(A541="","",'List Setup'!$A$4)</f>
        <v/>
      </c>
      <c r="R541" s="80" t="str">
        <f t="array" ref="R541">IF(A541="","",IFERROR(OR(INDEX(Binders!$J$6:$J$30,MATCH(Q541,Binders!$I$6:$I$30,0))=TRUE(),UPPER(INDEX(Binders!$J$6:$J$30,MATCH(Q541,Binders!$I$6:$I$30,0))&amp;"")="TRUE"),FALSE()))</f>
        <v/>
      </c>
    </row>
    <row r="542" ht="15.75" customHeight="1">
      <c r="A542" s="80" t="str">
        <f t="array" ref="A542">IF(INDEX('Deck 2'!$A:$Z,ROW()-500,'List Setup'!$D$4)="","",INDEX('Deck 2'!$A:$Z,ROW()-500,'List Setup'!$D$4))</f>
        <v/>
      </c>
      <c r="B542" s="80" t="str">
        <f t="array" ref="B542">IF(A542="","",IFERROR(INDEX('Binder Setup'!$B$2:$B$401,MIN(IF(ISNUMBER(SEARCH(CHAR(10)&amp;'Binder Setup'!$B$2:$B$401&amp;CHAR(10),$H542)),'List Setup'!$Q$2:$Q$401,999),IF(ISNUMBER(SEARCH(CHAR(10)&amp;'Set Aliases'!$A$2:$A$501&amp;CHAR(10),$H542)),'Set Aliases'!$C$2:$C$501,999))),"(none)"))</f>
        <v/>
      </c>
      <c r="C542" s="80" t="str">
        <f t="shared" si="1"/>
        <v/>
      </c>
      <c r="D542" s="80" t="str">
        <f t="array" ref="D542">IF(A542="","",IF(ISLOGICAL(INDEX('Deck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42" s="80" t="str">
        <f t="shared" si="2"/>
        <v/>
      </c>
      <c r="F542" s="80" t="str">
        <f t="array" ref="F542">IF(A542="","",IF(ISNUMBER(J542),J542,IF(ISNUMBER(INDEX('Deck 2'!$A:$Z,ROW()-500,'List Setup'!$F$4)),INDEX('Deck 2'!$A:$Z,ROW()-500,'List Setup'!$F$4),0)))</f>
        <v/>
      </c>
      <c r="G542" s="80" t="str">
        <f t="array" ref="G542">IF(A542="","",A542&amp;IF(N(INDEX('Deck 2'!$A:$Z,ROW()-500,'List Setup'!$C$4))&gt;1," (x"&amp;INDEX('Deck 2'!$A:$Z,ROW()-500,'List Setup'!$C$4)&amp;")","")&amp;IF(COUNTIF(Binders!$J$6:$J$30,TRUE())&gt;1," ["&amp;Q542&amp;"]",""))</f>
        <v/>
      </c>
      <c r="H542" s="80" t="str">
        <f t="array" ref="H542">IF(A542="","",CHAR(10)&amp;INDEX('Deck 2'!$A:$Z,ROW()-500,'List Setup'!$E$4)&amp;CHAR(10))</f>
        <v/>
      </c>
      <c r="I542" s="80" t="str">
        <f t="array" ref="I542">IF(OR(B542="",B542="(none)"),"",IF(ISNUMBER(SEARCH(CHAR(10)&amp;B542&amp;CHAR(10),H542)),B542,IFERROR(INDEX('Set Aliases'!$A$2:$A$501,MATCH(1,('Set Aliases'!$B$2:$B$501=B542)*ISNUMBER(SEARCH(CHAR(10)&amp;'Set Aliases'!$A$2:$A$501&amp;CHAR(10),H542)),0)),"")))</f>
        <v/>
      </c>
      <c r="J542" s="80" t="str">
        <f t="array" ref="J542">IF(I542="","",IFERROR(VALUE(TRIM(MID(SUBSTITUTE(INDEX('Deck 2'!$A:$Z,ROW()-500,'List Setup'!$G$4),CHAR(10),REPT(" ",100)),((SEARCH(CHAR(10)&amp;I542&amp;CHAR(10),H542)-LEN(SUBSTITUTE(LEFT(H542,SEARCH(CHAR(10)&amp;I542&amp;CHAR(10),H542)),CHAR(10),"")))-1)*100+1,100))),""))</f>
        <v/>
      </c>
      <c r="K542" s="80" t="str">
        <f t="array" ref="K542">IF(A542="","",IF(ISNUMBER(SEARCH("Land",LEFT(IFERROR(INDEX('Deck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42" s="80" t="str">
        <f t="shared" si="3"/>
        <v/>
      </c>
      <c r="M542" s="80" t="str">
        <f>IF(A542="","",IF(AND(E542="Y",B542='Use at Shop'!$B$4),K542*10000000000+(MAX(0,MIN(26,CODE(MID(UPPER(A542)&amp;"    ",1,1))-64))*19683+MAX(0,MIN(26,CODE(MID(UPPER(A542)&amp;"    ",2,1))-64))*729+MAX(0,MIN(26,CODE(MID(UPPER(A542)&amp;"    ",3,1))-64))*27+MAX(0,MIN(26,CODE(MID(UPPER(A542)&amp;"    ",4,1))-64))*1)*10000+ROW(),""))</f>
        <v/>
      </c>
      <c r="N542" s="80" t="str">
        <f t="shared" si="6"/>
        <v/>
      </c>
      <c r="O542" s="80" t="str">
        <f t="array" ref="O542">IF(A542="","",IFERROR(INDEX('Deck 2'!$A:$Z,ROW()-500,'List Setup'!$J$4)&amp;"",""))</f>
        <v/>
      </c>
      <c r="P542" s="2"/>
      <c r="Q542" s="80" t="str">
        <f>IF(A542="","",'List Setup'!$A$4)</f>
        <v/>
      </c>
      <c r="R542" s="80" t="str">
        <f t="array" ref="R542">IF(A542="","",IFERROR(OR(INDEX(Binders!$J$6:$J$30,MATCH(Q542,Binders!$I$6:$I$30,0))=TRUE(),UPPER(INDEX(Binders!$J$6:$J$30,MATCH(Q542,Binders!$I$6:$I$30,0))&amp;"")="TRUE"),FALSE()))</f>
        <v/>
      </c>
    </row>
    <row r="543" ht="15.75" customHeight="1">
      <c r="A543" s="80" t="str">
        <f t="array" ref="A543">IF(INDEX('Deck 2'!$A:$Z,ROW()-500,'List Setup'!$D$4)="","",INDEX('Deck 2'!$A:$Z,ROW()-500,'List Setup'!$D$4))</f>
        <v/>
      </c>
      <c r="B543" s="80" t="str">
        <f t="array" ref="B543">IF(A543="","",IFERROR(INDEX('Binder Setup'!$B$2:$B$401,MIN(IF(ISNUMBER(SEARCH(CHAR(10)&amp;'Binder Setup'!$B$2:$B$401&amp;CHAR(10),$H543)),'List Setup'!$Q$2:$Q$401,999),IF(ISNUMBER(SEARCH(CHAR(10)&amp;'Set Aliases'!$A$2:$A$501&amp;CHAR(10),$H543)),'Set Aliases'!$C$2:$C$501,999))),"(none)"))</f>
        <v/>
      </c>
      <c r="C543" s="80" t="str">
        <f t="shared" si="1"/>
        <v/>
      </c>
      <c r="D543" s="80" t="str">
        <f t="array" ref="D543">IF(A543="","",IF(ISLOGICAL(INDEX('Deck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43" s="80" t="str">
        <f t="shared" si="2"/>
        <v/>
      </c>
      <c r="F543" s="80" t="str">
        <f t="array" ref="F543">IF(A543="","",IF(ISNUMBER(J543),J543,IF(ISNUMBER(INDEX('Deck 2'!$A:$Z,ROW()-500,'List Setup'!$F$4)),INDEX('Deck 2'!$A:$Z,ROW()-500,'List Setup'!$F$4),0)))</f>
        <v/>
      </c>
      <c r="G543" s="80" t="str">
        <f t="array" ref="G543">IF(A543="","",A543&amp;IF(N(INDEX('Deck 2'!$A:$Z,ROW()-500,'List Setup'!$C$4))&gt;1," (x"&amp;INDEX('Deck 2'!$A:$Z,ROW()-500,'List Setup'!$C$4)&amp;")","")&amp;IF(COUNTIF(Binders!$J$6:$J$30,TRUE())&gt;1," ["&amp;Q543&amp;"]",""))</f>
        <v/>
      </c>
      <c r="H543" s="80" t="str">
        <f t="array" ref="H543">IF(A543="","",CHAR(10)&amp;INDEX('Deck 2'!$A:$Z,ROW()-500,'List Setup'!$E$4)&amp;CHAR(10))</f>
        <v/>
      </c>
      <c r="I543" s="80" t="str">
        <f t="array" ref="I543">IF(OR(B543="",B543="(none)"),"",IF(ISNUMBER(SEARCH(CHAR(10)&amp;B543&amp;CHAR(10),H543)),B543,IFERROR(INDEX('Set Aliases'!$A$2:$A$501,MATCH(1,('Set Aliases'!$B$2:$B$501=B543)*ISNUMBER(SEARCH(CHAR(10)&amp;'Set Aliases'!$A$2:$A$501&amp;CHAR(10),H543)),0)),"")))</f>
        <v/>
      </c>
      <c r="J543" s="80" t="str">
        <f t="array" ref="J543">IF(I543="","",IFERROR(VALUE(TRIM(MID(SUBSTITUTE(INDEX('Deck 2'!$A:$Z,ROW()-500,'List Setup'!$G$4),CHAR(10),REPT(" ",100)),((SEARCH(CHAR(10)&amp;I543&amp;CHAR(10),H543)-LEN(SUBSTITUTE(LEFT(H543,SEARCH(CHAR(10)&amp;I543&amp;CHAR(10),H543)),CHAR(10),"")))-1)*100+1,100))),""))</f>
        <v/>
      </c>
      <c r="K543" s="80" t="str">
        <f t="array" ref="K543">IF(A543="","",IF(ISNUMBER(SEARCH("Land",LEFT(IFERROR(INDEX('Deck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43" s="80" t="str">
        <f t="shared" si="3"/>
        <v/>
      </c>
      <c r="M543" s="80" t="str">
        <f>IF(A543="","",IF(AND(E543="Y",B543='Use at Shop'!$B$4),K543*10000000000+(MAX(0,MIN(26,CODE(MID(UPPER(A543)&amp;"    ",1,1))-64))*19683+MAX(0,MIN(26,CODE(MID(UPPER(A543)&amp;"    ",2,1))-64))*729+MAX(0,MIN(26,CODE(MID(UPPER(A543)&amp;"    ",3,1))-64))*27+MAX(0,MIN(26,CODE(MID(UPPER(A543)&amp;"    ",4,1))-64))*1)*10000+ROW(),""))</f>
        <v/>
      </c>
      <c r="N543" s="80" t="str">
        <f t="shared" si="6"/>
        <v/>
      </c>
      <c r="O543" s="80" t="str">
        <f t="array" ref="O543">IF(A543="","",IFERROR(INDEX('Deck 2'!$A:$Z,ROW()-500,'List Setup'!$J$4)&amp;"",""))</f>
        <v/>
      </c>
      <c r="P543" s="2"/>
      <c r="Q543" s="80" t="str">
        <f>IF(A543="","",'List Setup'!$A$4)</f>
        <v/>
      </c>
      <c r="R543" s="80" t="str">
        <f t="array" ref="R543">IF(A543="","",IFERROR(OR(INDEX(Binders!$J$6:$J$30,MATCH(Q543,Binders!$I$6:$I$30,0))=TRUE(),UPPER(INDEX(Binders!$J$6:$J$30,MATCH(Q543,Binders!$I$6:$I$30,0))&amp;"")="TRUE"),FALSE()))</f>
        <v/>
      </c>
    </row>
    <row r="544" ht="15.75" customHeight="1">
      <c r="A544" s="80" t="str">
        <f t="array" ref="A544">IF(INDEX('Deck 2'!$A:$Z,ROW()-500,'List Setup'!$D$4)="","",INDEX('Deck 2'!$A:$Z,ROW()-500,'List Setup'!$D$4))</f>
        <v/>
      </c>
      <c r="B544" s="80" t="str">
        <f t="array" ref="B544">IF(A544="","",IFERROR(INDEX('Binder Setup'!$B$2:$B$401,MIN(IF(ISNUMBER(SEARCH(CHAR(10)&amp;'Binder Setup'!$B$2:$B$401&amp;CHAR(10),$H544)),'List Setup'!$Q$2:$Q$401,999),IF(ISNUMBER(SEARCH(CHAR(10)&amp;'Set Aliases'!$A$2:$A$501&amp;CHAR(10),$H544)),'Set Aliases'!$C$2:$C$501,999))),"(none)"))</f>
        <v/>
      </c>
      <c r="C544" s="80" t="str">
        <f t="shared" si="1"/>
        <v/>
      </c>
      <c r="D544" s="80" t="str">
        <f t="array" ref="D544">IF(A544="","",IF(ISLOGICAL(INDEX('Deck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44" s="80" t="str">
        <f t="shared" si="2"/>
        <v/>
      </c>
      <c r="F544" s="80" t="str">
        <f t="array" ref="F544">IF(A544="","",IF(ISNUMBER(J544),J544,IF(ISNUMBER(INDEX('Deck 2'!$A:$Z,ROW()-500,'List Setup'!$F$4)),INDEX('Deck 2'!$A:$Z,ROW()-500,'List Setup'!$F$4),0)))</f>
        <v/>
      </c>
      <c r="G544" s="80" t="str">
        <f t="array" ref="G544">IF(A544="","",A544&amp;IF(N(INDEX('Deck 2'!$A:$Z,ROW()-500,'List Setup'!$C$4))&gt;1," (x"&amp;INDEX('Deck 2'!$A:$Z,ROW()-500,'List Setup'!$C$4)&amp;")","")&amp;IF(COUNTIF(Binders!$J$6:$J$30,TRUE())&gt;1," ["&amp;Q544&amp;"]",""))</f>
        <v/>
      </c>
      <c r="H544" s="80" t="str">
        <f t="array" ref="H544">IF(A544="","",CHAR(10)&amp;INDEX('Deck 2'!$A:$Z,ROW()-500,'List Setup'!$E$4)&amp;CHAR(10))</f>
        <v/>
      </c>
      <c r="I544" s="80" t="str">
        <f t="array" ref="I544">IF(OR(B544="",B544="(none)"),"",IF(ISNUMBER(SEARCH(CHAR(10)&amp;B544&amp;CHAR(10),H544)),B544,IFERROR(INDEX('Set Aliases'!$A$2:$A$501,MATCH(1,('Set Aliases'!$B$2:$B$501=B544)*ISNUMBER(SEARCH(CHAR(10)&amp;'Set Aliases'!$A$2:$A$501&amp;CHAR(10),H544)),0)),"")))</f>
        <v/>
      </c>
      <c r="J544" s="80" t="str">
        <f t="array" ref="J544">IF(I544="","",IFERROR(VALUE(TRIM(MID(SUBSTITUTE(INDEX('Deck 2'!$A:$Z,ROW()-500,'List Setup'!$G$4),CHAR(10),REPT(" ",100)),((SEARCH(CHAR(10)&amp;I544&amp;CHAR(10),H544)-LEN(SUBSTITUTE(LEFT(H544,SEARCH(CHAR(10)&amp;I544&amp;CHAR(10),H544)),CHAR(10),"")))-1)*100+1,100))),""))</f>
        <v/>
      </c>
      <c r="K544" s="80" t="str">
        <f t="array" ref="K544">IF(A544="","",IF(ISNUMBER(SEARCH("Land",LEFT(IFERROR(INDEX('Deck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44" s="80" t="str">
        <f t="shared" si="3"/>
        <v/>
      </c>
      <c r="M544" s="80" t="str">
        <f>IF(A544="","",IF(AND(E544="Y",B544='Use at Shop'!$B$4),K544*10000000000+(MAX(0,MIN(26,CODE(MID(UPPER(A544)&amp;"    ",1,1))-64))*19683+MAX(0,MIN(26,CODE(MID(UPPER(A544)&amp;"    ",2,1))-64))*729+MAX(0,MIN(26,CODE(MID(UPPER(A544)&amp;"    ",3,1))-64))*27+MAX(0,MIN(26,CODE(MID(UPPER(A544)&amp;"    ",4,1))-64))*1)*10000+ROW(),""))</f>
        <v/>
      </c>
      <c r="N544" s="80" t="str">
        <f t="shared" si="6"/>
        <v/>
      </c>
      <c r="O544" s="80" t="str">
        <f t="array" ref="O544">IF(A544="","",IFERROR(INDEX('Deck 2'!$A:$Z,ROW()-500,'List Setup'!$J$4)&amp;"",""))</f>
        <v/>
      </c>
      <c r="P544" s="2"/>
      <c r="Q544" s="80" t="str">
        <f>IF(A544="","",'List Setup'!$A$4)</f>
        <v/>
      </c>
      <c r="R544" s="80" t="str">
        <f t="array" ref="R544">IF(A544="","",IFERROR(OR(INDEX(Binders!$J$6:$J$30,MATCH(Q544,Binders!$I$6:$I$30,0))=TRUE(),UPPER(INDEX(Binders!$J$6:$J$30,MATCH(Q544,Binders!$I$6:$I$30,0))&amp;"")="TRUE"),FALSE()))</f>
        <v/>
      </c>
    </row>
    <row r="545" ht="15.75" customHeight="1">
      <c r="A545" s="80" t="str">
        <f t="array" ref="A545">IF(INDEX('Deck 2'!$A:$Z,ROW()-500,'List Setup'!$D$4)="","",INDEX('Deck 2'!$A:$Z,ROW()-500,'List Setup'!$D$4))</f>
        <v/>
      </c>
      <c r="B545" s="80" t="str">
        <f t="array" ref="B545">IF(A545="","",IFERROR(INDEX('Binder Setup'!$B$2:$B$401,MIN(IF(ISNUMBER(SEARCH(CHAR(10)&amp;'Binder Setup'!$B$2:$B$401&amp;CHAR(10),$H545)),'List Setup'!$Q$2:$Q$401,999),IF(ISNUMBER(SEARCH(CHAR(10)&amp;'Set Aliases'!$A$2:$A$501&amp;CHAR(10),$H545)),'Set Aliases'!$C$2:$C$501,999))),"(none)"))</f>
        <v/>
      </c>
      <c r="C545" s="80" t="str">
        <f t="shared" si="1"/>
        <v/>
      </c>
      <c r="D545" s="80" t="str">
        <f t="array" ref="D545">IF(A545="","",IF(ISLOGICAL(INDEX('Deck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45" s="80" t="str">
        <f t="shared" si="2"/>
        <v/>
      </c>
      <c r="F545" s="80" t="str">
        <f t="array" ref="F545">IF(A545="","",IF(ISNUMBER(J545),J545,IF(ISNUMBER(INDEX('Deck 2'!$A:$Z,ROW()-500,'List Setup'!$F$4)),INDEX('Deck 2'!$A:$Z,ROW()-500,'List Setup'!$F$4),0)))</f>
        <v/>
      </c>
      <c r="G545" s="80" t="str">
        <f t="array" ref="G545">IF(A545="","",A545&amp;IF(N(INDEX('Deck 2'!$A:$Z,ROW()-500,'List Setup'!$C$4))&gt;1," (x"&amp;INDEX('Deck 2'!$A:$Z,ROW()-500,'List Setup'!$C$4)&amp;")","")&amp;IF(COUNTIF(Binders!$J$6:$J$30,TRUE())&gt;1," ["&amp;Q545&amp;"]",""))</f>
        <v/>
      </c>
      <c r="H545" s="80" t="str">
        <f t="array" ref="H545">IF(A545="","",CHAR(10)&amp;INDEX('Deck 2'!$A:$Z,ROW()-500,'List Setup'!$E$4)&amp;CHAR(10))</f>
        <v/>
      </c>
      <c r="I545" s="80" t="str">
        <f t="array" ref="I545">IF(OR(B545="",B545="(none)"),"",IF(ISNUMBER(SEARCH(CHAR(10)&amp;B545&amp;CHAR(10),H545)),B545,IFERROR(INDEX('Set Aliases'!$A$2:$A$501,MATCH(1,('Set Aliases'!$B$2:$B$501=B545)*ISNUMBER(SEARCH(CHAR(10)&amp;'Set Aliases'!$A$2:$A$501&amp;CHAR(10),H545)),0)),"")))</f>
        <v/>
      </c>
      <c r="J545" s="80" t="str">
        <f t="array" ref="J545">IF(I545="","",IFERROR(VALUE(TRIM(MID(SUBSTITUTE(INDEX('Deck 2'!$A:$Z,ROW()-500,'List Setup'!$G$4),CHAR(10),REPT(" ",100)),((SEARCH(CHAR(10)&amp;I545&amp;CHAR(10),H545)-LEN(SUBSTITUTE(LEFT(H545,SEARCH(CHAR(10)&amp;I545&amp;CHAR(10),H545)),CHAR(10),"")))-1)*100+1,100))),""))</f>
        <v/>
      </c>
      <c r="K545" s="80" t="str">
        <f t="array" ref="K545">IF(A545="","",IF(ISNUMBER(SEARCH("Land",LEFT(IFERROR(INDEX('Deck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45" s="80" t="str">
        <f t="shared" si="3"/>
        <v/>
      </c>
      <c r="M545" s="80" t="str">
        <f>IF(A545="","",IF(AND(E545="Y",B545='Use at Shop'!$B$4),K545*10000000000+(MAX(0,MIN(26,CODE(MID(UPPER(A545)&amp;"    ",1,1))-64))*19683+MAX(0,MIN(26,CODE(MID(UPPER(A545)&amp;"    ",2,1))-64))*729+MAX(0,MIN(26,CODE(MID(UPPER(A545)&amp;"    ",3,1))-64))*27+MAX(0,MIN(26,CODE(MID(UPPER(A545)&amp;"    ",4,1))-64))*1)*10000+ROW(),""))</f>
        <v/>
      </c>
      <c r="N545" s="80" t="str">
        <f t="shared" si="6"/>
        <v/>
      </c>
      <c r="O545" s="80" t="str">
        <f t="array" ref="O545">IF(A545="","",IFERROR(INDEX('Deck 2'!$A:$Z,ROW()-500,'List Setup'!$J$4)&amp;"",""))</f>
        <v/>
      </c>
      <c r="P545" s="2"/>
      <c r="Q545" s="80" t="str">
        <f>IF(A545="","",'List Setup'!$A$4)</f>
        <v/>
      </c>
      <c r="R545" s="80" t="str">
        <f t="array" ref="R545">IF(A545="","",IFERROR(OR(INDEX(Binders!$J$6:$J$30,MATCH(Q545,Binders!$I$6:$I$30,0))=TRUE(),UPPER(INDEX(Binders!$J$6:$J$30,MATCH(Q545,Binders!$I$6:$I$30,0))&amp;"")="TRUE"),FALSE()))</f>
        <v/>
      </c>
    </row>
    <row r="546" ht="15.75" customHeight="1">
      <c r="A546" s="80" t="str">
        <f t="array" ref="A546">IF(INDEX('Deck 2'!$A:$Z,ROW()-500,'List Setup'!$D$4)="","",INDEX('Deck 2'!$A:$Z,ROW()-500,'List Setup'!$D$4))</f>
        <v/>
      </c>
      <c r="B546" s="80" t="str">
        <f t="array" ref="B546">IF(A546="","",IFERROR(INDEX('Binder Setup'!$B$2:$B$401,MIN(IF(ISNUMBER(SEARCH(CHAR(10)&amp;'Binder Setup'!$B$2:$B$401&amp;CHAR(10),$H546)),'List Setup'!$Q$2:$Q$401,999),IF(ISNUMBER(SEARCH(CHAR(10)&amp;'Set Aliases'!$A$2:$A$501&amp;CHAR(10),$H546)),'Set Aliases'!$C$2:$C$501,999))),"(none)"))</f>
        <v/>
      </c>
      <c r="C546" s="80" t="str">
        <f t="shared" si="1"/>
        <v/>
      </c>
      <c r="D546" s="80" t="str">
        <f t="array" ref="D546">IF(A546="","",IF(ISLOGICAL(INDEX('Deck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46" s="80" t="str">
        <f t="shared" si="2"/>
        <v/>
      </c>
      <c r="F546" s="80" t="str">
        <f t="array" ref="F546">IF(A546="","",IF(ISNUMBER(J546),J546,IF(ISNUMBER(INDEX('Deck 2'!$A:$Z,ROW()-500,'List Setup'!$F$4)),INDEX('Deck 2'!$A:$Z,ROW()-500,'List Setup'!$F$4),0)))</f>
        <v/>
      </c>
      <c r="G546" s="80" t="str">
        <f t="array" ref="G546">IF(A546="","",A546&amp;IF(N(INDEX('Deck 2'!$A:$Z,ROW()-500,'List Setup'!$C$4))&gt;1," (x"&amp;INDEX('Deck 2'!$A:$Z,ROW()-500,'List Setup'!$C$4)&amp;")","")&amp;IF(COUNTIF(Binders!$J$6:$J$30,TRUE())&gt;1," ["&amp;Q546&amp;"]",""))</f>
        <v/>
      </c>
      <c r="H546" s="80" t="str">
        <f t="array" ref="H546">IF(A546="","",CHAR(10)&amp;INDEX('Deck 2'!$A:$Z,ROW()-500,'List Setup'!$E$4)&amp;CHAR(10))</f>
        <v/>
      </c>
      <c r="I546" s="80" t="str">
        <f t="array" ref="I546">IF(OR(B546="",B546="(none)"),"",IF(ISNUMBER(SEARCH(CHAR(10)&amp;B546&amp;CHAR(10),H546)),B546,IFERROR(INDEX('Set Aliases'!$A$2:$A$501,MATCH(1,('Set Aliases'!$B$2:$B$501=B546)*ISNUMBER(SEARCH(CHAR(10)&amp;'Set Aliases'!$A$2:$A$501&amp;CHAR(10),H546)),0)),"")))</f>
        <v/>
      </c>
      <c r="J546" s="80" t="str">
        <f t="array" ref="J546">IF(I546="","",IFERROR(VALUE(TRIM(MID(SUBSTITUTE(INDEX('Deck 2'!$A:$Z,ROW()-500,'List Setup'!$G$4),CHAR(10),REPT(" ",100)),((SEARCH(CHAR(10)&amp;I546&amp;CHAR(10),H546)-LEN(SUBSTITUTE(LEFT(H546,SEARCH(CHAR(10)&amp;I546&amp;CHAR(10),H546)),CHAR(10),"")))-1)*100+1,100))),""))</f>
        <v/>
      </c>
      <c r="K546" s="80" t="str">
        <f t="array" ref="K546">IF(A546="","",IF(ISNUMBER(SEARCH("Land",LEFT(IFERROR(INDEX('Deck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46" s="80" t="str">
        <f t="shared" si="3"/>
        <v/>
      </c>
      <c r="M546" s="80" t="str">
        <f>IF(A546="","",IF(AND(E546="Y",B546='Use at Shop'!$B$4),K546*10000000000+(MAX(0,MIN(26,CODE(MID(UPPER(A546)&amp;"    ",1,1))-64))*19683+MAX(0,MIN(26,CODE(MID(UPPER(A546)&amp;"    ",2,1))-64))*729+MAX(0,MIN(26,CODE(MID(UPPER(A546)&amp;"    ",3,1))-64))*27+MAX(0,MIN(26,CODE(MID(UPPER(A546)&amp;"    ",4,1))-64))*1)*10000+ROW(),""))</f>
        <v/>
      </c>
      <c r="N546" s="80" t="str">
        <f t="shared" si="6"/>
        <v/>
      </c>
      <c r="O546" s="80" t="str">
        <f t="array" ref="O546">IF(A546="","",IFERROR(INDEX('Deck 2'!$A:$Z,ROW()-500,'List Setup'!$J$4)&amp;"",""))</f>
        <v/>
      </c>
      <c r="P546" s="2"/>
      <c r="Q546" s="80" t="str">
        <f>IF(A546="","",'List Setup'!$A$4)</f>
        <v/>
      </c>
      <c r="R546" s="80" t="str">
        <f t="array" ref="R546">IF(A546="","",IFERROR(OR(INDEX(Binders!$J$6:$J$30,MATCH(Q546,Binders!$I$6:$I$30,0))=TRUE(),UPPER(INDEX(Binders!$J$6:$J$30,MATCH(Q546,Binders!$I$6:$I$30,0))&amp;"")="TRUE"),FALSE()))</f>
        <v/>
      </c>
    </row>
    <row r="547" ht="15.75" customHeight="1">
      <c r="A547" s="80" t="str">
        <f t="array" ref="A547">IF(INDEX('Deck 2'!$A:$Z,ROW()-500,'List Setup'!$D$4)="","",INDEX('Deck 2'!$A:$Z,ROW()-500,'List Setup'!$D$4))</f>
        <v/>
      </c>
      <c r="B547" s="80" t="str">
        <f t="array" ref="B547">IF(A547="","",IFERROR(INDEX('Binder Setup'!$B$2:$B$401,MIN(IF(ISNUMBER(SEARCH(CHAR(10)&amp;'Binder Setup'!$B$2:$B$401&amp;CHAR(10),$H547)),'List Setup'!$Q$2:$Q$401,999),IF(ISNUMBER(SEARCH(CHAR(10)&amp;'Set Aliases'!$A$2:$A$501&amp;CHAR(10),$H547)),'Set Aliases'!$C$2:$C$501,999))),"(none)"))</f>
        <v/>
      </c>
      <c r="C547" s="80" t="str">
        <f t="shared" si="1"/>
        <v/>
      </c>
      <c r="D547" s="80" t="str">
        <f t="array" ref="D547">IF(A547="","",IF(ISLOGICAL(INDEX('Deck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47" s="80" t="str">
        <f t="shared" si="2"/>
        <v/>
      </c>
      <c r="F547" s="80" t="str">
        <f t="array" ref="F547">IF(A547="","",IF(ISNUMBER(J547),J547,IF(ISNUMBER(INDEX('Deck 2'!$A:$Z,ROW()-500,'List Setup'!$F$4)),INDEX('Deck 2'!$A:$Z,ROW()-500,'List Setup'!$F$4),0)))</f>
        <v/>
      </c>
      <c r="G547" s="80" t="str">
        <f t="array" ref="G547">IF(A547="","",A547&amp;IF(N(INDEX('Deck 2'!$A:$Z,ROW()-500,'List Setup'!$C$4))&gt;1," (x"&amp;INDEX('Deck 2'!$A:$Z,ROW()-500,'List Setup'!$C$4)&amp;")","")&amp;IF(COUNTIF(Binders!$J$6:$J$30,TRUE())&gt;1," ["&amp;Q547&amp;"]",""))</f>
        <v/>
      </c>
      <c r="H547" s="80" t="str">
        <f t="array" ref="H547">IF(A547="","",CHAR(10)&amp;INDEX('Deck 2'!$A:$Z,ROW()-500,'List Setup'!$E$4)&amp;CHAR(10))</f>
        <v/>
      </c>
      <c r="I547" s="80" t="str">
        <f t="array" ref="I547">IF(OR(B547="",B547="(none)"),"",IF(ISNUMBER(SEARCH(CHAR(10)&amp;B547&amp;CHAR(10),H547)),B547,IFERROR(INDEX('Set Aliases'!$A$2:$A$501,MATCH(1,('Set Aliases'!$B$2:$B$501=B547)*ISNUMBER(SEARCH(CHAR(10)&amp;'Set Aliases'!$A$2:$A$501&amp;CHAR(10),H547)),0)),"")))</f>
        <v/>
      </c>
      <c r="J547" s="80" t="str">
        <f t="array" ref="J547">IF(I547="","",IFERROR(VALUE(TRIM(MID(SUBSTITUTE(INDEX('Deck 2'!$A:$Z,ROW()-500,'List Setup'!$G$4),CHAR(10),REPT(" ",100)),((SEARCH(CHAR(10)&amp;I547&amp;CHAR(10),H547)-LEN(SUBSTITUTE(LEFT(H547,SEARCH(CHAR(10)&amp;I547&amp;CHAR(10),H547)),CHAR(10),"")))-1)*100+1,100))),""))</f>
        <v/>
      </c>
      <c r="K547" s="80" t="str">
        <f t="array" ref="K547">IF(A547="","",IF(ISNUMBER(SEARCH("Land",LEFT(IFERROR(INDEX('Deck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47" s="80" t="str">
        <f t="shared" si="3"/>
        <v/>
      </c>
      <c r="M547" s="80" t="str">
        <f>IF(A547="","",IF(AND(E547="Y",B547='Use at Shop'!$B$4),K547*10000000000+(MAX(0,MIN(26,CODE(MID(UPPER(A547)&amp;"    ",1,1))-64))*19683+MAX(0,MIN(26,CODE(MID(UPPER(A547)&amp;"    ",2,1))-64))*729+MAX(0,MIN(26,CODE(MID(UPPER(A547)&amp;"    ",3,1))-64))*27+MAX(0,MIN(26,CODE(MID(UPPER(A547)&amp;"    ",4,1))-64))*1)*10000+ROW(),""))</f>
        <v/>
      </c>
      <c r="N547" s="80" t="str">
        <f t="shared" si="6"/>
        <v/>
      </c>
      <c r="O547" s="80" t="str">
        <f t="array" ref="O547">IF(A547="","",IFERROR(INDEX('Deck 2'!$A:$Z,ROW()-500,'List Setup'!$J$4)&amp;"",""))</f>
        <v/>
      </c>
      <c r="P547" s="2"/>
      <c r="Q547" s="80" t="str">
        <f>IF(A547="","",'List Setup'!$A$4)</f>
        <v/>
      </c>
      <c r="R547" s="80" t="str">
        <f t="array" ref="R547">IF(A547="","",IFERROR(OR(INDEX(Binders!$J$6:$J$30,MATCH(Q547,Binders!$I$6:$I$30,0))=TRUE(),UPPER(INDEX(Binders!$J$6:$J$30,MATCH(Q547,Binders!$I$6:$I$30,0))&amp;"")="TRUE"),FALSE()))</f>
        <v/>
      </c>
    </row>
    <row r="548" ht="15.75" customHeight="1">
      <c r="A548" s="80" t="str">
        <f t="array" ref="A548">IF(INDEX('Deck 2'!$A:$Z,ROW()-500,'List Setup'!$D$4)="","",INDEX('Deck 2'!$A:$Z,ROW()-500,'List Setup'!$D$4))</f>
        <v/>
      </c>
      <c r="B548" s="80" t="str">
        <f t="array" ref="B548">IF(A548="","",IFERROR(INDEX('Binder Setup'!$B$2:$B$401,MIN(IF(ISNUMBER(SEARCH(CHAR(10)&amp;'Binder Setup'!$B$2:$B$401&amp;CHAR(10),$H548)),'List Setup'!$Q$2:$Q$401,999),IF(ISNUMBER(SEARCH(CHAR(10)&amp;'Set Aliases'!$A$2:$A$501&amp;CHAR(10),$H548)),'Set Aliases'!$C$2:$C$501,999))),"(none)"))</f>
        <v/>
      </c>
      <c r="C548" s="80" t="str">
        <f t="shared" si="1"/>
        <v/>
      </c>
      <c r="D548" s="80" t="str">
        <f t="array" ref="D548">IF(A548="","",IF(ISLOGICAL(INDEX('Deck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48" s="80" t="str">
        <f t="shared" si="2"/>
        <v/>
      </c>
      <c r="F548" s="80" t="str">
        <f t="array" ref="F548">IF(A548="","",IF(ISNUMBER(J548),J548,IF(ISNUMBER(INDEX('Deck 2'!$A:$Z,ROW()-500,'List Setup'!$F$4)),INDEX('Deck 2'!$A:$Z,ROW()-500,'List Setup'!$F$4),0)))</f>
        <v/>
      </c>
      <c r="G548" s="80" t="str">
        <f t="array" ref="G548">IF(A548="","",A548&amp;IF(N(INDEX('Deck 2'!$A:$Z,ROW()-500,'List Setup'!$C$4))&gt;1," (x"&amp;INDEX('Deck 2'!$A:$Z,ROW()-500,'List Setup'!$C$4)&amp;")","")&amp;IF(COUNTIF(Binders!$J$6:$J$30,TRUE())&gt;1," ["&amp;Q548&amp;"]",""))</f>
        <v/>
      </c>
      <c r="H548" s="80" t="str">
        <f t="array" ref="H548">IF(A548="","",CHAR(10)&amp;INDEX('Deck 2'!$A:$Z,ROW()-500,'List Setup'!$E$4)&amp;CHAR(10))</f>
        <v/>
      </c>
      <c r="I548" s="80" t="str">
        <f t="array" ref="I548">IF(OR(B548="",B548="(none)"),"",IF(ISNUMBER(SEARCH(CHAR(10)&amp;B548&amp;CHAR(10),H548)),B548,IFERROR(INDEX('Set Aliases'!$A$2:$A$501,MATCH(1,('Set Aliases'!$B$2:$B$501=B548)*ISNUMBER(SEARCH(CHAR(10)&amp;'Set Aliases'!$A$2:$A$501&amp;CHAR(10),H548)),0)),"")))</f>
        <v/>
      </c>
      <c r="J548" s="80" t="str">
        <f t="array" ref="J548">IF(I548="","",IFERROR(VALUE(TRIM(MID(SUBSTITUTE(INDEX('Deck 2'!$A:$Z,ROW()-500,'List Setup'!$G$4),CHAR(10),REPT(" ",100)),((SEARCH(CHAR(10)&amp;I548&amp;CHAR(10),H548)-LEN(SUBSTITUTE(LEFT(H548,SEARCH(CHAR(10)&amp;I548&amp;CHAR(10),H548)),CHAR(10),"")))-1)*100+1,100))),""))</f>
        <v/>
      </c>
      <c r="K548" s="80" t="str">
        <f t="array" ref="K548">IF(A548="","",IF(ISNUMBER(SEARCH("Land",LEFT(IFERROR(INDEX('Deck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48" s="80" t="str">
        <f t="shared" si="3"/>
        <v/>
      </c>
      <c r="M548" s="80" t="str">
        <f>IF(A548="","",IF(AND(E548="Y",B548='Use at Shop'!$B$4),K548*10000000000+(MAX(0,MIN(26,CODE(MID(UPPER(A548)&amp;"    ",1,1))-64))*19683+MAX(0,MIN(26,CODE(MID(UPPER(A548)&amp;"    ",2,1))-64))*729+MAX(0,MIN(26,CODE(MID(UPPER(A548)&amp;"    ",3,1))-64))*27+MAX(0,MIN(26,CODE(MID(UPPER(A548)&amp;"    ",4,1))-64))*1)*10000+ROW(),""))</f>
        <v/>
      </c>
      <c r="N548" s="80" t="str">
        <f t="shared" si="6"/>
        <v/>
      </c>
      <c r="O548" s="80" t="str">
        <f t="array" ref="O548">IF(A548="","",IFERROR(INDEX('Deck 2'!$A:$Z,ROW()-500,'List Setup'!$J$4)&amp;"",""))</f>
        <v/>
      </c>
      <c r="P548" s="2"/>
      <c r="Q548" s="80" t="str">
        <f>IF(A548="","",'List Setup'!$A$4)</f>
        <v/>
      </c>
      <c r="R548" s="80" t="str">
        <f t="array" ref="R548">IF(A548="","",IFERROR(OR(INDEX(Binders!$J$6:$J$30,MATCH(Q548,Binders!$I$6:$I$30,0))=TRUE(),UPPER(INDEX(Binders!$J$6:$J$30,MATCH(Q548,Binders!$I$6:$I$30,0))&amp;"")="TRUE"),FALSE()))</f>
        <v/>
      </c>
    </row>
    <row r="549" ht="15.75" customHeight="1">
      <c r="A549" s="80" t="str">
        <f t="array" ref="A549">IF(INDEX('Deck 2'!$A:$Z,ROW()-500,'List Setup'!$D$4)="","",INDEX('Deck 2'!$A:$Z,ROW()-500,'List Setup'!$D$4))</f>
        <v/>
      </c>
      <c r="B549" s="80" t="str">
        <f t="array" ref="B549">IF(A549="","",IFERROR(INDEX('Binder Setup'!$B$2:$B$401,MIN(IF(ISNUMBER(SEARCH(CHAR(10)&amp;'Binder Setup'!$B$2:$B$401&amp;CHAR(10),$H549)),'List Setup'!$Q$2:$Q$401,999),IF(ISNUMBER(SEARCH(CHAR(10)&amp;'Set Aliases'!$A$2:$A$501&amp;CHAR(10),$H549)),'Set Aliases'!$C$2:$C$501,999))),"(none)"))</f>
        <v/>
      </c>
      <c r="C549" s="80" t="str">
        <f t="shared" si="1"/>
        <v/>
      </c>
      <c r="D549" s="80" t="str">
        <f t="array" ref="D549">IF(A549="","",IF(ISLOGICAL(INDEX('Deck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49" s="80" t="str">
        <f t="shared" si="2"/>
        <v/>
      </c>
      <c r="F549" s="80" t="str">
        <f t="array" ref="F549">IF(A549="","",IF(ISNUMBER(J549),J549,IF(ISNUMBER(INDEX('Deck 2'!$A:$Z,ROW()-500,'List Setup'!$F$4)),INDEX('Deck 2'!$A:$Z,ROW()-500,'List Setup'!$F$4),0)))</f>
        <v/>
      </c>
      <c r="G549" s="80" t="str">
        <f t="array" ref="G549">IF(A549="","",A549&amp;IF(N(INDEX('Deck 2'!$A:$Z,ROW()-500,'List Setup'!$C$4))&gt;1," (x"&amp;INDEX('Deck 2'!$A:$Z,ROW()-500,'List Setup'!$C$4)&amp;")","")&amp;IF(COUNTIF(Binders!$J$6:$J$30,TRUE())&gt;1," ["&amp;Q549&amp;"]",""))</f>
        <v/>
      </c>
      <c r="H549" s="80" t="str">
        <f t="array" ref="H549">IF(A549="","",CHAR(10)&amp;INDEX('Deck 2'!$A:$Z,ROW()-500,'List Setup'!$E$4)&amp;CHAR(10))</f>
        <v/>
      </c>
      <c r="I549" s="80" t="str">
        <f t="array" ref="I549">IF(OR(B549="",B549="(none)"),"",IF(ISNUMBER(SEARCH(CHAR(10)&amp;B549&amp;CHAR(10),H549)),B549,IFERROR(INDEX('Set Aliases'!$A$2:$A$501,MATCH(1,('Set Aliases'!$B$2:$B$501=B549)*ISNUMBER(SEARCH(CHAR(10)&amp;'Set Aliases'!$A$2:$A$501&amp;CHAR(10),H549)),0)),"")))</f>
        <v/>
      </c>
      <c r="J549" s="80" t="str">
        <f t="array" ref="J549">IF(I549="","",IFERROR(VALUE(TRIM(MID(SUBSTITUTE(INDEX('Deck 2'!$A:$Z,ROW()-500,'List Setup'!$G$4),CHAR(10),REPT(" ",100)),((SEARCH(CHAR(10)&amp;I549&amp;CHAR(10),H549)-LEN(SUBSTITUTE(LEFT(H549,SEARCH(CHAR(10)&amp;I549&amp;CHAR(10),H549)),CHAR(10),"")))-1)*100+1,100))),""))</f>
        <v/>
      </c>
      <c r="K549" s="80" t="str">
        <f t="array" ref="K549">IF(A549="","",IF(ISNUMBER(SEARCH("Land",LEFT(IFERROR(INDEX('Deck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49" s="80" t="str">
        <f t="shared" si="3"/>
        <v/>
      </c>
      <c r="M549" s="80" t="str">
        <f>IF(A549="","",IF(AND(E549="Y",B549='Use at Shop'!$B$4),K549*10000000000+(MAX(0,MIN(26,CODE(MID(UPPER(A549)&amp;"    ",1,1))-64))*19683+MAX(0,MIN(26,CODE(MID(UPPER(A549)&amp;"    ",2,1))-64))*729+MAX(0,MIN(26,CODE(MID(UPPER(A549)&amp;"    ",3,1))-64))*27+MAX(0,MIN(26,CODE(MID(UPPER(A549)&amp;"    ",4,1))-64))*1)*10000+ROW(),""))</f>
        <v/>
      </c>
      <c r="N549" s="80" t="str">
        <f t="shared" si="6"/>
        <v/>
      </c>
      <c r="O549" s="80" t="str">
        <f t="array" ref="O549">IF(A549="","",IFERROR(INDEX('Deck 2'!$A:$Z,ROW()-500,'List Setup'!$J$4)&amp;"",""))</f>
        <v/>
      </c>
      <c r="P549" s="2"/>
      <c r="Q549" s="80" t="str">
        <f>IF(A549="","",'List Setup'!$A$4)</f>
        <v/>
      </c>
      <c r="R549" s="80" t="str">
        <f t="array" ref="R549">IF(A549="","",IFERROR(OR(INDEX(Binders!$J$6:$J$30,MATCH(Q549,Binders!$I$6:$I$30,0))=TRUE(),UPPER(INDEX(Binders!$J$6:$J$30,MATCH(Q549,Binders!$I$6:$I$30,0))&amp;"")="TRUE"),FALSE()))</f>
        <v/>
      </c>
    </row>
    <row r="550" ht="15.75" customHeight="1">
      <c r="A550" s="80" t="str">
        <f t="array" ref="A550">IF(INDEX('Deck 2'!$A:$Z,ROW()-500,'List Setup'!$D$4)="","",INDEX('Deck 2'!$A:$Z,ROW()-500,'List Setup'!$D$4))</f>
        <v/>
      </c>
      <c r="B550" s="80" t="str">
        <f t="array" ref="B550">IF(A550="","",IFERROR(INDEX('Binder Setup'!$B$2:$B$401,MIN(IF(ISNUMBER(SEARCH(CHAR(10)&amp;'Binder Setup'!$B$2:$B$401&amp;CHAR(10),$H550)),'List Setup'!$Q$2:$Q$401,999),IF(ISNUMBER(SEARCH(CHAR(10)&amp;'Set Aliases'!$A$2:$A$501&amp;CHAR(10),$H550)),'Set Aliases'!$C$2:$C$501,999))),"(none)"))</f>
        <v/>
      </c>
      <c r="C550" s="80" t="str">
        <f t="shared" si="1"/>
        <v/>
      </c>
      <c r="D550" s="80" t="str">
        <f t="array" ref="D550">IF(A550="","",IF(ISLOGICAL(INDEX('Deck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50" s="80" t="str">
        <f t="shared" si="2"/>
        <v/>
      </c>
      <c r="F550" s="80" t="str">
        <f t="array" ref="F550">IF(A550="","",IF(ISNUMBER(J550),J550,IF(ISNUMBER(INDEX('Deck 2'!$A:$Z,ROW()-500,'List Setup'!$F$4)),INDEX('Deck 2'!$A:$Z,ROW()-500,'List Setup'!$F$4),0)))</f>
        <v/>
      </c>
      <c r="G550" s="80" t="str">
        <f t="array" ref="G550">IF(A550="","",A550&amp;IF(N(INDEX('Deck 2'!$A:$Z,ROW()-500,'List Setup'!$C$4))&gt;1," (x"&amp;INDEX('Deck 2'!$A:$Z,ROW()-500,'List Setup'!$C$4)&amp;")","")&amp;IF(COUNTIF(Binders!$J$6:$J$30,TRUE())&gt;1," ["&amp;Q550&amp;"]",""))</f>
        <v/>
      </c>
      <c r="H550" s="80" t="str">
        <f t="array" ref="H550">IF(A550="","",CHAR(10)&amp;INDEX('Deck 2'!$A:$Z,ROW()-500,'List Setup'!$E$4)&amp;CHAR(10))</f>
        <v/>
      </c>
      <c r="I550" s="80" t="str">
        <f t="array" ref="I550">IF(OR(B550="",B550="(none)"),"",IF(ISNUMBER(SEARCH(CHAR(10)&amp;B550&amp;CHAR(10),H550)),B550,IFERROR(INDEX('Set Aliases'!$A$2:$A$501,MATCH(1,('Set Aliases'!$B$2:$B$501=B550)*ISNUMBER(SEARCH(CHAR(10)&amp;'Set Aliases'!$A$2:$A$501&amp;CHAR(10),H550)),0)),"")))</f>
        <v/>
      </c>
      <c r="J550" s="80" t="str">
        <f t="array" ref="J550">IF(I550="","",IFERROR(VALUE(TRIM(MID(SUBSTITUTE(INDEX('Deck 2'!$A:$Z,ROW()-500,'List Setup'!$G$4),CHAR(10),REPT(" ",100)),((SEARCH(CHAR(10)&amp;I550&amp;CHAR(10),H550)-LEN(SUBSTITUTE(LEFT(H550,SEARCH(CHAR(10)&amp;I550&amp;CHAR(10),H550)),CHAR(10),"")))-1)*100+1,100))),""))</f>
        <v/>
      </c>
      <c r="K550" s="80" t="str">
        <f t="array" ref="K550">IF(A550="","",IF(ISNUMBER(SEARCH("Land",LEFT(IFERROR(INDEX('Deck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50" s="80" t="str">
        <f t="shared" si="3"/>
        <v/>
      </c>
      <c r="M550" s="80" t="str">
        <f>IF(A550="","",IF(AND(E550="Y",B550='Use at Shop'!$B$4),K550*10000000000+(MAX(0,MIN(26,CODE(MID(UPPER(A550)&amp;"    ",1,1))-64))*19683+MAX(0,MIN(26,CODE(MID(UPPER(A550)&amp;"    ",2,1))-64))*729+MAX(0,MIN(26,CODE(MID(UPPER(A550)&amp;"    ",3,1))-64))*27+MAX(0,MIN(26,CODE(MID(UPPER(A550)&amp;"    ",4,1))-64))*1)*10000+ROW(),""))</f>
        <v/>
      </c>
      <c r="N550" s="80" t="str">
        <f t="shared" si="6"/>
        <v/>
      </c>
      <c r="O550" s="80" t="str">
        <f t="array" ref="O550">IF(A550="","",IFERROR(INDEX('Deck 2'!$A:$Z,ROW()-500,'List Setup'!$J$4)&amp;"",""))</f>
        <v/>
      </c>
      <c r="P550" s="2"/>
      <c r="Q550" s="80" t="str">
        <f>IF(A550="","",'List Setup'!$A$4)</f>
        <v/>
      </c>
      <c r="R550" s="80" t="str">
        <f t="array" ref="R550">IF(A550="","",IFERROR(OR(INDEX(Binders!$J$6:$J$30,MATCH(Q550,Binders!$I$6:$I$30,0))=TRUE(),UPPER(INDEX(Binders!$J$6:$J$30,MATCH(Q550,Binders!$I$6:$I$30,0))&amp;"")="TRUE"),FALSE()))</f>
        <v/>
      </c>
    </row>
    <row r="551" ht="15.75" customHeight="1">
      <c r="A551" s="80" t="str">
        <f t="array" ref="A551">IF(INDEX('Deck 2'!$A:$Z,ROW()-500,'List Setup'!$D$4)="","",INDEX('Deck 2'!$A:$Z,ROW()-500,'List Setup'!$D$4))</f>
        <v/>
      </c>
      <c r="B551" s="80" t="str">
        <f t="array" ref="B551">IF(A551="","",IFERROR(INDEX('Binder Setup'!$B$2:$B$401,MIN(IF(ISNUMBER(SEARCH(CHAR(10)&amp;'Binder Setup'!$B$2:$B$401&amp;CHAR(10),$H551)),'List Setup'!$Q$2:$Q$401,999),IF(ISNUMBER(SEARCH(CHAR(10)&amp;'Set Aliases'!$A$2:$A$501&amp;CHAR(10),$H551)),'Set Aliases'!$C$2:$C$501,999))),"(none)"))</f>
        <v/>
      </c>
      <c r="C551" s="80" t="str">
        <f t="shared" si="1"/>
        <v/>
      </c>
      <c r="D551" s="80" t="str">
        <f t="array" ref="D551">IF(A551="","",IF(ISLOGICAL(INDEX('Deck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51" s="80" t="str">
        <f t="shared" si="2"/>
        <v/>
      </c>
      <c r="F551" s="80" t="str">
        <f t="array" ref="F551">IF(A551="","",IF(ISNUMBER(J551),J551,IF(ISNUMBER(INDEX('Deck 2'!$A:$Z,ROW()-500,'List Setup'!$F$4)),INDEX('Deck 2'!$A:$Z,ROW()-500,'List Setup'!$F$4),0)))</f>
        <v/>
      </c>
      <c r="G551" s="80" t="str">
        <f t="array" ref="G551">IF(A551="","",A551&amp;IF(N(INDEX('Deck 2'!$A:$Z,ROW()-500,'List Setup'!$C$4))&gt;1," (x"&amp;INDEX('Deck 2'!$A:$Z,ROW()-500,'List Setup'!$C$4)&amp;")","")&amp;IF(COUNTIF(Binders!$J$6:$J$30,TRUE())&gt;1," ["&amp;Q551&amp;"]",""))</f>
        <v/>
      </c>
      <c r="H551" s="80" t="str">
        <f t="array" ref="H551">IF(A551="","",CHAR(10)&amp;INDEX('Deck 2'!$A:$Z,ROW()-500,'List Setup'!$E$4)&amp;CHAR(10))</f>
        <v/>
      </c>
      <c r="I551" s="80" t="str">
        <f t="array" ref="I551">IF(OR(B551="",B551="(none)"),"",IF(ISNUMBER(SEARCH(CHAR(10)&amp;B551&amp;CHAR(10),H551)),B551,IFERROR(INDEX('Set Aliases'!$A$2:$A$501,MATCH(1,('Set Aliases'!$B$2:$B$501=B551)*ISNUMBER(SEARCH(CHAR(10)&amp;'Set Aliases'!$A$2:$A$501&amp;CHAR(10),H551)),0)),"")))</f>
        <v/>
      </c>
      <c r="J551" s="80" t="str">
        <f t="array" ref="J551">IF(I551="","",IFERROR(VALUE(TRIM(MID(SUBSTITUTE(INDEX('Deck 2'!$A:$Z,ROW()-500,'List Setup'!$G$4),CHAR(10),REPT(" ",100)),((SEARCH(CHAR(10)&amp;I551&amp;CHAR(10),H551)-LEN(SUBSTITUTE(LEFT(H551,SEARCH(CHAR(10)&amp;I551&amp;CHAR(10),H551)),CHAR(10),"")))-1)*100+1,100))),""))</f>
        <v/>
      </c>
      <c r="K551" s="80" t="str">
        <f t="array" ref="K551">IF(A551="","",IF(ISNUMBER(SEARCH("Land",LEFT(IFERROR(INDEX('Deck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51" s="80" t="str">
        <f t="shared" si="3"/>
        <v/>
      </c>
      <c r="M551" s="80" t="str">
        <f>IF(A551="","",IF(AND(E551="Y",B551='Use at Shop'!$B$4),K551*10000000000+(MAX(0,MIN(26,CODE(MID(UPPER(A551)&amp;"    ",1,1))-64))*19683+MAX(0,MIN(26,CODE(MID(UPPER(A551)&amp;"    ",2,1))-64))*729+MAX(0,MIN(26,CODE(MID(UPPER(A551)&amp;"    ",3,1))-64))*27+MAX(0,MIN(26,CODE(MID(UPPER(A551)&amp;"    ",4,1))-64))*1)*10000+ROW(),""))</f>
        <v/>
      </c>
      <c r="N551" s="80" t="str">
        <f t="shared" si="6"/>
        <v/>
      </c>
      <c r="O551" s="80" t="str">
        <f t="array" ref="O551">IF(A551="","",IFERROR(INDEX('Deck 2'!$A:$Z,ROW()-500,'List Setup'!$J$4)&amp;"",""))</f>
        <v/>
      </c>
      <c r="P551" s="2"/>
      <c r="Q551" s="80" t="str">
        <f>IF(A551="","",'List Setup'!$A$4)</f>
        <v/>
      </c>
      <c r="R551" s="80" t="str">
        <f t="array" ref="R551">IF(A551="","",IFERROR(OR(INDEX(Binders!$J$6:$J$30,MATCH(Q551,Binders!$I$6:$I$30,0))=TRUE(),UPPER(INDEX(Binders!$J$6:$J$30,MATCH(Q551,Binders!$I$6:$I$30,0))&amp;"")="TRUE"),FALSE()))</f>
        <v/>
      </c>
    </row>
    <row r="552" ht="15.75" customHeight="1">
      <c r="A552" s="80" t="str">
        <f t="array" ref="A552">IF(INDEX('Deck 2'!$A:$Z,ROW()-500,'List Setup'!$D$4)="","",INDEX('Deck 2'!$A:$Z,ROW()-500,'List Setup'!$D$4))</f>
        <v/>
      </c>
      <c r="B552" s="80" t="str">
        <f t="array" ref="B552">IF(A552="","",IFERROR(INDEX('Binder Setup'!$B$2:$B$401,MIN(IF(ISNUMBER(SEARCH(CHAR(10)&amp;'Binder Setup'!$B$2:$B$401&amp;CHAR(10),$H552)),'List Setup'!$Q$2:$Q$401,999),IF(ISNUMBER(SEARCH(CHAR(10)&amp;'Set Aliases'!$A$2:$A$501&amp;CHAR(10),$H552)),'Set Aliases'!$C$2:$C$501,999))),"(none)"))</f>
        <v/>
      </c>
      <c r="C552" s="80" t="str">
        <f t="shared" si="1"/>
        <v/>
      </c>
      <c r="D552" s="80" t="str">
        <f t="array" ref="D552">IF(A552="","",IF(ISLOGICAL(INDEX('Deck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52" s="80" t="str">
        <f t="shared" si="2"/>
        <v/>
      </c>
      <c r="F552" s="80" t="str">
        <f t="array" ref="F552">IF(A552="","",IF(ISNUMBER(J552),J552,IF(ISNUMBER(INDEX('Deck 2'!$A:$Z,ROW()-500,'List Setup'!$F$4)),INDEX('Deck 2'!$A:$Z,ROW()-500,'List Setup'!$F$4),0)))</f>
        <v/>
      </c>
      <c r="G552" s="80" t="str">
        <f t="array" ref="G552">IF(A552="","",A552&amp;IF(N(INDEX('Deck 2'!$A:$Z,ROW()-500,'List Setup'!$C$4))&gt;1," (x"&amp;INDEX('Deck 2'!$A:$Z,ROW()-500,'List Setup'!$C$4)&amp;")","")&amp;IF(COUNTIF(Binders!$J$6:$J$30,TRUE())&gt;1," ["&amp;Q552&amp;"]",""))</f>
        <v/>
      </c>
      <c r="H552" s="80" t="str">
        <f t="array" ref="H552">IF(A552="","",CHAR(10)&amp;INDEX('Deck 2'!$A:$Z,ROW()-500,'List Setup'!$E$4)&amp;CHAR(10))</f>
        <v/>
      </c>
      <c r="I552" s="80" t="str">
        <f t="array" ref="I552">IF(OR(B552="",B552="(none)"),"",IF(ISNUMBER(SEARCH(CHAR(10)&amp;B552&amp;CHAR(10),H552)),B552,IFERROR(INDEX('Set Aliases'!$A$2:$A$501,MATCH(1,('Set Aliases'!$B$2:$B$501=B552)*ISNUMBER(SEARCH(CHAR(10)&amp;'Set Aliases'!$A$2:$A$501&amp;CHAR(10),H552)),0)),"")))</f>
        <v/>
      </c>
      <c r="J552" s="80" t="str">
        <f t="array" ref="J552">IF(I552="","",IFERROR(VALUE(TRIM(MID(SUBSTITUTE(INDEX('Deck 2'!$A:$Z,ROW()-500,'List Setup'!$G$4),CHAR(10),REPT(" ",100)),((SEARCH(CHAR(10)&amp;I552&amp;CHAR(10),H552)-LEN(SUBSTITUTE(LEFT(H552,SEARCH(CHAR(10)&amp;I552&amp;CHAR(10),H552)),CHAR(10),"")))-1)*100+1,100))),""))</f>
        <v/>
      </c>
      <c r="K552" s="80" t="str">
        <f t="array" ref="K552">IF(A552="","",IF(ISNUMBER(SEARCH("Land",LEFT(IFERROR(INDEX('Deck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52" s="80" t="str">
        <f t="shared" si="3"/>
        <v/>
      </c>
      <c r="M552" s="80" t="str">
        <f>IF(A552="","",IF(AND(E552="Y",B552='Use at Shop'!$B$4),K552*10000000000+(MAX(0,MIN(26,CODE(MID(UPPER(A552)&amp;"    ",1,1))-64))*19683+MAX(0,MIN(26,CODE(MID(UPPER(A552)&amp;"    ",2,1))-64))*729+MAX(0,MIN(26,CODE(MID(UPPER(A552)&amp;"    ",3,1))-64))*27+MAX(0,MIN(26,CODE(MID(UPPER(A552)&amp;"    ",4,1))-64))*1)*10000+ROW(),""))</f>
        <v/>
      </c>
      <c r="N552" s="80" t="str">
        <f t="shared" si="6"/>
        <v/>
      </c>
      <c r="O552" s="80" t="str">
        <f t="array" ref="O552">IF(A552="","",IFERROR(INDEX('Deck 2'!$A:$Z,ROW()-500,'List Setup'!$J$4)&amp;"",""))</f>
        <v/>
      </c>
      <c r="P552" s="2"/>
      <c r="Q552" s="80" t="str">
        <f>IF(A552="","",'List Setup'!$A$4)</f>
        <v/>
      </c>
      <c r="R552" s="80" t="str">
        <f t="array" ref="R552">IF(A552="","",IFERROR(OR(INDEX(Binders!$J$6:$J$30,MATCH(Q552,Binders!$I$6:$I$30,0))=TRUE(),UPPER(INDEX(Binders!$J$6:$J$30,MATCH(Q552,Binders!$I$6:$I$30,0))&amp;"")="TRUE"),FALSE()))</f>
        <v/>
      </c>
    </row>
    <row r="553" ht="15.75" customHeight="1">
      <c r="A553" s="80" t="str">
        <f t="array" ref="A553">IF(INDEX('Deck 2'!$A:$Z,ROW()-500,'List Setup'!$D$4)="","",INDEX('Deck 2'!$A:$Z,ROW()-500,'List Setup'!$D$4))</f>
        <v/>
      </c>
      <c r="B553" s="80" t="str">
        <f t="array" ref="B553">IF(A553="","",IFERROR(INDEX('Binder Setup'!$B$2:$B$401,MIN(IF(ISNUMBER(SEARCH(CHAR(10)&amp;'Binder Setup'!$B$2:$B$401&amp;CHAR(10),$H553)),'List Setup'!$Q$2:$Q$401,999),IF(ISNUMBER(SEARCH(CHAR(10)&amp;'Set Aliases'!$A$2:$A$501&amp;CHAR(10),$H553)),'Set Aliases'!$C$2:$C$501,999))),"(none)"))</f>
        <v/>
      </c>
      <c r="C553" s="80" t="str">
        <f t="shared" si="1"/>
        <v/>
      </c>
      <c r="D553" s="80" t="str">
        <f t="array" ref="D553">IF(A553="","",IF(ISLOGICAL(INDEX('Deck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53" s="80" t="str">
        <f t="shared" si="2"/>
        <v/>
      </c>
      <c r="F553" s="80" t="str">
        <f t="array" ref="F553">IF(A553="","",IF(ISNUMBER(J553),J553,IF(ISNUMBER(INDEX('Deck 2'!$A:$Z,ROW()-500,'List Setup'!$F$4)),INDEX('Deck 2'!$A:$Z,ROW()-500,'List Setup'!$F$4),0)))</f>
        <v/>
      </c>
      <c r="G553" s="80" t="str">
        <f t="array" ref="G553">IF(A553="","",A553&amp;IF(N(INDEX('Deck 2'!$A:$Z,ROW()-500,'List Setup'!$C$4))&gt;1," (x"&amp;INDEX('Deck 2'!$A:$Z,ROW()-500,'List Setup'!$C$4)&amp;")","")&amp;IF(COUNTIF(Binders!$J$6:$J$30,TRUE())&gt;1," ["&amp;Q553&amp;"]",""))</f>
        <v/>
      </c>
      <c r="H553" s="80" t="str">
        <f t="array" ref="H553">IF(A553="","",CHAR(10)&amp;INDEX('Deck 2'!$A:$Z,ROW()-500,'List Setup'!$E$4)&amp;CHAR(10))</f>
        <v/>
      </c>
      <c r="I553" s="80" t="str">
        <f t="array" ref="I553">IF(OR(B553="",B553="(none)"),"",IF(ISNUMBER(SEARCH(CHAR(10)&amp;B553&amp;CHAR(10),H553)),B553,IFERROR(INDEX('Set Aliases'!$A$2:$A$501,MATCH(1,('Set Aliases'!$B$2:$B$501=B553)*ISNUMBER(SEARCH(CHAR(10)&amp;'Set Aliases'!$A$2:$A$501&amp;CHAR(10),H553)),0)),"")))</f>
        <v/>
      </c>
      <c r="J553" s="80" t="str">
        <f t="array" ref="J553">IF(I553="","",IFERROR(VALUE(TRIM(MID(SUBSTITUTE(INDEX('Deck 2'!$A:$Z,ROW()-500,'List Setup'!$G$4),CHAR(10),REPT(" ",100)),((SEARCH(CHAR(10)&amp;I553&amp;CHAR(10),H553)-LEN(SUBSTITUTE(LEFT(H553,SEARCH(CHAR(10)&amp;I553&amp;CHAR(10),H553)),CHAR(10),"")))-1)*100+1,100))),""))</f>
        <v/>
      </c>
      <c r="K553" s="80" t="str">
        <f t="array" ref="K553">IF(A553="","",IF(ISNUMBER(SEARCH("Land",LEFT(IFERROR(INDEX('Deck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53" s="80" t="str">
        <f t="shared" si="3"/>
        <v/>
      </c>
      <c r="M553" s="80" t="str">
        <f>IF(A553="","",IF(AND(E553="Y",B553='Use at Shop'!$B$4),K553*10000000000+(MAX(0,MIN(26,CODE(MID(UPPER(A553)&amp;"    ",1,1))-64))*19683+MAX(0,MIN(26,CODE(MID(UPPER(A553)&amp;"    ",2,1))-64))*729+MAX(0,MIN(26,CODE(MID(UPPER(A553)&amp;"    ",3,1))-64))*27+MAX(0,MIN(26,CODE(MID(UPPER(A553)&amp;"    ",4,1))-64))*1)*10000+ROW(),""))</f>
        <v/>
      </c>
      <c r="N553" s="80" t="str">
        <f t="shared" si="6"/>
        <v/>
      </c>
      <c r="O553" s="80" t="str">
        <f t="array" ref="O553">IF(A553="","",IFERROR(INDEX('Deck 2'!$A:$Z,ROW()-500,'List Setup'!$J$4)&amp;"",""))</f>
        <v/>
      </c>
      <c r="P553" s="2"/>
      <c r="Q553" s="80" t="str">
        <f>IF(A553="","",'List Setup'!$A$4)</f>
        <v/>
      </c>
      <c r="R553" s="80" t="str">
        <f t="array" ref="R553">IF(A553="","",IFERROR(OR(INDEX(Binders!$J$6:$J$30,MATCH(Q553,Binders!$I$6:$I$30,0))=TRUE(),UPPER(INDEX(Binders!$J$6:$J$30,MATCH(Q553,Binders!$I$6:$I$30,0))&amp;"")="TRUE"),FALSE()))</f>
        <v/>
      </c>
    </row>
    <row r="554" ht="15.75" customHeight="1">
      <c r="A554" s="80" t="str">
        <f t="array" ref="A554">IF(INDEX('Deck 2'!$A:$Z,ROW()-500,'List Setup'!$D$4)="","",INDEX('Deck 2'!$A:$Z,ROW()-500,'List Setup'!$D$4))</f>
        <v/>
      </c>
      <c r="B554" s="80" t="str">
        <f t="array" ref="B554">IF(A554="","",IFERROR(INDEX('Binder Setup'!$B$2:$B$401,MIN(IF(ISNUMBER(SEARCH(CHAR(10)&amp;'Binder Setup'!$B$2:$B$401&amp;CHAR(10),$H554)),'List Setup'!$Q$2:$Q$401,999),IF(ISNUMBER(SEARCH(CHAR(10)&amp;'Set Aliases'!$A$2:$A$501&amp;CHAR(10),$H554)),'Set Aliases'!$C$2:$C$501,999))),"(none)"))</f>
        <v/>
      </c>
      <c r="C554" s="80" t="str">
        <f t="shared" si="1"/>
        <v/>
      </c>
      <c r="D554" s="80" t="str">
        <f t="array" ref="D554">IF(A554="","",IF(ISLOGICAL(INDEX('Deck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54" s="80" t="str">
        <f t="shared" si="2"/>
        <v/>
      </c>
      <c r="F554" s="80" t="str">
        <f t="array" ref="F554">IF(A554="","",IF(ISNUMBER(J554),J554,IF(ISNUMBER(INDEX('Deck 2'!$A:$Z,ROW()-500,'List Setup'!$F$4)),INDEX('Deck 2'!$A:$Z,ROW()-500,'List Setup'!$F$4),0)))</f>
        <v/>
      </c>
      <c r="G554" s="80" t="str">
        <f t="array" ref="G554">IF(A554="","",A554&amp;IF(N(INDEX('Deck 2'!$A:$Z,ROW()-500,'List Setup'!$C$4))&gt;1," (x"&amp;INDEX('Deck 2'!$A:$Z,ROW()-500,'List Setup'!$C$4)&amp;")","")&amp;IF(COUNTIF(Binders!$J$6:$J$30,TRUE())&gt;1," ["&amp;Q554&amp;"]",""))</f>
        <v/>
      </c>
      <c r="H554" s="80" t="str">
        <f t="array" ref="H554">IF(A554="","",CHAR(10)&amp;INDEX('Deck 2'!$A:$Z,ROW()-500,'List Setup'!$E$4)&amp;CHAR(10))</f>
        <v/>
      </c>
      <c r="I554" s="80" t="str">
        <f t="array" ref="I554">IF(OR(B554="",B554="(none)"),"",IF(ISNUMBER(SEARCH(CHAR(10)&amp;B554&amp;CHAR(10),H554)),B554,IFERROR(INDEX('Set Aliases'!$A$2:$A$501,MATCH(1,('Set Aliases'!$B$2:$B$501=B554)*ISNUMBER(SEARCH(CHAR(10)&amp;'Set Aliases'!$A$2:$A$501&amp;CHAR(10),H554)),0)),"")))</f>
        <v/>
      </c>
      <c r="J554" s="80" t="str">
        <f t="array" ref="J554">IF(I554="","",IFERROR(VALUE(TRIM(MID(SUBSTITUTE(INDEX('Deck 2'!$A:$Z,ROW()-500,'List Setup'!$G$4),CHAR(10),REPT(" ",100)),((SEARCH(CHAR(10)&amp;I554&amp;CHAR(10),H554)-LEN(SUBSTITUTE(LEFT(H554,SEARCH(CHAR(10)&amp;I554&amp;CHAR(10),H554)),CHAR(10),"")))-1)*100+1,100))),""))</f>
        <v/>
      </c>
      <c r="K554" s="80" t="str">
        <f t="array" ref="K554">IF(A554="","",IF(ISNUMBER(SEARCH("Land",LEFT(IFERROR(INDEX('Deck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54" s="80" t="str">
        <f t="shared" si="3"/>
        <v/>
      </c>
      <c r="M554" s="80" t="str">
        <f>IF(A554="","",IF(AND(E554="Y",B554='Use at Shop'!$B$4),K554*10000000000+(MAX(0,MIN(26,CODE(MID(UPPER(A554)&amp;"    ",1,1))-64))*19683+MAX(0,MIN(26,CODE(MID(UPPER(A554)&amp;"    ",2,1))-64))*729+MAX(0,MIN(26,CODE(MID(UPPER(A554)&amp;"    ",3,1))-64))*27+MAX(0,MIN(26,CODE(MID(UPPER(A554)&amp;"    ",4,1))-64))*1)*10000+ROW(),""))</f>
        <v/>
      </c>
      <c r="N554" s="80" t="str">
        <f t="shared" si="6"/>
        <v/>
      </c>
      <c r="O554" s="80" t="str">
        <f t="array" ref="O554">IF(A554="","",IFERROR(INDEX('Deck 2'!$A:$Z,ROW()-500,'List Setup'!$J$4)&amp;"",""))</f>
        <v/>
      </c>
      <c r="P554" s="2"/>
      <c r="Q554" s="80" t="str">
        <f>IF(A554="","",'List Setup'!$A$4)</f>
        <v/>
      </c>
      <c r="R554" s="80" t="str">
        <f t="array" ref="R554">IF(A554="","",IFERROR(OR(INDEX(Binders!$J$6:$J$30,MATCH(Q554,Binders!$I$6:$I$30,0))=TRUE(),UPPER(INDEX(Binders!$J$6:$J$30,MATCH(Q554,Binders!$I$6:$I$30,0))&amp;"")="TRUE"),FALSE()))</f>
        <v/>
      </c>
    </row>
    <row r="555" ht="15.75" customHeight="1">
      <c r="A555" s="80" t="str">
        <f t="array" ref="A555">IF(INDEX('Deck 2'!$A:$Z,ROW()-500,'List Setup'!$D$4)="","",INDEX('Deck 2'!$A:$Z,ROW()-500,'List Setup'!$D$4))</f>
        <v/>
      </c>
      <c r="B555" s="80" t="str">
        <f t="array" ref="B555">IF(A555="","",IFERROR(INDEX('Binder Setup'!$B$2:$B$401,MIN(IF(ISNUMBER(SEARCH(CHAR(10)&amp;'Binder Setup'!$B$2:$B$401&amp;CHAR(10),$H555)),'List Setup'!$Q$2:$Q$401,999),IF(ISNUMBER(SEARCH(CHAR(10)&amp;'Set Aliases'!$A$2:$A$501&amp;CHAR(10),$H555)),'Set Aliases'!$C$2:$C$501,999))),"(none)"))</f>
        <v/>
      </c>
      <c r="C555" s="80" t="str">
        <f t="shared" si="1"/>
        <v/>
      </c>
      <c r="D555" s="80" t="str">
        <f t="array" ref="D555">IF(A555="","",IF(ISLOGICAL(INDEX('Deck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55" s="80" t="str">
        <f t="shared" si="2"/>
        <v/>
      </c>
      <c r="F555" s="80" t="str">
        <f t="array" ref="F555">IF(A555="","",IF(ISNUMBER(J555),J555,IF(ISNUMBER(INDEX('Deck 2'!$A:$Z,ROW()-500,'List Setup'!$F$4)),INDEX('Deck 2'!$A:$Z,ROW()-500,'List Setup'!$F$4),0)))</f>
        <v/>
      </c>
      <c r="G555" s="80" t="str">
        <f t="array" ref="G555">IF(A555="","",A555&amp;IF(N(INDEX('Deck 2'!$A:$Z,ROW()-500,'List Setup'!$C$4))&gt;1," (x"&amp;INDEX('Deck 2'!$A:$Z,ROW()-500,'List Setup'!$C$4)&amp;")","")&amp;IF(COUNTIF(Binders!$J$6:$J$30,TRUE())&gt;1," ["&amp;Q555&amp;"]",""))</f>
        <v/>
      </c>
      <c r="H555" s="80" t="str">
        <f t="array" ref="H555">IF(A555="","",CHAR(10)&amp;INDEX('Deck 2'!$A:$Z,ROW()-500,'List Setup'!$E$4)&amp;CHAR(10))</f>
        <v/>
      </c>
      <c r="I555" s="80" t="str">
        <f t="array" ref="I555">IF(OR(B555="",B555="(none)"),"",IF(ISNUMBER(SEARCH(CHAR(10)&amp;B555&amp;CHAR(10),H555)),B555,IFERROR(INDEX('Set Aliases'!$A$2:$A$501,MATCH(1,('Set Aliases'!$B$2:$B$501=B555)*ISNUMBER(SEARCH(CHAR(10)&amp;'Set Aliases'!$A$2:$A$501&amp;CHAR(10),H555)),0)),"")))</f>
        <v/>
      </c>
      <c r="J555" s="80" t="str">
        <f t="array" ref="J555">IF(I555="","",IFERROR(VALUE(TRIM(MID(SUBSTITUTE(INDEX('Deck 2'!$A:$Z,ROW()-500,'List Setup'!$G$4),CHAR(10),REPT(" ",100)),((SEARCH(CHAR(10)&amp;I555&amp;CHAR(10),H555)-LEN(SUBSTITUTE(LEFT(H555,SEARCH(CHAR(10)&amp;I555&amp;CHAR(10),H555)),CHAR(10),"")))-1)*100+1,100))),""))</f>
        <v/>
      </c>
      <c r="K555" s="80" t="str">
        <f t="array" ref="K555">IF(A555="","",IF(ISNUMBER(SEARCH("Land",LEFT(IFERROR(INDEX('Deck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55" s="80" t="str">
        <f t="shared" si="3"/>
        <v/>
      </c>
      <c r="M555" s="80" t="str">
        <f>IF(A555="","",IF(AND(E555="Y",B555='Use at Shop'!$B$4),K555*10000000000+(MAX(0,MIN(26,CODE(MID(UPPER(A555)&amp;"    ",1,1))-64))*19683+MAX(0,MIN(26,CODE(MID(UPPER(A555)&amp;"    ",2,1))-64))*729+MAX(0,MIN(26,CODE(MID(UPPER(A555)&amp;"    ",3,1))-64))*27+MAX(0,MIN(26,CODE(MID(UPPER(A555)&amp;"    ",4,1))-64))*1)*10000+ROW(),""))</f>
        <v/>
      </c>
      <c r="N555" s="80" t="str">
        <f t="shared" si="6"/>
        <v/>
      </c>
      <c r="O555" s="80" t="str">
        <f t="array" ref="O555">IF(A555="","",IFERROR(INDEX('Deck 2'!$A:$Z,ROW()-500,'List Setup'!$J$4)&amp;"",""))</f>
        <v/>
      </c>
      <c r="P555" s="2"/>
      <c r="Q555" s="80" t="str">
        <f>IF(A555="","",'List Setup'!$A$4)</f>
        <v/>
      </c>
      <c r="R555" s="80" t="str">
        <f t="array" ref="R555">IF(A555="","",IFERROR(OR(INDEX(Binders!$J$6:$J$30,MATCH(Q555,Binders!$I$6:$I$30,0))=TRUE(),UPPER(INDEX(Binders!$J$6:$J$30,MATCH(Q555,Binders!$I$6:$I$30,0))&amp;"")="TRUE"),FALSE()))</f>
        <v/>
      </c>
    </row>
    <row r="556" ht="15.75" customHeight="1">
      <c r="A556" s="80" t="str">
        <f t="array" ref="A556">IF(INDEX('Deck 2'!$A:$Z,ROW()-500,'List Setup'!$D$4)="","",INDEX('Deck 2'!$A:$Z,ROW()-500,'List Setup'!$D$4))</f>
        <v/>
      </c>
      <c r="B556" s="80" t="str">
        <f t="array" ref="B556">IF(A556="","",IFERROR(INDEX('Binder Setup'!$B$2:$B$401,MIN(IF(ISNUMBER(SEARCH(CHAR(10)&amp;'Binder Setup'!$B$2:$B$401&amp;CHAR(10),$H556)),'List Setup'!$Q$2:$Q$401,999),IF(ISNUMBER(SEARCH(CHAR(10)&amp;'Set Aliases'!$A$2:$A$501&amp;CHAR(10),$H556)),'Set Aliases'!$C$2:$C$501,999))),"(none)"))</f>
        <v/>
      </c>
      <c r="C556" s="80" t="str">
        <f t="shared" si="1"/>
        <v/>
      </c>
      <c r="D556" s="80" t="str">
        <f t="array" ref="D556">IF(A556="","",IF(ISLOGICAL(INDEX('Deck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56" s="80" t="str">
        <f t="shared" si="2"/>
        <v/>
      </c>
      <c r="F556" s="80" t="str">
        <f t="array" ref="F556">IF(A556="","",IF(ISNUMBER(J556),J556,IF(ISNUMBER(INDEX('Deck 2'!$A:$Z,ROW()-500,'List Setup'!$F$4)),INDEX('Deck 2'!$A:$Z,ROW()-500,'List Setup'!$F$4),0)))</f>
        <v/>
      </c>
      <c r="G556" s="80" t="str">
        <f t="array" ref="G556">IF(A556="","",A556&amp;IF(N(INDEX('Deck 2'!$A:$Z,ROW()-500,'List Setup'!$C$4))&gt;1," (x"&amp;INDEX('Deck 2'!$A:$Z,ROW()-500,'List Setup'!$C$4)&amp;")","")&amp;IF(COUNTIF(Binders!$J$6:$J$30,TRUE())&gt;1," ["&amp;Q556&amp;"]",""))</f>
        <v/>
      </c>
      <c r="H556" s="80" t="str">
        <f t="array" ref="H556">IF(A556="","",CHAR(10)&amp;INDEX('Deck 2'!$A:$Z,ROW()-500,'List Setup'!$E$4)&amp;CHAR(10))</f>
        <v/>
      </c>
      <c r="I556" s="80" t="str">
        <f t="array" ref="I556">IF(OR(B556="",B556="(none)"),"",IF(ISNUMBER(SEARCH(CHAR(10)&amp;B556&amp;CHAR(10),H556)),B556,IFERROR(INDEX('Set Aliases'!$A$2:$A$501,MATCH(1,('Set Aliases'!$B$2:$B$501=B556)*ISNUMBER(SEARCH(CHAR(10)&amp;'Set Aliases'!$A$2:$A$501&amp;CHAR(10),H556)),0)),"")))</f>
        <v/>
      </c>
      <c r="J556" s="80" t="str">
        <f t="array" ref="J556">IF(I556="","",IFERROR(VALUE(TRIM(MID(SUBSTITUTE(INDEX('Deck 2'!$A:$Z,ROW()-500,'List Setup'!$G$4),CHAR(10),REPT(" ",100)),((SEARCH(CHAR(10)&amp;I556&amp;CHAR(10),H556)-LEN(SUBSTITUTE(LEFT(H556,SEARCH(CHAR(10)&amp;I556&amp;CHAR(10),H556)),CHAR(10),"")))-1)*100+1,100))),""))</f>
        <v/>
      </c>
      <c r="K556" s="80" t="str">
        <f t="array" ref="K556">IF(A556="","",IF(ISNUMBER(SEARCH("Land",LEFT(IFERROR(INDEX('Deck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56" s="80" t="str">
        <f t="shared" si="3"/>
        <v/>
      </c>
      <c r="M556" s="80" t="str">
        <f>IF(A556="","",IF(AND(E556="Y",B556='Use at Shop'!$B$4),K556*10000000000+(MAX(0,MIN(26,CODE(MID(UPPER(A556)&amp;"    ",1,1))-64))*19683+MAX(0,MIN(26,CODE(MID(UPPER(A556)&amp;"    ",2,1))-64))*729+MAX(0,MIN(26,CODE(MID(UPPER(A556)&amp;"    ",3,1))-64))*27+MAX(0,MIN(26,CODE(MID(UPPER(A556)&amp;"    ",4,1))-64))*1)*10000+ROW(),""))</f>
        <v/>
      </c>
      <c r="N556" s="80" t="str">
        <f t="shared" si="6"/>
        <v/>
      </c>
      <c r="O556" s="80" t="str">
        <f t="array" ref="O556">IF(A556="","",IFERROR(INDEX('Deck 2'!$A:$Z,ROW()-500,'List Setup'!$J$4)&amp;"",""))</f>
        <v/>
      </c>
      <c r="P556" s="2"/>
      <c r="Q556" s="80" t="str">
        <f>IF(A556="","",'List Setup'!$A$4)</f>
        <v/>
      </c>
      <c r="R556" s="80" t="str">
        <f t="array" ref="R556">IF(A556="","",IFERROR(OR(INDEX(Binders!$J$6:$J$30,MATCH(Q556,Binders!$I$6:$I$30,0))=TRUE(),UPPER(INDEX(Binders!$J$6:$J$30,MATCH(Q556,Binders!$I$6:$I$30,0))&amp;"")="TRUE"),FALSE()))</f>
        <v/>
      </c>
    </row>
    <row r="557" ht="15.75" customHeight="1">
      <c r="A557" s="80" t="str">
        <f t="array" ref="A557">IF(INDEX('Deck 2'!$A:$Z,ROW()-500,'List Setup'!$D$4)="","",INDEX('Deck 2'!$A:$Z,ROW()-500,'List Setup'!$D$4))</f>
        <v/>
      </c>
      <c r="B557" s="80" t="str">
        <f t="array" ref="B557">IF(A557="","",IFERROR(INDEX('Binder Setup'!$B$2:$B$401,MIN(IF(ISNUMBER(SEARCH(CHAR(10)&amp;'Binder Setup'!$B$2:$B$401&amp;CHAR(10),$H557)),'List Setup'!$Q$2:$Q$401,999),IF(ISNUMBER(SEARCH(CHAR(10)&amp;'Set Aliases'!$A$2:$A$501&amp;CHAR(10),$H557)),'Set Aliases'!$C$2:$C$501,999))),"(none)"))</f>
        <v/>
      </c>
      <c r="C557" s="80" t="str">
        <f t="shared" si="1"/>
        <v/>
      </c>
      <c r="D557" s="80" t="str">
        <f t="array" ref="D557">IF(A557="","",IF(ISLOGICAL(INDEX('Deck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57" s="80" t="str">
        <f t="shared" si="2"/>
        <v/>
      </c>
      <c r="F557" s="80" t="str">
        <f t="array" ref="F557">IF(A557="","",IF(ISNUMBER(J557),J557,IF(ISNUMBER(INDEX('Deck 2'!$A:$Z,ROW()-500,'List Setup'!$F$4)),INDEX('Deck 2'!$A:$Z,ROW()-500,'List Setup'!$F$4),0)))</f>
        <v/>
      </c>
      <c r="G557" s="80" t="str">
        <f t="array" ref="G557">IF(A557="","",A557&amp;IF(N(INDEX('Deck 2'!$A:$Z,ROW()-500,'List Setup'!$C$4))&gt;1," (x"&amp;INDEX('Deck 2'!$A:$Z,ROW()-500,'List Setup'!$C$4)&amp;")","")&amp;IF(COUNTIF(Binders!$J$6:$J$30,TRUE())&gt;1," ["&amp;Q557&amp;"]",""))</f>
        <v/>
      </c>
      <c r="H557" s="80" t="str">
        <f t="array" ref="H557">IF(A557="","",CHAR(10)&amp;INDEX('Deck 2'!$A:$Z,ROW()-500,'List Setup'!$E$4)&amp;CHAR(10))</f>
        <v/>
      </c>
      <c r="I557" s="80" t="str">
        <f t="array" ref="I557">IF(OR(B557="",B557="(none)"),"",IF(ISNUMBER(SEARCH(CHAR(10)&amp;B557&amp;CHAR(10),H557)),B557,IFERROR(INDEX('Set Aliases'!$A$2:$A$501,MATCH(1,('Set Aliases'!$B$2:$B$501=B557)*ISNUMBER(SEARCH(CHAR(10)&amp;'Set Aliases'!$A$2:$A$501&amp;CHAR(10),H557)),0)),"")))</f>
        <v/>
      </c>
      <c r="J557" s="80" t="str">
        <f t="array" ref="J557">IF(I557="","",IFERROR(VALUE(TRIM(MID(SUBSTITUTE(INDEX('Deck 2'!$A:$Z,ROW()-500,'List Setup'!$G$4),CHAR(10),REPT(" ",100)),((SEARCH(CHAR(10)&amp;I557&amp;CHAR(10),H557)-LEN(SUBSTITUTE(LEFT(H557,SEARCH(CHAR(10)&amp;I557&amp;CHAR(10),H557)),CHAR(10),"")))-1)*100+1,100))),""))</f>
        <v/>
      </c>
      <c r="K557" s="80" t="str">
        <f t="array" ref="K557">IF(A557="","",IF(ISNUMBER(SEARCH("Land",LEFT(IFERROR(INDEX('Deck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57" s="80" t="str">
        <f t="shared" si="3"/>
        <v/>
      </c>
      <c r="M557" s="80" t="str">
        <f>IF(A557="","",IF(AND(E557="Y",B557='Use at Shop'!$B$4),K557*10000000000+(MAX(0,MIN(26,CODE(MID(UPPER(A557)&amp;"    ",1,1))-64))*19683+MAX(0,MIN(26,CODE(MID(UPPER(A557)&amp;"    ",2,1))-64))*729+MAX(0,MIN(26,CODE(MID(UPPER(A557)&amp;"    ",3,1))-64))*27+MAX(0,MIN(26,CODE(MID(UPPER(A557)&amp;"    ",4,1))-64))*1)*10000+ROW(),""))</f>
        <v/>
      </c>
      <c r="N557" s="80" t="str">
        <f t="shared" si="6"/>
        <v/>
      </c>
      <c r="O557" s="80" t="str">
        <f t="array" ref="O557">IF(A557="","",IFERROR(INDEX('Deck 2'!$A:$Z,ROW()-500,'List Setup'!$J$4)&amp;"",""))</f>
        <v/>
      </c>
      <c r="P557" s="2"/>
      <c r="Q557" s="80" t="str">
        <f>IF(A557="","",'List Setup'!$A$4)</f>
        <v/>
      </c>
      <c r="R557" s="80" t="str">
        <f t="array" ref="R557">IF(A557="","",IFERROR(OR(INDEX(Binders!$J$6:$J$30,MATCH(Q557,Binders!$I$6:$I$30,0))=TRUE(),UPPER(INDEX(Binders!$J$6:$J$30,MATCH(Q557,Binders!$I$6:$I$30,0))&amp;"")="TRUE"),FALSE()))</f>
        <v/>
      </c>
    </row>
    <row r="558" ht="15.75" customHeight="1">
      <c r="A558" s="80" t="str">
        <f t="array" ref="A558">IF(INDEX('Deck 2'!$A:$Z,ROW()-500,'List Setup'!$D$4)="","",INDEX('Deck 2'!$A:$Z,ROW()-500,'List Setup'!$D$4))</f>
        <v/>
      </c>
      <c r="B558" s="80" t="str">
        <f t="array" ref="B558">IF(A558="","",IFERROR(INDEX('Binder Setup'!$B$2:$B$401,MIN(IF(ISNUMBER(SEARCH(CHAR(10)&amp;'Binder Setup'!$B$2:$B$401&amp;CHAR(10),$H558)),'List Setup'!$Q$2:$Q$401,999),IF(ISNUMBER(SEARCH(CHAR(10)&amp;'Set Aliases'!$A$2:$A$501&amp;CHAR(10),$H558)),'Set Aliases'!$C$2:$C$501,999))),"(none)"))</f>
        <v/>
      </c>
      <c r="C558" s="80" t="str">
        <f t="shared" si="1"/>
        <v/>
      </c>
      <c r="D558" s="80" t="str">
        <f t="array" ref="D558">IF(A558="","",IF(ISLOGICAL(INDEX('Deck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58" s="80" t="str">
        <f t="shared" si="2"/>
        <v/>
      </c>
      <c r="F558" s="80" t="str">
        <f t="array" ref="F558">IF(A558="","",IF(ISNUMBER(J558),J558,IF(ISNUMBER(INDEX('Deck 2'!$A:$Z,ROW()-500,'List Setup'!$F$4)),INDEX('Deck 2'!$A:$Z,ROW()-500,'List Setup'!$F$4),0)))</f>
        <v/>
      </c>
      <c r="G558" s="80" t="str">
        <f t="array" ref="G558">IF(A558="","",A558&amp;IF(N(INDEX('Deck 2'!$A:$Z,ROW()-500,'List Setup'!$C$4))&gt;1," (x"&amp;INDEX('Deck 2'!$A:$Z,ROW()-500,'List Setup'!$C$4)&amp;")","")&amp;IF(COUNTIF(Binders!$J$6:$J$30,TRUE())&gt;1," ["&amp;Q558&amp;"]",""))</f>
        <v/>
      </c>
      <c r="H558" s="80" t="str">
        <f t="array" ref="H558">IF(A558="","",CHAR(10)&amp;INDEX('Deck 2'!$A:$Z,ROW()-500,'List Setup'!$E$4)&amp;CHAR(10))</f>
        <v/>
      </c>
      <c r="I558" s="80" t="str">
        <f t="array" ref="I558">IF(OR(B558="",B558="(none)"),"",IF(ISNUMBER(SEARCH(CHAR(10)&amp;B558&amp;CHAR(10),H558)),B558,IFERROR(INDEX('Set Aliases'!$A$2:$A$501,MATCH(1,('Set Aliases'!$B$2:$B$501=B558)*ISNUMBER(SEARCH(CHAR(10)&amp;'Set Aliases'!$A$2:$A$501&amp;CHAR(10),H558)),0)),"")))</f>
        <v/>
      </c>
      <c r="J558" s="80" t="str">
        <f t="array" ref="J558">IF(I558="","",IFERROR(VALUE(TRIM(MID(SUBSTITUTE(INDEX('Deck 2'!$A:$Z,ROW()-500,'List Setup'!$G$4),CHAR(10),REPT(" ",100)),((SEARCH(CHAR(10)&amp;I558&amp;CHAR(10),H558)-LEN(SUBSTITUTE(LEFT(H558,SEARCH(CHAR(10)&amp;I558&amp;CHAR(10),H558)),CHAR(10),"")))-1)*100+1,100))),""))</f>
        <v/>
      </c>
      <c r="K558" s="80" t="str">
        <f t="array" ref="K558">IF(A558="","",IF(ISNUMBER(SEARCH("Land",LEFT(IFERROR(INDEX('Deck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58" s="80" t="str">
        <f t="shared" si="3"/>
        <v/>
      </c>
      <c r="M558" s="80" t="str">
        <f>IF(A558="","",IF(AND(E558="Y",B558='Use at Shop'!$B$4),K558*10000000000+(MAX(0,MIN(26,CODE(MID(UPPER(A558)&amp;"    ",1,1))-64))*19683+MAX(0,MIN(26,CODE(MID(UPPER(A558)&amp;"    ",2,1))-64))*729+MAX(0,MIN(26,CODE(MID(UPPER(A558)&amp;"    ",3,1))-64))*27+MAX(0,MIN(26,CODE(MID(UPPER(A558)&amp;"    ",4,1))-64))*1)*10000+ROW(),""))</f>
        <v/>
      </c>
      <c r="N558" s="80" t="str">
        <f t="shared" si="6"/>
        <v/>
      </c>
      <c r="O558" s="80" t="str">
        <f t="array" ref="O558">IF(A558="","",IFERROR(INDEX('Deck 2'!$A:$Z,ROW()-500,'List Setup'!$J$4)&amp;"",""))</f>
        <v/>
      </c>
      <c r="P558" s="2"/>
      <c r="Q558" s="80" t="str">
        <f>IF(A558="","",'List Setup'!$A$4)</f>
        <v/>
      </c>
      <c r="R558" s="80" t="str">
        <f t="array" ref="R558">IF(A558="","",IFERROR(OR(INDEX(Binders!$J$6:$J$30,MATCH(Q558,Binders!$I$6:$I$30,0))=TRUE(),UPPER(INDEX(Binders!$J$6:$J$30,MATCH(Q558,Binders!$I$6:$I$30,0))&amp;"")="TRUE"),FALSE()))</f>
        <v/>
      </c>
    </row>
    <row r="559" ht="15.75" customHeight="1">
      <c r="A559" s="80" t="str">
        <f t="array" ref="A559">IF(INDEX('Deck 2'!$A:$Z,ROW()-500,'List Setup'!$D$4)="","",INDEX('Deck 2'!$A:$Z,ROW()-500,'List Setup'!$D$4))</f>
        <v/>
      </c>
      <c r="B559" s="80" t="str">
        <f t="array" ref="B559">IF(A559="","",IFERROR(INDEX('Binder Setup'!$B$2:$B$401,MIN(IF(ISNUMBER(SEARCH(CHAR(10)&amp;'Binder Setup'!$B$2:$B$401&amp;CHAR(10),$H559)),'List Setup'!$Q$2:$Q$401,999),IF(ISNUMBER(SEARCH(CHAR(10)&amp;'Set Aliases'!$A$2:$A$501&amp;CHAR(10),$H559)),'Set Aliases'!$C$2:$C$501,999))),"(none)"))</f>
        <v/>
      </c>
      <c r="C559" s="80" t="str">
        <f t="shared" si="1"/>
        <v/>
      </c>
      <c r="D559" s="80" t="str">
        <f t="array" ref="D559">IF(A559="","",IF(ISLOGICAL(INDEX('Deck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59" s="80" t="str">
        <f t="shared" si="2"/>
        <v/>
      </c>
      <c r="F559" s="80" t="str">
        <f t="array" ref="F559">IF(A559="","",IF(ISNUMBER(J559),J559,IF(ISNUMBER(INDEX('Deck 2'!$A:$Z,ROW()-500,'List Setup'!$F$4)),INDEX('Deck 2'!$A:$Z,ROW()-500,'List Setup'!$F$4),0)))</f>
        <v/>
      </c>
      <c r="G559" s="80" t="str">
        <f t="array" ref="G559">IF(A559="","",A559&amp;IF(N(INDEX('Deck 2'!$A:$Z,ROW()-500,'List Setup'!$C$4))&gt;1," (x"&amp;INDEX('Deck 2'!$A:$Z,ROW()-500,'List Setup'!$C$4)&amp;")","")&amp;IF(COUNTIF(Binders!$J$6:$J$30,TRUE())&gt;1," ["&amp;Q559&amp;"]",""))</f>
        <v/>
      </c>
      <c r="H559" s="80" t="str">
        <f t="array" ref="H559">IF(A559="","",CHAR(10)&amp;INDEX('Deck 2'!$A:$Z,ROW()-500,'List Setup'!$E$4)&amp;CHAR(10))</f>
        <v/>
      </c>
      <c r="I559" s="80" t="str">
        <f t="array" ref="I559">IF(OR(B559="",B559="(none)"),"",IF(ISNUMBER(SEARCH(CHAR(10)&amp;B559&amp;CHAR(10),H559)),B559,IFERROR(INDEX('Set Aliases'!$A$2:$A$501,MATCH(1,('Set Aliases'!$B$2:$B$501=B559)*ISNUMBER(SEARCH(CHAR(10)&amp;'Set Aliases'!$A$2:$A$501&amp;CHAR(10),H559)),0)),"")))</f>
        <v/>
      </c>
      <c r="J559" s="80" t="str">
        <f t="array" ref="J559">IF(I559="","",IFERROR(VALUE(TRIM(MID(SUBSTITUTE(INDEX('Deck 2'!$A:$Z,ROW()-500,'List Setup'!$G$4),CHAR(10),REPT(" ",100)),((SEARCH(CHAR(10)&amp;I559&amp;CHAR(10),H559)-LEN(SUBSTITUTE(LEFT(H559,SEARCH(CHAR(10)&amp;I559&amp;CHAR(10),H559)),CHAR(10),"")))-1)*100+1,100))),""))</f>
        <v/>
      </c>
      <c r="K559" s="80" t="str">
        <f t="array" ref="K559">IF(A559="","",IF(ISNUMBER(SEARCH("Land",LEFT(IFERROR(INDEX('Deck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59" s="80" t="str">
        <f t="shared" si="3"/>
        <v/>
      </c>
      <c r="M559" s="80" t="str">
        <f>IF(A559="","",IF(AND(E559="Y",B559='Use at Shop'!$B$4),K559*10000000000+(MAX(0,MIN(26,CODE(MID(UPPER(A559)&amp;"    ",1,1))-64))*19683+MAX(0,MIN(26,CODE(MID(UPPER(A559)&amp;"    ",2,1))-64))*729+MAX(0,MIN(26,CODE(MID(UPPER(A559)&amp;"    ",3,1))-64))*27+MAX(0,MIN(26,CODE(MID(UPPER(A559)&amp;"    ",4,1))-64))*1)*10000+ROW(),""))</f>
        <v/>
      </c>
      <c r="N559" s="80" t="str">
        <f t="shared" si="6"/>
        <v/>
      </c>
      <c r="O559" s="80" t="str">
        <f t="array" ref="O559">IF(A559="","",IFERROR(INDEX('Deck 2'!$A:$Z,ROW()-500,'List Setup'!$J$4)&amp;"",""))</f>
        <v/>
      </c>
      <c r="P559" s="2"/>
      <c r="Q559" s="80" t="str">
        <f>IF(A559="","",'List Setup'!$A$4)</f>
        <v/>
      </c>
      <c r="R559" s="80" t="str">
        <f t="array" ref="R559">IF(A559="","",IFERROR(OR(INDEX(Binders!$J$6:$J$30,MATCH(Q559,Binders!$I$6:$I$30,0))=TRUE(),UPPER(INDEX(Binders!$J$6:$J$30,MATCH(Q559,Binders!$I$6:$I$30,0))&amp;"")="TRUE"),FALSE()))</f>
        <v/>
      </c>
    </row>
    <row r="560" ht="15.75" customHeight="1">
      <c r="A560" s="80" t="str">
        <f t="array" ref="A560">IF(INDEX('Deck 2'!$A:$Z,ROW()-500,'List Setup'!$D$4)="","",INDEX('Deck 2'!$A:$Z,ROW()-500,'List Setup'!$D$4))</f>
        <v/>
      </c>
      <c r="B560" s="80" t="str">
        <f t="array" ref="B560">IF(A560="","",IFERROR(INDEX('Binder Setup'!$B$2:$B$401,MIN(IF(ISNUMBER(SEARCH(CHAR(10)&amp;'Binder Setup'!$B$2:$B$401&amp;CHAR(10),$H560)),'List Setup'!$Q$2:$Q$401,999),IF(ISNUMBER(SEARCH(CHAR(10)&amp;'Set Aliases'!$A$2:$A$501&amp;CHAR(10),$H560)),'Set Aliases'!$C$2:$C$501,999))),"(none)"))</f>
        <v/>
      </c>
      <c r="C560" s="80" t="str">
        <f t="shared" si="1"/>
        <v/>
      </c>
      <c r="D560" s="80" t="str">
        <f t="array" ref="D560">IF(A560="","",IF(ISLOGICAL(INDEX('Deck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60" s="80" t="str">
        <f t="shared" si="2"/>
        <v/>
      </c>
      <c r="F560" s="80" t="str">
        <f t="array" ref="F560">IF(A560="","",IF(ISNUMBER(J560),J560,IF(ISNUMBER(INDEX('Deck 2'!$A:$Z,ROW()-500,'List Setup'!$F$4)),INDEX('Deck 2'!$A:$Z,ROW()-500,'List Setup'!$F$4),0)))</f>
        <v/>
      </c>
      <c r="G560" s="80" t="str">
        <f t="array" ref="G560">IF(A560="","",A560&amp;IF(N(INDEX('Deck 2'!$A:$Z,ROW()-500,'List Setup'!$C$4))&gt;1," (x"&amp;INDEX('Deck 2'!$A:$Z,ROW()-500,'List Setup'!$C$4)&amp;")","")&amp;IF(COUNTIF(Binders!$J$6:$J$30,TRUE())&gt;1," ["&amp;Q560&amp;"]",""))</f>
        <v/>
      </c>
      <c r="H560" s="80" t="str">
        <f t="array" ref="H560">IF(A560="","",CHAR(10)&amp;INDEX('Deck 2'!$A:$Z,ROW()-500,'List Setup'!$E$4)&amp;CHAR(10))</f>
        <v/>
      </c>
      <c r="I560" s="80" t="str">
        <f t="array" ref="I560">IF(OR(B560="",B560="(none)"),"",IF(ISNUMBER(SEARCH(CHAR(10)&amp;B560&amp;CHAR(10),H560)),B560,IFERROR(INDEX('Set Aliases'!$A$2:$A$501,MATCH(1,('Set Aliases'!$B$2:$B$501=B560)*ISNUMBER(SEARCH(CHAR(10)&amp;'Set Aliases'!$A$2:$A$501&amp;CHAR(10),H560)),0)),"")))</f>
        <v/>
      </c>
      <c r="J560" s="80" t="str">
        <f t="array" ref="J560">IF(I560="","",IFERROR(VALUE(TRIM(MID(SUBSTITUTE(INDEX('Deck 2'!$A:$Z,ROW()-500,'List Setup'!$G$4),CHAR(10),REPT(" ",100)),((SEARCH(CHAR(10)&amp;I560&amp;CHAR(10),H560)-LEN(SUBSTITUTE(LEFT(H560,SEARCH(CHAR(10)&amp;I560&amp;CHAR(10),H560)),CHAR(10),"")))-1)*100+1,100))),""))</f>
        <v/>
      </c>
      <c r="K560" s="80" t="str">
        <f t="array" ref="K560">IF(A560="","",IF(ISNUMBER(SEARCH("Land",LEFT(IFERROR(INDEX('Deck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60" s="80" t="str">
        <f t="shared" si="3"/>
        <v/>
      </c>
      <c r="M560" s="80" t="str">
        <f>IF(A560="","",IF(AND(E560="Y",B560='Use at Shop'!$B$4),K560*10000000000+(MAX(0,MIN(26,CODE(MID(UPPER(A560)&amp;"    ",1,1))-64))*19683+MAX(0,MIN(26,CODE(MID(UPPER(A560)&amp;"    ",2,1))-64))*729+MAX(0,MIN(26,CODE(MID(UPPER(A560)&amp;"    ",3,1))-64))*27+MAX(0,MIN(26,CODE(MID(UPPER(A560)&amp;"    ",4,1))-64))*1)*10000+ROW(),""))</f>
        <v/>
      </c>
      <c r="N560" s="80" t="str">
        <f t="shared" si="6"/>
        <v/>
      </c>
      <c r="O560" s="80" t="str">
        <f t="array" ref="O560">IF(A560="","",IFERROR(INDEX('Deck 2'!$A:$Z,ROW()-500,'List Setup'!$J$4)&amp;"",""))</f>
        <v/>
      </c>
      <c r="P560" s="2"/>
      <c r="Q560" s="80" t="str">
        <f>IF(A560="","",'List Setup'!$A$4)</f>
        <v/>
      </c>
      <c r="R560" s="80" t="str">
        <f t="array" ref="R560">IF(A560="","",IFERROR(OR(INDEX(Binders!$J$6:$J$30,MATCH(Q560,Binders!$I$6:$I$30,0))=TRUE(),UPPER(INDEX(Binders!$J$6:$J$30,MATCH(Q560,Binders!$I$6:$I$30,0))&amp;"")="TRUE"),FALSE()))</f>
        <v/>
      </c>
    </row>
    <row r="561" ht="15.75" customHeight="1">
      <c r="A561" s="80" t="str">
        <f t="array" ref="A561">IF(INDEX('Deck 2'!$A:$Z,ROW()-500,'List Setup'!$D$4)="","",INDEX('Deck 2'!$A:$Z,ROW()-500,'List Setup'!$D$4))</f>
        <v/>
      </c>
      <c r="B561" s="80" t="str">
        <f t="array" ref="B561">IF(A561="","",IFERROR(INDEX('Binder Setup'!$B$2:$B$401,MIN(IF(ISNUMBER(SEARCH(CHAR(10)&amp;'Binder Setup'!$B$2:$B$401&amp;CHAR(10),$H561)),'List Setup'!$Q$2:$Q$401,999),IF(ISNUMBER(SEARCH(CHAR(10)&amp;'Set Aliases'!$A$2:$A$501&amp;CHAR(10),$H561)),'Set Aliases'!$C$2:$C$501,999))),"(none)"))</f>
        <v/>
      </c>
      <c r="C561" s="80" t="str">
        <f t="shared" si="1"/>
        <v/>
      </c>
      <c r="D561" s="80" t="str">
        <f t="array" ref="D561">IF(A561="","",IF(ISLOGICAL(INDEX('Deck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61" s="80" t="str">
        <f t="shared" si="2"/>
        <v/>
      </c>
      <c r="F561" s="80" t="str">
        <f t="array" ref="F561">IF(A561="","",IF(ISNUMBER(J561),J561,IF(ISNUMBER(INDEX('Deck 2'!$A:$Z,ROW()-500,'List Setup'!$F$4)),INDEX('Deck 2'!$A:$Z,ROW()-500,'List Setup'!$F$4),0)))</f>
        <v/>
      </c>
      <c r="G561" s="80" t="str">
        <f t="array" ref="G561">IF(A561="","",A561&amp;IF(N(INDEX('Deck 2'!$A:$Z,ROW()-500,'List Setup'!$C$4))&gt;1," (x"&amp;INDEX('Deck 2'!$A:$Z,ROW()-500,'List Setup'!$C$4)&amp;")","")&amp;IF(COUNTIF(Binders!$J$6:$J$30,TRUE())&gt;1," ["&amp;Q561&amp;"]",""))</f>
        <v/>
      </c>
      <c r="H561" s="80" t="str">
        <f t="array" ref="H561">IF(A561="","",CHAR(10)&amp;INDEX('Deck 2'!$A:$Z,ROW()-500,'List Setup'!$E$4)&amp;CHAR(10))</f>
        <v/>
      </c>
      <c r="I561" s="80" t="str">
        <f t="array" ref="I561">IF(OR(B561="",B561="(none)"),"",IF(ISNUMBER(SEARCH(CHAR(10)&amp;B561&amp;CHAR(10),H561)),B561,IFERROR(INDEX('Set Aliases'!$A$2:$A$501,MATCH(1,('Set Aliases'!$B$2:$B$501=B561)*ISNUMBER(SEARCH(CHAR(10)&amp;'Set Aliases'!$A$2:$A$501&amp;CHAR(10),H561)),0)),"")))</f>
        <v/>
      </c>
      <c r="J561" s="80" t="str">
        <f t="array" ref="J561">IF(I561="","",IFERROR(VALUE(TRIM(MID(SUBSTITUTE(INDEX('Deck 2'!$A:$Z,ROW()-500,'List Setup'!$G$4),CHAR(10),REPT(" ",100)),((SEARCH(CHAR(10)&amp;I561&amp;CHAR(10),H561)-LEN(SUBSTITUTE(LEFT(H561,SEARCH(CHAR(10)&amp;I561&amp;CHAR(10),H561)),CHAR(10),"")))-1)*100+1,100))),""))</f>
        <v/>
      </c>
      <c r="K561" s="80" t="str">
        <f t="array" ref="K561">IF(A561="","",IF(ISNUMBER(SEARCH("Land",LEFT(IFERROR(INDEX('Deck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61" s="80" t="str">
        <f t="shared" si="3"/>
        <v/>
      </c>
      <c r="M561" s="80" t="str">
        <f>IF(A561="","",IF(AND(E561="Y",B561='Use at Shop'!$B$4),K561*10000000000+(MAX(0,MIN(26,CODE(MID(UPPER(A561)&amp;"    ",1,1))-64))*19683+MAX(0,MIN(26,CODE(MID(UPPER(A561)&amp;"    ",2,1))-64))*729+MAX(0,MIN(26,CODE(MID(UPPER(A561)&amp;"    ",3,1))-64))*27+MAX(0,MIN(26,CODE(MID(UPPER(A561)&amp;"    ",4,1))-64))*1)*10000+ROW(),""))</f>
        <v/>
      </c>
      <c r="N561" s="80" t="str">
        <f t="shared" si="6"/>
        <v/>
      </c>
      <c r="O561" s="80" t="str">
        <f t="array" ref="O561">IF(A561="","",IFERROR(INDEX('Deck 2'!$A:$Z,ROW()-500,'List Setup'!$J$4)&amp;"",""))</f>
        <v/>
      </c>
      <c r="P561" s="2"/>
      <c r="Q561" s="80" t="str">
        <f>IF(A561="","",'List Setup'!$A$4)</f>
        <v/>
      </c>
      <c r="R561" s="80" t="str">
        <f t="array" ref="R561">IF(A561="","",IFERROR(OR(INDEX(Binders!$J$6:$J$30,MATCH(Q561,Binders!$I$6:$I$30,0))=TRUE(),UPPER(INDEX(Binders!$J$6:$J$30,MATCH(Q561,Binders!$I$6:$I$30,0))&amp;"")="TRUE"),FALSE()))</f>
        <v/>
      </c>
    </row>
    <row r="562" ht="15.75" customHeight="1">
      <c r="A562" s="80" t="str">
        <f t="array" ref="A562">IF(INDEX('Deck 2'!$A:$Z,ROW()-500,'List Setup'!$D$4)="","",INDEX('Deck 2'!$A:$Z,ROW()-500,'List Setup'!$D$4))</f>
        <v/>
      </c>
      <c r="B562" s="80" t="str">
        <f t="array" ref="B562">IF(A562="","",IFERROR(INDEX('Binder Setup'!$B$2:$B$401,MIN(IF(ISNUMBER(SEARCH(CHAR(10)&amp;'Binder Setup'!$B$2:$B$401&amp;CHAR(10),$H562)),'List Setup'!$Q$2:$Q$401,999),IF(ISNUMBER(SEARCH(CHAR(10)&amp;'Set Aliases'!$A$2:$A$501&amp;CHAR(10),$H562)),'Set Aliases'!$C$2:$C$501,999))),"(none)"))</f>
        <v/>
      </c>
      <c r="C562" s="80" t="str">
        <f t="shared" si="1"/>
        <v/>
      </c>
      <c r="D562" s="80" t="str">
        <f t="array" ref="D562">IF(A562="","",IF(ISLOGICAL(INDEX('Deck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62" s="80" t="str">
        <f t="shared" si="2"/>
        <v/>
      </c>
      <c r="F562" s="80" t="str">
        <f t="array" ref="F562">IF(A562="","",IF(ISNUMBER(J562),J562,IF(ISNUMBER(INDEX('Deck 2'!$A:$Z,ROW()-500,'List Setup'!$F$4)),INDEX('Deck 2'!$A:$Z,ROW()-500,'List Setup'!$F$4),0)))</f>
        <v/>
      </c>
      <c r="G562" s="80" t="str">
        <f t="array" ref="G562">IF(A562="","",A562&amp;IF(N(INDEX('Deck 2'!$A:$Z,ROW()-500,'List Setup'!$C$4))&gt;1," (x"&amp;INDEX('Deck 2'!$A:$Z,ROW()-500,'List Setup'!$C$4)&amp;")","")&amp;IF(COUNTIF(Binders!$J$6:$J$30,TRUE())&gt;1," ["&amp;Q562&amp;"]",""))</f>
        <v/>
      </c>
      <c r="H562" s="80" t="str">
        <f t="array" ref="H562">IF(A562="","",CHAR(10)&amp;INDEX('Deck 2'!$A:$Z,ROW()-500,'List Setup'!$E$4)&amp;CHAR(10))</f>
        <v/>
      </c>
      <c r="I562" s="80" t="str">
        <f t="array" ref="I562">IF(OR(B562="",B562="(none)"),"",IF(ISNUMBER(SEARCH(CHAR(10)&amp;B562&amp;CHAR(10),H562)),B562,IFERROR(INDEX('Set Aliases'!$A$2:$A$501,MATCH(1,('Set Aliases'!$B$2:$B$501=B562)*ISNUMBER(SEARCH(CHAR(10)&amp;'Set Aliases'!$A$2:$A$501&amp;CHAR(10),H562)),0)),"")))</f>
        <v/>
      </c>
      <c r="J562" s="80" t="str">
        <f t="array" ref="J562">IF(I562="","",IFERROR(VALUE(TRIM(MID(SUBSTITUTE(INDEX('Deck 2'!$A:$Z,ROW()-500,'List Setup'!$G$4),CHAR(10),REPT(" ",100)),((SEARCH(CHAR(10)&amp;I562&amp;CHAR(10),H562)-LEN(SUBSTITUTE(LEFT(H562,SEARCH(CHAR(10)&amp;I562&amp;CHAR(10),H562)),CHAR(10),"")))-1)*100+1,100))),""))</f>
        <v/>
      </c>
      <c r="K562" s="80" t="str">
        <f t="array" ref="K562">IF(A562="","",IF(ISNUMBER(SEARCH("Land",LEFT(IFERROR(INDEX('Deck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62" s="80" t="str">
        <f t="shared" si="3"/>
        <v/>
      </c>
      <c r="M562" s="80" t="str">
        <f>IF(A562="","",IF(AND(E562="Y",B562='Use at Shop'!$B$4),K562*10000000000+(MAX(0,MIN(26,CODE(MID(UPPER(A562)&amp;"    ",1,1))-64))*19683+MAX(0,MIN(26,CODE(MID(UPPER(A562)&amp;"    ",2,1))-64))*729+MAX(0,MIN(26,CODE(MID(UPPER(A562)&amp;"    ",3,1))-64))*27+MAX(0,MIN(26,CODE(MID(UPPER(A562)&amp;"    ",4,1))-64))*1)*10000+ROW(),""))</f>
        <v/>
      </c>
      <c r="N562" s="80" t="str">
        <f t="shared" si="6"/>
        <v/>
      </c>
      <c r="O562" s="80" t="str">
        <f t="array" ref="O562">IF(A562="","",IFERROR(INDEX('Deck 2'!$A:$Z,ROW()-500,'List Setup'!$J$4)&amp;"",""))</f>
        <v/>
      </c>
      <c r="P562" s="2"/>
      <c r="Q562" s="80" t="str">
        <f>IF(A562="","",'List Setup'!$A$4)</f>
        <v/>
      </c>
      <c r="R562" s="80" t="str">
        <f t="array" ref="R562">IF(A562="","",IFERROR(OR(INDEX(Binders!$J$6:$J$30,MATCH(Q562,Binders!$I$6:$I$30,0))=TRUE(),UPPER(INDEX(Binders!$J$6:$J$30,MATCH(Q562,Binders!$I$6:$I$30,0))&amp;"")="TRUE"),FALSE()))</f>
        <v/>
      </c>
    </row>
    <row r="563" ht="15.75" customHeight="1">
      <c r="A563" s="80" t="str">
        <f t="array" ref="A563">IF(INDEX('Deck 2'!$A:$Z,ROW()-500,'List Setup'!$D$4)="","",INDEX('Deck 2'!$A:$Z,ROW()-500,'List Setup'!$D$4))</f>
        <v/>
      </c>
      <c r="B563" s="80" t="str">
        <f t="array" ref="B563">IF(A563="","",IFERROR(INDEX('Binder Setup'!$B$2:$B$401,MIN(IF(ISNUMBER(SEARCH(CHAR(10)&amp;'Binder Setup'!$B$2:$B$401&amp;CHAR(10),$H563)),'List Setup'!$Q$2:$Q$401,999),IF(ISNUMBER(SEARCH(CHAR(10)&amp;'Set Aliases'!$A$2:$A$501&amp;CHAR(10),$H563)),'Set Aliases'!$C$2:$C$501,999))),"(none)"))</f>
        <v/>
      </c>
      <c r="C563" s="80" t="str">
        <f t="shared" si="1"/>
        <v/>
      </c>
      <c r="D563" s="80" t="str">
        <f t="array" ref="D563">IF(A563="","",IF(ISLOGICAL(INDEX('Deck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63" s="80" t="str">
        <f t="shared" si="2"/>
        <v/>
      </c>
      <c r="F563" s="80" t="str">
        <f t="array" ref="F563">IF(A563="","",IF(ISNUMBER(J563),J563,IF(ISNUMBER(INDEX('Deck 2'!$A:$Z,ROW()-500,'List Setup'!$F$4)),INDEX('Deck 2'!$A:$Z,ROW()-500,'List Setup'!$F$4),0)))</f>
        <v/>
      </c>
      <c r="G563" s="80" t="str">
        <f t="array" ref="G563">IF(A563="","",A563&amp;IF(N(INDEX('Deck 2'!$A:$Z,ROW()-500,'List Setup'!$C$4))&gt;1," (x"&amp;INDEX('Deck 2'!$A:$Z,ROW()-500,'List Setup'!$C$4)&amp;")","")&amp;IF(COUNTIF(Binders!$J$6:$J$30,TRUE())&gt;1," ["&amp;Q563&amp;"]",""))</f>
        <v/>
      </c>
      <c r="H563" s="80" t="str">
        <f t="array" ref="H563">IF(A563="","",CHAR(10)&amp;INDEX('Deck 2'!$A:$Z,ROW()-500,'List Setup'!$E$4)&amp;CHAR(10))</f>
        <v/>
      </c>
      <c r="I563" s="80" t="str">
        <f t="array" ref="I563">IF(OR(B563="",B563="(none)"),"",IF(ISNUMBER(SEARCH(CHAR(10)&amp;B563&amp;CHAR(10),H563)),B563,IFERROR(INDEX('Set Aliases'!$A$2:$A$501,MATCH(1,('Set Aliases'!$B$2:$B$501=B563)*ISNUMBER(SEARCH(CHAR(10)&amp;'Set Aliases'!$A$2:$A$501&amp;CHAR(10),H563)),0)),"")))</f>
        <v/>
      </c>
      <c r="J563" s="80" t="str">
        <f t="array" ref="J563">IF(I563="","",IFERROR(VALUE(TRIM(MID(SUBSTITUTE(INDEX('Deck 2'!$A:$Z,ROW()-500,'List Setup'!$G$4),CHAR(10),REPT(" ",100)),((SEARCH(CHAR(10)&amp;I563&amp;CHAR(10),H563)-LEN(SUBSTITUTE(LEFT(H563,SEARCH(CHAR(10)&amp;I563&amp;CHAR(10),H563)),CHAR(10),"")))-1)*100+1,100))),""))</f>
        <v/>
      </c>
      <c r="K563" s="80" t="str">
        <f t="array" ref="K563">IF(A563="","",IF(ISNUMBER(SEARCH("Land",LEFT(IFERROR(INDEX('Deck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63" s="80" t="str">
        <f t="shared" si="3"/>
        <v/>
      </c>
      <c r="M563" s="80" t="str">
        <f>IF(A563="","",IF(AND(E563="Y",B563='Use at Shop'!$B$4),K563*10000000000+(MAX(0,MIN(26,CODE(MID(UPPER(A563)&amp;"    ",1,1))-64))*19683+MAX(0,MIN(26,CODE(MID(UPPER(A563)&amp;"    ",2,1))-64))*729+MAX(0,MIN(26,CODE(MID(UPPER(A563)&amp;"    ",3,1))-64))*27+MAX(0,MIN(26,CODE(MID(UPPER(A563)&amp;"    ",4,1))-64))*1)*10000+ROW(),""))</f>
        <v/>
      </c>
      <c r="N563" s="80" t="str">
        <f t="shared" si="6"/>
        <v/>
      </c>
      <c r="O563" s="80" t="str">
        <f t="array" ref="O563">IF(A563="","",IFERROR(INDEX('Deck 2'!$A:$Z,ROW()-500,'List Setup'!$J$4)&amp;"",""))</f>
        <v/>
      </c>
      <c r="P563" s="2"/>
      <c r="Q563" s="80" t="str">
        <f>IF(A563="","",'List Setup'!$A$4)</f>
        <v/>
      </c>
      <c r="R563" s="80" t="str">
        <f t="array" ref="R563">IF(A563="","",IFERROR(OR(INDEX(Binders!$J$6:$J$30,MATCH(Q563,Binders!$I$6:$I$30,0))=TRUE(),UPPER(INDEX(Binders!$J$6:$J$30,MATCH(Q563,Binders!$I$6:$I$30,0))&amp;"")="TRUE"),FALSE()))</f>
        <v/>
      </c>
    </row>
    <row r="564" ht="15.75" customHeight="1">
      <c r="A564" s="80" t="str">
        <f t="array" ref="A564">IF(INDEX('Deck 2'!$A:$Z,ROW()-500,'List Setup'!$D$4)="","",INDEX('Deck 2'!$A:$Z,ROW()-500,'List Setup'!$D$4))</f>
        <v/>
      </c>
      <c r="B564" s="80" t="str">
        <f t="array" ref="B564">IF(A564="","",IFERROR(INDEX('Binder Setup'!$B$2:$B$401,MIN(IF(ISNUMBER(SEARCH(CHAR(10)&amp;'Binder Setup'!$B$2:$B$401&amp;CHAR(10),$H564)),'List Setup'!$Q$2:$Q$401,999),IF(ISNUMBER(SEARCH(CHAR(10)&amp;'Set Aliases'!$A$2:$A$501&amp;CHAR(10),$H564)),'Set Aliases'!$C$2:$C$501,999))),"(none)"))</f>
        <v/>
      </c>
      <c r="C564" s="80" t="str">
        <f t="shared" si="1"/>
        <v/>
      </c>
      <c r="D564" s="80" t="str">
        <f t="array" ref="D564">IF(A564="","",IF(ISLOGICAL(INDEX('Deck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64" s="80" t="str">
        <f t="shared" si="2"/>
        <v/>
      </c>
      <c r="F564" s="80" t="str">
        <f t="array" ref="F564">IF(A564="","",IF(ISNUMBER(J564),J564,IF(ISNUMBER(INDEX('Deck 2'!$A:$Z,ROW()-500,'List Setup'!$F$4)),INDEX('Deck 2'!$A:$Z,ROW()-500,'List Setup'!$F$4),0)))</f>
        <v/>
      </c>
      <c r="G564" s="80" t="str">
        <f t="array" ref="G564">IF(A564="","",A564&amp;IF(N(INDEX('Deck 2'!$A:$Z,ROW()-500,'List Setup'!$C$4))&gt;1," (x"&amp;INDEX('Deck 2'!$A:$Z,ROW()-500,'List Setup'!$C$4)&amp;")","")&amp;IF(COUNTIF(Binders!$J$6:$J$30,TRUE())&gt;1," ["&amp;Q564&amp;"]",""))</f>
        <v/>
      </c>
      <c r="H564" s="80" t="str">
        <f t="array" ref="H564">IF(A564="","",CHAR(10)&amp;INDEX('Deck 2'!$A:$Z,ROW()-500,'List Setup'!$E$4)&amp;CHAR(10))</f>
        <v/>
      </c>
      <c r="I564" s="80" t="str">
        <f t="array" ref="I564">IF(OR(B564="",B564="(none)"),"",IF(ISNUMBER(SEARCH(CHAR(10)&amp;B564&amp;CHAR(10),H564)),B564,IFERROR(INDEX('Set Aliases'!$A$2:$A$501,MATCH(1,('Set Aliases'!$B$2:$B$501=B564)*ISNUMBER(SEARCH(CHAR(10)&amp;'Set Aliases'!$A$2:$A$501&amp;CHAR(10),H564)),0)),"")))</f>
        <v/>
      </c>
      <c r="J564" s="80" t="str">
        <f t="array" ref="J564">IF(I564="","",IFERROR(VALUE(TRIM(MID(SUBSTITUTE(INDEX('Deck 2'!$A:$Z,ROW()-500,'List Setup'!$G$4),CHAR(10),REPT(" ",100)),((SEARCH(CHAR(10)&amp;I564&amp;CHAR(10),H564)-LEN(SUBSTITUTE(LEFT(H564,SEARCH(CHAR(10)&amp;I564&amp;CHAR(10),H564)),CHAR(10),"")))-1)*100+1,100))),""))</f>
        <v/>
      </c>
      <c r="K564" s="80" t="str">
        <f t="array" ref="K564">IF(A564="","",IF(ISNUMBER(SEARCH("Land",LEFT(IFERROR(INDEX('Deck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64" s="80" t="str">
        <f t="shared" si="3"/>
        <v/>
      </c>
      <c r="M564" s="80" t="str">
        <f>IF(A564="","",IF(AND(E564="Y",B564='Use at Shop'!$B$4),K564*10000000000+(MAX(0,MIN(26,CODE(MID(UPPER(A564)&amp;"    ",1,1))-64))*19683+MAX(0,MIN(26,CODE(MID(UPPER(A564)&amp;"    ",2,1))-64))*729+MAX(0,MIN(26,CODE(MID(UPPER(A564)&amp;"    ",3,1))-64))*27+MAX(0,MIN(26,CODE(MID(UPPER(A564)&amp;"    ",4,1))-64))*1)*10000+ROW(),""))</f>
        <v/>
      </c>
      <c r="N564" s="80" t="str">
        <f t="shared" si="6"/>
        <v/>
      </c>
      <c r="O564" s="80" t="str">
        <f t="array" ref="O564">IF(A564="","",IFERROR(INDEX('Deck 2'!$A:$Z,ROW()-500,'List Setup'!$J$4)&amp;"",""))</f>
        <v/>
      </c>
      <c r="P564" s="2"/>
      <c r="Q564" s="80" t="str">
        <f>IF(A564="","",'List Setup'!$A$4)</f>
        <v/>
      </c>
      <c r="R564" s="80" t="str">
        <f t="array" ref="R564">IF(A564="","",IFERROR(OR(INDEX(Binders!$J$6:$J$30,MATCH(Q564,Binders!$I$6:$I$30,0))=TRUE(),UPPER(INDEX(Binders!$J$6:$J$30,MATCH(Q564,Binders!$I$6:$I$30,0))&amp;"")="TRUE"),FALSE()))</f>
        <v/>
      </c>
    </row>
    <row r="565" ht="15.75" customHeight="1">
      <c r="A565" s="80" t="str">
        <f t="array" ref="A565">IF(INDEX('Deck 2'!$A:$Z,ROW()-500,'List Setup'!$D$4)="","",INDEX('Deck 2'!$A:$Z,ROW()-500,'List Setup'!$D$4))</f>
        <v/>
      </c>
      <c r="B565" s="80" t="str">
        <f t="array" ref="B565">IF(A565="","",IFERROR(INDEX('Binder Setup'!$B$2:$B$401,MIN(IF(ISNUMBER(SEARCH(CHAR(10)&amp;'Binder Setup'!$B$2:$B$401&amp;CHAR(10),$H565)),'List Setup'!$Q$2:$Q$401,999),IF(ISNUMBER(SEARCH(CHAR(10)&amp;'Set Aliases'!$A$2:$A$501&amp;CHAR(10),$H565)),'Set Aliases'!$C$2:$C$501,999))),"(none)"))</f>
        <v/>
      </c>
      <c r="C565" s="80" t="str">
        <f t="shared" si="1"/>
        <v/>
      </c>
      <c r="D565" s="80" t="str">
        <f t="array" ref="D565">IF(A565="","",IF(ISLOGICAL(INDEX('Deck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65" s="80" t="str">
        <f t="shared" si="2"/>
        <v/>
      </c>
      <c r="F565" s="80" t="str">
        <f t="array" ref="F565">IF(A565="","",IF(ISNUMBER(J565),J565,IF(ISNUMBER(INDEX('Deck 2'!$A:$Z,ROW()-500,'List Setup'!$F$4)),INDEX('Deck 2'!$A:$Z,ROW()-500,'List Setup'!$F$4),0)))</f>
        <v/>
      </c>
      <c r="G565" s="80" t="str">
        <f t="array" ref="G565">IF(A565="","",A565&amp;IF(N(INDEX('Deck 2'!$A:$Z,ROW()-500,'List Setup'!$C$4))&gt;1," (x"&amp;INDEX('Deck 2'!$A:$Z,ROW()-500,'List Setup'!$C$4)&amp;")","")&amp;IF(COUNTIF(Binders!$J$6:$J$30,TRUE())&gt;1," ["&amp;Q565&amp;"]",""))</f>
        <v/>
      </c>
      <c r="H565" s="80" t="str">
        <f t="array" ref="H565">IF(A565="","",CHAR(10)&amp;INDEX('Deck 2'!$A:$Z,ROW()-500,'List Setup'!$E$4)&amp;CHAR(10))</f>
        <v/>
      </c>
      <c r="I565" s="80" t="str">
        <f t="array" ref="I565">IF(OR(B565="",B565="(none)"),"",IF(ISNUMBER(SEARCH(CHAR(10)&amp;B565&amp;CHAR(10),H565)),B565,IFERROR(INDEX('Set Aliases'!$A$2:$A$501,MATCH(1,('Set Aliases'!$B$2:$B$501=B565)*ISNUMBER(SEARCH(CHAR(10)&amp;'Set Aliases'!$A$2:$A$501&amp;CHAR(10),H565)),0)),"")))</f>
        <v/>
      </c>
      <c r="J565" s="80" t="str">
        <f t="array" ref="J565">IF(I565="","",IFERROR(VALUE(TRIM(MID(SUBSTITUTE(INDEX('Deck 2'!$A:$Z,ROW()-500,'List Setup'!$G$4),CHAR(10),REPT(" ",100)),((SEARCH(CHAR(10)&amp;I565&amp;CHAR(10),H565)-LEN(SUBSTITUTE(LEFT(H565,SEARCH(CHAR(10)&amp;I565&amp;CHAR(10),H565)),CHAR(10),"")))-1)*100+1,100))),""))</f>
        <v/>
      </c>
      <c r="K565" s="80" t="str">
        <f t="array" ref="K565">IF(A565="","",IF(ISNUMBER(SEARCH("Land",LEFT(IFERROR(INDEX('Deck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65" s="80" t="str">
        <f t="shared" si="3"/>
        <v/>
      </c>
      <c r="M565" s="80" t="str">
        <f>IF(A565="","",IF(AND(E565="Y",B565='Use at Shop'!$B$4),K565*10000000000+(MAX(0,MIN(26,CODE(MID(UPPER(A565)&amp;"    ",1,1))-64))*19683+MAX(0,MIN(26,CODE(MID(UPPER(A565)&amp;"    ",2,1))-64))*729+MAX(0,MIN(26,CODE(MID(UPPER(A565)&amp;"    ",3,1))-64))*27+MAX(0,MIN(26,CODE(MID(UPPER(A565)&amp;"    ",4,1))-64))*1)*10000+ROW(),""))</f>
        <v/>
      </c>
      <c r="N565" s="80" t="str">
        <f t="shared" si="6"/>
        <v/>
      </c>
      <c r="O565" s="80" t="str">
        <f t="array" ref="O565">IF(A565="","",IFERROR(INDEX('Deck 2'!$A:$Z,ROW()-500,'List Setup'!$J$4)&amp;"",""))</f>
        <v/>
      </c>
      <c r="P565" s="2"/>
      <c r="Q565" s="80" t="str">
        <f>IF(A565="","",'List Setup'!$A$4)</f>
        <v/>
      </c>
      <c r="R565" s="80" t="str">
        <f t="array" ref="R565">IF(A565="","",IFERROR(OR(INDEX(Binders!$J$6:$J$30,MATCH(Q565,Binders!$I$6:$I$30,0))=TRUE(),UPPER(INDEX(Binders!$J$6:$J$30,MATCH(Q565,Binders!$I$6:$I$30,0))&amp;"")="TRUE"),FALSE()))</f>
        <v/>
      </c>
    </row>
    <row r="566" ht="15.75" customHeight="1">
      <c r="A566" s="80" t="str">
        <f t="array" ref="A566">IF(INDEX('Deck 2'!$A:$Z,ROW()-500,'List Setup'!$D$4)="","",INDEX('Deck 2'!$A:$Z,ROW()-500,'List Setup'!$D$4))</f>
        <v/>
      </c>
      <c r="B566" s="80" t="str">
        <f t="array" ref="B566">IF(A566="","",IFERROR(INDEX('Binder Setup'!$B$2:$B$401,MIN(IF(ISNUMBER(SEARCH(CHAR(10)&amp;'Binder Setup'!$B$2:$B$401&amp;CHAR(10),$H566)),'List Setup'!$Q$2:$Q$401,999),IF(ISNUMBER(SEARCH(CHAR(10)&amp;'Set Aliases'!$A$2:$A$501&amp;CHAR(10),$H566)),'Set Aliases'!$C$2:$C$501,999))),"(none)"))</f>
        <v/>
      </c>
      <c r="C566" s="80" t="str">
        <f t="shared" si="1"/>
        <v/>
      </c>
      <c r="D566" s="80" t="str">
        <f t="array" ref="D566">IF(A566="","",IF(ISLOGICAL(INDEX('Deck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66" s="80" t="str">
        <f t="shared" si="2"/>
        <v/>
      </c>
      <c r="F566" s="80" t="str">
        <f t="array" ref="F566">IF(A566="","",IF(ISNUMBER(J566),J566,IF(ISNUMBER(INDEX('Deck 2'!$A:$Z,ROW()-500,'List Setup'!$F$4)),INDEX('Deck 2'!$A:$Z,ROW()-500,'List Setup'!$F$4),0)))</f>
        <v/>
      </c>
      <c r="G566" s="80" t="str">
        <f t="array" ref="G566">IF(A566="","",A566&amp;IF(N(INDEX('Deck 2'!$A:$Z,ROW()-500,'List Setup'!$C$4))&gt;1," (x"&amp;INDEX('Deck 2'!$A:$Z,ROW()-500,'List Setup'!$C$4)&amp;")","")&amp;IF(COUNTIF(Binders!$J$6:$J$30,TRUE())&gt;1," ["&amp;Q566&amp;"]",""))</f>
        <v/>
      </c>
      <c r="H566" s="80" t="str">
        <f t="array" ref="H566">IF(A566="","",CHAR(10)&amp;INDEX('Deck 2'!$A:$Z,ROW()-500,'List Setup'!$E$4)&amp;CHAR(10))</f>
        <v/>
      </c>
      <c r="I566" s="80" t="str">
        <f t="array" ref="I566">IF(OR(B566="",B566="(none)"),"",IF(ISNUMBER(SEARCH(CHAR(10)&amp;B566&amp;CHAR(10),H566)),B566,IFERROR(INDEX('Set Aliases'!$A$2:$A$501,MATCH(1,('Set Aliases'!$B$2:$B$501=B566)*ISNUMBER(SEARCH(CHAR(10)&amp;'Set Aliases'!$A$2:$A$501&amp;CHAR(10),H566)),0)),"")))</f>
        <v/>
      </c>
      <c r="J566" s="80" t="str">
        <f t="array" ref="J566">IF(I566="","",IFERROR(VALUE(TRIM(MID(SUBSTITUTE(INDEX('Deck 2'!$A:$Z,ROW()-500,'List Setup'!$G$4),CHAR(10),REPT(" ",100)),((SEARCH(CHAR(10)&amp;I566&amp;CHAR(10),H566)-LEN(SUBSTITUTE(LEFT(H566,SEARCH(CHAR(10)&amp;I566&amp;CHAR(10),H566)),CHAR(10),"")))-1)*100+1,100))),""))</f>
        <v/>
      </c>
      <c r="K566" s="80" t="str">
        <f t="array" ref="K566">IF(A566="","",IF(ISNUMBER(SEARCH("Land",LEFT(IFERROR(INDEX('Deck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66" s="80" t="str">
        <f t="shared" si="3"/>
        <v/>
      </c>
      <c r="M566" s="80" t="str">
        <f>IF(A566="","",IF(AND(E566="Y",B566='Use at Shop'!$B$4),K566*10000000000+(MAX(0,MIN(26,CODE(MID(UPPER(A566)&amp;"    ",1,1))-64))*19683+MAX(0,MIN(26,CODE(MID(UPPER(A566)&amp;"    ",2,1))-64))*729+MAX(0,MIN(26,CODE(MID(UPPER(A566)&amp;"    ",3,1))-64))*27+MAX(0,MIN(26,CODE(MID(UPPER(A566)&amp;"    ",4,1))-64))*1)*10000+ROW(),""))</f>
        <v/>
      </c>
      <c r="N566" s="80" t="str">
        <f t="shared" si="6"/>
        <v/>
      </c>
      <c r="O566" s="80" t="str">
        <f t="array" ref="O566">IF(A566="","",IFERROR(INDEX('Deck 2'!$A:$Z,ROW()-500,'List Setup'!$J$4)&amp;"",""))</f>
        <v/>
      </c>
      <c r="P566" s="2"/>
      <c r="Q566" s="80" t="str">
        <f>IF(A566="","",'List Setup'!$A$4)</f>
        <v/>
      </c>
      <c r="R566" s="80" t="str">
        <f t="array" ref="R566">IF(A566="","",IFERROR(OR(INDEX(Binders!$J$6:$J$30,MATCH(Q566,Binders!$I$6:$I$30,0))=TRUE(),UPPER(INDEX(Binders!$J$6:$J$30,MATCH(Q566,Binders!$I$6:$I$30,0))&amp;"")="TRUE"),FALSE()))</f>
        <v/>
      </c>
    </row>
    <row r="567" ht="15.75" customHeight="1">
      <c r="A567" s="80" t="str">
        <f t="array" ref="A567">IF(INDEX('Deck 2'!$A:$Z,ROW()-500,'List Setup'!$D$4)="","",INDEX('Deck 2'!$A:$Z,ROW()-500,'List Setup'!$D$4))</f>
        <v/>
      </c>
      <c r="B567" s="80" t="str">
        <f t="array" ref="B567">IF(A567="","",IFERROR(INDEX('Binder Setup'!$B$2:$B$401,MIN(IF(ISNUMBER(SEARCH(CHAR(10)&amp;'Binder Setup'!$B$2:$B$401&amp;CHAR(10),$H567)),'List Setup'!$Q$2:$Q$401,999),IF(ISNUMBER(SEARCH(CHAR(10)&amp;'Set Aliases'!$A$2:$A$501&amp;CHAR(10),$H567)),'Set Aliases'!$C$2:$C$501,999))),"(none)"))</f>
        <v/>
      </c>
      <c r="C567" s="80" t="str">
        <f t="shared" si="1"/>
        <v/>
      </c>
      <c r="D567" s="80" t="str">
        <f t="array" ref="D567">IF(A567="","",IF(ISLOGICAL(INDEX('Deck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67" s="80" t="str">
        <f t="shared" si="2"/>
        <v/>
      </c>
      <c r="F567" s="80" t="str">
        <f t="array" ref="F567">IF(A567="","",IF(ISNUMBER(J567),J567,IF(ISNUMBER(INDEX('Deck 2'!$A:$Z,ROW()-500,'List Setup'!$F$4)),INDEX('Deck 2'!$A:$Z,ROW()-500,'List Setup'!$F$4),0)))</f>
        <v/>
      </c>
      <c r="G567" s="80" t="str">
        <f t="array" ref="G567">IF(A567="","",A567&amp;IF(N(INDEX('Deck 2'!$A:$Z,ROW()-500,'List Setup'!$C$4))&gt;1," (x"&amp;INDEX('Deck 2'!$A:$Z,ROW()-500,'List Setup'!$C$4)&amp;")","")&amp;IF(COUNTIF(Binders!$J$6:$J$30,TRUE())&gt;1," ["&amp;Q567&amp;"]",""))</f>
        <v/>
      </c>
      <c r="H567" s="80" t="str">
        <f t="array" ref="H567">IF(A567="","",CHAR(10)&amp;INDEX('Deck 2'!$A:$Z,ROW()-500,'List Setup'!$E$4)&amp;CHAR(10))</f>
        <v/>
      </c>
      <c r="I567" s="80" t="str">
        <f t="array" ref="I567">IF(OR(B567="",B567="(none)"),"",IF(ISNUMBER(SEARCH(CHAR(10)&amp;B567&amp;CHAR(10),H567)),B567,IFERROR(INDEX('Set Aliases'!$A$2:$A$501,MATCH(1,('Set Aliases'!$B$2:$B$501=B567)*ISNUMBER(SEARCH(CHAR(10)&amp;'Set Aliases'!$A$2:$A$501&amp;CHAR(10),H567)),0)),"")))</f>
        <v/>
      </c>
      <c r="J567" s="80" t="str">
        <f t="array" ref="J567">IF(I567="","",IFERROR(VALUE(TRIM(MID(SUBSTITUTE(INDEX('Deck 2'!$A:$Z,ROW()-500,'List Setup'!$G$4),CHAR(10),REPT(" ",100)),((SEARCH(CHAR(10)&amp;I567&amp;CHAR(10),H567)-LEN(SUBSTITUTE(LEFT(H567,SEARCH(CHAR(10)&amp;I567&amp;CHAR(10),H567)),CHAR(10),"")))-1)*100+1,100))),""))</f>
        <v/>
      </c>
      <c r="K567" s="80" t="str">
        <f t="array" ref="K567">IF(A567="","",IF(ISNUMBER(SEARCH("Land",LEFT(IFERROR(INDEX('Deck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67" s="80" t="str">
        <f t="shared" si="3"/>
        <v/>
      </c>
      <c r="M567" s="80" t="str">
        <f>IF(A567="","",IF(AND(E567="Y",B567='Use at Shop'!$B$4),K567*10000000000+(MAX(0,MIN(26,CODE(MID(UPPER(A567)&amp;"    ",1,1))-64))*19683+MAX(0,MIN(26,CODE(MID(UPPER(A567)&amp;"    ",2,1))-64))*729+MAX(0,MIN(26,CODE(MID(UPPER(A567)&amp;"    ",3,1))-64))*27+MAX(0,MIN(26,CODE(MID(UPPER(A567)&amp;"    ",4,1))-64))*1)*10000+ROW(),""))</f>
        <v/>
      </c>
      <c r="N567" s="80" t="str">
        <f t="shared" si="6"/>
        <v/>
      </c>
      <c r="O567" s="80" t="str">
        <f t="array" ref="O567">IF(A567="","",IFERROR(INDEX('Deck 2'!$A:$Z,ROW()-500,'List Setup'!$J$4)&amp;"",""))</f>
        <v/>
      </c>
      <c r="P567" s="2"/>
      <c r="Q567" s="80" t="str">
        <f>IF(A567="","",'List Setup'!$A$4)</f>
        <v/>
      </c>
      <c r="R567" s="80" t="str">
        <f t="array" ref="R567">IF(A567="","",IFERROR(OR(INDEX(Binders!$J$6:$J$30,MATCH(Q567,Binders!$I$6:$I$30,0))=TRUE(),UPPER(INDEX(Binders!$J$6:$J$30,MATCH(Q567,Binders!$I$6:$I$30,0))&amp;"")="TRUE"),FALSE()))</f>
        <v/>
      </c>
    </row>
    <row r="568" ht="15.75" customHeight="1">
      <c r="A568" s="80" t="str">
        <f t="array" ref="A568">IF(INDEX('Deck 2'!$A:$Z,ROW()-500,'List Setup'!$D$4)="","",INDEX('Deck 2'!$A:$Z,ROW()-500,'List Setup'!$D$4))</f>
        <v/>
      </c>
      <c r="B568" s="80" t="str">
        <f t="array" ref="B568">IF(A568="","",IFERROR(INDEX('Binder Setup'!$B$2:$B$401,MIN(IF(ISNUMBER(SEARCH(CHAR(10)&amp;'Binder Setup'!$B$2:$B$401&amp;CHAR(10),$H568)),'List Setup'!$Q$2:$Q$401,999),IF(ISNUMBER(SEARCH(CHAR(10)&amp;'Set Aliases'!$A$2:$A$501&amp;CHAR(10),$H568)),'Set Aliases'!$C$2:$C$501,999))),"(none)"))</f>
        <v/>
      </c>
      <c r="C568" s="80" t="str">
        <f t="shared" si="1"/>
        <v/>
      </c>
      <c r="D568" s="80" t="str">
        <f t="array" ref="D568">IF(A568="","",IF(ISLOGICAL(INDEX('Deck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68" s="80" t="str">
        <f t="shared" si="2"/>
        <v/>
      </c>
      <c r="F568" s="80" t="str">
        <f t="array" ref="F568">IF(A568="","",IF(ISNUMBER(J568),J568,IF(ISNUMBER(INDEX('Deck 2'!$A:$Z,ROW()-500,'List Setup'!$F$4)),INDEX('Deck 2'!$A:$Z,ROW()-500,'List Setup'!$F$4),0)))</f>
        <v/>
      </c>
      <c r="G568" s="80" t="str">
        <f t="array" ref="G568">IF(A568="","",A568&amp;IF(N(INDEX('Deck 2'!$A:$Z,ROW()-500,'List Setup'!$C$4))&gt;1," (x"&amp;INDEX('Deck 2'!$A:$Z,ROW()-500,'List Setup'!$C$4)&amp;")","")&amp;IF(COUNTIF(Binders!$J$6:$J$30,TRUE())&gt;1," ["&amp;Q568&amp;"]",""))</f>
        <v/>
      </c>
      <c r="H568" s="80" t="str">
        <f t="array" ref="H568">IF(A568="","",CHAR(10)&amp;INDEX('Deck 2'!$A:$Z,ROW()-500,'List Setup'!$E$4)&amp;CHAR(10))</f>
        <v/>
      </c>
      <c r="I568" s="80" t="str">
        <f t="array" ref="I568">IF(OR(B568="",B568="(none)"),"",IF(ISNUMBER(SEARCH(CHAR(10)&amp;B568&amp;CHAR(10),H568)),B568,IFERROR(INDEX('Set Aliases'!$A$2:$A$501,MATCH(1,('Set Aliases'!$B$2:$B$501=B568)*ISNUMBER(SEARCH(CHAR(10)&amp;'Set Aliases'!$A$2:$A$501&amp;CHAR(10),H568)),0)),"")))</f>
        <v/>
      </c>
      <c r="J568" s="80" t="str">
        <f t="array" ref="J568">IF(I568="","",IFERROR(VALUE(TRIM(MID(SUBSTITUTE(INDEX('Deck 2'!$A:$Z,ROW()-500,'List Setup'!$G$4),CHAR(10),REPT(" ",100)),((SEARCH(CHAR(10)&amp;I568&amp;CHAR(10),H568)-LEN(SUBSTITUTE(LEFT(H568,SEARCH(CHAR(10)&amp;I568&amp;CHAR(10),H568)),CHAR(10),"")))-1)*100+1,100))),""))</f>
        <v/>
      </c>
      <c r="K568" s="80" t="str">
        <f t="array" ref="K568">IF(A568="","",IF(ISNUMBER(SEARCH("Land",LEFT(IFERROR(INDEX('Deck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68" s="80" t="str">
        <f t="shared" si="3"/>
        <v/>
      </c>
      <c r="M568" s="80" t="str">
        <f>IF(A568="","",IF(AND(E568="Y",B568='Use at Shop'!$B$4),K568*10000000000+(MAX(0,MIN(26,CODE(MID(UPPER(A568)&amp;"    ",1,1))-64))*19683+MAX(0,MIN(26,CODE(MID(UPPER(A568)&amp;"    ",2,1))-64))*729+MAX(0,MIN(26,CODE(MID(UPPER(A568)&amp;"    ",3,1))-64))*27+MAX(0,MIN(26,CODE(MID(UPPER(A568)&amp;"    ",4,1))-64))*1)*10000+ROW(),""))</f>
        <v/>
      </c>
      <c r="N568" s="80" t="str">
        <f t="shared" si="6"/>
        <v/>
      </c>
      <c r="O568" s="80" t="str">
        <f t="array" ref="O568">IF(A568="","",IFERROR(INDEX('Deck 2'!$A:$Z,ROW()-500,'List Setup'!$J$4)&amp;"",""))</f>
        <v/>
      </c>
      <c r="P568" s="2"/>
      <c r="Q568" s="80" t="str">
        <f>IF(A568="","",'List Setup'!$A$4)</f>
        <v/>
      </c>
      <c r="R568" s="80" t="str">
        <f t="array" ref="R568">IF(A568="","",IFERROR(OR(INDEX(Binders!$J$6:$J$30,MATCH(Q568,Binders!$I$6:$I$30,0))=TRUE(),UPPER(INDEX(Binders!$J$6:$J$30,MATCH(Q568,Binders!$I$6:$I$30,0))&amp;"")="TRUE"),FALSE()))</f>
        <v/>
      </c>
    </row>
    <row r="569" ht="15.75" customHeight="1">
      <c r="A569" s="80" t="str">
        <f t="array" ref="A569">IF(INDEX('Deck 2'!$A:$Z,ROW()-500,'List Setup'!$D$4)="","",INDEX('Deck 2'!$A:$Z,ROW()-500,'List Setup'!$D$4))</f>
        <v/>
      </c>
      <c r="B569" s="80" t="str">
        <f t="array" ref="B569">IF(A569="","",IFERROR(INDEX('Binder Setup'!$B$2:$B$401,MIN(IF(ISNUMBER(SEARCH(CHAR(10)&amp;'Binder Setup'!$B$2:$B$401&amp;CHAR(10),$H569)),'List Setup'!$Q$2:$Q$401,999),IF(ISNUMBER(SEARCH(CHAR(10)&amp;'Set Aliases'!$A$2:$A$501&amp;CHAR(10),$H569)),'Set Aliases'!$C$2:$C$501,999))),"(none)"))</f>
        <v/>
      </c>
      <c r="C569" s="80" t="str">
        <f t="shared" si="1"/>
        <v/>
      </c>
      <c r="D569" s="80" t="str">
        <f t="array" ref="D569">IF(A569="","",IF(ISLOGICAL(INDEX('Deck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69" s="80" t="str">
        <f t="shared" si="2"/>
        <v/>
      </c>
      <c r="F569" s="80" t="str">
        <f t="array" ref="F569">IF(A569="","",IF(ISNUMBER(J569),J569,IF(ISNUMBER(INDEX('Deck 2'!$A:$Z,ROW()-500,'List Setup'!$F$4)),INDEX('Deck 2'!$A:$Z,ROW()-500,'List Setup'!$F$4),0)))</f>
        <v/>
      </c>
      <c r="G569" s="80" t="str">
        <f t="array" ref="G569">IF(A569="","",A569&amp;IF(N(INDEX('Deck 2'!$A:$Z,ROW()-500,'List Setup'!$C$4))&gt;1," (x"&amp;INDEX('Deck 2'!$A:$Z,ROW()-500,'List Setup'!$C$4)&amp;")","")&amp;IF(COUNTIF(Binders!$J$6:$J$30,TRUE())&gt;1," ["&amp;Q569&amp;"]",""))</f>
        <v/>
      </c>
      <c r="H569" s="80" t="str">
        <f t="array" ref="H569">IF(A569="","",CHAR(10)&amp;INDEX('Deck 2'!$A:$Z,ROW()-500,'List Setup'!$E$4)&amp;CHAR(10))</f>
        <v/>
      </c>
      <c r="I569" s="80" t="str">
        <f t="array" ref="I569">IF(OR(B569="",B569="(none)"),"",IF(ISNUMBER(SEARCH(CHAR(10)&amp;B569&amp;CHAR(10),H569)),B569,IFERROR(INDEX('Set Aliases'!$A$2:$A$501,MATCH(1,('Set Aliases'!$B$2:$B$501=B569)*ISNUMBER(SEARCH(CHAR(10)&amp;'Set Aliases'!$A$2:$A$501&amp;CHAR(10),H569)),0)),"")))</f>
        <v/>
      </c>
      <c r="J569" s="80" t="str">
        <f t="array" ref="J569">IF(I569="","",IFERROR(VALUE(TRIM(MID(SUBSTITUTE(INDEX('Deck 2'!$A:$Z,ROW()-500,'List Setup'!$G$4),CHAR(10),REPT(" ",100)),((SEARCH(CHAR(10)&amp;I569&amp;CHAR(10),H569)-LEN(SUBSTITUTE(LEFT(H569,SEARCH(CHAR(10)&amp;I569&amp;CHAR(10),H569)),CHAR(10),"")))-1)*100+1,100))),""))</f>
        <v/>
      </c>
      <c r="K569" s="80" t="str">
        <f t="array" ref="K569">IF(A569="","",IF(ISNUMBER(SEARCH("Land",LEFT(IFERROR(INDEX('Deck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69" s="80" t="str">
        <f t="shared" si="3"/>
        <v/>
      </c>
      <c r="M569" s="80" t="str">
        <f>IF(A569="","",IF(AND(E569="Y",B569='Use at Shop'!$B$4),K569*10000000000+(MAX(0,MIN(26,CODE(MID(UPPER(A569)&amp;"    ",1,1))-64))*19683+MAX(0,MIN(26,CODE(MID(UPPER(A569)&amp;"    ",2,1))-64))*729+MAX(0,MIN(26,CODE(MID(UPPER(A569)&amp;"    ",3,1))-64))*27+MAX(0,MIN(26,CODE(MID(UPPER(A569)&amp;"    ",4,1))-64))*1)*10000+ROW(),""))</f>
        <v/>
      </c>
      <c r="N569" s="80" t="str">
        <f t="shared" si="6"/>
        <v/>
      </c>
      <c r="O569" s="80" t="str">
        <f t="array" ref="O569">IF(A569="","",IFERROR(INDEX('Deck 2'!$A:$Z,ROW()-500,'List Setup'!$J$4)&amp;"",""))</f>
        <v/>
      </c>
      <c r="P569" s="2"/>
      <c r="Q569" s="80" t="str">
        <f>IF(A569="","",'List Setup'!$A$4)</f>
        <v/>
      </c>
      <c r="R569" s="80" t="str">
        <f t="array" ref="R569">IF(A569="","",IFERROR(OR(INDEX(Binders!$J$6:$J$30,MATCH(Q569,Binders!$I$6:$I$30,0))=TRUE(),UPPER(INDEX(Binders!$J$6:$J$30,MATCH(Q569,Binders!$I$6:$I$30,0))&amp;"")="TRUE"),FALSE()))</f>
        <v/>
      </c>
    </row>
    <row r="570" ht="15.75" customHeight="1">
      <c r="A570" s="80" t="str">
        <f t="array" ref="A570">IF(INDEX('Deck 2'!$A:$Z,ROW()-500,'List Setup'!$D$4)="","",INDEX('Deck 2'!$A:$Z,ROW()-500,'List Setup'!$D$4))</f>
        <v/>
      </c>
      <c r="B570" s="80" t="str">
        <f t="array" ref="B570">IF(A570="","",IFERROR(INDEX('Binder Setup'!$B$2:$B$401,MIN(IF(ISNUMBER(SEARCH(CHAR(10)&amp;'Binder Setup'!$B$2:$B$401&amp;CHAR(10),$H570)),'List Setup'!$Q$2:$Q$401,999),IF(ISNUMBER(SEARCH(CHAR(10)&amp;'Set Aliases'!$A$2:$A$501&amp;CHAR(10),$H570)),'Set Aliases'!$C$2:$C$501,999))),"(none)"))</f>
        <v/>
      </c>
      <c r="C570" s="80" t="str">
        <f t="shared" si="1"/>
        <v/>
      </c>
      <c r="D570" s="80" t="str">
        <f t="array" ref="D570">IF(A570="","",IF(ISLOGICAL(INDEX('Deck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70" s="80" t="str">
        <f t="shared" si="2"/>
        <v/>
      </c>
      <c r="F570" s="80" t="str">
        <f t="array" ref="F570">IF(A570="","",IF(ISNUMBER(J570),J570,IF(ISNUMBER(INDEX('Deck 2'!$A:$Z,ROW()-500,'List Setup'!$F$4)),INDEX('Deck 2'!$A:$Z,ROW()-500,'List Setup'!$F$4),0)))</f>
        <v/>
      </c>
      <c r="G570" s="80" t="str">
        <f t="array" ref="G570">IF(A570="","",A570&amp;IF(N(INDEX('Deck 2'!$A:$Z,ROW()-500,'List Setup'!$C$4))&gt;1," (x"&amp;INDEX('Deck 2'!$A:$Z,ROW()-500,'List Setup'!$C$4)&amp;")","")&amp;IF(COUNTIF(Binders!$J$6:$J$30,TRUE())&gt;1," ["&amp;Q570&amp;"]",""))</f>
        <v/>
      </c>
      <c r="H570" s="80" t="str">
        <f t="array" ref="H570">IF(A570="","",CHAR(10)&amp;INDEX('Deck 2'!$A:$Z,ROW()-500,'List Setup'!$E$4)&amp;CHAR(10))</f>
        <v/>
      </c>
      <c r="I570" s="80" t="str">
        <f t="array" ref="I570">IF(OR(B570="",B570="(none)"),"",IF(ISNUMBER(SEARCH(CHAR(10)&amp;B570&amp;CHAR(10),H570)),B570,IFERROR(INDEX('Set Aliases'!$A$2:$A$501,MATCH(1,('Set Aliases'!$B$2:$B$501=B570)*ISNUMBER(SEARCH(CHAR(10)&amp;'Set Aliases'!$A$2:$A$501&amp;CHAR(10),H570)),0)),"")))</f>
        <v/>
      </c>
      <c r="J570" s="80" t="str">
        <f t="array" ref="J570">IF(I570="","",IFERROR(VALUE(TRIM(MID(SUBSTITUTE(INDEX('Deck 2'!$A:$Z,ROW()-500,'List Setup'!$G$4),CHAR(10),REPT(" ",100)),((SEARCH(CHAR(10)&amp;I570&amp;CHAR(10),H570)-LEN(SUBSTITUTE(LEFT(H570,SEARCH(CHAR(10)&amp;I570&amp;CHAR(10),H570)),CHAR(10),"")))-1)*100+1,100))),""))</f>
        <v/>
      </c>
      <c r="K570" s="80" t="str">
        <f t="array" ref="K570">IF(A570="","",IF(ISNUMBER(SEARCH("Land",LEFT(IFERROR(INDEX('Deck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70" s="80" t="str">
        <f t="shared" si="3"/>
        <v/>
      </c>
      <c r="M570" s="80" t="str">
        <f>IF(A570="","",IF(AND(E570="Y",B570='Use at Shop'!$B$4),K570*10000000000+(MAX(0,MIN(26,CODE(MID(UPPER(A570)&amp;"    ",1,1))-64))*19683+MAX(0,MIN(26,CODE(MID(UPPER(A570)&amp;"    ",2,1))-64))*729+MAX(0,MIN(26,CODE(MID(UPPER(A570)&amp;"    ",3,1))-64))*27+MAX(0,MIN(26,CODE(MID(UPPER(A570)&amp;"    ",4,1))-64))*1)*10000+ROW(),""))</f>
        <v/>
      </c>
      <c r="N570" s="80" t="str">
        <f t="shared" si="6"/>
        <v/>
      </c>
      <c r="O570" s="80" t="str">
        <f t="array" ref="O570">IF(A570="","",IFERROR(INDEX('Deck 2'!$A:$Z,ROW()-500,'List Setup'!$J$4)&amp;"",""))</f>
        <v/>
      </c>
      <c r="P570" s="2"/>
      <c r="Q570" s="80" t="str">
        <f>IF(A570="","",'List Setup'!$A$4)</f>
        <v/>
      </c>
      <c r="R570" s="80" t="str">
        <f t="array" ref="R570">IF(A570="","",IFERROR(OR(INDEX(Binders!$J$6:$J$30,MATCH(Q570,Binders!$I$6:$I$30,0))=TRUE(),UPPER(INDEX(Binders!$J$6:$J$30,MATCH(Q570,Binders!$I$6:$I$30,0))&amp;"")="TRUE"),FALSE()))</f>
        <v/>
      </c>
    </row>
    <row r="571" ht="15.75" customHeight="1">
      <c r="A571" s="80" t="str">
        <f t="array" ref="A571">IF(INDEX('Deck 2'!$A:$Z,ROW()-500,'List Setup'!$D$4)="","",INDEX('Deck 2'!$A:$Z,ROW()-500,'List Setup'!$D$4))</f>
        <v/>
      </c>
      <c r="B571" s="80" t="str">
        <f t="array" ref="B571">IF(A571="","",IFERROR(INDEX('Binder Setup'!$B$2:$B$401,MIN(IF(ISNUMBER(SEARCH(CHAR(10)&amp;'Binder Setup'!$B$2:$B$401&amp;CHAR(10),$H571)),'List Setup'!$Q$2:$Q$401,999),IF(ISNUMBER(SEARCH(CHAR(10)&amp;'Set Aliases'!$A$2:$A$501&amp;CHAR(10),$H571)),'Set Aliases'!$C$2:$C$501,999))),"(none)"))</f>
        <v/>
      </c>
      <c r="C571" s="80" t="str">
        <f t="shared" si="1"/>
        <v/>
      </c>
      <c r="D571" s="80" t="str">
        <f t="array" ref="D571">IF(A571="","",IF(ISLOGICAL(INDEX('Deck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71" s="80" t="str">
        <f t="shared" si="2"/>
        <v/>
      </c>
      <c r="F571" s="80" t="str">
        <f t="array" ref="F571">IF(A571="","",IF(ISNUMBER(J571),J571,IF(ISNUMBER(INDEX('Deck 2'!$A:$Z,ROW()-500,'List Setup'!$F$4)),INDEX('Deck 2'!$A:$Z,ROW()-500,'List Setup'!$F$4),0)))</f>
        <v/>
      </c>
      <c r="G571" s="80" t="str">
        <f t="array" ref="G571">IF(A571="","",A571&amp;IF(N(INDEX('Deck 2'!$A:$Z,ROW()-500,'List Setup'!$C$4))&gt;1," (x"&amp;INDEX('Deck 2'!$A:$Z,ROW()-500,'List Setup'!$C$4)&amp;")","")&amp;IF(COUNTIF(Binders!$J$6:$J$30,TRUE())&gt;1," ["&amp;Q571&amp;"]",""))</f>
        <v/>
      </c>
      <c r="H571" s="80" t="str">
        <f t="array" ref="H571">IF(A571="","",CHAR(10)&amp;INDEX('Deck 2'!$A:$Z,ROW()-500,'List Setup'!$E$4)&amp;CHAR(10))</f>
        <v/>
      </c>
      <c r="I571" s="80" t="str">
        <f t="array" ref="I571">IF(OR(B571="",B571="(none)"),"",IF(ISNUMBER(SEARCH(CHAR(10)&amp;B571&amp;CHAR(10),H571)),B571,IFERROR(INDEX('Set Aliases'!$A$2:$A$501,MATCH(1,('Set Aliases'!$B$2:$B$501=B571)*ISNUMBER(SEARCH(CHAR(10)&amp;'Set Aliases'!$A$2:$A$501&amp;CHAR(10),H571)),0)),"")))</f>
        <v/>
      </c>
      <c r="J571" s="80" t="str">
        <f t="array" ref="J571">IF(I571="","",IFERROR(VALUE(TRIM(MID(SUBSTITUTE(INDEX('Deck 2'!$A:$Z,ROW()-500,'List Setup'!$G$4),CHAR(10),REPT(" ",100)),((SEARCH(CHAR(10)&amp;I571&amp;CHAR(10),H571)-LEN(SUBSTITUTE(LEFT(H571,SEARCH(CHAR(10)&amp;I571&amp;CHAR(10),H571)),CHAR(10),"")))-1)*100+1,100))),""))</f>
        <v/>
      </c>
      <c r="K571" s="80" t="str">
        <f t="array" ref="K571">IF(A571="","",IF(ISNUMBER(SEARCH("Land",LEFT(IFERROR(INDEX('Deck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71" s="80" t="str">
        <f t="shared" si="3"/>
        <v/>
      </c>
      <c r="M571" s="80" t="str">
        <f>IF(A571="","",IF(AND(E571="Y",B571='Use at Shop'!$B$4),K571*10000000000+(MAX(0,MIN(26,CODE(MID(UPPER(A571)&amp;"    ",1,1))-64))*19683+MAX(0,MIN(26,CODE(MID(UPPER(A571)&amp;"    ",2,1))-64))*729+MAX(0,MIN(26,CODE(MID(UPPER(A571)&amp;"    ",3,1))-64))*27+MAX(0,MIN(26,CODE(MID(UPPER(A571)&amp;"    ",4,1))-64))*1)*10000+ROW(),""))</f>
        <v/>
      </c>
      <c r="N571" s="80" t="str">
        <f t="shared" si="6"/>
        <v/>
      </c>
      <c r="O571" s="80" t="str">
        <f t="array" ref="O571">IF(A571="","",IFERROR(INDEX('Deck 2'!$A:$Z,ROW()-500,'List Setup'!$J$4)&amp;"",""))</f>
        <v/>
      </c>
      <c r="P571" s="2"/>
      <c r="Q571" s="80" t="str">
        <f>IF(A571="","",'List Setup'!$A$4)</f>
        <v/>
      </c>
      <c r="R571" s="80" t="str">
        <f t="array" ref="R571">IF(A571="","",IFERROR(OR(INDEX(Binders!$J$6:$J$30,MATCH(Q571,Binders!$I$6:$I$30,0))=TRUE(),UPPER(INDEX(Binders!$J$6:$J$30,MATCH(Q571,Binders!$I$6:$I$30,0))&amp;"")="TRUE"),FALSE()))</f>
        <v/>
      </c>
    </row>
    <row r="572" ht="15.75" customHeight="1">
      <c r="A572" s="80" t="str">
        <f t="array" ref="A572">IF(INDEX('Deck 2'!$A:$Z,ROW()-500,'List Setup'!$D$4)="","",INDEX('Deck 2'!$A:$Z,ROW()-500,'List Setup'!$D$4))</f>
        <v/>
      </c>
      <c r="B572" s="80" t="str">
        <f t="array" ref="B572">IF(A572="","",IFERROR(INDEX('Binder Setup'!$B$2:$B$401,MIN(IF(ISNUMBER(SEARCH(CHAR(10)&amp;'Binder Setup'!$B$2:$B$401&amp;CHAR(10),$H572)),'List Setup'!$Q$2:$Q$401,999),IF(ISNUMBER(SEARCH(CHAR(10)&amp;'Set Aliases'!$A$2:$A$501&amp;CHAR(10),$H572)),'Set Aliases'!$C$2:$C$501,999))),"(none)"))</f>
        <v/>
      </c>
      <c r="C572" s="80" t="str">
        <f t="shared" si="1"/>
        <v/>
      </c>
      <c r="D572" s="80" t="str">
        <f t="array" ref="D572">IF(A572="","",IF(ISLOGICAL(INDEX('Deck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72" s="80" t="str">
        <f t="shared" si="2"/>
        <v/>
      </c>
      <c r="F572" s="80" t="str">
        <f t="array" ref="F572">IF(A572="","",IF(ISNUMBER(J572),J572,IF(ISNUMBER(INDEX('Deck 2'!$A:$Z,ROW()-500,'List Setup'!$F$4)),INDEX('Deck 2'!$A:$Z,ROW()-500,'List Setup'!$F$4),0)))</f>
        <v/>
      </c>
      <c r="G572" s="80" t="str">
        <f t="array" ref="G572">IF(A572="","",A572&amp;IF(N(INDEX('Deck 2'!$A:$Z,ROW()-500,'List Setup'!$C$4))&gt;1," (x"&amp;INDEX('Deck 2'!$A:$Z,ROW()-500,'List Setup'!$C$4)&amp;")","")&amp;IF(COUNTIF(Binders!$J$6:$J$30,TRUE())&gt;1," ["&amp;Q572&amp;"]",""))</f>
        <v/>
      </c>
      <c r="H572" s="80" t="str">
        <f t="array" ref="H572">IF(A572="","",CHAR(10)&amp;INDEX('Deck 2'!$A:$Z,ROW()-500,'List Setup'!$E$4)&amp;CHAR(10))</f>
        <v/>
      </c>
      <c r="I572" s="80" t="str">
        <f t="array" ref="I572">IF(OR(B572="",B572="(none)"),"",IF(ISNUMBER(SEARCH(CHAR(10)&amp;B572&amp;CHAR(10),H572)),B572,IFERROR(INDEX('Set Aliases'!$A$2:$A$501,MATCH(1,('Set Aliases'!$B$2:$B$501=B572)*ISNUMBER(SEARCH(CHAR(10)&amp;'Set Aliases'!$A$2:$A$501&amp;CHAR(10),H572)),0)),"")))</f>
        <v/>
      </c>
      <c r="J572" s="80" t="str">
        <f t="array" ref="J572">IF(I572="","",IFERROR(VALUE(TRIM(MID(SUBSTITUTE(INDEX('Deck 2'!$A:$Z,ROW()-500,'List Setup'!$G$4),CHAR(10),REPT(" ",100)),((SEARCH(CHAR(10)&amp;I572&amp;CHAR(10),H572)-LEN(SUBSTITUTE(LEFT(H572,SEARCH(CHAR(10)&amp;I572&amp;CHAR(10),H572)),CHAR(10),"")))-1)*100+1,100))),""))</f>
        <v/>
      </c>
      <c r="K572" s="80" t="str">
        <f t="array" ref="K572">IF(A572="","",IF(ISNUMBER(SEARCH("Land",LEFT(IFERROR(INDEX('Deck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72" s="80" t="str">
        <f t="shared" si="3"/>
        <v/>
      </c>
      <c r="M572" s="80" t="str">
        <f>IF(A572="","",IF(AND(E572="Y",B572='Use at Shop'!$B$4),K572*10000000000+(MAX(0,MIN(26,CODE(MID(UPPER(A572)&amp;"    ",1,1))-64))*19683+MAX(0,MIN(26,CODE(MID(UPPER(A572)&amp;"    ",2,1))-64))*729+MAX(0,MIN(26,CODE(MID(UPPER(A572)&amp;"    ",3,1))-64))*27+MAX(0,MIN(26,CODE(MID(UPPER(A572)&amp;"    ",4,1))-64))*1)*10000+ROW(),""))</f>
        <v/>
      </c>
      <c r="N572" s="80" t="str">
        <f t="shared" si="6"/>
        <v/>
      </c>
      <c r="O572" s="80" t="str">
        <f t="array" ref="O572">IF(A572="","",IFERROR(INDEX('Deck 2'!$A:$Z,ROW()-500,'List Setup'!$J$4)&amp;"",""))</f>
        <v/>
      </c>
      <c r="P572" s="2"/>
      <c r="Q572" s="80" t="str">
        <f>IF(A572="","",'List Setup'!$A$4)</f>
        <v/>
      </c>
      <c r="R572" s="80" t="str">
        <f t="array" ref="R572">IF(A572="","",IFERROR(OR(INDEX(Binders!$J$6:$J$30,MATCH(Q572,Binders!$I$6:$I$30,0))=TRUE(),UPPER(INDEX(Binders!$J$6:$J$30,MATCH(Q572,Binders!$I$6:$I$30,0))&amp;"")="TRUE"),FALSE()))</f>
        <v/>
      </c>
    </row>
    <row r="573" ht="15.75" customHeight="1">
      <c r="A573" s="80" t="str">
        <f t="array" ref="A573">IF(INDEX('Deck 2'!$A:$Z,ROW()-500,'List Setup'!$D$4)="","",INDEX('Deck 2'!$A:$Z,ROW()-500,'List Setup'!$D$4))</f>
        <v/>
      </c>
      <c r="B573" s="80" t="str">
        <f t="array" ref="B573">IF(A573="","",IFERROR(INDEX('Binder Setup'!$B$2:$B$401,MIN(IF(ISNUMBER(SEARCH(CHAR(10)&amp;'Binder Setup'!$B$2:$B$401&amp;CHAR(10),$H573)),'List Setup'!$Q$2:$Q$401,999),IF(ISNUMBER(SEARCH(CHAR(10)&amp;'Set Aliases'!$A$2:$A$501&amp;CHAR(10),$H573)),'Set Aliases'!$C$2:$C$501,999))),"(none)"))</f>
        <v/>
      </c>
      <c r="C573" s="80" t="str">
        <f t="shared" si="1"/>
        <v/>
      </c>
      <c r="D573" s="80" t="str">
        <f t="array" ref="D573">IF(A573="","",IF(ISLOGICAL(INDEX('Deck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73" s="80" t="str">
        <f t="shared" si="2"/>
        <v/>
      </c>
      <c r="F573" s="80" t="str">
        <f t="array" ref="F573">IF(A573="","",IF(ISNUMBER(J573),J573,IF(ISNUMBER(INDEX('Deck 2'!$A:$Z,ROW()-500,'List Setup'!$F$4)),INDEX('Deck 2'!$A:$Z,ROW()-500,'List Setup'!$F$4),0)))</f>
        <v/>
      </c>
      <c r="G573" s="80" t="str">
        <f t="array" ref="G573">IF(A573="","",A573&amp;IF(N(INDEX('Deck 2'!$A:$Z,ROW()-500,'List Setup'!$C$4))&gt;1," (x"&amp;INDEX('Deck 2'!$A:$Z,ROW()-500,'List Setup'!$C$4)&amp;")","")&amp;IF(COUNTIF(Binders!$J$6:$J$30,TRUE())&gt;1," ["&amp;Q573&amp;"]",""))</f>
        <v/>
      </c>
      <c r="H573" s="80" t="str">
        <f t="array" ref="H573">IF(A573="","",CHAR(10)&amp;INDEX('Deck 2'!$A:$Z,ROW()-500,'List Setup'!$E$4)&amp;CHAR(10))</f>
        <v/>
      </c>
      <c r="I573" s="80" t="str">
        <f t="array" ref="I573">IF(OR(B573="",B573="(none)"),"",IF(ISNUMBER(SEARCH(CHAR(10)&amp;B573&amp;CHAR(10),H573)),B573,IFERROR(INDEX('Set Aliases'!$A$2:$A$501,MATCH(1,('Set Aliases'!$B$2:$B$501=B573)*ISNUMBER(SEARCH(CHAR(10)&amp;'Set Aliases'!$A$2:$A$501&amp;CHAR(10),H573)),0)),"")))</f>
        <v/>
      </c>
      <c r="J573" s="80" t="str">
        <f t="array" ref="J573">IF(I573="","",IFERROR(VALUE(TRIM(MID(SUBSTITUTE(INDEX('Deck 2'!$A:$Z,ROW()-500,'List Setup'!$G$4),CHAR(10),REPT(" ",100)),((SEARCH(CHAR(10)&amp;I573&amp;CHAR(10),H573)-LEN(SUBSTITUTE(LEFT(H573,SEARCH(CHAR(10)&amp;I573&amp;CHAR(10),H573)),CHAR(10),"")))-1)*100+1,100))),""))</f>
        <v/>
      </c>
      <c r="K573" s="80" t="str">
        <f t="array" ref="K573">IF(A573="","",IF(ISNUMBER(SEARCH("Land",LEFT(IFERROR(INDEX('Deck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73" s="80" t="str">
        <f t="shared" si="3"/>
        <v/>
      </c>
      <c r="M573" s="80" t="str">
        <f>IF(A573="","",IF(AND(E573="Y",B573='Use at Shop'!$B$4),K573*10000000000+(MAX(0,MIN(26,CODE(MID(UPPER(A573)&amp;"    ",1,1))-64))*19683+MAX(0,MIN(26,CODE(MID(UPPER(A573)&amp;"    ",2,1))-64))*729+MAX(0,MIN(26,CODE(MID(UPPER(A573)&amp;"    ",3,1))-64))*27+MAX(0,MIN(26,CODE(MID(UPPER(A573)&amp;"    ",4,1))-64))*1)*10000+ROW(),""))</f>
        <v/>
      </c>
      <c r="N573" s="80" t="str">
        <f t="shared" si="6"/>
        <v/>
      </c>
      <c r="O573" s="80" t="str">
        <f t="array" ref="O573">IF(A573="","",IFERROR(INDEX('Deck 2'!$A:$Z,ROW()-500,'List Setup'!$J$4)&amp;"",""))</f>
        <v/>
      </c>
      <c r="P573" s="2"/>
      <c r="Q573" s="80" t="str">
        <f>IF(A573="","",'List Setup'!$A$4)</f>
        <v/>
      </c>
      <c r="R573" s="80" t="str">
        <f t="array" ref="R573">IF(A573="","",IFERROR(OR(INDEX(Binders!$J$6:$J$30,MATCH(Q573,Binders!$I$6:$I$30,0))=TRUE(),UPPER(INDEX(Binders!$J$6:$J$30,MATCH(Q573,Binders!$I$6:$I$30,0))&amp;"")="TRUE"),FALSE()))</f>
        <v/>
      </c>
    </row>
    <row r="574" ht="15.75" customHeight="1">
      <c r="A574" s="80" t="str">
        <f t="array" ref="A574">IF(INDEX('Deck 2'!$A:$Z,ROW()-500,'List Setup'!$D$4)="","",INDEX('Deck 2'!$A:$Z,ROW()-500,'List Setup'!$D$4))</f>
        <v/>
      </c>
      <c r="B574" s="80" t="str">
        <f t="array" ref="B574">IF(A574="","",IFERROR(INDEX('Binder Setup'!$B$2:$B$401,MIN(IF(ISNUMBER(SEARCH(CHAR(10)&amp;'Binder Setup'!$B$2:$B$401&amp;CHAR(10),$H574)),'List Setup'!$Q$2:$Q$401,999),IF(ISNUMBER(SEARCH(CHAR(10)&amp;'Set Aliases'!$A$2:$A$501&amp;CHAR(10),$H574)),'Set Aliases'!$C$2:$C$501,999))),"(none)"))</f>
        <v/>
      </c>
      <c r="C574" s="80" t="str">
        <f t="shared" si="1"/>
        <v/>
      </c>
      <c r="D574" s="80" t="str">
        <f t="array" ref="D574">IF(A574="","",IF(ISLOGICAL(INDEX('Deck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74" s="80" t="str">
        <f t="shared" si="2"/>
        <v/>
      </c>
      <c r="F574" s="80" t="str">
        <f t="array" ref="F574">IF(A574="","",IF(ISNUMBER(J574),J574,IF(ISNUMBER(INDEX('Deck 2'!$A:$Z,ROW()-500,'List Setup'!$F$4)),INDEX('Deck 2'!$A:$Z,ROW()-500,'List Setup'!$F$4),0)))</f>
        <v/>
      </c>
      <c r="G574" s="80" t="str">
        <f t="array" ref="G574">IF(A574="","",A574&amp;IF(N(INDEX('Deck 2'!$A:$Z,ROW()-500,'List Setup'!$C$4))&gt;1," (x"&amp;INDEX('Deck 2'!$A:$Z,ROW()-500,'List Setup'!$C$4)&amp;")","")&amp;IF(COUNTIF(Binders!$J$6:$J$30,TRUE())&gt;1," ["&amp;Q574&amp;"]",""))</f>
        <v/>
      </c>
      <c r="H574" s="80" t="str">
        <f t="array" ref="H574">IF(A574="","",CHAR(10)&amp;INDEX('Deck 2'!$A:$Z,ROW()-500,'List Setup'!$E$4)&amp;CHAR(10))</f>
        <v/>
      </c>
      <c r="I574" s="80" t="str">
        <f t="array" ref="I574">IF(OR(B574="",B574="(none)"),"",IF(ISNUMBER(SEARCH(CHAR(10)&amp;B574&amp;CHAR(10),H574)),B574,IFERROR(INDEX('Set Aliases'!$A$2:$A$501,MATCH(1,('Set Aliases'!$B$2:$B$501=B574)*ISNUMBER(SEARCH(CHAR(10)&amp;'Set Aliases'!$A$2:$A$501&amp;CHAR(10),H574)),0)),"")))</f>
        <v/>
      </c>
      <c r="J574" s="80" t="str">
        <f t="array" ref="J574">IF(I574="","",IFERROR(VALUE(TRIM(MID(SUBSTITUTE(INDEX('Deck 2'!$A:$Z,ROW()-500,'List Setup'!$G$4),CHAR(10),REPT(" ",100)),((SEARCH(CHAR(10)&amp;I574&amp;CHAR(10),H574)-LEN(SUBSTITUTE(LEFT(H574,SEARCH(CHAR(10)&amp;I574&amp;CHAR(10),H574)),CHAR(10),"")))-1)*100+1,100))),""))</f>
        <v/>
      </c>
      <c r="K574" s="80" t="str">
        <f t="array" ref="K574">IF(A574="","",IF(ISNUMBER(SEARCH("Land",LEFT(IFERROR(INDEX('Deck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74" s="80" t="str">
        <f t="shared" si="3"/>
        <v/>
      </c>
      <c r="M574" s="80" t="str">
        <f>IF(A574="","",IF(AND(E574="Y",B574='Use at Shop'!$B$4),K574*10000000000+(MAX(0,MIN(26,CODE(MID(UPPER(A574)&amp;"    ",1,1))-64))*19683+MAX(0,MIN(26,CODE(MID(UPPER(A574)&amp;"    ",2,1))-64))*729+MAX(0,MIN(26,CODE(MID(UPPER(A574)&amp;"    ",3,1))-64))*27+MAX(0,MIN(26,CODE(MID(UPPER(A574)&amp;"    ",4,1))-64))*1)*10000+ROW(),""))</f>
        <v/>
      </c>
      <c r="N574" s="80" t="str">
        <f t="shared" si="6"/>
        <v/>
      </c>
      <c r="O574" s="80" t="str">
        <f t="array" ref="O574">IF(A574="","",IFERROR(INDEX('Deck 2'!$A:$Z,ROW()-500,'List Setup'!$J$4)&amp;"",""))</f>
        <v/>
      </c>
      <c r="P574" s="2"/>
      <c r="Q574" s="80" t="str">
        <f>IF(A574="","",'List Setup'!$A$4)</f>
        <v/>
      </c>
      <c r="R574" s="80" t="str">
        <f t="array" ref="R574">IF(A574="","",IFERROR(OR(INDEX(Binders!$J$6:$J$30,MATCH(Q574,Binders!$I$6:$I$30,0))=TRUE(),UPPER(INDEX(Binders!$J$6:$J$30,MATCH(Q574,Binders!$I$6:$I$30,0))&amp;"")="TRUE"),FALSE()))</f>
        <v/>
      </c>
    </row>
    <row r="575" ht="15.75" customHeight="1">
      <c r="A575" s="80" t="str">
        <f t="array" ref="A575">IF(INDEX('Deck 2'!$A:$Z,ROW()-500,'List Setup'!$D$4)="","",INDEX('Deck 2'!$A:$Z,ROW()-500,'List Setup'!$D$4))</f>
        <v/>
      </c>
      <c r="B575" s="80" t="str">
        <f t="array" ref="B575">IF(A575="","",IFERROR(INDEX('Binder Setup'!$B$2:$B$401,MIN(IF(ISNUMBER(SEARCH(CHAR(10)&amp;'Binder Setup'!$B$2:$B$401&amp;CHAR(10),$H575)),'List Setup'!$Q$2:$Q$401,999),IF(ISNUMBER(SEARCH(CHAR(10)&amp;'Set Aliases'!$A$2:$A$501&amp;CHAR(10),$H575)),'Set Aliases'!$C$2:$C$501,999))),"(none)"))</f>
        <v/>
      </c>
      <c r="C575" s="80" t="str">
        <f t="shared" si="1"/>
        <v/>
      </c>
      <c r="D575" s="80" t="str">
        <f t="array" ref="D575">IF(A575="","",IF(ISLOGICAL(INDEX('Deck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75" s="80" t="str">
        <f t="shared" si="2"/>
        <v/>
      </c>
      <c r="F575" s="80" t="str">
        <f t="array" ref="F575">IF(A575="","",IF(ISNUMBER(J575),J575,IF(ISNUMBER(INDEX('Deck 2'!$A:$Z,ROW()-500,'List Setup'!$F$4)),INDEX('Deck 2'!$A:$Z,ROW()-500,'List Setup'!$F$4),0)))</f>
        <v/>
      </c>
      <c r="G575" s="80" t="str">
        <f t="array" ref="G575">IF(A575="","",A575&amp;IF(N(INDEX('Deck 2'!$A:$Z,ROW()-500,'List Setup'!$C$4))&gt;1," (x"&amp;INDEX('Deck 2'!$A:$Z,ROW()-500,'List Setup'!$C$4)&amp;")","")&amp;IF(COUNTIF(Binders!$J$6:$J$30,TRUE())&gt;1," ["&amp;Q575&amp;"]",""))</f>
        <v/>
      </c>
      <c r="H575" s="80" t="str">
        <f t="array" ref="H575">IF(A575="","",CHAR(10)&amp;INDEX('Deck 2'!$A:$Z,ROW()-500,'List Setup'!$E$4)&amp;CHAR(10))</f>
        <v/>
      </c>
      <c r="I575" s="80" t="str">
        <f t="array" ref="I575">IF(OR(B575="",B575="(none)"),"",IF(ISNUMBER(SEARCH(CHAR(10)&amp;B575&amp;CHAR(10),H575)),B575,IFERROR(INDEX('Set Aliases'!$A$2:$A$501,MATCH(1,('Set Aliases'!$B$2:$B$501=B575)*ISNUMBER(SEARCH(CHAR(10)&amp;'Set Aliases'!$A$2:$A$501&amp;CHAR(10),H575)),0)),"")))</f>
        <v/>
      </c>
      <c r="J575" s="80" t="str">
        <f t="array" ref="J575">IF(I575="","",IFERROR(VALUE(TRIM(MID(SUBSTITUTE(INDEX('Deck 2'!$A:$Z,ROW()-500,'List Setup'!$G$4),CHAR(10),REPT(" ",100)),((SEARCH(CHAR(10)&amp;I575&amp;CHAR(10),H575)-LEN(SUBSTITUTE(LEFT(H575,SEARCH(CHAR(10)&amp;I575&amp;CHAR(10),H575)),CHAR(10),"")))-1)*100+1,100))),""))</f>
        <v/>
      </c>
      <c r="K575" s="80" t="str">
        <f t="array" ref="K575">IF(A575="","",IF(ISNUMBER(SEARCH("Land",LEFT(IFERROR(INDEX('Deck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75" s="80" t="str">
        <f t="shared" si="3"/>
        <v/>
      </c>
      <c r="M575" s="80" t="str">
        <f>IF(A575="","",IF(AND(E575="Y",B575='Use at Shop'!$B$4),K575*10000000000+(MAX(0,MIN(26,CODE(MID(UPPER(A575)&amp;"    ",1,1))-64))*19683+MAX(0,MIN(26,CODE(MID(UPPER(A575)&amp;"    ",2,1))-64))*729+MAX(0,MIN(26,CODE(MID(UPPER(A575)&amp;"    ",3,1))-64))*27+MAX(0,MIN(26,CODE(MID(UPPER(A575)&amp;"    ",4,1))-64))*1)*10000+ROW(),""))</f>
        <v/>
      </c>
      <c r="N575" s="80" t="str">
        <f t="shared" si="6"/>
        <v/>
      </c>
      <c r="O575" s="80" t="str">
        <f t="array" ref="O575">IF(A575="","",IFERROR(INDEX('Deck 2'!$A:$Z,ROW()-500,'List Setup'!$J$4)&amp;"",""))</f>
        <v/>
      </c>
      <c r="P575" s="2"/>
      <c r="Q575" s="80" t="str">
        <f>IF(A575="","",'List Setup'!$A$4)</f>
        <v/>
      </c>
      <c r="R575" s="80" t="str">
        <f t="array" ref="R575">IF(A575="","",IFERROR(OR(INDEX(Binders!$J$6:$J$30,MATCH(Q575,Binders!$I$6:$I$30,0))=TRUE(),UPPER(INDEX(Binders!$J$6:$J$30,MATCH(Q575,Binders!$I$6:$I$30,0))&amp;"")="TRUE"),FALSE()))</f>
        <v/>
      </c>
    </row>
    <row r="576" ht="15.75" customHeight="1">
      <c r="A576" s="80" t="str">
        <f t="array" ref="A576">IF(INDEX('Deck 2'!$A:$Z,ROW()-500,'List Setup'!$D$4)="","",INDEX('Deck 2'!$A:$Z,ROW()-500,'List Setup'!$D$4))</f>
        <v/>
      </c>
      <c r="B576" s="80" t="str">
        <f t="array" ref="B576">IF(A576="","",IFERROR(INDEX('Binder Setup'!$B$2:$B$401,MIN(IF(ISNUMBER(SEARCH(CHAR(10)&amp;'Binder Setup'!$B$2:$B$401&amp;CHAR(10),$H576)),'List Setup'!$Q$2:$Q$401,999),IF(ISNUMBER(SEARCH(CHAR(10)&amp;'Set Aliases'!$A$2:$A$501&amp;CHAR(10),$H576)),'Set Aliases'!$C$2:$C$501,999))),"(none)"))</f>
        <v/>
      </c>
      <c r="C576" s="80" t="str">
        <f t="shared" si="1"/>
        <v/>
      </c>
      <c r="D576" s="80" t="str">
        <f t="array" ref="D576">IF(A576="","",IF(ISLOGICAL(INDEX('Deck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76" s="80" t="str">
        <f t="shared" si="2"/>
        <v/>
      </c>
      <c r="F576" s="80" t="str">
        <f t="array" ref="F576">IF(A576="","",IF(ISNUMBER(J576),J576,IF(ISNUMBER(INDEX('Deck 2'!$A:$Z,ROW()-500,'List Setup'!$F$4)),INDEX('Deck 2'!$A:$Z,ROW()-500,'List Setup'!$F$4),0)))</f>
        <v/>
      </c>
      <c r="G576" s="80" t="str">
        <f t="array" ref="G576">IF(A576="","",A576&amp;IF(N(INDEX('Deck 2'!$A:$Z,ROW()-500,'List Setup'!$C$4))&gt;1," (x"&amp;INDEX('Deck 2'!$A:$Z,ROW()-500,'List Setup'!$C$4)&amp;")","")&amp;IF(COUNTIF(Binders!$J$6:$J$30,TRUE())&gt;1," ["&amp;Q576&amp;"]",""))</f>
        <v/>
      </c>
      <c r="H576" s="80" t="str">
        <f t="array" ref="H576">IF(A576="","",CHAR(10)&amp;INDEX('Deck 2'!$A:$Z,ROW()-500,'List Setup'!$E$4)&amp;CHAR(10))</f>
        <v/>
      </c>
      <c r="I576" s="80" t="str">
        <f t="array" ref="I576">IF(OR(B576="",B576="(none)"),"",IF(ISNUMBER(SEARCH(CHAR(10)&amp;B576&amp;CHAR(10),H576)),B576,IFERROR(INDEX('Set Aliases'!$A$2:$A$501,MATCH(1,('Set Aliases'!$B$2:$B$501=B576)*ISNUMBER(SEARCH(CHAR(10)&amp;'Set Aliases'!$A$2:$A$501&amp;CHAR(10),H576)),0)),"")))</f>
        <v/>
      </c>
      <c r="J576" s="80" t="str">
        <f t="array" ref="J576">IF(I576="","",IFERROR(VALUE(TRIM(MID(SUBSTITUTE(INDEX('Deck 2'!$A:$Z,ROW()-500,'List Setup'!$G$4),CHAR(10),REPT(" ",100)),((SEARCH(CHAR(10)&amp;I576&amp;CHAR(10),H576)-LEN(SUBSTITUTE(LEFT(H576,SEARCH(CHAR(10)&amp;I576&amp;CHAR(10),H576)),CHAR(10),"")))-1)*100+1,100))),""))</f>
        <v/>
      </c>
      <c r="K576" s="80" t="str">
        <f t="array" ref="K576">IF(A576="","",IF(ISNUMBER(SEARCH("Land",LEFT(IFERROR(INDEX('Deck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76" s="80" t="str">
        <f t="shared" si="3"/>
        <v/>
      </c>
      <c r="M576" s="80" t="str">
        <f>IF(A576="","",IF(AND(E576="Y",B576='Use at Shop'!$B$4),K576*10000000000+(MAX(0,MIN(26,CODE(MID(UPPER(A576)&amp;"    ",1,1))-64))*19683+MAX(0,MIN(26,CODE(MID(UPPER(A576)&amp;"    ",2,1))-64))*729+MAX(0,MIN(26,CODE(MID(UPPER(A576)&amp;"    ",3,1))-64))*27+MAX(0,MIN(26,CODE(MID(UPPER(A576)&amp;"    ",4,1))-64))*1)*10000+ROW(),""))</f>
        <v/>
      </c>
      <c r="N576" s="80" t="str">
        <f t="shared" si="6"/>
        <v/>
      </c>
      <c r="O576" s="80" t="str">
        <f t="array" ref="O576">IF(A576="","",IFERROR(INDEX('Deck 2'!$A:$Z,ROW()-500,'List Setup'!$J$4)&amp;"",""))</f>
        <v/>
      </c>
      <c r="P576" s="2"/>
      <c r="Q576" s="80" t="str">
        <f>IF(A576="","",'List Setup'!$A$4)</f>
        <v/>
      </c>
      <c r="R576" s="80" t="str">
        <f t="array" ref="R576">IF(A576="","",IFERROR(OR(INDEX(Binders!$J$6:$J$30,MATCH(Q576,Binders!$I$6:$I$30,0))=TRUE(),UPPER(INDEX(Binders!$J$6:$J$30,MATCH(Q576,Binders!$I$6:$I$30,0))&amp;"")="TRUE"),FALSE()))</f>
        <v/>
      </c>
    </row>
    <row r="577" ht="15.75" customHeight="1">
      <c r="A577" s="80" t="str">
        <f t="array" ref="A577">IF(INDEX('Deck 2'!$A:$Z,ROW()-500,'List Setup'!$D$4)="","",INDEX('Deck 2'!$A:$Z,ROW()-500,'List Setup'!$D$4))</f>
        <v/>
      </c>
      <c r="B577" s="80" t="str">
        <f t="array" ref="B577">IF(A577="","",IFERROR(INDEX('Binder Setup'!$B$2:$B$401,MIN(IF(ISNUMBER(SEARCH(CHAR(10)&amp;'Binder Setup'!$B$2:$B$401&amp;CHAR(10),$H577)),'List Setup'!$Q$2:$Q$401,999),IF(ISNUMBER(SEARCH(CHAR(10)&amp;'Set Aliases'!$A$2:$A$501&amp;CHAR(10),$H577)),'Set Aliases'!$C$2:$C$501,999))),"(none)"))</f>
        <v/>
      </c>
      <c r="C577" s="80" t="str">
        <f t="shared" si="1"/>
        <v/>
      </c>
      <c r="D577" s="80" t="str">
        <f t="array" ref="D577">IF(A577="","",IF(ISLOGICAL(INDEX('Deck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77" s="80" t="str">
        <f t="shared" si="2"/>
        <v/>
      </c>
      <c r="F577" s="80" t="str">
        <f t="array" ref="F577">IF(A577="","",IF(ISNUMBER(J577),J577,IF(ISNUMBER(INDEX('Deck 2'!$A:$Z,ROW()-500,'List Setup'!$F$4)),INDEX('Deck 2'!$A:$Z,ROW()-500,'List Setup'!$F$4),0)))</f>
        <v/>
      </c>
      <c r="G577" s="80" t="str">
        <f t="array" ref="G577">IF(A577="","",A577&amp;IF(N(INDEX('Deck 2'!$A:$Z,ROW()-500,'List Setup'!$C$4))&gt;1," (x"&amp;INDEX('Deck 2'!$A:$Z,ROW()-500,'List Setup'!$C$4)&amp;")","")&amp;IF(COUNTIF(Binders!$J$6:$J$30,TRUE())&gt;1," ["&amp;Q577&amp;"]",""))</f>
        <v/>
      </c>
      <c r="H577" s="80" t="str">
        <f t="array" ref="H577">IF(A577="","",CHAR(10)&amp;INDEX('Deck 2'!$A:$Z,ROW()-500,'List Setup'!$E$4)&amp;CHAR(10))</f>
        <v/>
      </c>
      <c r="I577" s="80" t="str">
        <f t="array" ref="I577">IF(OR(B577="",B577="(none)"),"",IF(ISNUMBER(SEARCH(CHAR(10)&amp;B577&amp;CHAR(10),H577)),B577,IFERROR(INDEX('Set Aliases'!$A$2:$A$501,MATCH(1,('Set Aliases'!$B$2:$B$501=B577)*ISNUMBER(SEARCH(CHAR(10)&amp;'Set Aliases'!$A$2:$A$501&amp;CHAR(10),H577)),0)),"")))</f>
        <v/>
      </c>
      <c r="J577" s="80" t="str">
        <f t="array" ref="J577">IF(I577="","",IFERROR(VALUE(TRIM(MID(SUBSTITUTE(INDEX('Deck 2'!$A:$Z,ROW()-500,'List Setup'!$G$4),CHAR(10),REPT(" ",100)),((SEARCH(CHAR(10)&amp;I577&amp;CHAR(10),H577)-LEN(SUBSTITUTE(LEFT(H577,SEARCH(CHAR(10)&amp;I577&amp;CHAR(10),H577)),CHAR(10),"")))-1)*100+1,100))),""))</f>
        <v/>
      </c>
      <c r="K577" s="80" t="str">
        <f t="array" ref="K577">IF(A577="","",IF(ISNUMBER(SEARCH("Land",LEFT(IFERROR(INDEX('Deck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77" s="80" t="str">
        <f t="shared" si="3"/>
        <v/>
      </c>
      <c r="M577" s="80" t="str">
        <f>IF(A577="","",IF(AND(E577="Y",B577='Use at Shop'!$B$4),K577*10000000000+(MAX(0,MIN(26,CODE(MID(UPPER(A577)&amp;"    ",1,1))-64))*19683+MAX(0,MIN(26,CODE(MID(UPPER(A577)&amp;"    ",2,1))-64))*729+MAX(0,MIN(26,CODE(MID(UPPER(A577)&amp;"    ",3,1))-64))*27+MAX(0,MIN(26,CODE(MID(UPPER(A577)&amp;"    ",4,1))-64))*1)*10000+ROW(),""))</f>
        <v/>
      </c>
      <c r="N577" s="80" t="str">
        <f t="shared" si="6"/>
        <v/>
      </c>
      <c r="O577" s="80" t="str">
        <f t="array" ref="O577">IF(A577="","",IFERROR(INDEX('Deck 2'!$A:$Z,ROW()-500,'List Setup'!$J$4)&amp;"",""))</f>
        <v/>
      </c>
      <c r="P577" s="2"/>
      <c r="Q577" s="80" t="str">
        <f>IF(A577="","",'List Setup'!$A$4)</f>
        <v/>
      </c>
      <c r="R577" s="80" t="str">
        <f t="array" ref="R577">IF(A577="","",IFERROR(OR(INDEX(Binders!$J$6:$J$30,MATCH(Q577,Binders!$I$6:$I$30,0))=TRUE(),UPPER(INDEX(Binders!$J$6:$J$30,MATCH(Q577,Binders!$I$6:$I$30,0))&amp;"")="TRUE"),FALSE()))</f>
        <v/>
      </c>
    </row>
    <row r="578" ht="15.75" customHeight="1">
      <c r="A578" s="80" t="str">
        <f t="array" ref="A578">IF(INDEX('Deck 2'!$A:$Z,ROW()-500,'List Setup'!$D$4)="","",INDEX('Deck 2'!$A:$Z,ROW()-500,'List Setup'!$D$4))</f>
        <v/>
      </c>
      <c r="B578" s="80" t="str">
        <f t="array" ref="B578">IF(A578="","",IFERROR(INDEX('Binder Setup'!$B$2:$B$401,MIN(IF(ISNUMBER(SEARCH(CHAR(10)&amp;'Binder Setup'!$B$2:$B$401&amp;CHAR(10),$H578)),'List Setup'!$Q$2:$Q$401,999),IF(ISNUMBER(SEARCH(CHAR(10)&amp;'Set Aliases'!$A$2:$A$501&amp;CHAR(10),$H578)),'Set Aliases'!$C$2:$C$501,999))),"(none)"))</f>
        <v/>
      </c>
      <c r="C578" s="80" t="str">
        <f t="shared" si="1"/>
        <v/>
      </c>
      <c r="D578" s="80" t="str">
        <f t="array" ref="D578">IF(A578="","",IF(ISLOGICAL(INDEX('Deck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78" s="80" t="str">
        <f t="shared" si="2"/>
        <v/>
      </c>
      <c r="F578" s="80" t="str">
        <f t="array" ref="F578">IF(A578="","",IF(ISNUMBER(J578),J578,IF(ISNUMBER(INDEX('Deck 2'!$A:$Z,ROW()-500,'List Setup'!$F$4)),INDEX('Deck 2'!$A:$Z,ROW()-500,'List Setup'!$F$4),0)))</f>
        <v/>
      </c>
      <c r="G578" s="80" t="str">
        <f t="array" ref="G578">IF(A578="","",A578&amp;IF(N(INDEX('Deck 2'!$A:$Z,ROW()-500,'List Setup'!$C$4))&gt;1," (x"&amp;INDEX('Deck 2'!$A:$Z,ROW()-500,'List Setup'!$C$4)&amp;")","")&amp;IF(COUNTIF(Binders!$J$6:$J$30,TRUE())&gt;1," ["&amp;Q578&amp;"]",""))</f>
        <v/>
      </c>
      <c r="H578" s="80" t="str">
        <f t="array" ref="H578">IF(A578="","",CHAR(10)&amp;INDEX('Deck 2'!$A:$Z,ROW()-500,'List Setup'!$E$4)&amp;CHAR(10))</f>
        <v/>
      </c>
      <c r="I578" s="80" t="str">
        <f t="array" ref="I578">IF(OR(B578="",B578="(none)"),"",IF(ISNUMBER(SEARCH(CHAR(10)&amp;B578&amp;CHAR(10),H578)),B578,IFERROR(INDEX('Set Aliases'!$A$2:$A$501,MATCH(1,('Set Aliases'!$B$2:$B$501=B578)*ISNUMBER(SEARCH(CHAR(10)&amp;'Set Aliases'!$A$2:$A$501&amp;CHAR(10),H578)),0)),"")))</f>
        <v/>
      </c>
      <c r="J578" s="80" t="str">
        <f t="array" ref="J578">IF(I578="","",IFERROR(VALUE(TRIM(MID(SUBSTITUTE(INDEX('Deck 2'!$A:$Z,ROW()-500,'List Setup'!$G$4),CHAR(10),REPT(" ",100)),((SEARCH(CHAR(10)&amp;I578&amp;CHAR(10),H578)-LEN(SUBSTITUTE(LEFT(H578,SEARCH(CHAR(10)&amp;I578&amp;CHAR(10),H578)),CHAR(10),"")))-1)*100+1,100))),""))</f>
        <v/>
      </c>
      <c r="K578" s="80" t="str">
        <f t="array" ref="K578">IF(A578="","",IF(ISNUMBER(SEARCH("Land",LEFT(IFERROR(INDEX('Deck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78" s="80" t="str">
        <f t="shared" si="3"/>
        <v/>
      </c>
      <c r="M578" s="80" t="str">
        <f>IF(A578="","",IF(AND(E578="Y",B578='Use at Shop'!$B$4),K578*10000000000+(MAX(0,MIN(26,CODE(MID(UPPER(A578)&amp;"    ",1,1))-64))*19683+MAX(0,MIN(26,CODE(MID(UPPER(A578)&amp;"    ",2,1))-64))*729+MAX(0,MIN(26,CODE(MID(UPPER(A578)&amp;"    ",3,1))-64))*27+MAX(0,MIN(26,CODE(MID(UPPER(A578)&amp;"    ",4,1))-64))*1)*10000+ROW(),""))</f>
        <v/>
      </c>
      <c r="N578" s="80" t="str">
        <f t="shared" si="6"/>
        <v/>
      </c>
      <c r="O578" s="80" t="str">
        <f t="array" ref="O578">IF(A578="","",IFERROR(INDEX('Deck 2'!$A:$Z,ROW()-500,'List Setup'!$J$4)&amp;"",""))</f>
        <v/>
      </c>
      <c r="P578" s="2"/>
      <c r="Q578" s="80" t="str">
        <f>IF(A578="","",'List Setup'!$A$4)</f>
        <v/>
      </c>
      <c r="R578" s="80" t="str">
        <f t="array" ref="R578">IF(A578="","",IFERROR(OR(INDEX(Binders!$J$6:$J$30,MATCH(Q578,Binders!$I$6:$I$30,0))=TRUE(),UPPER(INDEX(Binders!$J$6:$J$30,MATCH(Q578,Binders!$I$6:$I$30,0))&amp;"")="TRUE"),FALSE()))</f>
        <v/>
      </c>
    </row>
    <row r="579" ht="15.75" customHeight="1">
      <c r="A579" s="80" t="str">
        <f t="array" ref="A579">IF(INDEX('Deck 2'!$A:$Z,ROW()-500,'List Setup'!$D$4)="","",INDEX('Deck 2'!$A:$Z,ROW()-500,'List Setup'!$D$4))</f>
        <v/>
      </c>
      <c r="B579" s="80" t="str">
        <f t="array" ref="B579">IF(A579="","",IFERROR(INDEX('Binder Setup'!$B$2:$B$401,MIN(IF(ISNUMBER(SEARCH(CHAR(10)&amp;'Binder Setup'!$B$2:$B$401&amp;CHAR(10),$H579)),'List Setup'!$Q$2:$Q$401,999),IF(ISNUMBER(SEARCH(CHAR(10)&amp;'Set Aliases'!$A$2:$A$501&amp;CHAR(10),$H579)),'Set Aliases'!$C$2:$C$501,999))),"(none)"))</f>
        <v/>
      </c>
      <c r="C579" s="80" t="str">
        <f t="shared" si="1"/>
        <v/>
      </c>
      <c r="D579" s="80" t="str">
        <f t="array" ref="D579">IF(A579="","",IF(ISLOGICAL(INDEX('Deck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79" s="80" t="str">
        <f t="shared" si="2"/>
        <v/>
      </c>
      <c r="F579" s="80" t="str">
        <f t="array" ref="F579">IF(A579="","",IF(ISNUMBER(J579),J579,IF(ISNUMBER(INDEX('Deck 2'!$A:$Z,ROW()-500,'List Setup'!$F$4)),INDEX('Deck 2'!$A:$Z,ROW()-500,'List Setup'!$F$4),0)))</f>
        <v/>
      </c>
      <c r="G579" s="80" t="str">
        <f t="array" ref="G579">IF(A579="","",A579&amp;IF(N(INDEX('Deck 2'!$A:$Z,ROW()-500,'List Setup'!$C$4))&gt;1," (x"&amp;INDEX('Deck 2'!$A:$Z,ROW()-500,'List Setup'!$C$4)&amp;")","")&amp;IF(COUNTIF(Binders!$J$6:$J$30,TRUE())&gt;1," ["&amp;Q579&amp;"]",""))</f>
        <v/>
      </c>
      <c r="H579" s="80" t="str">
        <f t="array" ref="H579">IF(A579="","",CHAR(10)&amp;INDEX('Deck 2'!$A:$Z,ROW()-500,'List Setup'!$E$4)&amp;CHAR(10))</f>
        <v/>
      </c>
      <c r="I579" s="80" t="str">
        <f t="array" ref="I579">IF(OR(B579="",B579="(none)"),"",IF(ISNUMBER(SEARCH(CHAR(10)&amp;B579&amp;CHAR(10),H579)),B579,IFERROR(INDEX('Set Aliases'!$A$2:$A$501,MATCH(1,('Set Aliases'!$B$2:$B$501=B579)*ISNUMBER(SEARCH(CHAR(10)&amp;'Set Aliases'!$A$2:$A$501&amp;CHAR(10),H579)),0)),"")))</f>
        <v/>
      </c>
      <c r="J579" s="80" t="str">
        <f t="array" ref="J579">IF(I579="","",IFERROR(VALUE(TRIM(MID(SUBSTITUTE(INDEX('Deck 2'!$A:$Z,ROW()-500,'List Setup'!$G$4),CHAR(10),REPT(" ",100)),((SEARCH(CHAR(10)&amp;I579&amp;CHAR(10),H579)-LEN(SUBSTITUTE(LEFT(H579,SEARCH(CHAR(10)&amp;I579&amp;CHAR(10),H579)),CHAR(10),"")))-1)*100+1,100))),""))</f>
        <v/>
      </c>
      <c r="K579" s="80" t="str">
        <f t="array" ref="K579">IF(A579="","",IF(ISNUMBER(SEARCH("Land",LEFT(IFERROR(INDEX('Deck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79" s="80" t="str">
        <f t="shared" si="3"/>
        <v/>
      </c>
      <c r="M579" s="80" t="str">
        <f>IF(A579="","",IF(AND(E579="Y",B579='Use at Shop'!$B$4),K579*10000000000+(MAX(0,MIN(26,CODE(MID(UPPER(A579)&amp;"    ",1,1))-64))*19683+MAX(0,MIN(26,CODE(MID(UPPER(A579)&amp;"    ",2,1))-64))*729+MAX(0,MIN(26,CODE(MID(UPPER(A579)&amp;"    ",3,1))-64))*27+MAX(0,MIN(26,CODE(MID(UPPER(A579)&amp;"    ",4,1))-64))*1)*10000+ROW(),""))</f>
        <v/>
      </c>
      <c r="N579" s="80" t="str">
        <f t="shared" si="6"/>
        <v/>
      </c>
      <c r="O579" s="80" t="str">
        <f t="array" ref="O579">IF(A579="","",IFERROR(INDEX('Deck 2'!$A:$Z,ROW()-500,'List Setup'!$J$4)&amp;"",""))</f>
        <v/>
      </c>
      <c r="P579" s="2"/>
      <c r="Q579" s="80" t="str">
        <f>IF(A579="","",'List Setup'!$A$4)</f>
        <v/>
      </c>
      <c r="R579" s="80" t="str">
        <f t="array" ref="R579">IF(A579="","",IFERROR(OR(INDEX(Binders!$J$6:$J$30,MATCH(Q579,Binders!$I$6:$I$30,0))=TRUE(),UPPER(INDEX(Binders!$J$6:$J$30,MATCH(Q579,Binders!$I$6:$I$30,0))&amp;"")="TRUE"),FALSE()))</f>
        <v/>
      </c>
    </row>
    <row r="580" ht="15.75" customHeight="1">
      <c r="A580" s="80" t="str">
        <f t="array" ref="A580">IF(INDEX('Deck 2'!$A:$Z,ROW()-500,'List Setup'!$D$4)="","",INDEX('Deck 2'!$A:$Z,ROW()-500,'List Setup'!$D$4))</f>
        <v/>
      </c>
      <c r="B580" s="80" t="str">
        <f t="array" ref="B580">IF(A580="","",IFERROR(INDEX('Binder Setup'!$B$2:$B$401,MIN(IF(ISNUMBER(SEARCH(CHAR(10)&amp;'Binder Setup'!$B$2:$B$401&amp;CHAR(10),$H580)),'List Setup'!$Q$2:$Q$401,999),IF(ISNUMBER(SEARCH(CHAR(10)&amp;'Set Aliases'!$A$2:$A$501&amp;CHAR(10),$H580)),'Set Aliases'!$C$2:$C$501,999))),"(none)"))</f>
        <v/>
      </c>
      <c r="C580" s="80" t="str">
        <f t="shared" si="1"/>
        <v/>
      </c>
      <c r="D580" s="80" t="str">
        <f t="array" ref="D580">IF(A580="","",IF(ISLOGICAL(INDEX('Deck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80" s="80" t="str">
        <f t="shared" si="2"/>
        <v/>
      </c>
      <c r="F580" s="80" t="str">
        <f t="array" ref="F580">IF(A580="","",IF(ISNUMBER(J580),J580,IF(ISNUMBER(INDEX('Deck 2'!$A:$Z,ROW()-500,'List Setup'!$F$4)),INDEX('Deck 2'!$A:$Z,ROW()-500,'List Setup'!$F$4),0)))</f>
        <v/>
      </c>
      <c r="G580" s="80" t="str">
        <f t="array" ref="G580">IF(A580="","",A580&amp;IF(N(INDEX('Deck 2'!$A:$Z,ROW()-500,'List Setup'!$C$4))&gt;1," (x"&amp;INDEX('Deck 2'!$A:$Z,ROW()-500,'List Setup'!$C$4)&amp;")","")&amp;IF(COUNTIF(Binders!$J$6:$J$30,TRUE())&gt;1," ["&amp;Q580&amp;"]",""))</f>
        <v/>
      </c>
      <c r="H580" s="80" t="str">
        <f t="array" ref="H580">IF(A580="","",CHAR(10)&amp;INDEX('Deck 2'!$A:$Z,ROW()-500,'List Setup'!$E$4)&amp;CHAR(10))</f>
        <v/>
      </c>
      <c r="I580" s="80" t="str">
        <f t="array" ref="I580">IF(OR(B580="",B580="(none)"),"",IF(ISNUMBER(SEARCH(CHAR(10)&amp;B580&amp;CHAR(10),H580)),B580,IFERROR(INDEX('Set Aliases'!$A$2:$A$501,MATCH(1,('Set Aliases'!$B$2:$B$501=B580)*ISNUMBER(SEARCH(CHAR(10)&amp;'Set Aliases'!$A$2:$A$501&amp;CHAR(10),H580)),0)),"")))</f>
        <v/>
      </c>
      <c r="J580" s="80" t="str">
        <f t="array" ref="J580">IF(I580="","",IFERROR(VALUE(TRIM(MID(SUBSTITUTE(INDEX('Deck 2'!$A:$Z,ROW()-500,'List Setup'!$G$4),CHAR(10),REPT(" ",100)),((SEARCH(CHAR(10)&amp;I580&amp;CHAR(10),H580)-LEN(SUBSTITUTE(LEFT(H580,SEARCH(CHAR(10)&amp;I580&amp;CHAR(10),H580)),CHAR(10),"")))-1)*100+1,100))),""))</f>
        <v/>
      </c>
      <c r="K580" s="80" t="str">
        <f t="array" ref="K580">IF(A580="","",IF(ISNUMBER(SEARCH("Land",LEFT(IFERROR(INDEX('Deck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80" s="80" t="str">
        <f t="shared" si="3"/>
        <v/>
      </c>
      <c r="M580" s="80" t="str">
        <f>IF(A580="","",IF(AND(E580="Y",B580='Use at Shop'!$B$4),K580*10000000000+(MAX(0,MIN(26,CODE(MID(UPPER(A580)&amp;"    ",1,1))-64))*19683+MAX(0,MIN(26,CODE(MID(UPPER(A580)&amp;"    ",2,1))-64))*729+MAX(0,MIN(26,CODE(MID(UPPER(A580)&amp;"    ",3,1))-64))*27+MAX(0,MIN(26,CODE(MID(UPPER(A580)&amp;"    ",4,1))-64))*1)*10000+ROW(),""))</f>
        <v/>
      </c>
      <c r="N580" s="80" t="str">
        <f t="shared" si="6"/>
        <v/>
      </c>
      <c r="O580" s="80" t="str">
        <f t="array" ref="O580">IF(A580="","",IFERROR(INDEX('Deck 2'!$A:$Z,ROW()-500,'List Setup'!$J$4)&amp;"",""))</f>
        <v/>
      </c>
      <c r="P580" s="2"/>
      <c r="Q580" s="80" t="str">
        <f>IF(A580="","",'List Setup'!$A$4)</f>
        <v/>
      </c>
      <c r="R580" s="80" t="str">
        <f t="array" ref="R580">IF(A580="","",IFERROR(OR(INDEX(Binders!$J$6:$J$30,MATCH(Q580,Binders!$I$6:$I$30,0))=TRUE(),UPPER(INDEX(Binders!$J$6:$J$30,MATCH(Q580,Binders!$I$6:$I$30,0))&amp;"")="TRUE"),FALSE()))</f>
        <v/>
      </c>
    </row>
    <row r="581" ht="15.75" customHeight="1">
      <c r="A581" s="80" t="str">
        <f t="array" ref="A581">IF(INDEX('Deck 2'!$A:$Z,ROW()-500,'List Setup'!$D$4)="","",INDEX('Deck 2'!$A:$Z,ROW()-500,'List Setup'!$D$4))</f>
        <v/>
      </c>
      <c r="B581" s="80" t="str">
        <f t="array" ref="B581">IF(A581="","",IFERROR(INDEX('Binder Setup'!$B$2:$B$401,MIN(IF(ISNUMBER(SEARCH(CHAR(10)&amp;'Binder Setup'!$B$2:$B$401&amp;CHAR(10),$H581)),'List Setup'!$Q$2:$Q$401,999),IF(ISNUMBER(SEARCH(CHAR(10)&amp;'Set Aliases'!$A$2:$A$501&amp;CHAR(10),$H581)),'Set Aliases'!$C$2:$C$501,999))),"(none)"))</f>
        <v/>
      </c>
      <c r="C581" s="80" t="str">
        <f t="shared" si="1"/>
        <v/>
      </c>
      <c r="D581" s="80" t="str">
        <f t="array" ref="D581">IF(A581="","",IF(ISLOGICAL(INDEX('Deck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81" s="80" t="str">
        <f t="shared" si="2"/>
        <v/>
      </c>
      <c r="F581" s="80" t="str">
        <f t="array" ref="F581">IF(A581="","",IF(ISNUMBER(J581),J581,IF(ISNUMBER(INDEX('Deck 2'!$A:$Z,ROW()-500,'List Setup'!$F$4)),INDEX('Deck 2'!$A:$Z,ROW()-500,'List Setup'!$F$4),0)))</f>
        <v/>
      </c>
      <c r="G581" s="80" t="str">
        <f t="array" ref="G581">IF(A581="","",A581&amp;IF(N(INDEX('Deck 2'!$A:$Z,ROW()-500,'List Setup'!$C$4))&gt;1," (x"&amp;INDEX('Deck 2'!$A:$Z,ROW()-500,'List Setup'!$C$4)&amp;")","")&amp;IF(COUNTIF(Binders!$J$6:$J$30,TRUE())&gt;1," ["&amp;Q581&amp;"]",""))</f>
        <v/>
      </c>
      <c r="H581" s="80" t="str">
        <f t="array" ref="H581">IF(A581="","",CHAR(10)&amp;INDEX('Deck 2'!$A:$Z,ROW()-500,'List Setup'!$E$4)&amp;CHAR(10))</f>
        <v/>
      </c>
      <c r="I581" s="80" t="str">
        <f t="array" ref="I581">IF(OR(B581="",B581="(none)"),"",IF(ISNUMBER(SEARCH(CHAR(10)&amp;B581&amp;CHAR(10),H581)),B581,IFERROR(INDEX('Set Aliases'!$A$2:$A$501,MATCH(1,('Set Aliases'!$B$2:$B$501=B581)*ISNUMBER(SEARCH(CHAR(10)&amp;'Set Aliases'!$A$2:$A$501&amp;CHAR(10),H581)),0)),"")))</f>
        <v/>
      </c>
      <c r="J581" s="80" t="str">
        <f t="array" ref="J581">IF(I581="","",IFERROR(VALUE(TRIM(MID(SUBSTITUTE(INDEX('Deck 2'!$A:$Z,ROW()-500,'List Setup'!$G$4),CHAR(10),REPT(" ",100)),((SEARCH(CHAR(10)&amp;I581&amp;CHAR(10),H581)-LEN(SUBSTITUTE(LEFT(H581,SEARCH(CHAR(10)&amp;I581&amp;CHAR(10),H581)),CHAR(10),"")))-1)*100+1,100))),""))</f>
        <v/>
      </c>
      <c r="K581" s="80" t="str">
        <f t="array" ref="K581">IF(A581="","",IF(ISNUMBER(SEARCH("Land",LEFT(IFERROR(INDEX('Deck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81" s="80" t="str">
        <f t="shared" si="3"/>
        <v/>
      </c>
      <c r="M581" s="80" t="str">
        <f>IF(A581="","",IF(AND(E581="Y",B581='Use at Shop'!$B$4),K581*10000000000+(MAX(0,MIN(26,CODE(MID(UPPER(A581)&amp;"    ",1,1))-64))*19683+MAX(0,MIN(26,CODE(MID(UPPER(A581)&amp;"    ",2,1))-64))*729+MAX(0,MIN(26,CODE(MID(UPPER(A581)&amp;"    ",3,1))-64))*27+MAX(0,MIN(26,CODE(MID(UPPER(A581)&amp;"    ",4,1))-64))*1)*10000+ROW(),""))</f>
        <v/>
      </c>
      <c r="N581" s="80" t="str">
        <f t="shared" si="6"/>
        <v/>
      </c>
      <c r="O581" s="80" t="str">
        <f t="array" ref="O581">IF(A581="","",IFERROR(INDEX('Deck 2'!$A:$Z,ROW()-500,'List Setup'!$J$4)&amp;"",""))</f>
        <v/>
      </c>
      <c r="P581" s="2"/>
      <c r="Q581" s="80" t="str">
        <f>IF(A581="","",'List Setup'!$A$4)</f>
        <v/>
      </c>
      <c r="R581" s="80" t="str">
        <f t="array" ref="R581">IF(A581="","",IFERROR(OR(INDEX(Binders!$J$6:$J$30,MATCH(Q581,Binders!$I$6:$I$30,0))=TRUE(),UPPER(INDEX(Binders!$J$6:$J$30,MATCH(Q581,Binders!$I$6:$I$30,0))&amp;"")="TRUE"),FALSE()))</f>
        <v/>
      </c>
    </row>
    <row r="582" ht="15.75" customHeight="1">
      <c r="A582" s="80" t="str">
        <f t="array" ref="A582">IF(INDEX('Deck 2'!$A:$Z,ROW()-500,'List Setup'!$D$4)="","",INDEX('Deck 2'!$A:$Z,ROW()-500,'List Setup'!$D$4))</f>
        <v/>
      </c>
      <c r="B582" s="80" t="str">
        <f t="array" ref="B582">IF(A582="","",IFERROR(INDEX('Binder Setup'!$B$2:$B$401,MIN(IF(ISNUMBER(SEARCH(CHAR(10)&amp;'Binder Setup'!$B$2:$B$401&amp;CHAR(10),$H582)),'List Setup'!$Q$2:$Q$401,999),IF(ISNUMBER(SEARCH(CHAR(10)&amp;'Set Aliases'!$A$2:$A$501&amp;CHAR(10),$H582)),'Set Aliases'!$C$2:$C$501,999))),"(none)"))</f>
        <v/>
      </c>
      <c r="C582" s="80" t="str">
        <f t="shared" si="1"/>
        <v/>
      </c>
      <c r="D582" s="80" t="str">
        <f t="array" ref="D582">IF(A582="","",IF(ISLOGICAL(INDEX('Deck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82" s="80" t="str">
        <f t="shared" si="2"/>
        <v/>
      </c>
      <c r="F582" s="80" t="str">
        <f t="array" ref="F582">IF(A582="","",IF(ISNUMBER(J582),J582,IF(ISNUMBER(INDEX('Deck 2'!$A:$Z,ROW()-500,'List Setup'!$F$4)),INDEX('Deck 2'!$A:$Z,ROW()-500,'List Setup'!$F$4),0)))</f>
        <v/>
      </c>
      <c r="G582" s="80" t="str">
        <f t="array" ref="G582">IF(A582="","",A582&amp;IF(N(INDEX('Deck 2'!$A:$Z,ROW()-500,'List Setup'!$C$4))&gt;1," (x"&amp;INDEX('Deck 2'!$A:$Z,ROW()-500,'List Setup'!$C$4)&amp;")","")&amp;IF(COUNTIF(Binders!$J$6:$J$30,TRUE())&gt;1," ["&amp;Q582&amp;"]",""))</f>
        <v/>
      </c>
      <c r="H582" s="80" t="str">
        <f t="array" ref="H582">IF(A582="","",CHAR(10)&amp;INDEX('Deck 2'!$A:$Z,ROW()-500,'List Setup'!$E$4)&amp;CHAR(10))</f>
        <v/>
      </c>
      <c r="I582" s="80" t="str">
        <f t="array" ref="I582">IF(OR(B582="",B582="(none)"),"",IF(ISNUMBER(SEARCH(CHAR(10)&amp;B582&amp;CHAR(10),H582)),B582,IFERROR(INDEX('Set Aliases'!$A$2:$A$501,MATCH(1,('Set Aliases'!$B$2:$B$501=B582)*ISNUMBER(SEARCH(CHAR(10)&amp;'Set Aliases'!$A$2:$A$501&amp;CHAR(10),H582)),0)),"")))</f>
        <v/>
      </c>
      <c r="J582" s="80" t="str">
        <f t="array" ref="J582">IF(I582="","",IFERROR(VALUE(TRIM(MID(SUBSTITUTE(INDEX('Deck 2'!$A:$Z,ROW()-500,'List Setup'!$G$4),CHAR(10),REPT(" ",100)),((SEARCH(CHAR(10)&amp;I582&amp;CHAR(10),H582)-LEN(SUBSTITUTE(LEFT(H582,SEARCH(CHAR(10)&amp;I582&amp;CHAR(10),H582)),CHAR(10),"")))-1)*100+1,100))),""))</f>
        <v/>
      </c>
      <c r="K582" s="80" t="str">
        <f t="array" ref="K582">IF(A582="","",IF(ISNUMBER(SEARCH("Land",LEFT(IFERROR(INDEX('Deck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82" s="80" t="str">
        <f t="shared" si="3"/>
        <v/>
      </c>
      <c r="M582" s="80" t="str">
        <f>IF(A582="","",IF(AND(E582="Y",B582='Use at Shop'!$B$4),K582*10000000000+(MAX(0,MIN(26,CODE(MID(UPPER(A582)&amp;"    ",1,1))-64))*19683+MAX(0,MIN(26,CODE(MID(UPPER(A582)&amp;"    ",2,1))-64))*729+MAX(0,MIN(26,CODE(MID(UPPER(A582)&amp;"    ",3,1))-64))*27+MAX(0,MIN(26,CODE(MID(UPPER(A582)&amp;"    ",4,1))-64))*1)*10000+ROW(),""))</f>
        <v/>
      </c>
      <c r="N582" s="80" t="str">
        <f t="shared" si="6"/>
        <v/>
      </c>
      <c r="O582" s="80" t="str">
        <f t="array" ref="O582">IF(A582="","",IFERROR(INDEX('Deck 2'!$A:$Z,ROW()-500,'List Setup'!$J$4)&amp;"",""))</f>
        <v/>
      </c>
      <c r="P582" s="2"/>
      <c r="Q582" s="80" t="str">
        <f>IF(A582="","",'List Setup'!$A$4)</f>
        <v/>
      </c>
      <c r="R582" s="80" t="str">
        <f t="array" ref="R582">IF(A582="","",IFERROR(OR(INDEX(Binders!$J$6:$J$30,MATCH(Q582,Binders!$I$6:$I$30,0))=TRUE(),UPPER(INDEX(Binders!$J$6:$J$30,MATCH(Q582,Binders!$I$6:$I$30,0))&amp;"")="TRUE"),FALSE()))</f>
        <v/>
      </c>
    </row>
    <row r="583" ht="15.75" customHeight="1">
      <c r="A583" s="80" t="str">
        <f t="array" ref="A583">IF(INDEX('Deck 2'!$A:$Z,ROW()-500,'List Setup'!$D$4)="","",INDEX('Deck 2'!$A:$Z,ROW()-500,'List Setup'!$D$4))</f>
        <v/>
      </c>
      <c r="B583" s="80" t="str">
        <f t="array" ref="B583">IF(A583="","",IFERROR(INDEX('Binder Setup'!$B$2:$B$401,MIN(IF(ISNUMBER(SEARCH(CHAR(10)&amp;'Binder Setup'!$B$2:$B$401&amp;CHAR(10),$H583)),'List Setup'!$Q$2:$Q$401,999),IF(ISNUMBER(SEARCH(CHAR(10)&amp;'Set Aliases'!$A$2:$A$501&amp;CHAR(10),$H583)),'Set Aliases'!$C$2:$C$501,999))),"(none)"))</f>
        <v/>
      </c>
      <c r="C583" s="80" t="str">
        <f t="shared" si="1"/>
        <v/>
      </c>
      <c r="D583" s="80" t="str">
        <f t="array" ref="D583">IF(A583="","",IF(ISLOGICAL(INDEX('Deck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83" s="80" t="str">
        <f t="shared" si="2"/>
        <v/>
      </c>
      <c r="F583" s="80" t="str">
        <f t="array" ref="F583">IF(A583="","",IF(ISNUMBER(J583),J583,IF(ISNUMBER(INDEX('Deck 2'!$A:$Z,ROW()-500,'List Setup'!$F$4)),INDEX('Deck 2'!$A:$Z,ROW()-500,'List Setup'!$F$4),0)))</f>
        <v/>
      </c>
      <c r="G583" s="80" t="str">
        <f t="array" ref="G583">IF(A583="","",A583&amp;IF(N(INDEX('Deck 2'!$A:$Z,ROW()-500,'List Setup'!$C$4))&gt;1," (x"&amp;INDEX('Deck 2'!$A:$Z,ROW()-500,'List Setup'!$C$4)&amp;")","")&amp;IF(COUNTIF(Binders!$J$6:$J$30,TRUE())&gt;1," ["&amp;Q583&amp;"]",""))</f>
        <v/>
      </c>
      <c r="H583" s="80" t="str">
        <f t="array" ref="H583">IF(A583="","",CHAR(10)&amp;INDEX('Deck 2'!$A:$Z,ROW()-500,'List Setup'!$E$4)&amp;CHAR(10))</f>
        <v/>
      </c>
      <c r="I583" s="80" t="str">
        <f t="array" ref="I583">IF(OR(B583="",B583="(none)"),"",IF(ISNUMBER(SEARCH(CHAR(10)&amp;B583&amp;CHAR(10),H583)),B583,IFERROR(INDEX('Set Aliases'!$A$2:$A$501,MATCH(1,('Set Aliases'!$B$2:$B$501=B583)*ISNUMBER(SEARCH(CHAR(10)&amp;'Set Aliases'!$A$2:$A$501&amp;CHAR(10),H583)),0)),"")))</f>
        <v/>
      </c>
      <c r="J583" s="80" t="str">
        <f t="array" ref="J583">IF(I583="","",IFERROR(VALUE(TRIM(MID(SUBSTITUTE(INDEX('Deck 2'!$A:$Z,ROW()-500,'List Setup'!$G$4),CHAR(10),REPT(" ",100)),((SEARCH(CHAR(10)&amp;I583&amp;CHAR(10),H583)-LEN(SUBSTITUTE(LEFT(H583,SEARCH(CHAR(10)&amp;I583&amp;CHAR(10),H583)),CHAR(10),"")))-1)*100+1,100))),""))</f>
        <v/>
      </c>
      <c r="K583" s="80" t="str">
        <f t="array" ref="K583">IF(A583="","",IF(ISNUMBER(SEARCH("Land",LEFT(IFERROR(INDEX('Deck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83" s="80" t="str">
        <f t="shared" si="3"/>
        <v/>
      </c>
      <c r="M583" s="80" t="str">
        <f>IF(A583="","",IF(AND(E583="Y",B583='Use at Shop'!$B$4),K583*10000000000+(MAX(0,MIN(26,CODE(MID(UPPER(A583)&amp;"    ",1,1))-64))*19683+MAX(0,MIN(26,CODE(MID(UPPER(A583)&amp;"    ",2,1))-64))*729+MAX(0,MIN(26,CODE(MID(UPPER(A583)&amp;"    ",3,1))-64))*27+MAX(0,MIN(26,CODE(MID(UPPER(A583)&amp;"    ",4,1))-64))*1)*10000+ROW(),""))</f>
        <v/>
      </c>
      <c r="N583" s="80" t="str">
        <f t="shared" si="6"/>
        <v/>
      </c>
      <c r="O583" s="80" t="str">
        <f t="array" ref="O583">IF(A583="","",IFERROR(INDEX('Deck 2'!$A:$Z,ROW()-500,'List Setup'!$J$4)&amp;"",""))</f>
        <v/>
      </c>
      <c r="P583" s="2"/>
      <c r="Q583" s="80" t="str">
        <f>IF(A583="","",'List Setup'!$A$4)</f>
        <v/>
      </c>
      <c r="R583" s="80" t="str">
        <f t="array" ref="R583">IF(A583="","",IFERROR(OR(INDEX(Binders!$J$6:$J$30,MATCH(Q583,Binders!$I$6:$I$30,0))=TRUE(),UPPER(INDEX(Binders!$J$6:$J$30,MATCH(Q583,Binders!$I$6:$I$30,0))&amp;"")="TRUE"),FALSE()))</f>
        <v/>
      </c>
    </row>
    <row r="584" ht="15.75" customHeight="1">
      <c r="A584" s="80" t="str">
        <f t="array" ref="A584">IF(INDEX('Deck 2'!$A:$Z,ROW()-500,'List Setup'!$D$4)="","",INDEX('Deck 2'!$A:$Z,ROW()-500,'List Setup'!$D$4))</f>
        <v/>
      </c>
      <c r="B584" s="80" t="str">
        <f t="array" ref="B584">IF(A584="","",IFERROR(INDEX('Binder Setup'!$B$2:$B$401,MIN(IF(ISNUMBER(SEARCH(CHAR(10)&amp;'Binder Setup'!$B$2:$B$401&amp;CHAR(10),$H584)),'List Setup'!$Q$2:$Q$401,999),IF(ISNUMBER(SEARCH(CHAR(10)&amp;'Set Aliases'!$A$2:$A$501&amp;CHAR(10),$H584)),'Set Aliases'!$C$2:$C$501,999))),"(none)"))</f>
        <v/>
      </c>
      <c r="C584" s="80" t="str">
        <f t="shared" si="1"/>
        <v/>
      </c>
      <c r="D584" s="80" t="str">
        <f t="array" ref="D584">IF(A584="","",IF(ISLOGICAL(INDEX('Deck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84" s="80" t="str">
        <f t="shared" si="2"/>
        <v/>
      </c>
      <c r="F584" s="80" t="str">
        <f t="array" ref="F584">IF(A584="","",IF(ISNUMBER(J584),J584,IF(ISNUMBER(INDEX('Deck 2'!$A:$Z,ROW()-500,'List Setup'!$F$4)),INDEX('Deck 2'!$A:$Z,ROW()-500,'List Setup'!$F$4),0)))</f>
        <v/>
      </c>
      <c r="G584" s="80" t="str">
        <f t="array" ref="G584">IF(A584="","",A584&amp;IF(N(INDEX('Deck 2'!$A:$Z,ROW()-500,'List Setup'!$C$4))&gt;1," (x"&amp;INDEX('Deck 2'!$A:$Z,ROW()-500,'List Setup'!$C$4)&amp;")","")&amp;IF(COUNTIF(Binders!$J$6:$J$30,TRUE())&gt;1," ["&amp;Q584&amp;"]",""))</f>
        <v/>
      </c>
      <c r="H584" s="80" t="str">
        <f t="array" ref="H584">IF(A584="","",CHAR(10)&amp;INDEX('Deck 2'!$A:$Z,ROW()-500,'List Setup'!$E$4)&amp;CHAR(10))</f>
        <v/>
      </c>
      <c r="I584" s="80" t="str">
        <f t="array" ref="I584">IF(OR(B584="",B584="(none)"),"",IF(ISNUMBER(SEARCH(CHAR(10)&amp;B584&amp;CHAR(10),H584)),B584,IFERROR(INDEX('Set Aliases'!$A$2:$A$501,MATCH(1,('Set Aliases'!$B$2:$B$501=B584)*ISNUMBER(SEARCH(CHAR(10)&amp;'Set Aliases'!$A$2:$A$501&amp;CHAR(10),H584)),0)),"")))</f>
        <v/>
      </c>
      <c r="J584" s="80" t="str">
        <f t="array" ref="J584">IF(I584="","",IFERROR(VALUE(TRIM(MID(SUBSTITUTE(INDEX('Deck 2'!$A:$Z,ROW()-500,'List Setup'!$G$4),CHAR(10),REPT(" ",100)),((SEARCH(CHAR(10)&amp;I584&amp;CHAR(10),H584)-LEN(SUBSTITUTE(LEFT(H584,SEARCH(CHAR(10)&amp;I584&amp;CHAR(10),H584)),CHAR(10),"")))-1)*100+1,100))),""))</f>
        <v/>
      </c>
      <c r="K584" s="80" t="str">
        <f t="array" ref="K584">IF(A584="","",IF(ISNUMBER(SEARCH("Land",LEFT(IFERROR(INDEX('Deck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84" s="80" t="str">
        <f t="shared" si="3"/>
        <v/>
      </c>
      <c r="M584" s="80" t="str">
        <f>IF(A584="","",IF(AND(E584="Y",B584='Use at Shop'!$B$4),K584*10000000000+(MAX(0,MIN(26,CODE(MID(UPPER(A584)&amp;"    ",1,1))-64))*19683+MAX(0,MIN(26,CODE(MID(UPPER(A584)&amp;"    ",2,1))-64))*729+MAX(0,MIN(26,CODE(MID(UPPER(A584)&amp;"    ",3,1))-64))*27+MAX(0,MIN(26,CODE(MID(UPPER(A584)&amp;"    ",4,1))-64))*1)*10000+ROW(),""))</f>
        <v/>
      </c>
      <c r="N584" s="80" t="str">
        <f t="shared" si="6"/>
        <v/>
      </c>
      <c r="O584" s="80" t="str">
        <f t="array" ref="O584">IF(A584="","",IFERROR(INDEX('Deck 2'!$A:$Z,ROW()-500,'List Setup'!$J$4)&amp;"",""))</f>
        <v/>
      </c>
      <c r="P584" s="2"/>
      <c r="Q584" s="80" t="str">
        <f>IF(A584="","",'List Setup'!$A$4)</f>
        <v/>
      </c>
      <c r="R584" s="80" t="str">
        <f t="array" ref="R584">IF(A584="","",IFERROR(OR(INDEX(Binders!$J$6:$J$30,MATCH(Q584,Binders!$I$6:$I$30,0))=TRUE(),UPPER(INDEX(Binders!$J$6:$J$30,MATCH(Q584,Binders!$I$6:$I$30,0))&amp;"")="TRUE"),FALSE()))</f>
        <v/>
      </c>
    </row>
    <row r="585" ht="15.75" customHeight="1">
      <c r="A585" s="80" t="str">
        <f t="array" ref="A585">IF(INDEX('Deck 2'!$A:$Z,ROW()-500,'List Setup'!$D$4)="","",INDEX('Deck 2'!$A:$Z,ROW()-500,'List Setup'!$D$4))</f>
        <v/>
      </c>
      <c r="B585" s="80" t="str">
        <f t="array" ref="B585">IF(A585="","",IFERROR(INDEX('Binder Setup'!$B$2:$B$401,MIN(IF(ISNUMBER(SEARCH(CHAR(10)&amp;'Binder Setup'!$B$2:$B$401&amp;CHAR(10),$H585)),'List Setup'!$Q$2:$Q$401,999),IF(ISNUMBER(SEARCH(CHAR(10)&amp;'Set Aliases'!$A$2:$A$501&amp;CHAR(10),$H585)),'Set Aliases'!$C$2:$C$501,999))),"(none)"))</f>
        <v/>
      </c>
      <c r="C585" s="80" t="str">
        <f t="shared" si="1"/>
        <v/>
      </c>
      <c r="D585" s="80" t="str">
        <f t="array" ref="D585">IF(A585="","",IF(ISLOGICAL(INDEX('Deck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85" s="80" t="str">
        <f t="shared" si="2"/>
        <v/>
      </c>
      <c r="F585" s="80" t="str">
        <f t="array" ref="F585">IF(A585="","",IF(ISNUMBER(J585),J585,IF(ISNUMBER(INDEX('Deck 2'!$A:$Z,ROW()-500,'List Setup'!$F$4)),INDEX('Deck 2'!$A:$Z,ROW()-500,'List Setup'!$F$4),0)))</f>
        <v/>
      </c>
      <c r="G585" s="80" t="str">
        <f t="array" ref="G585">IF(A585="","",A585&amp;IF(N(INDEX('Deck 2'!$A:$Z,ROW()-500,'List Setup'!$C$4))&gt;1," (x"&amp;INDEX('Deck 2'!$A:$Z,ROW()-500,'List Setup'!$C$4)&amp;")","")&amp;IF(COUNTIF(Binders!$J$6:$J$30,TRUE())&gt;1," ["&amp;Q585&amp;"]",""))</f>
        <v/>
      </c>
      <c r="H585" s="80" t="str">
        <f t="array" ref="H585">IF(A585="","",CHAR(10)&amp;INDEX('Deck 2'!$A:$Z,ROW()-500,'List Setup'!$E$4)&amp;CHAR(10))</f>
        <v/>
      </c>
      <c r="I585" s="80" t="str">
        <f t="array" ref="I585">IF(OR(B585="",B585="(none)"),"",IF(ISNUMBER(SEARCH(CHAR(10)&amp;B585&amp;CHAR(10),H585)),B585,IFERROR(INDEX('Set Aliases'!$A$2:$A$501,MATCH(1,('Set Aliases'!$B$2:$B$501=B585)*ISNUMBER(SEARCH(CHAR(10)&amp;'Set Aliases'!$A$2:$A$501&amp;CHAR(10),H585)),0)),"")))</f>
        <v/>
      </c>
      <c r="J585" s="80" t="str">
        <f t="array" ref="J585">IF(I585="","",IFERROR(VALUE(TRIM(MID(SUBSTITUTE(INDEX('Deck 2'!$A:$Z,ROW()-500,'List Setup'!$G$4),CHAR(10),REPT(" ",100)),((SEARCH(CHAR(10)&amp;I585&amp;CHAR(10),H585)-LEN(SUBSTITUTE(LEFT(H585,SEARCH(CHAR(10)&amp;I585&amp;CHAR(10),H585)),CHAR(10),"")))-1)*100+1,100))),""))</f>
        <v/>
      </c>
      <c r="K585" s="80" t="str">
        <f t="array" ref="K585">IF(A585="","",IF(ISNUMBER(SEARCH("Land",LEFT(IFERROR(INDEX('Deck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85" s="80" t="str">
        <f t="shared" si="3"/>
        <v/>
      </c>
      <c r="M585" s="80" t="str">
        <f>IF(A585="","",IF(AND(E585="Y",B585='Use at Shop'!$B$4),K585*10000000000+(MAX(0,MIN(26,CODE(MID(UPPER(A585)&amp;"    ",1,1))-64))*19683+MAX(0,MIN(26,CODE(MID(UPPER(A585)&amp;"    ",2,1))-64))*729+MAX(0,MIN(26,CODE(MID(UPPER(A585)&amp;"    ",3,1))-64))*27+MAX(0,MIN(26,CODE(MID(UPPER(A585)&amp;"    ",4,1))-64))*1)*10000+ROW(),""))</f>
        <v/>
      </c>
      <c r="N585" s="80" t="str">
        <f t="shared" si="6"/>
        <v/>
      </c>
      <c r="O585" s="80" t="str">
        <f t="array" ref="O585">IF(A585="","",IFERROR(INDEX('Deck 2'!$A:$Z,ROW()-500,'List Setup'!$J$4)&amp;"",""))</f>
        <v/>
      </c>
      <c r="P585" s="2"/>
      <c r="Q585" s="80" t="str">
        <f>IF(A585="","",'List Setup'!$A$4)</f>
        <v/>
      </c>
      <c r="R585" s="80" t="str">
        <f t="array" ref="R585">IF(A585="","",IFERROR(OR(INDEX(Binders!$J$6:$J$30,MATCH(Q585,Binders!$I$6:$I$30,0))=TRUE(),UPPER(INDEX(Binders!$J$6:$J$30,MATCH(Q585,Binders!$I$6:$I$30,0))&amp;"")="TRUE"),FALSE()))</f>
        <v/>
      </c>
    </row>
    <row r="586" ht="15.75" customHeight="1">
      <c r="A586" s="80" t="str">
        <f t="array" ref="A586">IF(INDEX('Deck 2'!$A:$Z,ROW()-500,'List Setup'!$D$4)="","",INDEX('Deck 2'!$A:$Z,ROW()-500,'List Setup'!$D$4))</f>
        <v/>
      </c>
      <c r="B586" s="80" t="str">
        <f t="array" ref="B586">IF(A586="","",IFERROR(INDEX('Binder Setup'!$B$2:$B$401,MIN(IF(ISNUMBER(SEARCH(CHAR(10)&amp;'Binder Setup'!$B$2:$B$401&amp;CHAR(10),$H586)),'List Setup'!$Q$2:$Q$401,999),IF(ISNUMBER(SEARCH(CHAR(10)&amp;'Set Aliases'!$A$2:$A$501&amp;CHAR(10),$H586)),'Set Aliases'!$C$2:$C$501,999))),"(none)"))</f>
        <v/>
      </c>
      <c r="C586" s="80" t="str">
        <f t="shared" si="1"/>
        <v/>
      </c>
      <c r="D586" s="80" t="str">
        <f t="array" ref="D586">IF(A586="","",IF(ISLOGICAL(INDEX('Deck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86" s="80" t="str">
        <f t="shared" si="2"/>
        <v/>
      </c>
      <c r="F586" s="80" t="str">
        <f t="array" ref="F586">IF(A586="","",IF(ISNUMBER(J586),J586,IF(ISNUMBER(INDEX('Deck 2'!$A:$Z,ROW()-500,'List Setup'!$F$4)),INDEX('Deck 2'!$A:$Z,ROW()-500,'List Setup'!$F$4),0)))</f>
        <v/>
      </c>
      <c r="G586" s="80" t="str">
        <f t="array" ref="G586">IF(A586="","",A586&amp;IF(N(INDEX('Deck 2'!$A:$Z,ROW()-500,'List Setup'!$C$4))&gt;1," (x"&amp;INDEX('Deck 2'!$A:$Z,ROW()-500,'List Setup'!$C$4)&amp;")","")&amp;IF(COUNTIF(Binders!$J$6:$J$30,TRUE())&gt;1," ["&amp;Q586&amp;"]",""))</f>
        <v/>
      </c>
      <c r="H586" s="80" t="str">
        <f t="array" ref="H586">IF(A586="","",CHAR(10)&amp;INDEX('Deck 2'!$A:$Z,ROW()-500,'List Setup'!$E$4)&amp;CHAR(10))</f>
        <v/>
      </c>
      <c r="I586" s="80" t="str">
        <f t="array" ref="I586">IF(OR(B586="",B586="(none)"),"",IF(ISNUMBER(SEARCH(CHAR(10)&amp;B586&amp;CHAR(10),H586)),B586,IFERROR(INDEX('Set Aliases'!$A$2:$A$501,MATCH(1,('Set Aliases'!$B$2:$B$501=B586)*ISNUMBER(SEARCH(CHAR(10)&amp;'Set Aliases'!$A$2:$A$501&amp;CHAR(10),H586)),0)),"")))</f>
        <v/>
      </c>
      <c r="J586" s="80" t="str">
        <f t="array" ref="J586">IF(I586="","",IFERROR(VALUE(TRIM(MID(SUBSTITUTE(INDEX('Deck 2'!$A:$Z,ROW()-500,'List Setup'!$G$4),CHAR(10),REPT(" ",100)),((SEARCH(CHAR(10)&amp;I586&amp;CHAR(10),H586)-LEN(SUBSTITUTE(LEFT(H586,SEARCH(CHAR(10)&amp;I586&amp;CHAR(10),H586)),CHAR(10),"")))-1)*100+1,100))),""))</f>
        <v/>
      </c>
      <c r="K586" s="80" t="str">
        <f t="array" ref="K586">IF(A586="","",IF(ISNUMBER(SEARCH("Land",LEFT(IFERROR(INDEX('Deck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86" s="80" t="str">
        <f t="shared" si="3"/>
        <v/>
      </c>
      <c r="M586" s="80" t="str">
        <f>IF(A586="","",IF(AND(E586="Y",B586='Use at Shop'!$B$4),K586*10000000000+(MAX(0,MIN(26,CODE(MID(UPPER(A586)&amp;"    ",1,1))-64))*19683+MAX(0,MIN(26,CODE(MID(UPPER(A586)&amp;"    ",2,1))-64))*729+MAX(0,MIN(26,CODE(MID(UPPER(A586)&amp;"    ",3,1))-64))*27+MAX(0,MIN(26,CODE(MID(UPPER(A586)&amp;"    ",4,1))-64))*1)*10000+ROW(),""))</f>
        <v/>
      </c>
      <c r="N586" s="80" t="str">
        <f t="shared" si="6"/>
        <v/>
      </c>
      <c r="O586" s="80" t="str">
        <f t="array" ref="O586">IF(A586="","",IFERROR(INDEX('Deck 2'!$A:$Z,ROW()-500,'List Setup'!$J$4)&amp;"",""))</f>
        <v/>
      </c>
      <c r="P586" s="2"/>
      <c r="Q586" s="80" t="str">
        <f>IF(A586="","",'List Setup'!$A$4)</f>
        <v/>
      </c>
      <c r="R586" s="80" t="str">
        <f t="array" ref="R586">IF(A586="","",IFERROR(OR(INDEX(Binders!$J$6:$J$30,MATCH(Q586,Binders!$I$6:$I$30,0))=TRUE(),UPPER(INDEX(Binders!$J$6:$J$30,MATCH(Q586,Binders!$I$6:$I$30,0))&amp;"")="TRUE"),FALSE()))</f>
        <v/>
      </c>
    </row>
    <row r="587" ht="15.75" customHeight="1">
      <c r="A587" s="80" t="str">
        <f t="array" ref="A587">IF(INDEX('Deck 2'!$A:$Z,ROW()-500,'List Setup'!$D$4)="","",INDEX('Deck 2'!$A:$Z,ROW()-500,'List Setup'!$D$4))</f>
        <v/>
      </c>
      <c r="B587" s="80" t="str">
        <f t="array" ref="B587">IF(A587="","",IFERROR(INDEX('Binder Setup'!$B$2:$B$401,MIN(IF(ISNUMBER(SEARCH(CHAR(10)&amp;'Binder Setup'!$B$2:$B$401&amp;CHAR(10),$H587)),'List Setup'!$Q$2:$Q$401,999),IF(ISNUMBER(SEARCH(CHAR(10)&amp;'Set Aliases'!$A$2:$A$501&amp;CHAR(10),$H587)),'Set Aliases'!$C$2:$C$501,999))),"(none)"))</f>
        <v/>
      </c>
      <c r="C587" s="80" t="str">
        <f t="shared" si="1"/>
        <v/>
      </c>
      <c r="D587" s="80" t="str">
        <f t="array" ref="D587">IF(A587="","",IF(ISLOGICAL(INDEX('Deck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87" s="80" t="str">
        <f t="shared" si="2"/>
        <v/>
      </c>
      <c r="F587" s="80" t="str">
        <f t="array" ref="F587">IF(A587="","",IF(ISNUMBER(J587),J587,IF(ISNUMBER(INDEX('Deck 2'!$A:$Z,ROW()-500,'List Setup'!$F$4)),INDEX('Deck 2'!$A:$Z,ROW()-500,'List Setup'!$F$4),0)))</f>
        <v/>
      </c>
      <c r="G587" s="80" t="str">
        <f t="array" ref="G587">IF(A587="","",A587&amp;IF(N(INDEX('Deck 2'!$A:$Z,ROW()-500,'List Setup'!$C$4))&gt;1," (x"&amp;INDEX('Deck 2'!$A:$Z,ROW()-500,'List Setup'!$C$4)&amp;")","")&amp;IF(COUNTIF(Binders!$J$6:$J$30,TRUE())&gt;1," ["&amp;Q587&amp;"]",""))</f>
        <v/>
      </c>
      <c r="H587" s="80" t="str">
        <f t="array" ref="H587">IF(A587="","",CHAR(10)&amp;INDEX('Deck 2'!$A:$Z,ROW()-500,'List Setup'!$E$4)&amp;CHAR(10))</f>
        <v/>
      </c>
      <c r="I587" s="80" t="str">
        <f t="array" ref="I587">IF(OR(B587="",B587="(none)"),"",IF(ISNUMBER(SEARCH(CHAR(10)&amp;B587&amp;CHAR(10),H587)),B587,IFERROR(INDEX('Set Aliases'!$A$2:$A$501,MATCH(1,('Set Aliases'!$B$2:$B$501=B587)*ISNUMBER(SEARCH(CHAR(10)&amp;'Set Aliases'!$A$2:$A$501&amp;CHAR(10),H587)),0)),"")))</f>
        <v/>
      </c>
      <c r="J587" s="80" t="str">
        <f t="array" ref="J587">IF(I587="","",IFERROR(VALUE(TRIM(MID(SUBSTITUTE(INDEX('Deck 2'!$A:$Z,ROW()-500,'List Setup'!$G$4),CHAR(10),REPT(" ",100)),((SEARCH(CHAR(10)&amp;I587&amp;CHAR(10),H587)-LEN(SUBSTITUTE(LEFT(H587,SEARCH(CHAR(10)&amp;I587&amp;CHAR(10),H587)),CHAR(10),"")))-1)*100+1,100))),""))</f>
        <v/>
      </c>
      <c r="K587" s="80" t="str">
        <f t="array" ref="K587">IF(A587="","",IF(ISNUMBER(SEARCH("Land",LEFT(IFERROR(INDEX('Deck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87" s="80" t="str">
        <f t="shared" si="3"/>
        <v/>
      </c>
      <c r="M587" s="80" t="str">
        <f>IF(A587="","",IF(AND(E587="Y",B587='Use at Shop'!$B$4),K587*10000000000+(MAX(0,MIN(26,CODE(MID(UPPER(A587)&amp;"    ",1,1))-64))*19683+MAX(0,MIN(26,CODE(MID(UPPER(A587)&amp;"    ",2,1))-64))*729+MAX(0,MIN(26,CODE(MID(UPPER(A587)&amp;"    ",3,1))-64))*27+MAX(0,MIN(26,CODE(MID(UPPER(A587)&amp;"    ",4,1))-64))*1)*10000+ROW(),""))</f>
        <v/>
      </c>
      <c r="N587" s="80" t="str">
        <f t="shared" si="6"/>
        <v/>
      </c>
      <c r="O587" s="80" t="str">
        <f t="array" ref="O587">IF(A587="","",IFERROR(INDEX('Deck 2'!$A:$Z,ROW()-500,'List Setup'!$J$4)&amp;"",""))</f>
        <v/>
      </c>
      <c r="P587" s="2"/>
      <c r="Q587" s="80" t="str">
        <f>IF(A587="","",'List Setup'!$A$4)</f>
        <v/>
      </c>
      <c r="R587" s="80" t="str">
        <f t="array" ref="R587">IF(A587="","",IFERROR(OR(INDEX(Binders!$J$6:$J$30,MATCH(Q587,Binders!$I$6:$I$30,0))=TRUE(),UPPER(INDEX(Binders!$J$6:$J$30,MATCH(Q587,Binders!$I$6:$I$30,0))&amp;"")="TRUE"),FALSE()))</f>
        <v/>
      </c>
    </row>
    <row r="588" ht="15.75" customHeight="1">
      <c r="A588" s="80" t="str">
        <f t="array" ref="A588">IF(INDEX('Deck 2'!$A:$Z,ROW()-500,'List Setup'!$D$4)="","",INDEX('Deck 2'!$A:$Z,ROW()-500,'List Setup'!$D$4))</f>
        <v/>
      </c>
      <c r="B588" s="80" t="str">
        <f t="array" ref="B588">IF(A588="","",IFERROR(INDEX('Binder Setup'!$B$2:$B$401,MIN(IF(ISNUMBER(SEARCH(CHAR(10)&amp;'Binder Setup'!$B$2:$B$401&amp;CHAR(10),$H588)),'List Setup'!$Q$2:$Q$401,999),IF(ISNUMBER(SEARCH(CHAR(10)&amp;'Set Aliases'!$A$2:$A$501&amp;CHAR(10),$H588)),'Set Aliases'!$C$2:$C$501,999))),"(none)"))</f>
        <v/>
      </c>
      <c r="C588" s="80" t="str">
        <f t="shared" si="1"/>
        <v/>
      </c>
      <c r="D588" s="80" t="str">
        <f t="array" ref="D588">IF(A588="","",IF(ISLOGICAL(INDEX('Deck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88" s="80" t="str">
        <f t="shared" si="2"/>
        <v/>
      </c>
      <c r="F588" s="80" t="str">
        <f t="array" ref="F588">IF(A588="","",IF(ISNUMBER(J588),J588,IF(ISNUMBER(INDEX('Deck 2'!$A:$Z,ROW()-500,'List Setup'!$F$4)),INDEX('Deck 2'!$A:$Z,ROW()-500,'List Setup'!$F$4),0)))</f>
        <v/>
      </c>
      <c r="G588" s="80" t="str">
        <f t="array" ref="G588">IF(A588="","",A588&amp;IF(N(INDEX('Deck 2'!$A:$Z,ROW()-500,'List Setup'!$C$4))&gt;1," (x"&amp;INDEX('Deck 2'!$A:$Z,ROW()-500,'List Setup'!$C$4)&amp;")","")&amp;IF(COUNTIF(Binders!$J$6:$J$30,TRUE())&gt;1," ["&amp;Q588&amp;"]",""))</f>
        <v/>
      </c>
      <c r="H588" s="80" t="str">
        <f t="array" ref="H588">IF(A588="","",CHAR(10)&amp;INDEX('Deck 2'!$A:$Z,ROW()-500,'List Setup'!$E$4)&amp;CHAR(10))</f>
        <v/>
      </c>
      <c r="I588" s="80" t="str">
        <f t="array" ref="I588">IF(OR(B588="",B588="(none)"),"",IF(ISNUMBER(SEARCH(CHAR(10)&amp;B588&amp;CHAR(10),H588)),B588,IFERROR(INDEX('Set Aliases'!$A$2:$A$501,MATCH(1,('Set Aliases'!$B$2:$B$501=B588)*ISNUMBER(SEARCH(CHAR(10)&amp;'Set Aliases'!$A$2:$A$501&amp;CHAR(10),H588)),0)),"")))</f>
        <v/>
      </c>
      <c r="J588" s="80" t="str">
        <f t="array" ref="J588">IF(I588="","",IFERROR(VALUE(TRIM(MID(SUBSTITUTE(INDEX('Deck 2'!$A:$Z,ROW()-500,'List Setup'!$G$4),CHAR(10),REPT(" ",100)),((SEARCH(CHAR(10)&amp;I588&amp;CHAR(10),H588)-LEN(SUBSTITUTE(LEFT(H588,SEARCH(CHAR(10)&amp;I588&amp;CHAR(10),H588)),CHAR(10),"")))-1)*100+1,100))),""))</f>
        <v/>
      </c>
      <c r="K588" s="80" t="str">
        <f t="array" ref="K588">IF(A588="","",IF(ISNUMBER(SEARCH("Land",LEFT(IFERROR(INDEX('Deck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88" s="80" t="str">
        <f t="shared" si="3"/>
        <v/>
      </c>
      <c r="M588" s="80" t="str">
        <f>IF(A588="","",IF(AND(E588="Y",B588='Use at Shop'!$B$4),K588*10000000000+(MAX(0,MIN(26,CODE(MID(UPPER(A588)&amp;"    ",1,1))-64))*19683+MAX(0,MIN(26,CODE(MID(UPPER(A588)&amp;"    ",2,1))-64))*729+MAX(0,MIN(26,CODE(MID(UPPER(A588)&amp;"    ",3,1))-64))*27+MAX(0,MIN(26,CODE(MID(UPPER(A588)&amp;"    ",4,1))-64))*1)*10000+ROW(),""))</f>
        <v/>
      </c>
      <c r="N588" s="80" t="str">
        <f t="shared" si="6"/>
        <v/>
      </c>
      <c r="O588" s="80" t="str">
        <f t="array" ref="O588">IF(A588="","",IFERROR(INDEX('Deck 2'!$A:$Z,ROW()-500,'List Setup'!$J$4)&amp;"",""))</f>
        <v/>
      </c>
      <c r="P588" s="2"/>
      <c r="Q588" s="80" t="str">
        <f>IF(A588="","",'List Setup'!$A$4)</f>
        <v/>
      </c>
      <c r="R588" s="80" t="str">
        <f t="array" ref="R588">IF(A588="","",IFERROR(OR(INDEX(Binders!$J$6:$J$30,MATCH(Q588,Binders!$I$6:$I$30,0))=TRUE(),UPPER(INDEX(Binders!$J$6:$J$30,MATCH(Q588,Binders!$I$6:$I$30,0))&amp;"")="TRUE"),FALSE()))</f>
        <v/>
      </c>
    </row>
    <row r="589" ht="15.75" customHeight="1">
      <c r="A589" s="80" t="str">
        <f t="array" ref="A589">IF(INDEX('Deck 2'!$A:$Z,ROW()-500,'List Setup'!$D$4)="","",INDEX('Deck 2'!$A:$Z,ROW()-500,'List Setup'!$D$4))</f>
        <v/>
      </c>
      <c r="B589" s="80" t="str">
        <f t="array" ref="B589">IF(A589="","",IFERROR(INDEX('Binder Setup'!$B$2:$B$401,MIN(IF(ISNUMBER(SEARCH(CHAR(10)&amp;'Binder Setup'!$B$2:$B$401&amp;CHAR(10),$H589)),'List Setup'!$Q$2:$Q$401,999),IF(ISNUMBER(SEARCH(CHAR(10)&amp;'Set Aliases'!$A$2:$A$501&amp;CHAR(10),$H589)),'Set Aliases'!$C$2:$C$501,999))),"(none)"))</f>
        <v/>
      </c>
      <c r="C589" s="80" t="str">
        <f t="shared" si="1"/>
        <v/>
      </c>
      <c r="D589" s="80" t="str">
        <f t="array" ref="D589">IF(A589="","",IF(ISLOGICAL(INDEX('Deck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89" s="80" t="str">
        <f t="shared" si="2"/>
        <v/>
      </c>
      <c r="F589" s="80" t="str">
        <f t="array" ref="F589">IF(A589="","",IF(ISNUMBER(J589),J589,IF(ISNUMBER(INDEX('Deck 2'!$A:$Z,ROW()-500,'List Setup'!$F$4)),INDEX('Deck 2'!$A:$Z,ROW()-500,'List Setup'!$F$4),0)))</f>
        <v/>
      </c>
      <c r="G589" s="80" t="str">
        <f t="array" ref="G589">IF(A589="","",A589&amp;IF(N(INDEX('Deck 2'!$A:$Z,ROW()-500,'List Setup'!$C$4))&gt;1," (x"&amp;INDEX('Deck 2'!$A:$Z,ROW()-500,'List Setup'!$C$4)&amp;")","")&amp;IF(COUNTIF(Binders!$J$6:$J$30,TRUE())&gt;1," ["&amp;Q589&amp;"]",""))</f>
        <v/>
      </c>
      <c r="H589" s="80" t="str">
        <f t="array" ref="H589">IF(A589="","",CHAR(10)&amp;INDEX('Deck 2'!$A:$Z,ROW()-500,'List Setup'!$E$4)&amp;CHAR(10))</f>
        <v/>
      </c>
      <c r="I589" s="80" t="str">
        <f t="array" ref="I589">IF(OR(B589="",B589="(none)"),"",IF(ISNUMBER(SEARCH(CHAR(10)&amp;B589&amp;CHAR(10),H589)),B589,IFERROR(INDEX('Set Aliases'!$A$2:$A$501,MATCH(1,('Set Aliases'!$B$2:$B$501=B589)*ISNUMBER(SEARCH(CHAR(10)&amp;'Set Aliases'!$A$2:$A$501&amp;CHAR(10),H589)),0)),"")))</f>
        <v/>
      </c>
      <c r="J589" s="80" t="str">
        <f t="array" ref="J589">IF(I589="","",IFERROR(VALUE(TRIM(MID(SUBSTITUTE(INDEX('Deck 2'!$A:$Z,ROW()-500,'List Setup'!$G$4),CHAR(10),REPT(" ",100)),((SEARCH(CHAR(10)&amp;I589&amp;CHAR(10),H589)-LEN(SUBSTITUTE(LEFT(H589,SEARCH(CHAR(10)&amp;I589&amp;CHAR(10),H589)),CHAR(10),"")))-1)*100+1,100))),""))</f>
        <v/>
      </c>
      <c r="K589" s="80" t="str">
        <f t="array" ref="K589">IF(A589="","",IF(ISNUMBER(SEARCH("Land",LEFT(IFERROR(INDEX('Deck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89" s="80" t="str">
        <f t="shared" si="3"/>
        <v/>
      </c>
      <c r="M589" s="80" t="str">
        <f>IF(A589="","",IF(AND(E589="Y",B589='Use at Shop'!$B$4),K589*10000000000+(MAX(0,MIN(26,CODE(MID(UPPER(A589)&amp;"    ",1,1))-64))*19683+MAX(0,MIN(26,CODE(MID(UPPER(A589)&amp;"    ",2,1))-64))*729+MAX(0,MIN(26,CODE(MID(UPPER(A589)&amp;"    ",3,1))-64))*27+MAX(0,MIN(26,CODE(MID(UPPER(A589)&amp;"    ",4,1))-64))*1)*10000+ROW(),""))</f>
        <v/>
      </c>
      <c r="N589" s="80" t="str">
        <f t="shared" si="6"/>
        <v/>
      </c>
      <c r="O589" s="80" t="str">
        <f t="array" ref="O589">IF(A589="","",IFERROR(INDEX('Deck 2'!$A:$Z,ROW()-500,'List Setup'!$J$4)&amp;"",""))</f>
        <v/>
      </c>
      <c r="P589" s="2"/>
      <c r="Q589" s="80" t="str">
        <f>IF(A589="","",'List Setup'!$A$4)</f>
        <v/>
      </c>
      <c r="R589" s="80" t="str">
        <f t="array" ref="R589">IF(A589="","",IFERROR(OR(INDEX(Binders!$J$6:$J$30,MATCH(Q589,Binders!$I$6:$I$30,0))=TRUE(),UPPER(INDEX(Binders!$J$6:$J$30,MATCH(Q589,Binders!$I$6:$I$30,0))&amp;"")="TRUE"),FALSE()))</f>
        <v/>
      </c>
    </row>
    <row r="590" ht="15.75" customHeight="1">
      <c r="A590" s="80" t="str">
        <f t="array" ref="A590">IF(INDEX('Deck 2'!$A:$Z,ROW()-500,'List Setup'!$D$4)="","",INDEX('Deck 2'!$A:$Z,ROW()-500,'List Setup'!$D$4))</f>
        <v/>
      </c>
      <c r="B590" s="80" t="str">
        <f t="array" ref="B590">IF(A590="","",IFERROR(INDEX('Binder Setup'!$B$2:$B$401,MIN(IF(ISNUMBER(SEARCH(CHAR(10)&amp;'Binder Setup'!$B$2:$B$401&amp;CHAR(10),$H590)),'List Setup'!$Q$2:$Q$401,999),IF(ISNUMBER(SEARCH(CHAR(10)&amp;'Set Aliases'!$A$2:$A$501&amp;CHAR(10),$H590)),'Set Aliases'!$C$2:$C$501,999))),"(none)"))</f>
        <v/>
      </c>
      <c r="C590" s="80" t="str">
        <f t="shared" si="1"/>
        <v/>
      </c>
      <c r="D590" s="80" t="str">
        <f t="array" ref="D590">IF(A590="","",IF(ISLOGICAL(INDEX('Deck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90" s="80" t="str">
        <f t="shared" si="2"/>
        <v/>
      </c>
      <c r="F590" s="80" t="str">
        <f t="array" ref="F590">IF(A590="","",IF(ISNUMBER(J590),J590,IF(ISNUMBER(INDEX('Deck 2'!$A:$Z,ROW()-500,'List Setup'!$F$4)),INDEX('Deck 2'!$A:$Z,ROW()-500,'List Setup'!$F$4),0)))</f>
        <v/>
      </c>
      <c r="G590" s="80" t="str">
        <f t="array" ref="G590">IF(A590="","",A590&amp;IF(N(INDEX('Deck 2'!$A:$Z,ROW()-500,'List Setup'!$C$4))&gt;1," (x"&amp;INDEX('Deck 2'!$A:$Z,ROW()-500,'List Setup'!$C$4)&amp;")","")&amp;IF(COUNTIF(Binders!$J$6:$J$30,TRUE())&gt;1," ["&amp;Q590&amp;"]",""))</f>
        <v/>
      </c>
      <c r="H590" s="80" t="str">
        <f t="array" ref="H590">IF(A590="","",CHAR(10)&amp;INDEX('Deck 2'!$A:$Z,ROW()-500,'List Setup'!$E$4)&amp;CHAR(10))</f>
        <v/>
      </c>
      <c r="I590" s="80" t="str">
        <f t="array" ref="I590">IF(OR(B590="",B590="(none)"),"",IF(ISNUMBER(SEARCH(CHAR(10)&amp;B590&amp;CHAR(10),H590)),B590,IFERROR(INDEX('Set Aliases'!$A$2:$A$501,MATCH(1,('Set Aliases'!$B$2:$B$501=B590)*ISNUMBER(SEARCH(CHAR(10)&amp;'Set Aliases'!$A$2:$A$501&amp;CHAR(10),H590)),0)),"")))</f>
        <v/>
      </c>
      <c r="J590" s="80" t="str">
        <f t="array" ref="J590">IF(I590="","",IFERROR(VALUE(TRIM(MID(SUBSTITUTE(INDEX('Deck 2'!$A:$Z,ROW()-500,'List Setup'!$G$4),CHAR(10),REPT(" ",100)),((SEARCH(CHAR(10)&amp;I590&amp;CHAR(10),H590)-LEN(SUBSTITUTE(LEFT(H590,SEARCH(CHAR(10)&amp;I590&amp;CHAR(10),H590)),CHAR(10),"")))-1)*100+1,100))),""))</f>
        <v/>
      </c>
      <c r="K590" s="80" t="str">
        <f t="array" ref="K590">IF(A590="","",IF(ISNUMBER(SEARCH("Land",LEFT(IFERROR(INDEX('Deck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90" s="80" t="str">
        <f t="shared" si="3"/>
        <v/>
      </c>
      <c r="M590" s="80" t="str">
        <f>IF(A590="","",IF(AND(E590="Y",B590='Use at Shop'!$B$4),K590*10000000000+(MAX(0,MIN(26,CODE(MID(UPPER(A590)&amp;"    ",1,1))-64))*19683+MAX(0,MIN(26,CODE(MID(UPPER(A590)&amp;"    ",2,1))-64))*729+MAX(0,MIN(26,CODE(MID(UPPER(A590)&amp;"    ",3,1))-64))*27+MAX(0,MIN(26,CODE(MID(UPPER(A590)&amp;"    ",4,1))-64))*1)*10000+ROW(),""))</f>
        <v/>
      </c>
      <c r="N590" s="80" t="str">
        <f t="shared" si="6"/>
        <v/>
      </c>
      <c r="O590" s="80" t="str">
        <f t="array" ref="O590">IF(A590="","",IFERROR(INDEX('Deck 2'!$A:$Z,ROW()-500,'List Setup'!$J$4)&amp;"",""))</f>
        <v/>
      </c>
      <c r="P590" s="2"/>
      <c r="Q590" s="80" t="str">
        <f>IF(A590="","",'List Setup'!$A$4)</f>
        <v/>
      </c>
      <c r="R590" s="80" t="str">
        <f t="array" ref="R590">IF(A590="","",IFERROR(OR(INDEX(Binders!$J$6:$J$30,MATCH(Q590,Binders!$I$6:$I$30,0))=TRUE(),UPPER(INDEX(Binders!$J$6:$J$30,MATCH(Q590,Binders!$I$6:$I$30,0))&amp;"")="TRUE"),FALSE()))</f>
        <v/>
      </c>
    </row>
    <row r="591" ht="15.75" customHeight="1">
      <c r="A591" s="80" t="str">
        <f t="array" ref="A591">IF(INDEX('Deck 2'!$A:$Z,ROW()-500,'List Setup'!$D$4)="","",INDEX('Deck 2'!$A:$Z,ROW()-500,'List Setup'!$D$4))</f>
        <v/>
      </c>
      <c r="B591" s="80" t="str">
        <f t="array" ref="B591">IF(A591="","",IFERROR(INDEX('Binder Setup'!$B$2:$B$401,MIN(IF(ISNUMBER(SEARCH(CHAR(10)&amp;'Binder Setup'!$B$2:$B$401&amp;CHAR(10),$H591)),'List Setup'!$Q$2:$Q$401,999),IF(ISNUMBER(SEARCH(CHAR(10)&amp;'Set Aliases'!$A$2:$A$501&amp;CHAR(10),$H591)),'Set Aliases'!$C$2:$C$501,999))),"(none)"))</f>
        <v/>
      </c>
      <c r="C591" s="80" t="str">
        <f t="shared" si="1"/>
        <v/>
      </c>
      <c r="D591" s="80" t="str">
        <f t="array" ref="D591">IF(A591="","",IF(ISLOGICAL(INDEX('Deck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91" s="80" t="str">
        <f t="shared" si="2"/>
        <v/>
      </c>
      <c r="F591" s="80" t="str">
        <f t="array" ref="F591">IF(A591="","",IF(ISNUMBER(J591),J591,IF(ISNUMBER(INDEX('Deck 2'!$A:$Z,ROW()-500,'List Setup'!$F$4)),INDEX('Deck 2'!$A:$Z,ROW()-500,'List Setup'!$F$4),0)))</f>
        <v/>
      </c>
      <c r="G591" s="80" t="str">
        <f t="array" ref="G591">IF(A591="","",A591&amp;IF(N(INDEX('Deck 2'!$A:$Z,ROW()-500,'List Setup'!$C$4))&gt;1," (x"&amp;INDEX('Deck 2'!$A:$Z,ROW()-500,'List Setup'!$C$4)&amp;")","")&amp;IF(COUNTIF(Binders!$J$6:$J$30,TRUE())&gt;1," ["&amp;Q591&amp;"]",""))</f>
        <v/>
      </c>
      <c r="H591" s="80" t="str">
        <f t="array" ref="H591">IF(A591="","",CHAR(10)&amp;INDEX('Deck 2'!$A:$Z,ROW()-500,'List Setup'!$E$4)&amp;CHAR(10))</f>
        <v/>
      </c>
      <c r="I591" s="80" t="str">
        <f t="array" ref="I591">IF(OR(B591="",B591="(none)"),"",IF(ISNUMBER(SEARCH(CHAR(10)&amp;B591&amp;CHAR(10),H591)),B591,IFERROR(INDEX('Set Aliases'!$A$2:$A$501,MATCH(1,('Set Aliases'!$B$2:$B$501=B591)*ISNUMBER(SEARCH(CHAR(10)&amp;'Set Aliases'!$A$2:$A$501&amp;CHAR(10),H591)),0)),"")))</f>
        <v/>
      </c>
      <c r="J591" s="80" t="str">
        <f t="array" ref="J591">IF(I591="","",IFERROR(VALUE(TRIM(MID(SUBSTITUTE(INDEX('Deck 2'!$A:$Z,ROW()-500,'List Setup'!$G$4),CHAR(10),REPT(" ",100)),((SEARCH(CHAR(10)&amp;I591&amp;CHAR(10),H591)-LEN(SUBSTITUTE(LEFT(H591,SEARCH(CHAR(10)&amp;I591&amp;CHAR(10),H591)),CHAR(10),"")))-1)*100+1,100))),""))</f>
        <v/>
      </c>
      <c r="K591" s="80" t="str">
        <f t="array" ref="K591">IF(A591="","",IF(ISNUMBER(SEARCH("Land",LEFT(IFERROR(INDEX('Deck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91" s="80" t="str">
        <f t="shared" si="3"/>
        <v/>
      </c>
      <c r="M591" s="80" t="str">
        <f>IF(A591="","",IF(AND(E591="Y",B591='Use at Shop'!$B$4),K591*10000000000+(MAX(0,MIN(26,CODE(MID(UPPER(A591)&amp;"    ",1,1))-64))*19683+MAX(0,MIN(26,CODE(MID(UPPER(A591)&amp;"    ",2,1))-64))*729+MAX(0,MIN(26,CODE(MID(UPPER(A591)&amp;"    ",3,1))-64))*27+MAX(0,MIN(26,CODE(MID(UPPER(A591)&amp;"    ",4,1))-64))*1)*10000+ROW(),""))</f>
        <v/>
      </c>
      <c r="N591" s="80" t="str">
        <f t="shared" si="6"/>
        <v/>
      </c>
      <c r="O591" s="80" t="str">
        <f t="array" ref="O591">IF(A591="","",IFERROR(INDEX('Deck 2'!$A:$Z,ROW()-500,'List Setup'!$J$4)&amp;"",""))</f>
        <v/>
      </c>
      <c r="P591" s="2"/>
      <c r="Q591" s="80" t="str">
        <f>IF(A591="","",'List Setup'!$A$4)</f>
        <v/>
      </c>
      <c r="R591" s="80" t="str">
        <f t="array" ref="R591">IF(A591="","",IFERROR(OR(INDEX(Binders!$J$6:$J$30,MATCH(Q591,Binders!$I$6:$I$30,0))=TRUE(),UPPER(INDEX(Binders!$J$6:$J$30,MATCH(Q591,Binders!$I$6:$I$30,0))&amp;"")="TRUE"),FALSE()))</f>
        <v/>
      </c>
    </row>
    <row r="592" ht="15.75" customHeight="1">
      <c r="A592" s="80" t="str">
        <f t="array" ref="A592">IF(INDEX('Deck 2'!$A:$Z,ROW()-500,'List Setup'!$D$4)="","",INDEX('Deck 2'!$A:$Z,ROW()-500,'List Setup'!$D$4))</f>
        <v/>
      </c>
      <c r="B592" s="80" t="str">
        <f t="array" ref="B592">IF(A592="","",IFERROR(INDEX('Binder Setup'!$B$2:$B$401,MIN(IF(ISNUMBER(SEARCH(CHAR(10)&amp;'Binder Setup'!$B$2:$B$401&amp;CHAR(10),$H592)),'List Setup'!$Q$2:$Q$401,999),IF(ISNUMBER(SEARCH(CHAR(10)&amp;'Set Aliases'!$A$2:$A$501&amp;CHAR(10),$H592)),'Set Aliases'!$C$2:$C$501,999))),"(none)"))</f>
        <v/>
      </c>
      <c r="C592" s="80" t="str">
        <f t="shared" si="1"/>
        <v/>
      </c>
      <c r="D592" s="80" t="str">
        <f t="array" ref="D592">IF(A592="","",IF(ISLOGICAL(INDEX('Deck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92" s="80" t="str">
        <f t="shared" si="2"/>
        <v/>
      </c>
      <c r="F592" s="80" t="str">
        <f t="array" ref="F592">IF(A592="","",IF(ISNUMBER(J592),J592,IF(ISNUMBER(INDEX('Deck 2'!$A:$Z,ROW()-500,'List Setup'!$F$4)),INDEX('Deck 2'!$A:$Z,ROW()-500,'List Setup'!$F$4),0)))</f>
        <v/>
      </c>
      <c r="G592" s="80" t="str">
        <f t="array" ref="G592">IF(A592="","",A592&amp;IF(N(INDEX('Deck 2'!$A:$Z,ROW()-500,'List Setup'!$C$4))&gt;1," (x"&amp;INDEX('Deck 2'!$A:$Z,ROW()-500,'List Setup'!$C$4)&amp;")","")&amp;IF(COUNTIF(Binders!$J$6:$J$30,TRUE())&gt;1," ["&amp;Q592&amp;"]",""))</f>
        <v/>
      </c>
      <c r="H592" s="80" t="str">
        <f t="array" ref="H592">IF(A592="","",CHAR(10)&amp;INDEX('Deck 2'!$A:$Z,ROW()-500,'List Setup'!$E$4)&amp;CHAR(10))</f>
        <v/>
      </c>
      <c r="I592" s="80" t="str">
        <f t="array" ref="I592">IF(OR(B592="",B592="(none)"),"",IF(ISNUMBER(SEARCH(CHAR(10)&amp;B592&amp;CHAR(10),H592)),B592,IFERROR(INDEX('Set Aliases'!$A$2:$A$501,MATCH(1,('Set Aliases'!$B$2:$B$501=B592)*ISNUMBER(SEARCH(CHAR(10)&amp;'Set Aliases'!$A$2:$A$501&amp;CHAR(10),H592)),0)),"")))</f>
        <v/>
      </c>
      <c r="J592" s="80" t="str">
        <f t="array" ref="J592">IF(I592="","",IFERROR(VALUE(TRIM(MID(SUBSTITUTE(INDEX('Deck 2'!$A:$Z,ROW()-500,'List Setup'!$G$4),CHAR(10),REPT(" ",100)),((SEARCH(CHAR(10)&amp;I592&amp;CHAR(10),H592)-LEN(SUBSTITUTE(LEFT(H592,SEARCH(CHAR(10)&amp;I592&amp;CHAR(10),H592)),CHAR(10),"")))-1)*100+1,100))),""))</f>
        <v/>
      </c>
      <c r="K592" s="80" t="str">
        <f t="array" ref="K592">IF(A592="","",IF(ISNUMBER(SEARCH("Land",LEFT(IFERROR(INDEX('Deck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92" s="80" t="str">
        <f t="shared" si="3"/>
        <v/>
      </c>
      <c r="M592" s="80" t="str">
        <f>IF(A592="","",IF(AND(E592="Y",B592='Use at Shop'!$B$4),K592*10000000000+(MAX(0,MIN(26,CODE(MID(UPPER(A592)&amp;"    ",1,1))-64))*19683+MAX(0,MIN(26,CODE(MID(UPPER(A592)&amp;"    ",2,1))-64))*729+MAX(0,MIN(26,CODE(MID(UPPER(A592)&amp;"    ",3,1))-64))*27+MAX(0,MIN(26,CODE(MID(UPPER(A592)&amp;"    ",4,1))-64))*1)*10000+ROW(),""))</f>
        <v/>
      </c>
      <c r="N592" s="80" t="str">
        <f t="shared" si="6"/>
        <v/>
      </c>
      <c r="O592" s="80" t="str">
        <f t="array" ref="O592">IF(A592="","",IFERROR(INDEX('Deck 2'!$A:$Z,ROW()-500,'List Setup'!$J$4)&amp;"",""))</f>
        <v/>
      </c>
      <c r="P592" s="2"/>
      <c r="Q592" s="80" t="str">
        <f>IF(A592="","",'List Setup'!$A$4)</f>
        <v/>
      </c>
      <c r="R592" s="80" t="str">
        <f t="array" ref="R592">IF(A592="","",IFERROR(OR(INDEX(Binders!$J$6:$J$30,MATCH(Q592,Binders!$I$6:$I$30,0))=TRUE(),UPPER(INDEX(Binders!$J$6:$J$30,MATCH(Q592,Binders!$I$6:$I$30,0))&amp;"")="TRUE"),FALSE()))</f>
        <v/>
      </c>
    </row>
    <row r="593" ht="15.75" customHeight="1">
      <c r="A593" s="80" t="str">
        <f t="array" ref="A593">IF(INDEX('Deck 2'!$A:$Z,ROW()-500,'List Setup'!$D$4)="","",INDEX('Deck 2'!$A:$Z,ROW()-500,'List Setup'!$D$4))</f>
        <v/>
      </c>
      <c r="B593" s="80" t="str">
        <f t="array" ref="B593">IF(A593="","",IFERROR(INDEX('Binder Setup'!$B$2:$B$401,MIN(IF(ISNUMBER(SEARCH(CHAR(10)&amp;'Binder Setup'!$B$2:$B$401&amp;CHAR(10),$H593)),'List Setup'!$Q$2:$Q$401,999),IF(ISNUMBER(SEARCH(CHAR(10)&amp;'Set Aliases'!$A$2:$A$501&amp;CHAR(10),$H593)),'Set Aliases'!$C$2:$C$501,999))),"(none)"))</f>
        <v/>
      </c>
      <c r="C593" s="80" t="str">
        <f t="shared" si="1"/>
        <v/>
      </c>
      <c r="D593" s="80" t="str">
        <f t="array" ref="D593">IF(A593="","",IF(ISLOGICAL(INDEX('Deck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93" s="80" t="str">
        <f t="shared" si="2"/>
        <v/>
      </c>
      <c r="F593" s="80" t="str">
        <f t="array" ref="F593">IF(A593="","",IF(ISNUMBER(J593),J593,IF(ISNUMBER(INDEX('Deck 2'!$A:$Z,ROW()-500,'List Setup'!$F$4)),INDEX('Deck 2'!$A:$Z,ROW()-500,'List Setup'!$F$4),0)))</f>
        <v/>
      </c>
      <c r="G593" s="80" t="str">
        <f t="array" ref="G593">IF(A593="","",A593&amp;IF(N(INDEX('Deck 2'!$A:$Z,ROW()-500,'List Setup'!$C$4))&gt;1," (x"&amp;INDEX('Deck 2'!$A:$Z,ROW()-500,'List Setup'!$C$4)&amp;")","")&amp;IF(COUNTIF(Binders!$J$6:$J$30,TRUE())&gt;1," ["&amp;Q593&amp;"]",""))</f>
        <v/>
      </c>
      <c r="H593" s="80" t="str">
        <f t="array" ref="H593">IF(A593="","",CHAR(10)&amp;INDEX('Deck 2'!$A:$Z,ROW()-500,'List Setup'!$E$4)&amp;CHAR(10))</f>
        <v/>
      </c>
      <c r="I593" s="80" t="str">
        <f t="array" ref="I593">IF(OR(B593="",B593="(none)"),"",IF(ISNUMBER(SEARCH(CHAR(10)&amp;B593&amp;CHAR(10),H593)),B593,IFERROR(INDEX('Set Aliases'!$A$2:$A$501,MATCH(1,('Set Aliases'!$B$2:$B$501=B593)*ISNUMBER(SEARCH(CHAR(10)&amp;'Set Aliases'!$A$2:$A$501&amp;CHAR(10),H593)),0)),"")))</f>
        <v/>
      </c>
      <c r="J593" s="80" t="str">
        <f t="array" ref="J593">IF(I593="","",IFERROR(VALUE(TRIM(MID(SUBSTITUTE(INDEX('Deck 2'!$A:$Z,ROW()-500,'List Setup'!$G$4),CHAR(10),REPT(" ",100)),((SEARCH(CHAR(10)&amp;I593&amp;CHAR(10),H593)-LEN(SUBSTITUTE(LEFT(H593,SEARCH(CHAR(10)&amp;I593&amp;CHAR(10),H593)),CHAR(10),"")))-1)*100+1,100))),""))</f>
        <v/>
      </c>
      <c r="K593" s="80" t="str">
        <f t="array" ref="K593">IF(A593="","",IF(ISNUMBER(SEARCH("Land",LEFT(IFERROR(INDEX('Deck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93" s="80" t="str">
        <f t="shared" si="3"/>
        <v/>
      </c>
      <c r="M593" s="80" t="str">
        <f>IF(A593="","",IF(AND(E593="Y",B593='Use at Shop'!$B$4),K593*10000000000+(MAX(0,MIN(26,CODE(MID(UPPER(A593)&amp;"    ",1,1))-64))*19683+MAX(0,MIN(26,CODE(MID(UPPER(A593)&amp;"    ",2,1))-64))*729+MAX(0,MIN(26,CODE(MID(UPPER(A593)&amp;"    ",3,1))-64))*27+MAX(0,MIN(26,CODE(MID(UPPER(A593)&amp;"    ",4,1))-64))*1)*10000+ROW(),""))</f>
        <v/>
      </c>
      <c r="N593" s="80" t="str">
        <f t="shared" si="6"/>
        <v/>
      </c>
      <c r="O593" s="80" t="str">
        <f t="array" ref="O593">IF(A593="","",IFERROR(INDEX('Deck 2'!$A:$Z,ROW()-500,'List Setup'!$J$4)&amp;"",""))</f>
        <v/>
      </c>
      <c r="P593" s="2"/>
      <c r="Q593" s="80" t="str">
        <f>IF(A593="","",'List Setup'!$A$4)</f>
        <v/>
      </c>
      <c r="R593" s="80" t="str">
        <f t="array" ref="R593">IF(A593="","",IFERROR(OR(INDEX(Binders!$J$6:$J$30,MATCH(Q593,Binders!$I$6:$I$30,0))=TRUE(),UPPER(INDEX(Binders!$J$6:$J$30,MATCH(Q593,Binders!$I$6:$I$30,0))&amp;"")="TRUE"),FALSE()))</f>
        <v/>
      </c>
    </row>
    <row r="594" ht="15.75" customHeight="1">
      <c r="A594" s="80" t="str">
        <f t="array" ref="A594">IF(INDEX('Deck 2'!$A:$Z,ROW()-500,'List Setup'!$D$4)="","",INDEX('Deck 2'!$A:$Z,ROW()-500,'List Setup'!$D$4))</f>
        <v/>
      </c>
      <c r="B594" s="80" t="str">
        <f t="array" ref="B594">IF(A594="","",IFERROR(INDEX('Binder Setup'!$B$2:$B$401,MIN(IF(ISNUMBER(SEARCH(CHAR(10)&amp;'Binder Setup'!$B$2:$B$401&amp;CHAR(10),$H594)),'List Setup'!$Q$2:$Q$401,999),IF(ISNUMBER(SEARCH(CHAR(10)&amp;'Set Aliases'!$A$2:$A$501&amp;CHAR(10),$H594)),'Set Aliases'!$C$2:$C$501,999))),"(none)"))</f>
        <v/>
      </c>
      <c r="C594" s="80" t="str">
        <f t="shared" si="1"/>
        <v/>
      </c>
      <c r="D594" s="80" t="str">
        <f t="array" ref="D594">IF(A594="","",IF(ISLOGICAL(INDEX('Deck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94" s="80" t="str">
        <f t="shared" si="2"/>
        <v/>
      </c>
      <c r="F594" s="80" t="str">
        <f t="array" ref="F594">IF(A594="","",IF(ISNUMBER(J594),J594,IF(ISNUMBER(INDEX('Deck 2'!$A:$Z,ROW()-500,'List Setup'!$F$4)),INDEX('Deck 2'!$A:$Z,ROW()-500,'List Setup'!$F$4),0)))</f>
        <v/>
      </c>
      <c r="G594" s="80" t="str">
        <f t="array" ref="G594">IF(A594="","",A594&amp;IF(N(INDEX('Deck 2'!$A:$Z,ROW()-500,'List Setup'!$C$4))&gt;1," (x"&amp;INDEX('Deck 2'!$A:$Z,ROW()-500,'List Setup'!$C$4)&amp;")","")&amp;IF(COUNTIF(Binders!$J$6:$J$30,TRUE())&gt;1," ["&amp;Q594&amp;"]",""))</f>
        <v/>
      </c>
      <c r="H594" s="80" t="str">
        <f t="array" ref="H594">IF(A594="","",CHAR(10)&amp;INDEX('Deck 2'!$A:$Z,ROW()-500,'List Setup'!$E$4)&amp;CHAR(10))</f>
        <v/>
      </c>
      <c r="I594" s="80" t="str">
        <f t="array" ref="I594">IF(OR(B594="",B594="(none)"),"",IF(ISNUMBER(SEARCH(CHAR(10)&amp;B594&amp;CHAR(10),H594)),B594,IFERROR(INDEX('Set Aliases'!$A$2:$A$501,MATCH(1,('Set Aliases'!$B$2:$B$501=B594)*ISNUMBER(SEARCH(CHAR(10)&amp;'Set Aliases'!$A$2:$A$501&amp;CHAR(10),H594)),0)),"")))</f>
        <v/>
      </c>
      <c r="J594" s="80" t="str">
        <f t="array" ref="J594">IF(I594="","",IFERROR(VALUE(TRIM(MID(SUBSTITUTE(INDEX('Deck 2'!$A:$Z,ROW()-500,'List Setup'!$G$4),CHAR(10),REPT(" ",100)),((SEARCH(CHAR(10)&amp;I594&amp;CHAR(10),H594)-LEN(SUBSTITUTE(LEFT(H594,SEARCH(CHAR(10)&amp;I594&amp;CHAR(10),H594)),CHAR(10),"")))-1)*100+1,100))),""))</f>
        <v/>
      </c>
      <c r="K594" s="80" t="str">
        <f t="array" ref="K594">IF(A594="","",IF(ISNUMBER(SEARCH("Land",LEFT(IFERROR(INDEX('Deck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94" s="80" t="str">
        <f t="shared" si="3"/>
        <v/>
      </c>
      <c r="M594" s="80" t="str">
        <f>IF(A594="","",IF(AND(E594="Y",B594='Use at Shop'!$B$4),K594*10000000000+(MAX(0,MIN(26,CODE(MID(UPPER(A594)&amp;"    ",1,1))-64))*19683+MAX(0,MIN(26,CODE(MID(UPPER(A594)&amp;"    ",2,1))-64))*729+MAX(0,MIN(26,CODE(MID(UPPER(A594)&amp;"    ",3,1))-64))*27+MAX(0,MIN(26,CODE(MID(UPPER(A594)&amp;"    ",4,1))-64))*1)*10000+ROW(),""))</f>
        <v/>
      </c>
      <c r="N594" s="80" t="str">
        <f t="shared" si="6"/>
        <v/>
      </c>
      <c r="O594" s="80" t="str">
        <f t="array" ref="O594">IF(A594="","",IFERROR(INDEX('Deck 2'!$A:$Z,ROW()-500,'List Setup'!$J$4)&amp;"",""))</f>
        <v/>
      </c>
      <c r="P594" s="2"/>
      <c r="Q594" s="80" t="str">
        <f>IF(A594="","",'List Setup'!$A$4)</f>
        <v/>
      </c>
      <c r="R594" s="80" t="str">
        <f t="array" ref="R594">IF(A594="","",IFERROR(OR(INDEX(Binders!$J$6:$J$30,MATCH(Q594,Binders!$I$6:$I$30,0))=TRUE(),UPPER(INDEX(Binders!$J$6:$J$30,MATCH(Q594,Binders!$I$6:$I$30,0))&amp;"")="TRUE"),FALSE()))</f>
        <v/>
      </c>
    </row>
    <row r="595" ht="15.75" customHeight="1">
      <c r="A595" s="80" t="str">
        <f t="array" ref="A595">IF(INDEX('Deck 2'!$A:$Z,ROW()-500,'List Setup'!$D$4)="","",INDEX('Deck 2'!$A:$Z,ROW()-500,'List Setup'!$D$4))</f>
        <v/>
      </c>
      <c r="B595" s="80" t="str">
        <f t="array" ref="B595">IF(A595="","",IFERROR(INDEX('Binder Setup'!$B$2:$B$401,MIN(IF(ISNUMBER(SEARCH(CHAR(10)&amp;'Binder Setup'!$B$2:$B$401&amp;CHAR(10),$H595)),'List Setup'!$Q$2:$Q$401,999),IF(ISNUMBER(SEARCH(CHAR(10)&amp;'Set Aliases'!$A$2:$A$501&amp;CHAR(10),$H595)),'Set Aliases'!$C$2:$C$501,999))),"(none)"))</f>
        <v/>
      </c>
      <c r="C595" s="80" t="str">
        <f t="shared" si="1"/>
        <v/>
      </c>
      <c r="D595" s="80" t="str">
        <f t="array" ref="D595">IF(A595="","",IF(ISLOGICAL(INDEX('Deck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95" s="80" t="str">
        <f t="shared" si="2"/>
        <v/>
      </c>
      <c r="F595" s="80" t="str">
        <f t="array" ref="F595">IF(A595="","",IF(ISNUMBER(J595),J595,IF(ISNUMBER(INDEX('Deck 2'!$A:$Z,ROW()-500,'List Setup'!$F$4)),INDEX('Deck 2'!$A:$Z,ROW()-500,'List Setup'!$F$4),0)))</f>
        <v/>
      </c>
      <c r="G595" s="80" t="str">
        <f t="array" ref="G595">IF(A595="","",A595&amp;IF(N(INDEX('Deck 2'!$A:$Z,ROW()-500,'List Setup'!$C$4))&gt;1," (x"&amp;INDEX('Deck 2'!$A:$Z,ROW()-500,'List Setup'!$C$4)&amp;")","")&amp;IF(COUNTIF(Binders!$J$6:$J$30,TRUE())&gt;1," ["&amp;Q595&amp;"]",""))</f>
        <v/>
      </c>
      <c r="H595" s="80" t="str">
        <f t="array" ref="H595">IF(A595="","",CHAR(10)&amp;INDEX('Deck 2'!$A:$Z,ROW()-500,'List Setup'!$E$4)&amp;CHAR(10))</f>
        <v/>
      </c>
      <c r="I595" s="80" t="str">
        <f t="array" ref="I595">IF(OR(B595="",B595="(none)"),"",IF(ISNUMBER(SEARCH(CHAR(10)&amp;B595&amp;CHAR(10),H595)),B595,IFERROR(INDEX('Set Aliases'!$A$2:$A$501,MATCH(1,('Set Aliases'!$B$2:$B$501=B595)*ISNUMBER(SEARCH(CHAR(10)&amp;'Set Aliases'!$A$2:$A$501&amp;CHAR(10),H595)),0)),"")))</f>
        <v/>
      </c>
      <c r="J595" s="80" t="str">
        <f t="array" ref="J595">IF(I595="","",IFERROR(VALUE(TRIM(MID(SUBSTITUTE(INDEX('Deck 2'!$A:$Z,ROW()-500,'List Setup'!$G$4),CHAR(10),REPT(" ",100)),((SEARCH(CHAR(10)&amp;I595&amp;CHAR(10),H595)-LEN(SUBSTITUTE(LEFT(H595,SEARCH(CHAR(10)&amp;I595&amp;CHAR(10),H595)),CHAR(10),"")))-1)*100+1,100))),""))</f>
        <v/>
      </c>
      <c r="K595" s="80" t="str">
        <f t="array" ref="K595">IF(A595="","",IF(ISNUMBER(SEARCH("Land",LEFT(IFERROR(INDEX('Deck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95" s="80" t="str">
        <f t="shared" si="3"/>
        <v/>
      </c>
      <c r="M595" s="80" t="str">
        <f>IF(A595="","",IF(AND(E595="Y",B595='Use at Shop'!$B$4),K595*10000000000+(MAX(0,MIN(26,CODE(MID(UPPER(A595)&amp;"    ",1,1))-64))*19683+MAX(0,MIN(26,CODE(MID(UPPER(A595)&amp;"    ",2,1))-64))*729+MAX(0,MIN(26,CODE(MID(UPPER(A595)&amp;"    ",3,1))-64))*27+MAX(0,MIN(26,CODE(MID(UPPER(A595)&amp;"    ",4,1))-64))*1)*10000+ROW(),""))</f>
        <v/>
      </c>
      <c r="N595" s="80" t="str">
        <f t="shared" si="6"/>
        <v/>
      </c>
      <c r="O595" s="80" t="str">
        <f t="array" ref="O595">IF(A595="","",IFERROR(INDEX('Deck 2'!$A:$Z,ROW()-500,'List Setup'!$J$4)&amp;"",""))</f>
        <v/>
      </c>
      <c r="P595" s="2"/>
      <c r="Q595" s="80" t="str">
        <f>IF(A595="","",'List Setup'!$A$4)</f>
        <v/>
      </c>
      <c r="R595" s="80" t="str">
        <f t="array" ref="R595">IF(A595="","",IFERROR(OR(INDEX(Binders!$J$6:$J$30,MATCH(Q595,Binders!$I$6:$I$30,0))=TRUE(),UPPER(INDEX(Binders!$J$6:$J$30,MATCH(Q595,Binders!$I$6:$I$30,0))&amp;"")="TRUE"),FALSE()))</f>
        <v/>
      </c>
    </row>
    <row r="596" ht="15.75" customHeight="1">
      <c r="A596" s="80" t="str">
        <f t="array" ref="A596">IF(INDEX('Deck 2'!$A:$Z,ROW()-500,'List Setup'!$D$4)="","",INDEX('Deck 2'!$A:$Z,ROW()-500,'List Setup'!$D$4))</f>
        <v/>
      </c>
      <c r="B596" s="80" t="str">
        <f t="array" ref="B596">IF(A596="","",IFERROR(INDEX('Binder Setup'!$B$2:$B$401,MIN(IF(ISNUMBER(SEARCH(CHAR(10)&amp;'Binder Setup'!$B$2:$B$401&amp;CHAR(10),$H596)),'List Setup'!$Q$2:$Q$401,999),IF(ISNUMBER(SEARCH(CHAR(10)&amp;'Set Aliases'!$A$2:$A$501&amp;CHAR(10),$H596)),'Set Aliases'!$C$2:$C$501,999))),"(none)"))</f>
        <v/>
      </c>
      <c r="C596" s="80" t="str">
        <f t="shared" si="1"/>
        <v/>
      </c>
      <c r="D596" s="80" t="str">
        <f t="array" ref="D596">IF(A596="","",IF(ISLOGICAL(INDEX('Deck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96" s="80" t="str">
        <f t="shared" si="2"/>
        <v/>
      </c>
      <c r="F596" s="80" t="str">
        <f t="array" ref="F596">IF(A596="","",IF(ISNUMBER(J596),J596,IF(ISNUMBER(INDEX('Deck 2'!$A:$Z,ROW()-500,'List Setup'!$F$4)),INDEX('Deck 2'!$A:$Z,ROW()-500,'List Setup'!$F$4),0)))</f>
        <v/>
      </c>
      <c r="G596" s="80" t="str">
        <f t="array" ref="G596">IF(A596="","",A596&amp;IF(N(INDEX('Deck 2'!$A:$Z,ROW()-500,'List Setup'!$C$4))&gt;1," (x"&amp;INDEX('Deck 2'!$A:$Z,ROW()-500,'List Setup'!$C$4)&amp;")","")&amp;IF(COUNTIF(Binders!$J$6:$J$30,TRUE())&gt;1," ["&amp;Q596&amp;"]",""))</f>
        <v/>
      </c>
      <c r="H596" s="80" t="str">
        <f t="array" ref="H596">IF(A596="","",CHAR(10)&amp;INDEX('Deck 2'!$A:$Z,ROW()-500,'List Setup'!$E$4)&amp;CHAR(10))</f>
        <v/>
      </c>
      <c r="I596" s="80" t="str">
        <f t="array" ref="I596">IF(OR(B596="",B596="(none)"),"",IF(ISNUMBER(SEARCH(CHAR(10)&amp;B596&amp;CHAR(10),H596)),B596,IFERROR(INDEX('Set Aliases'!$A$2:$A$501,MATCH(1,('Set Aliases'!$B$2:$B$501=B596)*ISNUMBER(SEARCH(CHAR(10)&amp;'Set Aliases'!$A$2:$A$501&amp;CHAR(10),H596)),0)),"")))</f>
        <v/>
      </c>
      <c r="J596" s="80" t="str">
        <f t="array" ref="J596">IF(I596="","",IFERROR(VALUE(TRIM(MID(SUBSTITUTE(INDEX('Deck 2'!$A:$Z,ROW()-500,'List Setup'!$G$4),CHAR(10),REPT(" ",100)),((SEARCH(CHAR(10)&amp;I596&amp;CHAR(10),H596)-LEN(SUBSTITUTE(LEFT(H596,SEARCH(CHAR(10)&amp;I596&amp;CHAR(10),H596)),CHAR(10),"")))-1)*100+1,100))),""))</f>
        <v/>
      </c>
      <c r="K596" s="80" t="str">
        <f t="array" ref="K596">IF(A596="","",IF(ISNUMBER(SEARCH("Land",LEFT(IFERROR(INDEX('Deck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96" s="80" t="str">
        <f t="shared" si="3"/>
        <v/>
      </c>
      <c r="M596" s="80" t="str">
        <f>IF(A596="","",IF(AND(E596="Y",B596='Use at Shop'!$B$4),K596*10000000000+(MAX(0,MIN(26,CODE(MID(UPPER(A596)&amp;"    ",1,1))-64))*19683+MAX(0,MIN(26,CODE(MID(UPPER(A596)&amp;"    ",2,1))-64))*729+MAX(0,MIN(26,CODE(MID(UPPER(A596)&amp;"    ",3,1))-64))*27+MAX(0,MIN(26,CODE(MID(UPPER(A596)&amp;"    ",4,1))-64))*1)*10000+ROW(),""))</f>
        <v/>
      </c>
      <c r="N596" s="80" t="str">
        <f t="shared" si="6"/>
        <v/>
      </c>
      <c r="O596" s="80" t="str">
        <f t="array" ref="O596">IF(A596="","",IFERROR(INDEX('Deck 2'!$A:$Z,ROW()-500,'List Setup'!$J$4)&amp;"",""))</f>
        <v/>
      </c>
      <c r="P596" s="2"/>
      <c r="Q596" s="80" t="str">
        <f>IF(A596="","",'List Setup'!$A$4)</f>
        <v/>
      </c>
      <c r="R596" s="80" t="str">
        <f t="array" ref="R596">IF(A596="","",IFERROR(OR(INDEX(Binders!$J$6:$J$30,MATCH(Q596,Binders!$I$6:$I$30,0))=TRUE(),UPPER(INDEX(Binders!$J$6:$J$30,MATCH(Q596,Binders!$I$6:$I$30,0))&amp;"")="TRUE"),FALSE()))</f>
        <v/>
      </c>
    </row>
    <row r="597" ht="15.75" customHeight="1">
      <c r="A597" s="80" t="str">
        <f t="array" ref="A597">IF(INDEX('Deck 2'!$A:$Z,ROW()-500,'List Setup'!$D$4)="","",INDEX('Deck 2'!$A:$Z,ROW()-500,'List Setup'!$D$4))</f>
        <v/>
      </c>
      <c r="B597" s="80" t="str">
        <f t="array" ref="B597">IF(A597="","",IFERROR(INDEX('Binder Setup'!$B$2:$B$401,MIN(IF(ISNUMBER(SEARCH(CHAR(10)&amp;'Binder Setup'!$B$2:$B$401&amp;CHAR(10),$H597)),'List Setup'!$Q$2:$Q$401,999),IF(ISNUMBER(SEARCH(CHAR(10)&amp;'Set Aliases'!$A$2:$A$501&amp;CHAR(10),$H597)),'Set Aliases'!$C$2:$C$501,999))),"(none)"))</f>
        <v/>
      </c>
      <c r="C597" s="80" t="str">
        <f t="shared" si="1"/>
        <v/>
      </c>
      <c r="D597" s="80" t="str">
        <f t="array" ref="D597">IF(A597="","",IF(ISLOGICAL(INDEX('Deck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97" s="80" t="str">
        <f t="shared" si="2"/>
        <v/>
      </c>
      <c r="F597" s="80" t="str">
        <f t="array" ref="F597">IF(A597="","",IF(ISNUMBER(J597),J597,IF(ISNUMBER(INDEX('Deck 2'!$A:$Z,ROW()-500,'List Setup'!$F$4)),INDEX('Deck 2'!$A:$Z,ROW()-500,'List Setup'!$F$4),0)))</f>
        <v/>
      </c>
      <c r="G597" s="80" t="str">
        <f t="array" ref="G597">IF(A597="","",A597&amp;IF(N(INDEX('Deck 2'!$A:$Z,ROW()-500,'List Setup'!$C$4))&gt;1," (x"&amp;INDEX('Deck 2'!$A:$Z,ROW()-500,'List Setup'!$C$4)&amp;")","")&amp;IF(COUNTIF(Binders!$J$6:$J$30,TRUE())&gt;1," ["&amp;Q597&amp;"]",""))</f>
        <v/>
      </c>
      <c r="H597" s="80" t="str">
        <f t="array" ref="H597">IF(A597="","",CHAR(10)&amp;INDEX('Deck 2'!$A:$Z,ROW()-500,'List Setup'!$E$4)&amp;CHAR(10))</f>
        <v/>
      </c>
      <c r="I597" s="80" t="str">
        <f t="array" ref="I597">IF(OR(B597="",B597="(none)"),"",IF(ISNUMBER(SEARCH(CHAR(10)&amp;B597&amp;CHAR(10),H597)),B597,IFERROR(INDEX('Set Aliases'!$A$2:$A$501,MATCH(1,('Set Aliases'!$B$2:$B$501=B597)*ISNUMBER(SEARCH(CHAR(10)&amp;'Set Aliases'!$A$2:$A$501&amp;CHAR(10),H597)),0)),"")))</f>
        <v/>
      </c>
      <c r="J597" s="80" t="str">
        <f t="array" ref="J597">IF(I597="","",IFERROR(VALUE(TRIM(MID(SUBSTITUTE(INDEX('Deck 2'!$A:$Z,ROW()-500,'List Setup'!$G$4),CHAR(10),REPT(" ",100)),((SEARCH(CHAR(10)&amp;I597&amp;CHAR(10),H597)-LEN(SUBSTITUTE(LEFT(H597,SEARCH(CHAR(10)&amp;I597&amp;CHAR(10),H597)),CHAR(10),"")))-1)*100+1,100))),""))</f>
        <v/>
      </c>
      <c r="K597" s="80" t="str">
        <f t="array" ref="K597">IF(A597="","",IF(ISNUMBER(SEARCH("Land",LEFT(IFERROR(INDEX('Deck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97" s="80" t="str">
        <f t="shared" si="3"/>
        <v/>
      </c>
      <c r="M597" s="80" t="str">
        <f>IF(A597="","",IF(AND(E597="Y",B597='Use at Shop'!$B$4),K597*10000000000+(MAX(0,MIN(26,CODE(MID(UPPER(A597)&amp;"    ",1,1))-64))*19683+MAX(0,MIN(26,CODE(MID(UPPER(A597)&amp;"    ",2,1))-64))*729+MAX(0,MIN(26,CODE(MID(UPPER(A597)&amp;"    ",3,1))-64))*27+MAX(0,MIN(26,CODE(MID(UPPER(A597)&amp;"    ",4,1))-64))*1)*10000+ROW(),""))</f>
        <v/>
      </c>
      <c r="N597" s="80" t="str">
        <f t="shared" si="6"/>
        <v/>
      </c>
      <c r="O597" s="80" t="str">
        <f t="array" ref="O597">IF(A597="","",IFERROR(INDEX('Deck 2'!$A:$Z,ROW()-500,'List Setup'!$J$4)&amp;"",""))</f>
        <v/>
      </c>
      <c r="P597" s="2"/>
      <c r="Q597" s="80" t="str">
        <f>IF(A597="","",'List Setup'!$A$4)</f>
        <v/>
      </c>
      <c r="R597" s="80" t="str">
        <f t="array" ref="R597">IF(A597="","",IFERROR(OR(INDEX(Binders!$J$6:$J$30,MATCH(Q597,Binders!$I$6:$I$30,0))=TRUE(),UPPER(INDEX(Binders!$J$6:$J$30,MATCH(Q597,Binders!$I$6:$I$30,0))&amp;"")="TRUE"),FALSE()))</f>
        <v/>
      </c>
    </row>
    <row r="598" ht="15.75" customHeight="1">
      <c r="A598" s="80" t="str">
        <f t="array" ref="A598">IF(INDEX('Deck 2'!$A:$Z,ROW()-500,'List Setup'!$D$4)="","",INDEX('Deck 2'!$A:$Z,ROW()-500,'List Setup'!$D$4))</f>
        <v/>
      </c>
      <c r="B598" s="80" t="str">
        <f t="array" ref="B598">IF(A598="","",IFERROR(INDEX('Binder Setup'!$B$2:$B$401,MIN(IF(ISNUMBER(SEARCH(CHAR(10)&amp;'Binder Setup'!$B$2:$B$401&amp;CHAR(10),$H598)),'List Setup'!$Q$2:$Q$401,999),IF(ISNUMBER(SEARCH(CHAR(10)&amp;'Set Aliases'!$A$2:$A$501&amp;CHAR(10),$H598)),'Set Aliases'!$C$2:$C$501,999))),"(none)"))</f>
        <v/>
      </c>
      <c r="C598" s="80" t="str">
        <f t="shared" si="1"/>
        <v/>
      </c>
      <c r="D598" s="80" t="str">
        <f t="array" ref="D598">IF(A598="","",IF(ISLOGICAL(INDEX('Deck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98" s="80" t="str">
        <f t="shared" si="2"/>
        <v/>
      </c>
      <c r="F598" s="80" t="str">
        <f t="array" ref="F598">IF(A598="","",IF(ISNUMBER(J598),J598,IF(ISNUMBER(INDEX('Deck 2'!$A:$Z,ROW()-500,'List Setup'!$F$4)),INDEX('Deck 2'!$A:$Z,ROW()-500,'List Setup'!$F$4),0)))</f>
        <v/>
      </c>
      <c r="G598" s="80" t="str">
        <f t="array" ref="G598">IF(A598="","",A598&amp;IF(N(INDEX('Deck 2'!$A:$Z,ROW()-500,'List Setup'!$C$4))&gt;1," (x"&amp;INDEX('Deck 2'!$A:$Z,ROW()-500,'List Setup'!$C$4)&amp;")","")&amp;IF(COUNTIF(Binders!$J$6:$J$30,TRUE())&gt;1," ["&amp;Q598&amp;"]",""))</f>
        <v/>
      </c>
      <c r="H598" s="80" t="str">
        <f t="array" ref="H598">IF(A598="","",CHAR(10)&amp;INDEX('Deck 2'!$A:$Z,ROW()-500,'List Setup'!$E$4)&amp;CHAR(10))</f>
        <v/>
      </c>
      <c r="I598" s="80" t="str">
        <f t="array" ref="I598">IF(OR(B598="",B598="(none)"),"",IF(ISNUMBER(SEARCH(CHAR(10)&amp;B598&amp;CHAR(10),H598)),B598,IFERROR(INDEX('Set Aliases'!$A$2:$A$501,MATCH(1,('Set Aliases'!$B$2:$B$501=B598)*ISNUMBER(SEARCH(CHAR(10)&amp;'Set Aliases'!$A$2:$A$501&amp;CHAR(10),H598)),0)),"")))</f>
        <v/>
      </c>
      <c r="J598" s="80" t="str">
        <f t="array" ref="J598">IF(I598="","",IFERROR(VALUE(TRIM(MID(SUBSTITUTE(INDEX('Deck 2'!$A:$Z,ROW()-500,'List Setup'!$G$4),CHAR(10),REPT(" ",100)),((SEARCH(CHAR(10)&amp;I598&amp;CHAR(10),H598)-LEN(SUBSTITUTE(LEFT(H598,SEARCH(CHAR(10)&amp;I598&amp;CHAR(10),H598)),CHAR(10),"")))-1)*100+1,100))),""))</f>
        <v/>
      </c>
      <c r="K598" s="80" t="str">
        <f t="array" ref="K598">IF(A598="","",IF(ISNUMBER(SEARCH("Land",LEFT(IFERROR(INDEX('Deck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98" s="80" t="str">
        <f t="shared" si="3"/>
        <v/>
      </c>
      <c r="M598" s="80" t="str">
        <f>IF(A598="","",IF(AND(E598="Y",B598='Use at Shop'!$B$4),K598*10000000000+(MAX(0,MIN(26,CODE(MID(UPPER(A598)&amp;"    ",1,1))-64))*19683+MAX(0,MIN(26,CODE(MID(UPPER(A598)&amp;"    ",2,1))-64))*729+MAX(0,MIN(26,CODE(MID(UPPER(A598)&amp;"    ",3,1))-64))*27+MAX(0,MIN(26,CODE(MID(UPPER(A598)&amp;"    ",4,1))-64))*1)*10000+ROW(),""))</f>
        <v/>
      </c>
      <c r="N598" s="80" t="str">
        <f t="shared" si="6"/>
        <v/>
      </c>
      <c r="O598" s="80" t="str">
        <f t="array" ref="O598">IF(A598="","",IFERROR(INDEX('Deck 2'!$A:$Z,ROW()-500,'List Setup'!$J$4)&amp;"",""))</f>
        <v/>
      </c>
      <c r="P598" s="2"/>
      <c r="Q598" s="80" t="str">
        <f>IF(A598="","",'List Setup'!$A$4)</f>
        <v/>
      </c>
      <c r="R598" s="80" t="str">
        <f t="array" ref="R598">IF(A598="","",IFERROR(OR(INDEX(Binders!$J$6:$J$30,MATCH(Q598,Binders!$I$6:$I$30,0))=TRUE(),UPPER(INDEX(Binders!$J$6:$J$30,MATCH(Q598,Binders!$I$6:$I$30,0))&amp;"")="TRUE"),FALSE()))</f>
        <v/>
      </c>
    </row>
    <row r="599" ht="15.75" customHeight="1">
      <c r="A599" s="80" t="str">
        <f t="array" ref="A599">IF(INDEX('Deck 2'!$A:$Z,ROW()-500,'List Setup'!$D$4)="","",INDEX('Deck 2'!$A:$Z,ROW()-500,'List Setup'!$D$4))</f>
        <v/>
      </c>
      <c r="B599" s="80" t="str">
        <f t="array" ref="B599">IF(A599="","",IFERROR(INDEX('Binder Setup'!$B$2:$B$401,MIN(IF(ISNUMBER(SEARCH(CHAR(10)&amp;'Binder Setup'!$B$2:$B$401&amp;CHAR(10),$H599)),'List Setup'!$Q$2:$Q$401,999),IF(ISNUMBER(SEARCH(CHAR(10)&amp;'Set Aliases'!$A$2:$A$501&amp;CHAR(10),$H599)),'Set Aliases'!$C$2:$C$501,999))),"(none)"))</f>
        <v/>
      </c>
      <c r="C599" s="80" t="str">
        <f t="shared" si="1"/>
        <v/>
      </c>
      <c r="D599" s="80" t="str">
        <f t="array" ref="D599">IF(A599="","",IF(ISLOGICAL(INDEX('Deck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599" s="80" t="str">
        <f t="shared" si="2"/>
        <v/>
      </c>
      <c r="F599" s="80" t="str">
        <f t="array" ref="F599">IF(A599="","",IF(ISNUMBER(J599),J599,IF(ISNUMBER(INDEX('Deck 2'!$A:$Z,ROW()-500,'List Setup'!$F$4)),INDEX('Deck 2'!$A:$Z,ROW()-500,'List Setup'!$F$4),0)))</f>
        <v/>
      </c>
      <c r="G599" s="80" t="str">
        <f t="array" ref="G599">IF(A599="","",A599&amp;IF(N(INDEX('Deck 2'!$A:$Z,ROW()-500,'List Setup'!$C$4))&gt;1," (x"&amp;INDEX('Deck 2'!$A:$Z,ROW()-500,'List Setup'!$C$4)&amp;")","")&amp;IF(COUNTIF(Binders!$J$6:$J$30,TRUE())&gt;1," ["&amp;Q599&amp;"]",""))</f>
        <v/>
      </c>
      <c r="H599" s="80" t="str">
        <f t="array" ref="H599">IF(A599="","",CHAR(10)&amp;INDEX('Deck 2'!$A:$Z,ROW()-500,'List Setup'!$E$4)&amp;CHAR(10))</f>
        <v/>
      </c>
      <c r="I599" s="80" t="str">
        <f t="array" ref="I599">IF(OR(B599="",B599="(none)"),"",IF(ISNUMBER(SEARCH(CHAR(10)&amp;B599&amp;CHAR(10),H599)),B599,IFERROR(INDEX('Set Aliases'!$A$2:$A$501,MATCH(1,('Set Aliases'!$B$2:$B$501=B599)*ISNUMBER(SEARCH(CHAR(10)&amp;'Set Aliases'!$A$2:$A$501&amp;CHAR(10),H599)),0)),"")))</f>
        <v/>
      </c>
      <c r="J599" s="80" t="str">
        <f t="array" ref="J599">IF(I599="","",IFERROR(VALUE(TRIM(MID(SUBSTITUTE(INDEX('Deck 2'!$A:$Z,ROW()-500,'List Setup'!$G$4),CHAR(10),REPT(" ",100)),((SEARCH(CHAR(10)&amp;I599&amp;CHAR(10),H599)-LEN(SUBSTITUTE(LEFT(H599,SEARCH(CHAR(10)&amp;I599&amp;CHAR(10),H599)),CHAR(10),"")))-1)*100+1,100))),""))</f>
        <v/>
      </c>
      <c r="K599" s="80" t="str">
        <f t="array" ref="K599">IF(A599="","",IF(ISNUMBER(SEARCH("Land",LEFT(IFERROR(INDEX('Deck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599" s="80" t="str">
        <f t="shared" si="3"/>
        <v/>
      </c>
      <c r="M599" s="80" t="str">
        <f>IF(A599="","",IF(AND(E599="Y",B599='Use at Shop'!$B$4),K599*10000000000+(MAX(0,MIN(26,CODE(MID(UPPER(A599)&amp;"    ",1,1))-64))*19683+MAX(0,MIN(26,CODE(MID(UPPER(A599)&amp;"    ",2,1))-64))*729+MAX(0,MIN(26,CODE(MID(UPPER(A599)&amp;"    ",3,1))-64))*27+MAX(0,MIN(26,CODE(MID(UPPER(A599)&amp;"    ",4,1))-64))*1)*10000+ROW(),""))</f>
        <v/>
      </c>
      <c r="N599" s="80" t="str">
        <f t="shared" si="6"/>
        <v/>
      </c>
      <c r="O599" s="80" t="str">
        <f t="array" ref="O599">IF(A599="","",IFERROR(INDEX('Deck 2'!$A:$Z,ROW()-500,'List Setup'!$J$4)&amp;"",""))</f>
        <v/>
      </c>
      <c r="P599" s="2"/>
      <c r="Q599" s="80" t="str">
        <f>IF(A599="","",'List Setup'!$A$4)</f>
        <v/>
      </c>
      <c r="R599" s="80" t="str">
        <f t="array" ref="R599">IF(A599="","",IFERROR(OR(INDEX(Binders!$J$6:$J$30,MATCH(Q599,Binders!$I$6:$I$30,0))=TRUE(),UPPER(INDEX(Binders!$J$6:$J$30,MATCH(Q599,Binders!$I$6:$I$30,0))&amp;"")="TRUE"),FALSE()))</f>
        <v/>
      </c>
    </row>
    <row r="600" ht="15.75" customHeight="1">
      <c r="A600" s="80" t="str">
        <f t="array" ref="A600">IF(INDEX('Deck 2'!$A:$Z,ROW()-500,'List Setup'!$D$4)="","",INDEX('Deck 2'!$A:$Z,ROW()-500,'List Setup'!$D$4))</f>
        <v/>
      </c>
      <c r="B600" s="80" t="str">
        <f t="array" ref="B600">IF(A600="","",IFERROR(INDEX('Binder Setup'!$B$2:$B$401,MIN(IF(ISNUMBER(SEARCH(CHAR(10)&amp;'Binder Setup'!$B$2:$B$401&amp;CHAR(10),$H600)),'List Setup'!$Q$2:$Q$401,999),IF(ISNUMBER(SEARCH(CHAR(10)&amp;'Set Aliases'!$A$2:$A$501&amp;CHAR(10),$H600)),'Set Aliases'!$C$2:$C$501,999))),"(none)"))</f>
        <v/>
      </c>
      <c r="C600" s="80" t="str">
        <f t="shared" si="1"/>
        <v/>
      </c>
      <c r="D600" s="80" t="str">
        <f t="array" ref="D600">IF(A600="","",IF(ISLOGICAL(INDEX('Deck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00" s="80" t="str">
        <f t="shared" si="2"/>
        <v/>
      </c>
      <c r="F600" s="80" t="str">
        <f t="array" ref="F600">IF(A600="","",IF(ISNUMBER(J600),J600,IF(ISNUMBER(INDEX('Deck 2'!$A:$Z,ROW()-500,'List Setup'!$F$4)),INDEX('Deck 2'!$A:$Z,ROW()-500,'List Setup'!$F$4),0)))</f>
        <v/>
      </c>
      <c r="G600" s="80" t="str">
        <f t="array" ref="G600">IF(A600="","",A600&amp;IF(N(INDEX('Deck 2'!$A:$Z,ROW()-500,'List Setup'!$C$4))&gt;1," (x"&amp;INDEX('Deck 2'!$A:$Z,ROW()-500,'List Setup'!$C$4)&amp;")","")&amp;IF(COUNTIF(Binders!$J$6:$J$30,TRUE())&gt;1," ["&amp;Q600&amp;"]",""))</f>
        <v/>
      </c>
      <c r="H600" s="80" t="str">
        <f t="array" ref="H600">IF(A600="","",CHAR(10)&amp;INDEX('Deck 2'!$A:$Z,ROW()-500,'List Setup'!$E$4)&amp;CHAR(10))</f>
        <v/>
      </c>
      <c r="I600" s="80" t="str">
        <f t="array" ref="I600">IF(OR(B600="",B600="(none)"),"",IF(ISNUMBER(SEARCH(CHAR(10)&amp;B600&amp;CHAR(10),H600)),B600,IFERROR(INDEX('Set Aliases'!$A$2:$A$501,MATCH(1,('Set Aliases'!$B$2:$B$501=B600)*ISNUMBER(SEARCH(CHAR(10)&amp;'Set Aliases'!$A$2:$A$501&amp;CHAR(10),H600)),0)),"")))</f>
        <v/>
      </c>
      <c r="J600" s="80" t="str">
        <f t="array" ref="J600">IF(I600="","",IFERROR(VALUE(TRIM(MID(SUBSTITUTE(INDEX('Deck 2'!$A:$Z,ROW()-500,'List Setup'!$G$4),CHAR(10),REPT(" ",100)),((SEARCH(CHAR(10)&amp;I600&amp;CHAR(10),H600)-LEN(SUBSTITUTE(LEFT(H600,SEARCH(CHAR(10)&amp;I600&amp;CHAR(10),H600)),CHAR(10),"")))-1)*100+1,100))),""))</f>
        <v/>
      </c>
      <c r="K600" s="80" t="str">
        <f t="array" ref="K600">IF(A600="","",IF(ISNUMBER(SEARCH("Land",LEFT(IFERROR(INDEX('Deck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00" s="80" t="str">
        <f t="shared" si="3"/>
        <v/>
      </c>
      <c r="M600" s="80" t="str">
        <f>IF(A600="","",IF(AND(E600="Y",B600='Use at Shop'!$B$4),K600*10000000000+(MAX(0,MIN(26,CODE(MID(UPPER(A600)&amp;"    ",1,1))-64))*19683+MAX(0,MIN(26,CODE(MID(UPPER(A600)&amp;"    ",2,1))-64))*729+MAX(0,MIN(26,CODE(MID(UPPER(A600)&amp;"    ",3,1))-64))*27+MAX(0,MIN(26,CODE(MID(UPPER(A600)&amp;"    ",4,1))-64))*1)*10000+ROW(),""))</f>
        <v/>
      </c>
      <c r="N600" s="80" t="str">
        <f t="shared" si="6"/>
        <v/>
      </c>
      <c r="O600" s="80" t="str">
        <f t="array" ref="O600">IF(A600="","",IFERROR(INDEX('Deck 2'!$A:$Z,ROW()-500,'List Setup'!$J$4)&amp;"",""))</f>
        <v/>
      </c>
      <c r="P600" s="2"/>
      <c r="Q600" s="80" t="str">
        <f>IF(A600="","",'List Setup'!$A$4)</f>
        <v/>
      </c>
      <c r="R600" s="80" t="str">
        <f t="array" ref="R600">IF(A600="","",IFERROR(OR(INDEX(Binders!$J$6:$J$30,MATCH(Q600,Binders!$I$6:$I$30,0))=TRUE(),UPPER(INDEX(Binders!$J$6:$J$30,MATCH(Q600,Binders!$I$6:$I$30,0))&amp;"")="TRUE"),FALSE()))</f>
        <v/>
      </c>
    </row>
    <row r="601" ht="15.75" customHeight="1">
      <c r="A601" s="80" t="str">
        <f t="array" ref="A601">IF(INDEX('Deck 2'!$A:$Z,ROW()-500,'List Setup'!$D$4)="","",INDEX('Deck 2'!$A:$Z,ROW()-500,'List Setup'!$D$4))</f>
        <v/>
      </c>
      <c r="B601" s="80" t="str">
        <f t="array" ref="B601">IF(A601="","",IFERROR(INDEX('Binder Setup'!$B$2:$B$401,MIN(IF(ISNUMBER(SEARCH(CHAR(10)&amp;'Binder Setup'!$B$2:$B$401&amp;CHAR(10),$H601)),'List Setup'!$Q$2:$Q$401,999),IF(ISNUMBER(SEARCH(CHAR(10)&amp;'Set Aliases'!$A$2:$A$501&amp;CHAR(10),$H601)),'Set Aliases'!$C$2:$C$501,999))),"(none)"))</f>
        <v/>
      </c>
      <c r="C601" s="80" t="str">
        <f t="shared" si="1"/>
        <v/>
      </c>
      <c r="D601" s="80" t="str">
        <f t="array" ref="D601">IF(A601="","",IF(ISLOGICAL(INDEX('Deck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01" s="80" t="str">
        <f t="shared" si="2"/>
        <v/>
      </c>
      <c r="F601" s="80" t="str">
        <f t="array" ref="F601">IF(A601="","",IF(ISNUMBER(J601),J601,IF(ISNUMBER(INDEX('Deck 2'!$A:$Z,ROW()-500,'List Setup'!$F$4)),INDEX('Deck 2'!$A:$Z,ROW()-500,'List Setup'!$F$4),0)))</f>
        <v/>
      </c>
      <c r="G601" s="80" t="str">
        <f t="array" ref="G601">IF(A601="","",A601&amp;IF(N(INDEX('Deck 2'!$A:$Z,ROW()-500,'List Setup'!$C$4))&gt;1," (x"&amp;INDEX('Deck 2'!$A:$Z,ROW()-500,'List Setup'!$C$4)&amp;")","")&amp;IF(COUNTIF(Binders!$J$6:$J$30,TRUE())&gt;1," ["&amp;Q601&amp;"]",""))</f>
        <v/>
      </c>
      <c r="H601" s="80" t="str">
        <f t="array" ref="H601">IF(A601="","",CHAR(10)&amp;INDEX('Deck 2'!$A:$Z,ROW()-500,'List Setup'!$E$4)&amp;CHAR(10))</f>
        <v/>
      </c>
      <c r="I601" s="80" t="str">
        <f t="array" ref="I601">IF(OR(B601="",B601="(none)"),"",IF(ISNUMBER(SEARCH(CHAR(10)&amp;B601&amp;CHAR(10),H601)),B601,IFERROR(INDEX('Set Aliases'!$A$2:$A$501,MATCH(1,('Set Aliases'!$B$2:$B$501=B601)*ISNUMBER(SEARCH(CHAR(10)&amp;'Set Aliases'!$A$2:$A$501&amp;CHAR(10),H601)),0)),"")))</f>
        <v/>
      </c>
      <c r="J601" s="80" t="str">
        <f t="array" ref="J601">IF(I601="","",IFERROR(VALUE(TRIM(MID(SUBSTITUTE(INDEX('Deck 2'!$A:$Z,ROW()-500,'List Setup'!$G$4),CHAR(10),REPT(" ",100)),((SEARCH(CHAR(10)&amp;I601&amp;CHAR(10),H601)-LEN(SUBSTITUTE(LEFT(H601,SEARCH(CHAR(10)&amp;I601&amp;CHAR(10),H601)),CHAR(10),"")))-1)*100+1,100))),""))</f>
        <v/>
      </c>
      <c r="K601" s="80" t="str">
        <f t="array" ref="K601">IF(A601="","",IF(ISNUMBER(SEARCH("Land",LEFT(IFERROR(INDEX('Deck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01" s="80" t="str">
        <f t="shared" si="3"/>
        <v/>
      </c>
      <c r="M601" s="80" t="str">
        <f>IF(A601="","",IF(AND(E601="Y",B601='Use at Shop'!$B$4),K601*10000000000+(MAX(0,MIN(26,CODE(MID(UPPER(A601)&amp;"    ",1,1))-64))*19683+MAX(0,MIN(26,CODE(MID(UPPER(A601)&amp;"    ",2,1))-64))*729+MAX(0,MIN(26,CODE(MID(UPPER(A601)&amp;"    ",3,1))-64))*27+MAX(0,MIN(26,CODE(MID(UPPER(A601)&amp;"    ",4,1))-64))*1)*10000+ROW(),""))</f>
        <v/>
      </c>
      <c r="N601" s="80" t="str">
        <f t="shared" si="6"/>
        <v/>
      </c>
      <c r="O601" s="80" t="str">
        <f t="array" ref="O601">IF(A601="","",IFERROR(INDEX('Deck 2'!$A:$Z,ROW()-500,'List Setup'!$J$4)&amp;"",""))</f>
        <v/>
      </c>
      <c r="P601" s="2"/>
      <c r="Q601" s="80" t="str">
        <f>IF(A601="","",'List Setup'!$A$4)</f>
        <v/>
      </c>
      <c r="R601" s="80" t="str">
        <f t="array" ref="R601">IF(A601="","",IFERROR(OR(INDEX(Binders!$J$6:$J$30,MATCH(Q601,Binders!$I$6:$I$30,0))=TRUE(),UPPER(INDEX(Binders!$J$6:$J$30,MATCH(Q601,Binders!$I$6:$I$30,0))&amp;"")="TRUE"),FALSE()))</f>
        <v/>
      </c>
    </row>
    <row r="602" ht="15.75" customHeight="1">
      <c r="A602" s="80" t="str">
        <f t="array" ref="A602">IF(INDEX('Deck 2'!$A:$Z,ROW()-500,'List Setup'!$D$4)="","",INDEX('Deck 2'!$A:$Z,ROW()-500,'List Setup'!$D$4))</f>
        <v/>
      </c>
      <c r="B602" s="80" t="str">
        <f t="array" ref="B602">IF(A602="","",IFERROR(INDEX('Binder Setup'!$B$2:$B$401,MIN(IF(ISNUMBER(SEARCH(CHAR(10)&amp;'Binder Setup'!$B$2:$B$401&amp;CHAR(10),$H602)),'List Setup'!$Q$2:$Q$401,999),IF(ISNUMBER(SEARCH(CHAR(10)&amp;'Set Aliases'!$A$2:$A$501&amp;CHAR(10),$H602)),'Set Aliases'!$C$2:$C$501,999))),"(none)"))</f>
        <v/>
      </c>
      <c r="C602" s="80" t="str">
        <f t="shared" si="1"/>
        <v/>
      </c>
      <c r="D602" s="80" t="str">
        <f t="array" ref="D602">IF(A602="","",IF(ISLOGICAL(INDEX('Deck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02" s="80" t="str">
        <f t="shared" si="2"/>
        <v/>
      </c>
      <c r="F602" s="80" t="str">
        <f t="array" ref="F602">IF(A602="","",IF(ISNUMBER(J602),J602,IF(ISNUMBER(INDEX('Deck 2'!$A:$Z,ROW()-500,'List Setup'!$F$4)),INDEX('Deck 2'!$A:$Z,ROW()-500,'List Setup'!$F$4),0)))</f>
        <v/>
      </c>
      <c r="G602" s="80" t="str">
        <f t="array" ref="G602">IF(A602="","",A602&amp;IF(N(INDEX('Deck 2'!$A:$Z,ROW()-500,'List Setup'!$C$4))&gt;1," (x"&amp;INDEX('Deck 2'!$A:$Z,ROW()-500,'List Setup'!$C$4)&amp;")","")&amp;IF(COUNTIF(Binders!$J$6:$J$30,TRUE())&gt;1," ["&amp;Q602&amp;"]",""))</f>
        <v/>
      </c>
      <c r="H602" s="80" t="str">
        <f t="array" ref="H602">IF(A602="","",CHAR(10)&amp;INDEX('Deck 2'!$A:$Z,ROW()-500,'List Setup'!$E$4)&amp;CHAR(10))</f>
        <v/>
      </c>
      <c r="I602" s="80" t="str">
        <f t="array" ref="I602">IF(OR(B602="",B602="(none)"),"",IF(ISNUMBER(SEARCH(CHAR(10)&amp;B602&amp;CHAR(10),H602)),B602,IFERROR(INDEX('Set Aliases'!$A$2:$A$501,MATCH(1,('Set Aliases'!$B$2:$B$501=B602)*ISNUMBER(SEARCH(CHAR(10)&amp;'Set Aliases'!$A$2:$A$501&amp;CHAR(10),H602)),0)),"")))</f>
        <v/>
      </c>
      <c r="J602" s="80" t="str">
        <f t="array" ref="J602">IF(I602="","",IFERROR(VALUE(TRIM(MID(SUBSTITUTE(INDEX('Deck 2'!$A:$Z,ROW()-500,'List Setup'!$G$4),CHAR(10),REPT(" ",100)),((SEARCH(CHAR(10)&amp;I602&amp;CHAR(10),H602)-LEN(SUBSTITUTE(LEFT(H602,SEARCH(CHAR(10)&amp;I602&amp;CHAR(10),H602)),CHAR(10),"")))-1)*100+1,100))),""))</f>
        <v/>
      </c>
      <c r="K602" s="80" t="str">
        <f t="array" ref="K602">IF(A602="","",IF(ISNUMBER(SEARCH("Land",LEFT(IFERROR(INDEX('Deck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02" s="80" t="str">
        <f t="shared" si="3"/>
        <v/>
      </c>
      <c r="M602" s="80" t="str">
        <f>IF(A602="","",IF(AND(E602="Y",B602='Use at Shop'!$B$4),K602*10000000000+(MAX(0,MIN(26,CODE(MID(UPPER(A602)&amp;"    ",1,1))-64))*19683+MAX(0,MIN(26,CODE(MID(UPPER(A602)&amp;"    ",2,1))-64))*729+MAX(0,MIN(26,CODE(MID(UPPER(A602)&amp;"    ",3,1))-64))*27+MAX(0,MIN(26,CODE(MID(UPPER(A602)&amp;"    ",4,1))-64))*1)*10000+ROW(),""))</f>
        <v/>
      </c>
      <c r="N602" s="80" t="str">
        <f t="shared" si="6"/>
        <v/>
      </c>
      <c r="O602" s="80" t="str">
        <f t="array" ref="O602">IF(A602="","",IFERROR(INDEX('Deck 2'!$A:$Z,ROW()-500,'List Setup'!$J$4)&amp;"",""))</f>
        <v/>
      </c>
      <c r="P602" s="2"/>
      <c r="Q602" s="80" t="str">
        <f>IF(A602="","",'List Setup'!$A$4)</f>
        <v/>
      </c>
      <c r="R602" s="80" t="str">
        <f t="array" ref="R602">IF(A602="","",IFERROR(OR(INDEX(Binders!$J$6:$J$30,MATCH(Q602,Binders!$I$6:$I$30,0))=TRUE(),UPPER(INDEX(Binders!$J$6:$J$30,MATCH(Q602,Binders!$I$6:$I$30,0))&amp;"")="TRUE"),FALSE()))</f>
        <v/>
      </c>
    </row>
    <row r="603" ht="15.75" customHeight="1">
      <c r="A603" s="80" t="str">
        <f t="array" ref="A603">IF(INDEX('Deck 2'!$A:$Z,ROW()-500,'List Setup'!$D$4)="","",INDEX('Deck 2'!$A:$Z,ROW()-500,'List Setup'!$D$4))</f>
        <v/>
      </c>
      <c r="B603" s="80" t="str">
        <f t="array" ref="B603">IF(A603="","",IFERROR(INDEX('Binder Setup'!$B$2:$B$401,MIN(IF(ISNUMBER(SEARCH(CHAR(10)&amp;'Binder Setup'!$B$2:$B$401&amp;CHAR(10),$H603)),'List Setup'!$Q$2:$Q$401,999),IF(ISNUMBER(SEARCH(CHAR(10)&amp;'Set Aliases'!$A$2:$A$501&amp;CHAR(10),$H603)),'Set Aliases'!$C$2:$C$501,999))),"(none)"))</f>
        <v/>
      </c>
      <c r="C603" s="80" t="str">
        <f t="shared" si="1"/>
        <v/>
      </c>
      <c r="D603" s="80" t="str">
        <f t="array" ref="D603">IF(A603="","",IF(ISLOGICAL(INDEX('Deck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03" s="80" t="str">
        <f t="shared" si="2"/>
        <v/>
      </c>
      <c r="F603" s="80" t="str">
        <f t="array" ref="F603">IF(A603="","",IF(ISNUMBER(J603),J603,IF(ISNUMBER(INDEX('Deck 2'!$A:$Z,ROW()-500,'List Setup'!$F$4)),INDEX('Deck 2'!$A:$Z,ROW()-500,'List Setup'!$F$4),0)))</f>
        <v/>
      </c>
      <c r="G603" s="80" t="str">
        <f t="array" ref="G603">IF(A603="","",A603&amp;IF(N(INDEX('Deck 2'!$A:$Z,ROW()-500,'List Setup'!$C$4))&gt;1," (x"&amp;INDEX('Deck 2'!$A:$Z,ROW()-500,'List Setup'!$C$4)&amp;")","")&amp;IF(COUNTIF(Binders!$J$6:$J$30,TRUE())&gt;1," ["&amp;Q603&amp;"]",""))</f>
        <v/>
      </c>
      <c r="H603" s="80" t="str">
        <f t="array" ref="H603">IF(A603="","",CHAR(10)&amp;INDEX('Deck 2'!$A:$Z,ROW()-500,'List Setup'!$E$4)&amp;CHAR(10))</f>
        <v/>
      </c>
      <c r="I603" s="80" t="str">
        <f t="array" ref="I603">IF(OR(B603="",B603="(none)"),"",IF(ISNUMBER(SEARCH(CHAR(10)&amp;B603&amp;CHAR(10),H603)),B603,IFERROR(INDEX('Set Aliases'!$A$2:$A$501,MATCH(1,('Set Aliases'!$B$2:$B$501=B603)*ISNUMBER(SEARCH(CHAR(10)&amp;'Set Aliases'!$A$2:$A$501&amp;CHAR(10),H603)),0)),"")))</f>
        <v/>
      </c>
      <c r="J603" s="80" t="str">
        <f t="array" ref="J603">IF(I603="","",IFERROR(VALUE(TRIM(MID(SUBSTITUTE(INDEX('Deck 2'!$A:$Z,ROW()-500,'List Setup'!$G$4),CHAR(10),REPT(" ",100)),((SEARCH(CHAR(10)&amp;I603&amp;CHAR(10),H603)-LEN(SUBSTITUTE(LEFT(H603,SEARCH(CHAR(10)&amp;I603&amp;CHAR(10),H603)),CHAR(10),"")))-1)*100+1,100))),""))</f>
        <v/>
      </c>
      <c r="K603" s="80" t="str">
        <f t="array" ref="K603">IF(A603="","",IF(ISNUMBER(SEARCH("Land",LEFT(IFERROR(INDEX('Deck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03" s="80" t="str">
        <f t="shared" si="3"/>
        <v/>
      </c>
      <c r="M603" s="80" t="str">
        <f>IF(A603="","",IF(AND(E603="Y",B603='Use at Shop'!$B$4),K603*10000000000+(MAX(0,MIN(26,CODE(MID(UPPER(A603)&amp;"    ",1,1))-64))*19683+MAX(0,MIN(26,CODE(MID(UPPER(A603)&amp;"    ",2,1))-64))*729+MAX(0,MIN(26,CODE(MID(UPPER(A603)&amp;"    ",3,1))-64))*27+MAX(0,MIN(26,CODE(MID(UPPER(A603)&amp;"    ",4,1))-64))*1)*10000+ROW(),""))</f>
        <v/>
      </c>
      <c r="N603" s="80" t="str">
        <f t="shared" si="6"/>
        <v/>
      </c>
      <c r="O603" s="80" t="str">
        <f t="array" ref="O603">IF(A603="","",IFERROR(INDEX('Deck 2'!$A:$Z,ROW()-500,'List Setup'!$J$4)&amp;"",""))</f>
        <v/>
      </c>
      <c r="P603" s="2"/>
      <c r="Q603" s="80" t="str">
        <f>IF(A603="","",'List Setup'!$A$4)</f>
        <v/>
      </c>
      <c r="R603" s="80" t="str">
        <f t="array" ref="R603">IF(A603="","",IFERROR(OR(INDEX(Binders!$J$6:$J$30,MATCH(Q603,Binders!$I$6:$I$30,0))=TRUE(),UPPER(INDEX(Binders!$J$6:$J$30,MATCH(Q603,Binders!$I$6:$I$30,0))&amp;"")="TRUE"),FALSE()))</f>
        <v/>
      </c>
    </row>
    <row r="604" ht="15.75" customHeight="1">
      <c r="A604" s="80" t="str">
        <f t="array" ref="A604">IF(INDEX('Deck 2'!$A:$Z,ROW()-500,'List Setup'!$D$4)="","",INDEX('Deck 2'!$A:$Z,ROW()-500,'List Setup'!$D$4))</f>
        <v/>
      </c>
      <c r="B604" s="80" t="str">
        <f t="array" ref="B604">IF(A604="","",IFERROR(INDEX('Binder Setup'!$B$2:$B$401,MIN(IF(ISNUMBER(SEARCH(CHAR(10)&amp;'Binder Setup'!$B$2:$B$401&amp;CHAR(10),$H604)),'List Setup'!$Q$2:$Q$401,999),IF(ISNUMBER(SEARCH(CHAR(10)&amp;'Set Aliases'!$A$2:$A$501&amp;CHAR(10),$H604)),'Set Aliases'!$C$2:$C$501,999))),"(none)"))</f>
        <v/>
      </c>
      <c r="C604" s="80" t="str">
        <f t="shared" si="1"/>
        <v/>
      </c>
      <c r="D604" s="80" t="str">
        <f t="array" ref="D604">IF(A604="","",IF(ISLOGICAL(INDEX('Deck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04" s="80" t="str">
        <f t="shared" si="2"/>
        <v/>
      </c>
      <c r="F604" s="80" t="str">
        <f t="array" ref="F604">IF(A604="","",IF(ISNUMBER(J604),J604,IF(ISNUMBER(INDEX('Deck 2'!$A:$Z,ROW()-500,'List Setup'!$F$4)),INDEX('Deck 2'!$A:$Z,ROW()-500,'List Setup'!$F$4),0)))</f>
        <v/>
      </c>
      <c r="G604" s="80" t="str">
        <f t="array" ref="G604">IF(A604="","",A604&amp;IF(N(INDEX('Deck 2'!$A:$Z,ROW()-500,'List Setup'!$C$4))&gt;1," (x"&amp;INDEX('Deck 2'!$A:$Z,ROW()-500,'List Setup'!$C$4)&amp;")","")&amp;IF(COUNTIF(Binders!$J$6:$J$30,TRUE())&gt;1," ["&amp;Q604&amp;"]",""))</f>
        <v/>
      </c>
      <c r="H604" s="80" t="str">
        <f t="array" ref="H604">IF(A604="","",CHAR(10)&amp;INDEX('Deck 2'!$A:$Z,ROW()-500,'List Setup'!$E$4)&amp;CHAR(10))</f>
        <v/>
      </c>
      <c r="I604" s="80" t="str">
        <f t="array" ref="I604">IF(OR(B604="",B604="(none)"),"",IF(ISNUMBER(SEARCH(CHAR(10)&amp;B604&amp;CHAR(10),H604)),B604,IFERROR(INDEX('Set Aliases'!$A$2:$A$501,MATCH(1,('Set Aliases'!$B$2:$B$501=B604)*ISNUMBER(SEARCH(CHAR(10)&amp;'Set Aliases'!$A$2:$A$501&amp;CHAR(10),H604)),0)),"")))</f>
        <v/>
      </c>
      <c r="J604" s="80" t="str">
        <f t="array" ref="J604">IF(I604="","",IFERROR(VALUE(TRIM(MID(SUBSTITUTE(INDEX('Deck 2'!$A:$Z,ROW()-500,'List Setup'!$G$4),CHAR(10),REPT(" ",100)),((SEARCH(CHAR(10)&amp;I604&amp;CHAR(10),H604)-LEN(SUBSTITUTE(LEFT(H604,SEARCH(CHAR(10)&amp;I604&amp;CHAR(10),H604)),CHAR(10),"")))-1)*100+1,100))),""))</f>
        <v/>
      </c>
      <c r="K604" s="80" t="str">
        <f t="array" ref="K604">IF(A604="","",IF(ISNUMBER(SEARCH("Land",LEFT(IFERROR(INDEX('Deck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04" s="80" t="str">
        <f t="shared" si="3"/>
        <v/>
      </c>
      <c r="M604" s="80" t="str">
        <f>IF(A604="","",IF(AND(E604="Y",B604='Use at Shop'!$B$4),K604*10000000000+(MAX(0,MIN(26,CODE(MID(UPPER(A604)&amp;"    ",1,1))-64))*19683+MAX(0,MIN(26,CODE(MID(UPPER(A604)&amp;"    ",2,1))-64))*729+MAX(0,MIN(26,CODE(MID(UPPER(A604)&amp;"    ",3,1))-64))*27+MAX(0,MIN(26,CODE(MID(UPPER(A604)&amp;"    ",4,1))-64))*1)*10000+ROW(),""))</f>
        <v/>
      </c>
      <c r="N604" s="80" t="str">
        <f t="shared" si="6"/>
        <v/>
      </c>
      <c r="O604" s="80" t="str">
        <f t="array" ref="O604">IF(A604="","",IFERROR(INDEX('Deck 2'!$A:$Z,ROW()-500,'List Setup'!$J$4)&amp;"",""))</f>
        <v/>
      </c>
      <c r="P604" s="2"/>
      <c r="Q604" s="80" t="str">
        <f>IF(A604="","",'List Setup'!$A$4)</f>
        <v/>
      </c>
      <c r="R604" s="80" t="str">
        <f t="array" ref="R604">IF(A604="","",IFERROR(OR(INDEX(Binders!$J$6:$J$30,MATCH(Q604,Binders!$I$6:$I$30,0))=TRUE(),UPPER(INDEX(Binders!$J$6:$J$30,MATCH(Q604,Binders!$I$6:$I$30,0))&amp;"")="TRUE"),FALSE()))</f>
        <v/>
      </c>
    </row>
    <row r="605" ht="15.75" customHeight="1">
      <c r="A605" s="80" t="str">
        <f t="array" ref="A605">IF(INDEX('Deck 2'!$A:$Z,ROW()-500,'List Setup'!$D$4)="","",INDEX('Deck 2'!$A:$Z,ROW()-500,'List Setup'!$D$4))</f>
        <v/>
      </c>
      <c r="B605" s="80" t="str">
        <f t="array" ref="B605">IF(A605="","",IFERROR(INDEX('Binder Setup'!$B$2:$B$401,MIN(IF(ISNUMBER(SEARCH(CHAR(10)&amp;'Binder Setup'!$B$2:$B$401&amp;CHAR(10),$H605)),'List Setup'!$Q$2:$Q$401,999),IF(ISNUMBER(SEARCH(CHAR(10)&amp;'Set Aliases'!$A$2:$A$501&amp;CHAR(10),$H605)),'Set Aliases'!$C$2:$C$501,999))),"(none)"))</f>
        <v/>
      </c>
      <c r="C605" s="80" t="str">
        <f t="shared" si="1"/>
        <v/>
      </c>
      <c r="D605" s="80" t="str">
        <f t="array" ref="D605">IF(A605="","",IF(ISLOGICAL(INDEX('Deck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05" s="80" t="str">
        <f t="shared" si="2"/>
        <v/>
      </c>
      <c r="F605" s="80" t="str">
        <f t="array" ref="F605">IF(A605="","",IF(ISNUMBER(J605),J605,IF(ISNUMBER(INDEX('Deck 2'!$A:$Z,ROW()-500,'List Setup'!$F$4)),INDEX('Deck 2'!$A:$Z,ROW()-500,'List Setup'!$F$4),0)))</f>
        <v/>
      </c>
      <c r="G605" s="80" t="str">
        <f t="array" ref="G605">IF(A605="","",A605&amp;IF(N(INDEX('Deck 2'!$A:$Z,ROW()-500,'List Setup'!$C$4))&gt;1," (x"&amp;INDEX('Deck 2'!$A:$Z,ROW()-500,'List Setup'!$C$4)&amp;")","")&amp;IF(COUNTIF(Binders!$J$6:$J$30,TRUE())&gt;1," ["&amp;Q605&amp;"]",""))</f>
        <v/>
      </c>
      <c r="H605" s="80" t="str">
        <f t="array" ref="H605">IF(A605="","",CHAR(10)&amp;INDEX('Deck 2'!$A:$Z,ROW()-500,'List Setup'!$E$4)&amp;CHAR(10))</f>
        <v/>
      </c>
      <c r="I605" s="80" t="str">
        <f t="array" ref="I605">IF(OR(B605="",B605="(none)"),"",IF(ISNUMBER(SEARCH(CHAR(10)&amp;B605&amp;CHAR(10),H605)),B605,IFERROR(INDEX('Set Aliases'!$A$2:$A$501,MATCH(1,('Set Aliases'!$B$2:$B$501=B605)*ISNUMBER(SEARCH(CHAR(10)&amp;'Set Aliases'!$A$2:$A$501&amp;CHAR(10),H605)),0)),"")))</f>
        <v/>
      </c>
      <c r="J605" s="80" t="str">
        <f t="array" ref="J605">IF(I605="","",IFERROR(VALUE(TRIM(MID(SUBSTITUTE(INDEX('Deck 2'!$A:$Z,ROW()-500,'List Setup'!$G$4),CHAR(10),REPT(" ",100)),((SEARCH(CHAR(10)&amp;I605&amp;CHAR(10),H605)-LEN(SUBSTITUTE(LEFT(H605,SEARCH(CHAR(10)&amp;I605&amp;CHAR(10),H605)),CHAR(10),"")))-1)*100+1,100))),""))</f>
        <v/>
      </c>
      <c r="K605" s="80" t="str">
        <f t="array" ref="K605">IF(A605="","",IF(ISNUMBER(SEARCH("Land",LEFT(IFERROR(INDEX('Deck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05" s="80" t="str">
        <f t="shared" si="3"/>
        <v/>
      </c>
      <c r="M605" s="80" t="str">
        <f>IF(A605="","",IF(AND(E605="Y",B605='Use at Shop'!$B$4),K605*10000000000+(MAX(0,MIN(26,CODE(MID(UPPER(A605)&amp;"    ",1,1))-64))*19683+MAX(0,MIN(26,CODE(MID(UPPER(A605)&amp;"    ",2,1))-64))*729+MAX(0,MIN(26,CODE(MID(UPPER(A605)&amp;"    ",3,1))-64))*27+MAX(0,MIN(26,CODE(MID(UPPER(A605)&amp;"    ",4,1))-64))*1)*10000+ROW(),""))</f>
        <v/>
      </c>
      <c r="N605" s="80" t="str">
        <f t="shared" si="6"/>
        <v/>
      </c>
      <c r="O605" s="80" t="str">
        <f t="array" ref="O605">IF(A605="","",IFERROR(INDEX('Deck 2'!$A:$Z,ROW()-500,'List Setup'!$J$4)&amp;"",""))</f>
        <v/>
      </c>
      <c r="P605" s="2"/>
      <c r="Q605" s="80" t="str">
        <f>IF(A605="","",'List Setup'!$A$4)</f>
        <v/>
      </c>
      <c r="R605" s="80" t="str">
        <f t="array" ref="R605">IF(A605="","",IFERROR(OR(INDEX(Binders!$J$6:$J$30,MATCH(Q605,Binders!$I$6:$I$30,0))=TRUE(),UPPER(INDEX(Binders!$J$6:$J$30,MATCH(Q605,Binders!$I$6:$I$30,0))&amp;"")="TRUE"),FALSE()))</f>
        <v/>
      </c>
    </row>
    <row r="606" ht="15.75" customHeight="1">
      <c r="A606" s="80" t="str">
        <f t="array" ref="A606">IF(INDEX('Deck 2'!$A:$Z,ROW()-500,'List Setup'!$D$4)="","",INDEX('Deck 2'!$A:$Z,ROW()-500,'List Setup'!$D$4))</f>
        <v/>
      </c>
      <c r="B606" s="80" t="str">
        <f t="array" ref="B606">IF(A606="","",IFERROR(INDEX('Binder Setup'!$B$2:$B$401,MIN(IF(ISNUMBER(SEARCH(CHAR(10)&amp;'Binder Setup'!$B$2:$B$401&amp;CHAR(10),$H606)),'List Setup'!$Q$2:$Q$401,999),IF(ISNUMBER(SEARCH(CHAR(10)&amp;'Set Aliases'!$A$2:$A$501&amp;CHAR(10),$H606)),'Set Aliases'!$C$2:$C$501,999))),"(none)"))</f>
        <v/>
      </c>
      <c r="C606" s="80" t="str">
        <f t="shared" si="1"/>
        <v/>
      </c>
      <c r="D606" s="80" t="str">
        <f t="array" ref="D606">IF(A606="","",IF(ISLOGICAL(INDEX('Deck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06" s="80" t="str">
        <f t="shared" si="2"/>
        <v/>
      </c>
      <c r="F606" s="80" t="str">
        <f t="array" ref="F606">IF(A606="","",IF(ISNUMBER(J606),J606,IF(ISNUMBER(INDEX('Deck 2'!$A:$Z,ROW()-500,'List Setup'!$F$4)),INDEX('Deck 2'!$A:$Z,ROW()-500,'List Setup'!$F$4),0)))</f>
        <v/>
      </c>
      <c r="G606" s="80" t="str">
        <f t="array" ref="G606">IF(A606="","",A606&amp;IF(N(INDEX('Deck 2'!$A:$Z,ROW()-500,'List Setup'!$C$4))&gt;1," (x"&amp;INDEX('Deck 2'!$A:$Z,ROW()-500,'List Setup'!$C$4)&amp;")","")&amp;IF(COUNTIF(Binders!$J$6:$J$30,TRUE())&gt;1," ["&amp;Q606&amp;"]",""))</f>
        <v/>
      </c>
      <c r="H606" s="80" t="str">
        <f t="array" ref="H606">IF(A606="","",CHAR(10)&amp;INDEX('Deck 2'!$A:$Z,ROW()-500,'List Setup'!$E$4)&amp;CHAR(10))</f>
        <v/>
      </c>
      <c r="I606" s="80" t="str">
        <f t="array" ref="I606">IF(OR(B606="",B606="(none)"),"",IF(ISNUMBER(SEARCH(CHAR(10)&amp;B606&amp;CHAR(10),H606)),B606,IFERROR(INDEX('Set Aliases'!$A$2:$A$501,MATCH(1,('Set Aliases'!$B$2:$B$501=B606)*ISNUMBER(SEARCH(CHAR(10)&amp;'Set Aliases'!$A$2:$A$501&amp;CHAR(10),H606)),0)),"")))</f>
        <v/>
      </c>
      <c r="J606" s="80" t="str">
        <f t="array" ref="J606">IF(I606="","",IFERROR(VALUE(TRIM(MID(SUBSTITUTE(INDEX('Deck 2'!$A:$Z,ROW()-500,'List Setup'!$G$4),CHAR(10),REPT(" ",100)),((SEARCH(CHAR(10)&amp;I606&amp;CHAR(10),H606)-LEN(SUBSTITUTE(LEFT(H606,SEARCH(CHAR(10)&amp;I606&amp;CHAR(10),H606)),CHAR(10),"")))-1)*100+1,100))),""))</f>
        <v/>
      </c>
      <c r="K606" s="80" t="str">
        <f t="array" ref="K606">IF(A606="","",IF(ISNUMBER(SEARCH("Land",LEFT(IFERROR(INDEX('Deck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06" s="80" t="str">
        <f t="shared" si="3"/>
        <v/>
      </c>
      <c r="M606" s="80" t="str">
        <f>IF(A606="","",IF(AND(E606="Y",B606='Use at Shop'!$B$4),K606*10000000000+(MAX(0,MIN(26,CODE(MID(UPPER(A606)&amp;"    ",1,1))-64))*19683+MAX(0,MIN(26,CODE(MID(UPPER(A606)&amp;"    ",2,1))-64))*729+MAX(0,MIN(26,CODE(MID(UPPER(A606)&amp;"    ",3,1))-64))*27+MAX(0,MIN(26,CODE(MID(UPPER(A606)&amp;"    ",4,1))-64))*1)*10000+ROW(),""))</f>
        <v/>
      </c>
      <c r="N606" s="80" t="str">
        <f t="shared" si="6"/>
        <v/>
      </c>
      <c r="O606" s="80" t="str">
        <f t="array" ref="O606">IF(A606="","",IFERROR(INDEX('Deck 2'!$A:$Z,ROW()-500,'List Setup'!$J$4)&amp;"",""))</f>
        <v/>
      </c>
      <c r="P606" s="2"/>
      <c r="Q606" s="80" t="str">
        <f>IF(A606="","",'List Setup'!$A$4)</f>
        <v/>
      </c>
      <c r="R606" s="80" t="str">
        <f t="array" ref="R606">IF(A606="","",IFERROR(OR(INDEX(Binders!$J$6:$J$30,MATCH(Q606,Binders!$I$6:$I$30,0))=TRUE(),UPPER(INDEX(Binders!$J$6:$J$30,MATCH(Q606,Binders!$I$6:$I$30,0))&amp;"")="TRUE"),FALSE()))</f>
        <v/>
      </c>
    </row>
    <row r="607" ht="15.75" customHeight="1">
      <c r="A607" s="80" t="str">
        <f t="array" ref="A607">IF(INDEX('Deck 2'!$A:$Z,ROW()-500,'List Setup'!$D$4)="","",INDEX('Deck 2'!$A:$Z,ROW()-500,'List Setup'!$D$4))</f>
        <v/>
      </c>
      <c r="B607" s="80" t="str">
        <f t="array" ref="B607">IF(A607="","",IFERROR(INDEX('Binder Setup'!$B$2:$B$401,MIN(IF(ISNUMBER(SEARCH(CHAR(10)&amp;'Binder Setup'!$B$2:$B$401&amp;CHAR(10),$H607)),'List Setup'!$Q$2:$Q$401,999),IF(ISNUMBER(SEARCH(CHAR(10)&amp;'Set Aliases'!$A$2:$A$501&amp;CHAR(10),$H607)),'Set Aliases'!$C$2:$C$501,999))),"(none)"))</f>
        <v/>
      </c>
      <c r="C607" s="80" t="str">
        <f t="shared" si="1"/>
        <v/>
      </c>
      <c r="D607" s="80" t="str">
        <f t="array" ref="D607">IF(A607="","",IF(ISLOGICAL(INDEX('Deck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07" s="80" t="str">
        <f t="shared" si="2"/>
        <v/>
      </c>
      <c r="F607" s="80" t="str">
        <f t="array" ref="F607">IF(A607="","",IF(ISNUMBER(J607),J607,IF(ISNUMBER(INDEX('Deck 2'!$A:$Z,ROW()-500,'List Setup'!$F$4)),INDEX('Deck 2'!$A:$Z,ROW()-500,'List Setup'!$F$4),0)))</f>
        <v/>
      </c>
      <c r="G607" s="80" t="str">
        <f t="array" ref="G607">IF(A607="","",A607&amp;IF(N(INDEX('Deck 2'!$A:$Z,ROW()-500,'List Setup'!$C$4))&gt;1," (x"&amp;INDEX('Deck 2'!$A:$Z,ROW()-500,'List Setup'!$C$4)&amp;")","")&amp;IF(COUNTIF(Binders!$J$6:$J$30,TRUE())&gt;1," ["&amp;Q607&amp;"]",""))</f>
        <v/>
      </c>
      <c r="H607" s="80" t="str">
        <f t="array" ref="H607">IF(A607="","",CHAR(10)&amp;INDEX('Deck 2'!$A:$Z,ROW()-500,'List Setup'!$E$4)&amp;CHAR(10))</f>
        <v/>
      </c>
      <c r="I607" s="80" t="str">
        <f t="array" ref="I607">IF(OR(B607="",B607="(none)"),"",IF(ISNUMBER(SEARCH(CHAR(10)&amp;B607&amp;CHAR(10),H607)),B607,IFERROR(INDEX('Set Aliases'!$A$2:$A$501,MATCH(1,('Set Aliases'!$B$2:$B$501=B607)*ISNUMBER(SEARCH(CHAR(10)&amp;'Set Aliases'!$A$2:$A$501&amp;CHAR(10),H607)),0)),"")))</f>
        <v/>
      </c>
      <c r="J607" s="80" t="str">
        <f t="array" ref="J607">IF(I607="","",IFERROR(VALUE(TRIM(MID(SUBSTITUTE(INDEX('Deck 2'!$A:$Z,ROW()-500,'List Setup'!$G$4),CHAR(10),REPT(" ",100)),((SEARCH(CHAR(10)&amp;I607&amp;CHAR(10),H607)-LEN(SUBSTITUTE(LEFT(H607,SEARCH(CHAR(10)&amp;I607&amp;CHAR(10),H607)),CHAR(10),"")))-1)*100+1,100))),""))</f>
        <v/>
      </c>
      <c r="K607" s="80" t="str">
        <f t="array" ref="K607">IF(A607="","",IF(ISNUMBER(SEARCH("Land",LEFT(IFERROR(INDEX('Deck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07" s="80" t="str">
        <f t="shared" si="3"/>
        <v/>
      </c>
      <c r="M607" s="80" t="str">
        <f>IF(A607="","",IF(AND(E607="Y",B607='Use at Shop'!$B$4),K607*10000000000+(MAX(0,MIN(26,CODE(MID(UPPER(A607)&amp;"    ",1,1))-64))*19683+MAX(0,MIN(26,CODE(MID(UPPER(A607)&amp;"    ",2,1))-64))*729+MAX(0,MIN(26,CODE(MID(UPPER(A607)&amp;"    ",3,1))-64))*27+MAX(0,MIN(26,CODE(MID(UPPER(A607)&amp;"    ",4,1))-64))*1)*10000+ROW(),""))</f>
        <v/>
      </c>
      <c r="N607" s="80" t="str">
        <f t="shared" si="6"/>
        <v/>
      </c>
      <c r="O607" s="80" t="str">
        <f t="array" ref="O607">IF(A607="","",IFERROR(INDEX('Deck 2'!$A:$Z,ROW()-500,'List Setup'!$J$4)&amp;"",""))</f>
        <v/>
      </c>
      <c r="P607" s="2"/>
      <c r="Q607" s="80" t="str">
        <f>IF(A607="","",'List Setup'!$A$4)</f>
        <v/>
      </c>
      <c r="R607" s="80" t="str">
        <f t="array" ref="R607">IF(A607="","",IFERROR(OR(INDEX(Binders!$J$6:$J$30,MATCH(Q607,Binders!$I$6:$I$30,0))=TRUE(),UPPER(INDEX(Binders!$J$6:$J$30,MATCH(Q607,Binders!$I$6:$I$30,0))&amp;"")="TRUE"),FALSE()))</f>
        <v/>
      </c>
    </row>
    <row r="608" ht="15.75" customHeight="1">
      <c r="A608" s="80" t="str">
        <f t="array" ref="A608">IF(INDEX('Deck 2'!$A:$Z,ROW()-500,'List Setup'!$D$4)="","",INDEX('Deck 2'!$A:$Z,ROW()-500,'List Setup'!$D$4))</f>
        <v/>
      </c>
      <c r="B608" s="80" t="str">
        <f t="array" ref="B608">IF(A608="","",IFERROR(INDEX('Binder Setup'!$B$2:$B$401,MIN(IF(ISNUMBER(SEARCH(CHAR(10)&amp;'Binder Setup'!$B$2:$B$401&amp;CHAR(10),$H608)),'List Setup'!$Q$2:$Q$401,999),IF(ISNUMBER(SEARCH(CHAR(10)&amp;'Set Aliases'!$A$2:$A$501&amp;CHAR(10),$H608)),'Set Aliases'!$C$2:$C$501,999))),"(none)"))</f>
        <v/>
      </c>
      <c r="C608" s="80" t="str">
        <f t="shared" si="1"/>
        <v/>
      </c>
      <c r="D608" s="80" t="str">
        <f t="array" ref="D608">IF(A608="","",IF(ISLOGICAL(INDEX('Deck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08" s="80" t="str">
        <f t="shared" si="2"/>
        <v/>
      </c>
      <c r="F608" s="80" t="str">
        <f t="array" ref="F608">IF(A608="","",IF(ISNUMBER(J608),J608,IF(ISNUMBER(INDEX('Deck 2'!$A:$Z,ROW()-500,'List Setup'!$F$4)),INDEX('Deck 2'!$A:$Z,ROW()-500,'List Setup'!$F$4),0)))</f>
        <v/>
      </c>
      <c r="G608" s="80" t="str">
        <f t="array" ref="G608">IF(A608="","",A608&amp;IF(N(INDEX('Deck 2'!$A:$Z,ROW()-500,'List Setup'!$C$4))&gt;1," (x"&amp;INDEX('Deck 2'!$A:$Z,ROW()-500,'List Setup'!$C$4)&amp;")","")&amp;IF(COUNTIF(Binders!$J$6:$J$30,TRUE())&gt;1," ["&amp;Q608&amp;"]",""))</f>
        <v/>
      </c>
      <c r="H608" s="80" t="str">
        <f t="array" ref="H608">IF(A608="","",CHAR(10)&amp;INDEX('Deck 2'!$A:$Z,ROW()-500,'List Setup'!$E$4)&amp;CHAR(10))</f>
        <v/>
      </c>
      <c r="I608" s="80" t="str">
        <f t="array" ref="I608">IF(OR(B608="",B608="(none)"),"",IF(ISNUMBER(SEARCH(CHAR(10)&amp;B608&amp;CHAR(10),H608)),B608,IFERROR(INDEX('Set Aliases'!$A$2:$A$501,MATCH(1,('Set Aliases'!$B$2:$B$501=B608)*ISNUMBER(SEARCH(CHAR(10)&amp;'Set Aliases'!$A$2:$A$501&amp;CHAR(10),H608)),0)),"")))</f>
        <v/>
      </c>
      <c r="J608" s="80" t="str">
        <f t="array" ref="J608">IF(I608="","",IFERROR(VALUE(TRIM(MID(SUBSTITUTE(INDEX('Deck 2'!$A:$Z,ROW()-500,'List Setup'!$G$4),CHAR(10),REPT(" ",100)),((SEARCH(CHAR(10)&amp;I608&amp;CHAR(10),H608)-LEN(SUBSTITUTE(LEFT(H608,SEARCH(CHAR(10)&amp;I608&amp;CHAR(10),H608)),CHAR(10),"")))-1)*100+1,100))),""))</f>
        <v/>
      </c>
      <c r="K608" s="80" t="str">
        <f t="array" ref="K608">IF(A608="","",IF(ISNUMBER(SEARCH("Land",LEFT(IFERROR(INDEX('Deck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08" s="80" t="str">
        <f t="shared" si="3"/>
        <v/>
      </c>
      <c r="M608" s="80" t="str">
        <f>IF(A608="","",IF(AND(E608="Y",B608='Use at Shop'!$B$4),K608*10000000000+(MAX(0,MIN(26,CODE(MID(UPPER(A608)&amp;"    ",1,1))-64))*19683+MAX(0,MIN(26,CODE(MID(UPPER(A608)&amp;"    ",2,1))-64))*729+MAX(0,MIN(26,CODE(MID(UPPER(A608)&amp;"    ",3,1))-64))*27+MAX(0,MIN(26,CODE(MID(UPPER(A608)&amp;"    ",4,1))-64))*1)*10000+ROW(),""))</f>
        <v/>
      </c>
      <c r="N608" s="80" t="str">
        <f t="shared" si="6"/>
        <v/>
      </c>
      <c r="O608" s="80" t="str">
        <f t="array" ref="O608">IF(A608="","",IFERROR(INDEX('Deck 2'!$A:$Z,ROW()-500,'List Setup'!$J$4)&amp;"",""))</f>
        <v/>
      </c>
      <c r="P608" s="2"/>
      <c r="Q608" s="80" t="str">
        <f>IF(A608="","",'List Setup'!$A$4)</f>
        <v/>
      </c>
      <c r="R608" s="80" t="str">
        <f t="array" ref="R608">IF(A608="","",IFERROR(OR(INDEX(Binders!$J$6:$J$30,MATCH(Q608,Binders!$I$6:$I$30,0))=TRUE(),UPPER(INDEX(Binders!$J$6:$J$30,MATCH(Q608,Binders!$I$6:$I$30,0))&amp;"")="TRUE"),FALSE()))</f>
        <v/>
      </c>
    </row>
    <row r="609" ht="15.75" customHeight="1">
      <c r="A609" s="80" t="str">
        <f t="array" ref="A609">IF(INDEX('Deck 2'!$A:$Z,ROW()-500,'List Setup'!$D$4)="","",INDEX('Deck 2'!$A:$Z,ROW()-500,'List Setup'!$D$4))</f>
        <v/>
      </c>
      <c r="B609" s="80" t="str">
        <f t="array" ref="B609">IF(A609="","",IFERROR(INDEX('Binder Setup'!$B$2:$B$401,MIN(IF(ISNUMBER(SEARCH(CHAR(10)&amp;'Binder Setup'!$B$2:$B$401&amp;CHAR(10),$H609)),'List Setup'!$Q$2:$Q$401,999),IF(ISNUMBER(SEARCH(CHAR(10)&amp;'Set Aliases'!$A$2:$A$501&amp;CHAR(10),$H609)),'Set Aliases'!$C$2:$C$501,999))),"(none)"))</f>
        <v/>
      </c>
      <c r="C609" s="80" t="str">
        <f t="shared" si="1"/>
        <v/>
      </c>
      <c r="D609" s="80" t="str">
        <f t="array" ref="D609">IF(A609="","",IF(ISLOGICAL(INDEX('Deck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09" s="80" t="str">
        <f t="shared" si="2"/>
        <v/>
      </c>
      <c r="F609" s="80" t="str">
        <f t="array" ref="F609">IF(A609="","",IF(ISNUMBER(J609),J609,IF(ISNUMBER(INDEX('Deck 2'!$A:$Z,ROW()-500,'List Setup'!$F$4)),INDEX('Deck 2'!$A:$Z,ROW()-500,'List Setup'!$F$4),0)))</f>
        <v/>
      </c>
      <c r="G609" s="80" t="str">
        <f t="array" ref="G609">IF(A609="","",A609&amp;IF(N(INDEX('Deck 2'!$A:$Z,ROW()-500,'List Setup'!$C$4))&gt;1," (x"&amp;INDEX('Deck 2'!$A:$Z,ROW()-500,'List Setup'!$C$4)&amp;")","")&amp;IF(COUNTIF(Binders!$J$6:$J$30,TRUE())&gt;1," ["&amp;Q609&amp;"]",""))</f>
        <v/>
      </c>
      <c r="H609" s="80" t="str">
        <f t="array" ref="H609">IF(A609="","",CHAR(10)&amp;INDEX('Deck 2'!$A:$Z,ROW()-500,'List Setup'!$E$4)&amp;CHAR(10))</f>
        <v/>
      </c>
      <c r="I609" s="80" t="str">
        <f t="array" ref="I609">IF(OR(B609="",B609="(none)"),"",IF(ISNUMBER(SEARCH(CHAR(10)&amp;B609&amp;CHAR(10),H609)),B609,IFERROR(INDEX('Set Aliases'!$A$2:$A$501,MATCH(1,('Set Aliases'!$B$2:$B$501=B609)*ISNUMBER(SEARCH(CHAR(10)&amp;'Set Aliases'!$A$2:$A$501&amp;CHAR(10),H609)),0)),"")))</f>
        <v/>
      </c>
      <c r="J609" s="80" t="str">
        <f t="array" ref="J609">IF(I609="","",IFERROR(VALUE(TRIM(MID(SUBSTITUTE(INDEX('Deck 2'!$A:$Z,ROW()-500,'List Setup'!$G$4),CHAR(10),REPT(" ",100)),((SEARCH(CHAR(10)&amp;I609&amp;CHAR(10),H609)-LEN(SUBSTITUTE(LEFT(H609,SEARCH(CHAR(10)&amp;I609&amp;CHAR(10),H609)),CHAR(10),"")))-1)*100+1,100))),""))</f>
        <v/>
      </c>
      <c r="K609" s="80" t="str">
        <f t="array" ref="K609">IF(A609="","",IF(ISNUMBER(SEARCH("Land",LEFT(IFERROR(INDEX('Deck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09" s="80" t="str">
        <f t="shared" si="3"/>
        <v/>
      </c>
      <c r="M609" s="80" t="str">
        <f>IF(A609="","",IF(AND(E609="Y",B609='Use at Shop'!$B$4),K609*10000000000+(MAX(0,MIN(26,CODE(MID(UPPER(A609)&amp;"    ",1,1))-64))*19683+MAX(0,MIN(26,CODE(MID(UPPER(A609)&amp;"    ",2,1))-64))*729+MAX(0,MIN(26,CODE(MID(UPPER(A609)&amp;"    ",3,1))-64))*27+MAX(0,MIN(26,CODE(MID(UPPER(A609)&amp;"    ",4,1))-64))*1)*10000+ROW(),""))</f>
        <v/>
      </c>
      <c r="N609" s="80" t="str">
        <f t="shared" si="6"/>
        <v/>
      </c>
      <c r="O609" s="80" t="str">
        <f t="array" ref="O609">IF(A609="","",IFERROR(INDEX('Deck 2'!$A:$Z,ROW()-500,'List Setup'!$J$4)&amp;"",""))</f>
        <v/>
      </c>
      <c r="P609" s="2"/>
      <c r="Q609" s="80" t="str">
        <f>IF(A609="","",'List Setup'!$A$4)</f>
        <v/>
      </c>
      <c r="R609" s="80" t="str">
        <f t="array" ref="R609">IF(A609="","",IFERROR(OR(INDEX(Binders!$J$6:$J$30,MATCH(Q609,Binders!$I$6:$I$30,0))=TRUE(),UPPER(INDEX(Binders!$J$6:$J$30,MATCH(Q609,Binders!$I$6:$I$30,0))&amp;"")="TRUE"),FALSE()))</f>
        <v/>
      </c>
    </row>
    <row r="610" ht="15.75" customHeight="1">
      <c r="A610" s="80" t="str">
        <f t="array" ref="A610">IF(INDEX('Deck 2'!$A:$Z,ROW()-500,'List Setup'!$D$4)="","",INDEX('Deck 2'!$A:$Z,ROW()-500,'List Setup'!$D$4))</f>
        <v/>
      </c>
      <c r="B610" s="80" t="str">
        <f t="array" ref="B610">IF(A610="","",IFERROR(INDEX('Binder Setup'!$B$2:$B$401,MIN(IF(ISNUMBER(SEARCH(CHAR(10)&amp;'Binder Setup'!$B$2:$B$401&amp;CHAR(10),$H610)),'List Setup'!$Q$2:$Q$401,999),IF(ISNUMBER(SEARCH(CHAR(10)&amp;'Set Aliases'!$A$2:$A$501&amp;CHAR(10),$H610)),'Set Aliases'!$C$2:$C$501,999))),"(none)"))</f>
        <v/>
      </c>
      <c r="C610" s="80" t="str">
        <f t="shared" si="1"/>
        <v/>
      </c>
      <c r="D610" s="80" t="str">
        <f t="array" ref="D610">IF(A610="","",IF(ISLOGICAL(INDEX('Deck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10" s="80" t="str">
        <f t="shared" si="2"/>
        <v/>
      </c>
      <c r="F610" s="80" t="str">
        <f t="array" ref="F610">IF(A610="","",IF(ISNUMBER(J610),J610,IF(ISNUMBER(INDEX('Deck 2'!$A:$Z,ROW()-500,'List Setup'!$F$4)),INDEX('Deck 2'!$A:$Z,ROW()-500,'List Setup'!$F$4),0)))</f>
        <v/>
      </c>
      <c r="G610" s="80" t="str">
        <f t="array" ref="G610">IF(A610="","",A610&amp;IF(N(INDEX('Deck 2'!$A:$Z,ROW()-500,'List Setup'!$C$4))&gt;1," (x"&amp;INDEX('Deck 2'!$A:$Z,ROW()-500,'List Setup'!$C$4)&amp;")","")&amp;IF(COUNTIF(Binders!$J$6:$J$30,TRUE())&gt;1," ["&amp;Q610&amp;"]",""))</f>
        <v/>
      </c>
      <c r="H610" s="80" t="str">
        <f t="array" ref="H610">IF(A610="","",CHAR(10)&amp;INDEX('Deck 2'!$A:$Z,ROW()-500,'List Setup'!$E$4)&amp;CHAR(10))</f>
        <v/>
      </c>
      <c r="I610" s="80" t="str">
        <f t="array" ref="I610">IF(OR(B610="",B610="(none)"),"",IF(ISNUMBER(SEARCH(CHAR(10)&amp;B610&amp;CHAR(10),H610)),B610,IFERROR(INDEX('Set Aliases'!$A$2:$A$501,MATCH(1,('Set Aliases'!$B$2:$B$501=B610)*ISNUMBER(SEARCH(CHAR(10)&amp;'Set Aliases'!$A$2:$A$501&amp;CHAR(10),H610)),0)),"")))</f>
        <v/>
      </c>
      <c r="J610" s="80" t="str">
        <f t="array" ref="J610">IF(I610="","",IFERROR(VALUE(TRIM(MID(SUBSTITUTE(INDEX('Deck 2'!$A:$Z,ROW()-500,'List Setup'!$G$4),CHAR(10),REPT(" ",100)),((SEARCH(CHAR(10)&amp;I610&amp;CHAR(10),H610)-LEN(SUBSTITUTE(LEFT(H610,SEARCH(CHAR(10)&amp;I610&amp;CHAR(10),H610)),CHAR(10),"")))-1)*100+1,100))),""))</f>
        <v/>
      </c>
      <c r="K610" s="80" t="str">
        <f t="array" ref="K610">IF(A610="","",IF(ISNUMBER(SEARCH("Land",LEFT(IFERROR(INDEX('Deck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10" s="80" t="str">
        <f t="shared" si="3"/>
        <v/>
      </c>
      <c r="M610" s="80" t="str">
        <f>IF(A610="","",IF(AND(E610="Y",B610='Use at Shop'!$B$4),K610*10000000000+(MAX(0,MIN(26,CODE(MID(UPPER(A610)&amp;"    ",1,1))-64))*19683+MAX(0,MIN(26,CODE(MID(UPPER(A610)&amp;"    ",2,1))-64))*729+MAX(0,MIN(26,CODE(MID(UPPER(A610)&amp;"    ",3,1))-64))*27+MAX(0,MIN(26,CODE(MID(UPPER(A610)&amp;"    ",4,1))-64))*1)*10000+ROW(),""))</f>
        <v/>
      </c>
      <c r="N610" s="80" t="str">
        <f t="shared" si="6"/>
        <v/>
      </c>
      <c r="O610" s="80" t="str">
        <f t="array" ref="O610">IF(A610="","",IFERROR(INDEX('Deck 2'!$A:$Z,ROW()-500,'List Setup'!$J$4)&amp;"",""))</f>
        <v/>
      </c>
      <c r="P610" s="2"/>
      <c r="Q610" s="80" t="str">
        <f>IF(A610="","",'List Setup'!$A$4)</f>
        <v/>
      </c>
      <c r="R610" s="80" t="str">
        <f t="array" ref="R610">IF(A610="","",IFERROR(OR(INDEX(Binders!$J$6:$J$30,MATCH(Q610,Binders!$I$6:$I$30,0))=TRUE(),UPPER(INDEX(Binders!$J$6:$J$30,MATCH(Q610,Binders!$I$6:$I$30,0))&amp;"")="TRUE"),FALSE()))</f>
        <v/>
      </c>
    </row>
    <row r="611" ht="15.75" customHeight="1">
      <c r="A611" s="80" t="str">
        <f t="array" ref="A611">IF(INDEX('Deck 2'!$A:$Z,ROW()-500,'List Setup'!$D$4)="","",INDEX('Deck 2'!$A:$Z,ROW()-500,'List Setup'!$D$4))</f>
        <v/>
      </c>
      <c r="B611" s="80" t="str">
        <f t="array" ref="B611">IF(A611="","",IFERROR(INDEX('Binder Setup'!$B$2:$B$401,MIN(IF(ISNUMBER(SEARCH(CHAR(10)&amp;'Binder Setup'!$B$2:$B$401&amp;CHAR(10),$H611)),'List Setup'!$Q$2:$Q$401,999),IF(ISNUMBER(SEARCH(CHAR(10)&amp;'Set Aliases'!$A$2:$A$501&amp;CHAR(10),$H611)),'Set Aliases'!$C$2:$C$501,999))),"(none)"))</f>
        <v/>
      </c>
      <c r="C611" s="80" t="str">
        <f t="shared" si="1"/>
        <v/>
      </c>
      <c r="D611" s="80" t="str">
        <f t="array" ref="D611">IF(A611="","",IF(ISLOGICAL(INDEX('Deck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11" s="80" t="str">
        <f t="shared" si="2"/>
        <v/>
      </c>
      <c r="F611" s="80" t="str">
        <f t="array" ref="F611">IF(A611="","",IF(ISNUMBER(J611),J611,IF(ISNUMBER(INDEX('Deck 2'!$A:$Z,ROW()-500,'List Setup'!$F$4)),INDEX('Deck 2'!$A:$Z,ROW()-500,'List Setup'!$F$4),0)))</f>
        <v/>
      </c>
      <c r="G611" s="80" t="str">
        <f t="array" ref="G611">IF(A611="","",A611&amp;IF(N(INDEX('Deck 2'!$A:$Z,ROW()-500,'List Setup'!$C$4))&gt;1," (x"&amp;INDEX('Deck 2'!$A:$Z,ROW()-500,'List Setup'!$C$4)&amp;")","")&amp;IF(COUNTIF(Binders!$J$6:$J$30,TRUE())&gt;1," ["&amp;Q611&amp;"]",""))</f>
        <v/>
      </c>
      <c r="H611" s="80" t="str">
        <f t="array" ref="H611">IF(A611="","",CHAR(10)&amp;INDEX('Deck 2'!$A:$Z,ROW()-500,'List Setup'!$E$4)&amp;CHAR(10))</f>
        <v/>
      </c>
      <c r="I611" s="80" t="str">
        <f t="array" ref="I611">IF(OR(B611="",B611="(none)"),"",IF(ISNUMBER(SEARCH(CHAR(10)&amp;B611&amp;CHAR(10),H611)),B611,IFERROR(INDEX('Set Aliases'!$A$2:$A$501,MATCH(1,('Set Aliases'!$B$2:$B$501=B611)*ISNUMBER(SEARCH(CHAR(10)&amp;'Set Aliases'!$A$2:$A$501&amp;CHAR(10),H611)),0)),"")))</f>
        <v/>
      </c>
      <c r="J611" s="80" t="str">
        <f t="array" ref="J611">IF(I611="","",IFERROR(VALUE(TRIM(MID(SUBSTITUTE(INDEX('Deck 2'!$A:$Z,ROW()-500,'List Setup'!$G$4),CHAR(10),REPT(" ",100)),((SEARCH(CHAR(10)&amp;I611&amp;CHAR(10),H611)-LEN(SUBSTITUTE(LEFT(H611,SEARCH(CHAR(10)&amp;I611&amp;CHAR(10),H611)),CHAR(10),"")))-1)*100+1,100))),""))</f>
        <v/>
      </c>
      <c r="K611" s="80" t="str">
        <f t="array" ref="K611">IF(A611="","",IF(ISNUMBER(SEARCH("Land",LEFT(IFERROR(INDEX('Deck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11" s="80" t="str">
        <f t="shared" si="3"/>
        <v/>
      </c>
      <c r="M611" s="80" t="str">
        <f>IF(A611="","",IF(AND(E611="Y",B611='Use at Shop'!$B$4),K611*10000000000+(MAX(0,MIN(26,CODE(MID(UPPER(A611)&amp;"    ",1,1))-64))*19683+MAX(0,MIN(26,CODE(MID(UPPER(A611)&amp;"    ",2,1))-64))*729+MAX(0,MIN(26,CODE(MID(UPPER(A611)&amp;"    ",3,1))-64))*27+MAX(0,MIN(26,CODE(MID(UPPER(A611)&amp;"    ",4,1))-64))*1)*10000+ROW(),""))</f>
        <v/>
      </c>
      <c r="N611" s="80" t="str">
        <f t="shared" si="6"/>
        <v/>
      </c>
      <c r="O611" s="80" t="str">
        <f t="array" ref="O611">IF(A611="","",IFERROR(INDEX('Deck 2'!$A:$Z,ROW()-500,'List Setup'!$J$4)&amp;"",""))</f>
        <v/>
      </c>
      <c r="P611" s="2"/>
      <c r="Q611" s="80" t="str">
        <f>IF(A611="","",'List Setup'!$A$4)</f>
        <v/>
      </c>
      <c r="R611" s="80" t="str">
        <f t="array" ref="R611">IF(A611="","",IFERROR(OR(INDEX(Binders!$J$6:$J$30,MATCH(Q611,Binders!$I$6:$I$30,0))=TRUE(),UPPER(INDEX(Binders!$J$6:$J$30,MATCH(Q611,Binders!$I$6:$I$30,0))&amp;"")="TRUE"),FALSE()))</f>
        <v/>
      </c>
    </row>
    <row r="612" ht="15.75" customHeight="1">
      <c r="A612" s="80" t="str">
        <f t="array" ref="A612">IF(INDEX('Deck 2'!$A:$Z,ROW()-500,'List Setup'!$D$4)="","",INDEX('Deck 2'!$A:$Z,ROW()-500,'List Setup'!$D$4))</f>
        <v/>
      </c>
      <c r="B612" s="80" t="str">
        <f t="array" ref="B612">IF(A612="","",IFERROR(INDEX('Binder Setup'!$B$2:$B$401,MIN(IF(ISNUMBER(SEARCH(CHAR(10)&amp;'Binder Setup'!$B$2:$B$401&amp;CHAR(10),$H612)),'List Setup'!$Q$2:$Q$401,999),IF(ISNUMBER(SEARCH(CHAR(10)&amp;'Set Aliases'!$A$2:$A$501&amp;CHAR(10),$H612)),'Set Aliases'!$C$2:$C$501,999))),"(none)"))</f>
        <v/>
      </c>
      <c r="C612" s="80" t="str">
        <f t="shared" si="1"/>
        <v/>
      </c>
      <c r="D612" s="80" t="str">
        <f t="array" ref="D612">IF(A612="","",IF(ISLOGICAL(INDEX('Deck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12" s="80" t="str">
        <f t="shared" si="2"/>
        <v/>
      </c>
      <c r="F612" s="80" t="str">
        <f t="array" ref="F612">IF(A612="","",IF(ISNUMBER(J612),J612,IF(ISNUMBER(INDEX('Deck 2'!$A:$Z,ROW()-500,'List Setup'!$F$4)),INDEX('Deck 2'!$A:$Z,ROW()-500,'List Setup'!$F$4),0)))</f>
        <v/>
      </c>
      <c r="G612" s="80" t="str">
        <f t="array" ref="G612">IF(A612="","",A612&amp;IF(N(INDEX('Deck 2'!$A:$Z,ROW()-500,'List Setup'!$C$4))&gt;1," (x"&amp;INDEX('Deck 2'!$A:$Z,ROW()-500,'List Setup'!$C$4)&amp;")","")&amp;IF(COUNTIF(Binders!$J$6:$J$30,TRUE())&gt;1," ["&amp;Q612&amp;"]",""))</f>
        <v/>
      </c>
      <c r="H612" s="80" t="str">
        <f t="array" ref="H612">IF(A612="","",CHAR(10)&amp;INDEX('Deck 2'!$A:$Z,ROW()-500,'List Setup'!$E$4)&amp;CHAR(10))</f>
        <v/>
      </c>
      <c r="I612" s="80" t="str">
        <f t="array" ref="I612">IF(OR(B612="",B612="(none)"),"",IF(ISNUMBER(SEARCH(CHAR(10)&amp;B612&amp;CHAR(10),H612)),B612,IFERROR(INDEX('Set Aliases'!$A$2:$A$501,MATCH(1,('Set Aliases'!$B$2:$B$501=B612)*ISNUMBER(SEARCH(CHAR(10)&amp;'Set Aliases'!$A$2:$A$501&amp;CHAR(10),H612)),0)),"")))</f>
        <v/>
      </c>
      <c r="J612" s="80" t="str">
        <f t="array" ref="J612">IF(I612="","",IFERROR(VALUE(TRIM(MID(SUBSTITUTE(INDEX('Deck 2'!$A:$Z,ROW()-500,'List Setup'!$G$4),CHAR(10),REPT(" ",100)),((SEARCH(CHAR(10)&amp;I612&amp;CHAR(10),H612)-LEN(SUBSTITUTE(LEFT(H612,SEARCH(CHAR(10)&amp;I612&amp;CHAR(10),H612)),CHAR(10),"")))-1)*100+1,100))),""))</f>
        <v/>
      </c>
      <c r="K612" s="80" t="str">
        <f t="array" ref="K612">IF(A612="","",IF(ISNUMBER(SEARCH("Land",LEFT(IFERROR(INDEX('Deck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12" s="80" t="str">
        <f t="shared" si="3"/>
        <v/>
      </c>
      <c r="M612" s="80" t="str">
        <f>IF(A612="","",IF(AND(E612="Y",B612='Use at Shop'!$B$4),K612*10000000000+(MAX(0,MIN(26,CODE(MID(UPPER(A612)&amp;"    ",1,1))-64))*19683+MAX(0,MIN(26,CODE(MID(UPPER(A612)&amp;"    ",2,1))-64))*729+MAX(0,MIN(26,CODE(MID(UPPER(A612)&amp;"    ",3,1))-64))*27+MAX(0,MIN(26,CODE(MID(UPPER(A612)&amp;"    ",4,1))-64))*1)*10000+ROW(),""))</f>
        <v/>
      </c>
      <c r="N612" s="80" t="str">
        <f t="shared" si="6"/>
        <v/>
      </c>
      <c r="O612" s="80" t="str">
        <f t="array" ref="O612">IF(A612="","",IFERROR(INDEX('Deck 2'!$A:$Z,ROW()-500,'List Setup'!$J$4)&amp;"",""))</f>
        <v/>
      </c>
      <c r="P612" s="2"/>
      <c r="Q612" s="80" t="str">
        <f>IF(A612="","",'List Setup'!$A$4)</f>
        <v/>
      </c>
      <c r="R612" s="80" t="str">
        <f t="array" ref="R612">IF(A612="","",IFERROR(OR(INDEX(Binders!$J$6:$J$30,MATCH(Q612,Binders!$I$6:$I$30,0))=TRUE(),UPPER(INDEX(Binders!$J$6:$J$30,MATCH(Q612,Binders!$I$6:$I$30,0))&amp;"")="TRUE"),FALSE()))</f>
        <v/>
      </c>
    </row>
    <row r="613" ht="15.75" customHeight="1">
      <c r="A613" s="80" t="str">
        <f t="array" ref="A613">IF(INDEX('Deck 2'!$A:$Z,ROW()-500,'List Setup'!$D$4)="","",INDEX('Deck 2'!$A:$Z,ROW()-500,'List Setup'!$D$4))</f>
        <v/>
      </c>
      <c r="B613" s="80" t="str">
        <f t="array" ref="B613">IF(A613="","",IFERROR(INDEX('Binder Setup'!$B$2:$B$401,MIN(IF(ISNUMBER(SEARCH(CHAR(10)&amp;'Binder Setup'!$B$2:$B$401&amp;CHAR(10),$H613)),'List Setup'!$Q$2:$Q$401,999),IF(ISNUMBER(SEARCH(CHAR(10)&amp;'Set Aliases'!$A$2:$A$501&amp;CHAR(10),$H613)),'Set Aliases'!$C$2:$C$501,999))),"(none)"))</f>
        <v/>
      </c>
      <c r="C613" s="80" t="str">
        <f t="shared" si="1"/>
        <v/>
      </c>
      <c r="D613" s="80" t="str">
        <f t="array" ref="D613">IF(A613="","",IF(ISLOGICAL(INDEX('Deck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13" s="80" t="str">
        <f t="shared" si="2"/>
        <v/>
      </c>
      <c r="F613" s="80" t="str">
        <f t="array" ref="F613">IF(A613="","",IF(ISNUMBER(J613),J613,IF(ISNUMBER(INDEX('Deck 2'!$A:$Z,ROW()-500,'List Setup'!$F$4)),INDEX('Deck 2'!$A:$Z,ROW()-500,'List Setup'!$F$4),0)))</f>
        <v/>
      </c>
      <c r="G613" s="80" t="str">
        <f t="array" ref="G613">IF(A613="","",A613&amp;IF(N(INDEX('Deck 2'!$A:$Z,ROW()-500,'List Setup'!$C$4))&gt;1," (x"&amp;INDEX('Deck 2'!$A:$Z,ROW()-500,'List Setup'!$C$4)&amp;")","")&amp;IF(COUNTIF(Binders!$J$6:$J$30,TRUE())&gt;1," ["&amp;Q613&amp;"]",""))</f>
        <v/>
      </c>
      <c r="H613" s="80" t="str">
        <f t="array" ref="H613">IF(A613="","",CHAR(10)&amp;INDEX('Deck 2'!$A:$Z,ROW()-500,'List Setup'!$E$4)&amp;CHAR(10))</f>
        <v/>
      </c>
      <c r="I613" s="80" t="str">
        <f t="array" ref="I613">IF(OR(B613="",B613="(none)"),"",IF(ISNUMBER(SEARCH(CHAR(10)&amp;B613&amp;CHAR(10),H613)),B613,IFERROR(INDEX('Set Aliases'!$A$2:$A$501,MATCH(1,('Set Aliases'!$B$2:$B$501=B613)*ISNUMBER(SEARCH(CHAR(10)&amp;'Set Aliases'!$A$2:$A$501&amp;CHAR(10),H613)),0)),"")))</f>
        <v/>
      </c>
      <c r="J613" s="80" t="str">
        <f t="array" ref="J613">IF(I613="","",IFERROR(VALUE(TRIM(MID(SUBSTITUTE(INDEX('Deck 2'!$A:$Z,ROW()-500,'List Setup'!$G$4),CHAR(10),REPT(" ",100)),((SEARCH(CHAR(10)&amp;I613&amp;CHAR(10),H613)-LEN(SUBSTITUTE(LEFT(H613,SEARCH(CHAR(10)&amp;I613&amp;CHAR(10),H613)),CHAR(10),"")))-1)*100+1,100))),""))</f>
        <v/>
      </c>
      <c r="K613" s="80" t="str">
        <f t="array" ref="K613">IF(A613="","",IF(ISNUMBER(SEARCH("Land",LEFT(IFERROR(INDEX('Deck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13" s="80" t="str">
        <f t="shared" si="3"/>
        <v/>
      </c>
      <c r="M613" s="80" t="str">
        <f>IF(A613="","",IF(AND(E613="Y",B613='Use at Shop'!$B$4),K613*10000000000+(MAX(0,MIN(26,CODE(MID(UPPER(A613)&amp;"    ",1,1))-64))*19683+MAX(0,MIN(26,CODE(MID(UPPER(A613)&amp;"    ",2,1))-64))*729+MAX(0,MIN(26,CODE(MID(UPPER(A613)&amp;"    ",3,1))-64))*27+MAX(0,MIN(26,CODE(MID(UPPER(A613)&amp;"    ",4,1))-64))*1)*10000+ROW(),""))</f>
        <v/>
      </c>
      <c r="N613" s="80" t="str">
        <f t="shared" si="6"/>
        <v/>
      </c>
      <c r="O613" s="80" t="str">
        <f t="array" ref="O613">IF(A613="","",IFERROR(INDEX('Deck 2'!$A:$Z,ROW()-500,'List Setup'!$J$4)&amp;"",""))</f>
        <v/>
      </c>
      <c r="P613" s="2"/>
      <c r="Q613" s="80" t="str">
        <f>IF(A613="","",'List Setup'!$A$4)</f>
        <v/>
      </c>
      <c r="R613" s="80" t="str">
        <f t="array" ref="R613">IF(A613="","",IFERROR(OR(INDEX(Binders!$J$6:$J$30,MATCH(Q613,Binders!$I$6:$I$30,0))=TRUE(),UPPER(INDEX(Binders!$J$6:$J$30,MATCH(Q613,Binders!$I$6:$I$30,0))&amp;"")="TRUE"),FALSE()))</f>
        <v/>
      </c>
    </row>
    <row r="614" ht="15.75" customHeight="1">
      <c r="A614" s="80" t="str">
        <f t="array" ref="A614">IF(INDEX('Deck 2'!$A:$Z,ROW()-500,'List Setup'!$D$4)="","",INDEX('Deck 2'!$A:$Z,ROW()-500,'List Setup'!$D$4))</f>
        <v/>
      </c>
      <c r="B614" s="80" t="str">
        <f t="array" ref="B614">IF(A614="","",IFERROR(INDEX('Binder Setup'!$B$2:$B$401,MIN(IF(ISNUMBER(SEARCH(CHAR(10)&amp;'Binder Setup'!$B$2:$B$401&amp;CHAR(10),$H614)),'List Setup'!$Q$2:$Q$401,999),IF(ISNUMBER(SEARCH(CHAR(10)&amp;'Set Aliases'!$A$2:$A$501&amp;CHAR(10),$H614)),'Set Aliases'!$C$2:$C$501,999))),"(none)"))</f>
        <v/>
      </c>
      <c r="C614" s="80" t="str">
        <f t="shared" si="1"/>
        <v/>
      </c>
      <c r="D614" s="80" t="str">
        <f t="array" ref="D614">IF(A614="","",IF(ISLOGICAL(INDEX('Deck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14" s="80" t="str">
        <f t="shared" si="2"/>
        <v/>
      </c>
      <c r="F614" s="80" t="str">
        <f t="array" ref="F614">IF(A614="","",IF(ISNUMBER(J614),J614,IF(ISNUMBER(INDEX('Deck 2'!$A:$Z,ROW()-500,'List Setup'!$F$4)),INDEX('Deck 2'!$A:$Z,ROW()-500,'List Setup'!$F$4),0)))</f>
        <v/>
      </c>
      <c r="G614" s="80" t="str">
        <f t="array" ref="G614">IF(A614="","",A614&amp;IF(N(INDEX('Deck 2'!$A:$Z,ROW()-500,'List Setup'!$C$4))&gt;1," (x"&amp;INDEX('Deck 2'!$A:$Z,ROW()-500,'List Setup'!$C$4)&amp;")","")&amp;IF(COUNTIF(Binders!$J$6:$J$30,TRUE())&gt;1," ["&amp;Q614&amp;"]",""))</f>
        <v/>
      </c>
      <c r="H614" s="80" t="str">
        <f t="array" ref="H614">IF(A614="","",CHAR(10)&amp;INDEX('Deck 2'!$A:$Z,ROW()-500,'List Setup'!$E$4)&amp;CHAR(10))</f>
        <v/>
      </c>
      <c r="I614" s="80" t="str">
        <f t="array" ref="I614">IF(OR(B614="",B614="(none)"),"",IF(ISNUMBER(SEARCH(CHAR(10)&amp;B614&amp;CHAR(10),H614)),B614,IFERROR(INDEX('Set Aliases'!$A$2:$A$501,MATCH(1,('Set Aliases'!$B$2:$B$501=B614)*ISNUMBER(SEARCH(CHAR(10)&amp;'Set Aliases'!$A$2:$A$501&amp;CHAR(10),H614)),0)),"")))</f>
        <v/>
      </c>
      <c r="J614" s="80" t="str">
        <f t="array" ref="J614">IF(I614="","",IFERROR(VALUE(TRIM(MID(SUBSTITUTE(INDEX('Deck 2'!$A:$Z,ROW()-500,'List Setup'!$G$4),CHAR(10),REPT(" ",100)),((SEARCH(CHAR(10)&amp;I614&amp;CHAR(10),H614)-LEN(SUBSTITUTE(LEFT(H614,SEARCH(CHAR(10)&amp;I614&amp;CHAR(10),H614)),CHAR(10),"")))-1)*100+1,100))),""))</f>
        <v/>
      </c>
      <c r="K614" s="80" t="str">
        <f t="array" ref="K614">IF(A614="","",IF(ISNUMBER(SEARCH("Land",LEFT(IFERROR(INDEX('Deck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14" s="80" t="str">
        <f t="shared" si="3"/>
        <v/>
      </c>
      <c r="M614" s="80" t="str">
        <f>IF(A614="","",IF(AND(E614="Y",B614='Use at Shop'!$B$4),K614*10000000000+(MAX(0,MIN(26,CODE(MID(UPPER(A614)&amp;"    ",1,1))-64))*19683+MAX(0,MIN(26,CODE(MID(UPPER(A614)&amp;"    ",2,1))-64))*729+MAX(0,MIN(26,CODE(MID(UPPER(A614)&amp;"    ",3,1))-64))*27+MAX(0,MIN(26,CODE(MID(UPPER(A614)&amp;"    ",4,1))-64))*1)*10000+ROW(),""))</f>
        <v/>
      </c>
      <c r="N614" s="80" t="str">
        <f t="shared" si="6"/>
        <v/>
      </c>
      <c r="O614" s="80" t="str">
        <f t="array" ref="O614">IF(A614="","",IFERROR(INDEX('Deck 2'!$A:$Z,ROW()-500,'List Setup'!$J$4)&amp;"",""))</f>
        <v/>
      </c>
      <c r="P614" s="2"/>
      <c r="Q614" s="80" t="str">
        <f>IF(A614="","",'List Setup'!$A$4)</f>
        <v/>
      </c>
      <c r="R614" s="80" t="str">
        <f t="array" ref="R614">IF(A614="","",IFERROR(OR(INDEX(Binders!$J$6:$J$30,MATCH(Q614,Binders!$I$6:$I$30,0))=TRUE(),UPPER(INDEX(Binders!$J$6:$J$30,MATCH(Q614,Binders!$I$6:$I$30,0))&amp;"")="TRUE"),FALSE()))</f>
        <v/>
      </c>
    </row>
    <row r="615" ht="15.75" customHeight="1">
      <c r="A615" s="80" t="str">
        <f t="array" ref="A615">IF(INDEX('Deck 2'!$A:$Z,ROW()-500,'List Setup'!$D$4)="","",INDEX('Deck 2'!$A:$Z,ROW()-500,'List Setup'!$D$4))</f>
        <v/>
      </c>
      <c r="B615" s="80" t="str">
        <f t="array" ref="B615">IF(A615="","",IFERROR(INDEX('Binder Setup'!$B$2:$B$401,MIN(IF(ISNUMBER(SEARCH(CHAR(10)&amp;'Binder Setup'!$B$2:$B$401&amp;CHAR(10),$H615)),'List Setup'!$Q$2:$Q$401,999),IF(ISNUMBER(SEARCH(CHAR(10)&amp;'Set Aliases'!$A$2:$A$501&amp;CHAR(10),$H615)),'Set Aliases'!$C$2:$C$501,999))),"(none)"))</f>
        <v/>
      </c>
      <c r="C615" s="80" t="str">
        <f t="shared" si="1"/>
        <v/>
      </c>
      <c r="D615" s="80" t="str">
        <f t="array" ref="D615">IF(A615="","",IF(ISLOGICAL(INDEX('Deck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15" s="80" t="str">
        <f t="shared" si="2"/>
        <v/>
      </c>
      <c r="F615" s="80" t="str">
        <f t="array" ref="F615">IF(A615="","",IF(ISNUMBER(J615),J615,IF(ISNUMBER(INDEX('Deck 2'!$A:$Z,ROW()-500,'List Setup'!$F$4)),INDEX('Deck 2'!$A:$Z,ROW()-500,'List Setup'!$F$4),0)))</f>
        <v/>
      </c>
      <c r="G615" s="80" t="str">
        <f t="array" ref="G615">IF(A615="","",A615&amp;IF(N(INDEX('Deck 2'!$A:$Z,ROW()-500,'List Setup'!$C$4))&gt;1," (x"&amp;INDEX('Deck 2'!$A:$Z,ROW()-500,'List Setup'!$C$4)&amp;")","")&amp;IF(COUNTIF(Binders!$J$6:$J$30,TRUE())&gt;1," ["&amp;Q615&amp;"]",""))</f>
        <v/>
      </c>
      <c r="H615" s="80" t="str">
        <f t="array" ref="H615">IF(A615="","",CHAR(10)&amp;INDEX('Deck 2'!$A:$Z,ROW()-500,'List Setup'!$E$4)&amp;CHAR(10))</f>
        <v/>
      </c>
      <c r="I615" s="80" t="str">
        <f t="array" ref="I615">IF(OR(B615="",B615="(none)"),"",IF(ISNUMBER(SEARCH(CHAR(10)&amp;B615&amp;CHAR(10),H615)),B615,IFERROR(INDEX('Set Aliases'!$A$2:$A$501,MATCH(1,('Set Aliases'!$B$2:$B$501=B615)*ISNUMBER(SEARCH(CHAR(10)&amp;'Set Aliases'!$A$2:$A$501&amp;CHAR(10),H615)),0)),"")))</f>
        <v/>
      </c>
      <c r="J615" s="80" t="str">
        <f t="array" ref="J615">IF(I615="","",IFERROR(VALUE(TRIM(MID(SUBSTITUTE(INDEX('Deck 2'!$A:$Z,ROW()-500,'List Setup'!$G$4),CHAR(10),REPT(" ",100)),((SEARCH(CHAR(10)&amp;I615&amp;CHAR(10),H615)-LEN(SUBSTITUTE(LEFT(H615,SEARCH(CHAR(10)&amp;I615&amp;CHAR(10),H615)),CHAR(10),"")))-1)*100+1,100))),""))</f>
        <v/>
      </c>
      <c r="K615" s="80" t="str">
        <f t="array" ref="K615">IF(A615="","",IF(ISNUMBER(SEARCH("Land",LEFT(IFERROR(INDEX('Deck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15" s="80" t="str">
        <f t="shared" si="3"/>
        <v/>
      </c>
      <c r="M615" s="80" t="str">
        <f>IF(A615="","",IF(AND(E615="Y",B615='Use at Shop'!$B$4),K615*10000000000+(MAX(0,MIN(26,CODE(MID(UPPER(A615)&amp;"    ",1,1))-64))*19683+MAX(0,MIN(26,CODE(MID(UPPER(A615)&amp;"    ",2,1))-64))*729+MAX(0,MIN(26,CODE(MID(UPPER(A615)&amp;"    ",3,1))-64))*27+MAX(0,MIN(26,CODE(MID(UPPER(A615)&amp;"    ",4,1))-64))*1)*10000+ROW(),""))</f>
        <v/>
      </c>
      <c r="N615" s="80" t="str">
        <f t="shared" si="6"/>
        <v/>
      </c>
      <c r="O615" s="80" t="str">
        <f t="array" ref="O615">IF(A615="","",IFERROR(INDEX('Deck 2'!$A:$Z,ROW()-500,'List Setup'!$J$4)&amp;"",""))</f>
        <v/>
      </c>
      <c r="P615" s="2"/>
      <c r="Q615" s="80" t="str">
        <f>IF(A615="","",'List Setup'!$A$4)</f>
        <v/>
      </c>
      <c r="R615" s="80" t="str">
        <f t="array" ref="R615">IF(A615="","",IFERROR(OR(INDEX(Binders!$J$6:$J$30,MATCH(Q615,Binders!$I$6:$I$30,0))=TRUE(),UPPER(INDEX(Binders!$J$6:$J$30,MATCH(Q615,Binders!$I$6:$I$30,0))&amp;"")="TRUE"),FALSE()))</f>
        <v/>
      </c>
    </row>
    <row r="616" ht="15.75" customHeight="1">
      <c r="A616" s="80" t="str">
        <f t="array" ref="A616">IF(INDEX('Deck 2'!$A:$Z,ROW()-500,'List Setup'!$D$4)="","",INDEX('Deck 2'!$A:$Z,ROW()-500,'List Setup'!$D$4))</f>
        <v/>
      </c>
      <c r="B616" s="80" t="str">
        <f t="array" ref="B616">IF(A616="","",IFERROR(INDEX('Binder Setup'!$B$2:$B$401,MIN(IF(ISNUMBER(SEARCH(CHAR(10)&amp;'Binder Setup'!$B$2:$B$401&amp;CHAR(10),$H616)),'List Setup'!$Q$2:$Q$401,999),IF(ISNUMBER(SEARCH(CHAR(10)&amp;'Set Aliases'!$A$2:$A$501&amp;CHAR(10),$H616)),'Set Aliases'!$C$2:$C$501,999))),"(none)"))</f>
        <v/>
      </c>
      <c r="C616" s="80" t="str">
        <f t="shared" si="1"/>
        <v/>
      </c>
      <c r="D616" s="80" t="str">
        <f t="array" ref="D616">IF(A616="","",IF(ISLOGICAL(INDEX('Deck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16" s="80" t="str">
        <f t="shared" si="2"/>
        <v/>
      </c>
      <c r="F616" s="80" t="str">
        <f t="array" ref="F616">IF(A616="","",IF(ISNUMBER(J616),J616,IF(ISNUMBER(INDEX('Deck 2'!$A:$Z,ROW()-500,'List Setup'!$F$4)),INDEX('Deck 2'!$A:$Z,ROW()-500,'List Setup'!$F$4),0)))</f>
        <v/>
      </c>
      <c r="G616" s="80" t="str">
        <f t="array" ref="G616">IF(A616="","",A616&amp;IF(N(INDEX('Deck 2'!$A:$Z,ROW()-500,'List Setup'!$C$4))&gt;1," (x"&amp;INDEX('Deck 2'!$A:$Z,ROW()-500,'List Setup'!$C$4)&amp;")","")&amp;IF(COUNTIF(Binders!$J$6:$J$30,TRUE())&gt;1," ["&amp;Q616&amp;"]",""))</f>
        <v/>
      </c>
      <c r="H616" s="80" t="str">
        <f t="array" ref="H616">IF(A616="","",CHAR(10)&amp;INDEX('Deck 2'!$A:$Z,ROW()-500,'List Setup'!$E$4)&amp;CHAR(10))</f>
        <v/>
      </c>
      <c r="I616" s="80" t="str">
        <f t="array" ref="I616">IF(OR(B616="",B616="(none)"),"",IF(ISNUMBER(SEARCH(CHAR(10)&amp;B616&amp;CHAR(10),H616)),B616,IFERROR(INDEX('Set Aliases'!$A$2:$A$501,MATCH(1,('Set Aliases'!$B$2:$B$501=B616)*ISNUMBER(SEARCH(CHAR(10)&amp;'Set Aliases'!$A$2:$A$501&amp;CHAR(10),H616)),0)),"")))</f>
        <v/>
      </c>
      <c r="J616" s="80" t="str">
        <f t="array" ref="J616">IF(I616="","",IFERROR(VALUE(TRIM(MID(SUBSTITUTE(INDEX('Deck 2'!$A:$Z,ROW()-500,'List Setup'!$G$4),CHAR(10),REPT(" ",100)),((SEARCH(CHAR(10)&amp;I616&amp;CHAR(10),H616)-LEN(SUBSTITUTE(LEFT(H616,SEARCH(CHAR(10)&amp;I616&amp;CHAR(10),H616)),CHAR(10),"")))-1)*100+1,100))),""))</f>
        <v/>
      </c>
      <c r="K616" s="80" t="str">
        <f t="array" ref="K616">IF(A616="","",IF(ISNUMBER(SEARCH("Land",LEFT(IFERROR(INDEX('Deck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16" s="80" t="str">
        <f t="shared" si="3"/>
        <v/>
      </c>
      <c r="M616" s="80" t="str">
        <f>IF(A616="","",IF(AND(E616="Y",B616='Use at Shop'!$B$4),K616*10000000000+(MAX(0,MIN(26,CODE(MID(UPPER(A616)&amp;"    ",1,1))-64))*19683+MAX(0,MIN(26,CODE(MID(UPPER(A616)&amp;"    ",2,1))-64))*729+MAX(0,MIN(26,CODE(MID(UPPER(A616)&amp;"    ",3,1))-64))*27+MAX(0,MIN(26,CODE(MID(UPPER(A616)&amp;"    ",4,1))-64))*1)*10000+ROW(),""))</f>
        <v/>
      </c>
      <c r="N616" s="80" t="str">
        <f t="shared" si="6"/>
        <v/>
      </c>
      <c r="O616" s="80" t="str">
        <f t="array" ref="O616">IF(A616="","",IFERROR(INDEX('Deck 2'!$A:$Z,ROW()-500,'List Setup'!$J$4)&amp;"",""))</f>
        <v/>
      </c>
      <c r="P616" s="2"/>
      <c r="Q616" s="80" t="str">
        <f>IF(A616="","",'List Setup'!$A$4)</f>
        <v/>
      </c>
      <c r="R616" s="80" t="str">
        <f t="array" ref="R616">IF(A616="","",IFERROR(OR(INDEX(Binders!$J$6:$J$30,MATCH(Q616,Binders!$I$6:$I$30,0))=TRUE(),UPPER(INDEX(Binders!$J$6:$J$30,MATCH(Q616,Binders!$I$6:$I$30,0))&amp;"")="TRUE"),FALSE()))</f>
        <v/>
      </c>
    </row>
    <row r="617" ht="15.75" customHeight="1">
      <c r="A617" s="80" t="str">
        <f t="array" ref="A617">IF(INDEX('Deck 2'!$A:$Z,ROW()-500,'List Setup'!$D$4)="","",INDEX('Deck 2'!$A:$Z,ROW()-500,'List Setup'!$D$4))</f>
        <v/>
      </c>
      <c r="B617" s="80" t="str">
        <f t="array" ref="B617">IF(A617="","",IFERROR(INDEX('Binder Setup'!$B$2:$B$401,MIN(IF(ISNUMBER(SEARCH(CHAR(10)&amp;'Binder Setup'!$B$2:$B$401&amp;CHAR(10),$H617)),'List Setup'!$Q$2:$Q$401,999),IF(ISNUMBER(SEARCH(CHAR(10)&amp;'Set Aliases'!$A$2:$A$501&amp;CHAR(10),$H617)),'Set Aliases'!$C$2:$C$501,999))),"(none)"))</f>
        <v/>
      </c>
      <c r="C617" s="80" t="str">
        <f t="shared" si="1"/>
        <v/>
      </c>
      <c r="D617" s="80" t="str">
        <f t="array" ref="D617">IF(A617="","",IF(ISLOGICAL(INDEX('Deck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17" s="80" t="str">
        <f t="shared" si="2"/>
        <v/>
      </c>
      <c r="F617" s="80" t="str">
        <f t="array" ref="F617">IF(A617="","",IF(ISNUMBER(J617),J617,IF(ISNUMBER(INDEX('Deck 2'!$A:$Z,ROW()-500,'List Setup'!$F$4)),INDEX('Deck 2'!$A:$Z,ROW()-500,'List Setup'!$F$4),0)))</f>
        <v/>
      </c>
      <c r="G617" s="80" t="str">
        <f t="array" ref="G617">IF(A617="","",A617&amp;IF(N(INDEX('Deck 2'!$A:$Z,ROW()-500,'List Setup'!$C$4))&gt;1," (x"&amp;INDEX('Deck 2'!$A:$Z,ROW()-500,'List Setup'!$C$4)&amp;")","")&amp;IF(COUNTIF(Binders!$J$6:$J$30,TRUE())&gt;1," ["&amp;Q617&amp;"]",""))</f>
        <v/>
      </c>
      <c r="H617" s="80" t="str">
        <f t="array" ref="H617">IF(A617="","",CHAR(10)&amp;INDEX('Deck 2'!$A:$Z,ROW()-500,'List Setup'!$E$4)&amp;CHAR(10))</f>
        <v/>
      </c>
      <c r="I617" s="80" t="str">
        <f t="array" ref="I617">IF(OR(B617="",B617="(none)"),"",IF(ISNUMBER(SEARCH(CHAR(10)&amp;B617&amp;CHAR(10),H617)),B617,IFERROR(INDEX('Set Aliases'!$A$2:$A$501,MATCH(1,('Set Aliases'!$B$2:$B$501=B617)*ISNUMBER(SEARCH(CHAR(10)&amp;'Set Aliases'!$A$2:$A$501&amp;CHAR(10),H617)),0)),"")))</f>
        <v/>
      </c>
      <c r="J617" s="80" t="str">
        <f t="array" ref="J617">IF(I617="","",IFERROR(VALUE(TRIM(MID(SUBSTITUTE(INDEX('Deck 2'!$A:$Z,ROW()-500,'List Setup'!$G$4),CHAR(10),REPT(" ",100)),((SEARCH(CHAR(10)&amp;I617&amp;CHAR(10),H617)-LEN(SUBSTITUTE(LEFT(H617,SEARCH(CHAR(10)&amp;I617&amp;CHAR(10),H617)),CHAR(10),"")))-1)*100+1,100))),""))</f>
        <v/>
      </c>
      <c r="K617" s="80" t="str">
        <f t="array" ref="K617">IF(A617="","",IF(ISNUMBER(SEARCH("Land",LEFT(IFERROR(INDEX('Deck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17" s="80" t="str">
        <f t="shared" si="3"/>
        <v/>
      </c>
      <c r="M617" s="80" t="str">
        <f>IF(A617="","",IF(AND(E617="Y",B617='Use at Shop'!$B$4),K617*10000000000+(MAX(0,MIN(26,CODE(MID(UPPER(A617)&amp;"    ",1,1))-64))*19683+MAX(0,MIN(26,CODE(MID(UPPER(A617)&amp;"    ",2,1))-64))*729+MAX(0,MIN(26,CODE(MID(UPPER(A617)&amp;"    ",3,1))-64))*27+MAX(0,MIN(26,CODE(MID(UPPER(A617)&amp;"    ",4,1))-64))*1)*10000+ROW(),""))</f>
        <v/>
      </c>
      <c r="N617" s="80" t="str">
        <f t="shared" si="6"/>
        <v/>
      </c>
      <c r="O617" s="80" t="str">
        <f t="array" ref="O617">IF(A617="","",IFERROR(INDEX('Deck 2'!$A:$Z,ROW()-500,'List Setup'!$J$4)&amp;"",""))</f>
        <v/>
      </c>
      <c r="P617" s="2"/>
      <c r="Q617" s="80" t="str">
        <f>IF(A617="","",'List Setup'!$A$4)</f>
        <v/>
      </c>
      <c r="R617" s="80" t="str">
        <f t="array" ref="R617">IF(A617="","",IFERROR(OR(INDEX(Binders!$J$6:$J$30,MATCH(Q617,Binders!$I$6:$I$30,0))=TRUE(),UPPER(INDEX(Binders!$J$6:$J$30,MATCH(Q617,Binders!$I$6:$I$30,0))&amp;"")="TRUE"),FALSE()))</f>
        <v/>
      </c>
    </row>
    <row r="618" ht="15.75" customHeight="1">
      <c r="A618" s="80" t="str">
        <f t="array" ref="A618">IF(INDEX('Deck 2'!$A:$Z,ROW()-500,'List Setup'!$D$4)="","",INDEX('Deck 2'!$A:$Z,ROW()-500,'List Setup'!$D$4))</f>
        <v/>
      </c>
      <c r="B618" s="80" t="str">
        <f t="array" ref="B618">IF(A618="","",IFERROR(INDEX('Binder Setup'!$B$2:$B$401,MIN(IF(ISNUMBER(SEARCH(CHAR(10)&amp;'Binder Setup'!$B$2:$B$401&amp;CHAR(10),$H618)),'List Setup'!$Q$2:$Q$401,999),IF(ISNUMBER(SEARCH(CHAR(10)&amp;'Set Aliases'!$A$2:$A$501&amp;CHAR(10),$H618)),'Set Aliases'!$C$2:$C$501,999))),"(none)"))</f>
        <v/>
      </c>
      <c r="C618" s="80" t="str">
        <f t="shared" si="1"/>
        <v/>
      </c>
      <c r="D618" s="80" t="str">
        <f t="array" ref="D618">IF(A618="","",IF(ISLOGICAL(INDEX('Deck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18" s="80" t="str">
        <f t="shared" si="2"/>
        <v/>
      </c>
      <c r="F618" s="80" t="str">
        <f t="array" ref="F618">IF(A618="","",IF(ISNUMBER(J618),J618,IF(ISNUMBER(INDEX('Deck 2'!$A:$Z,ROW()-500,'List Setup'!$F$4)),INDEX('Deck 2'!$A:$Z,ROW()-500,'List Setup'!$F$4),0)))</f>
        <v/>
      </c>
      <c r="G618" s="80" t="str">
        <f t="array" ref="G618">IF(A618="","",A618&amp;IF(N(INDEX('Deck 2'!$A:$Z,ROW()-500,'List Setup'!$C$4))&gt;1," (x"&amp;INDEX('Deck 2'!$A:$Z,ROW()-500,'List Setup'!$C$4)&amp;")","")&amp;IF(COUNTIF(Binders!$J$6:$J$30,TRUE())&gt;1," ["&amp;Q618&amp;"]",""))</f>
        <v/>
      </c>
      <c r="H618" s="80" t="str">
        <f t="array" ref="H618">IF(A618="","",CHAR(10)&amp;INDEX('Deck 2'!$A:$Z,ROW()-500,'List Setup'!$E$4)&amp;CHAR(10))</f>
        <v/>
      </c>
      <c r="I618" s="80" t="str">
        <f t="array" ref="I618">IF(OR(B618="",B618="(none)"),"",IF(ISNUMBER(SEARCH(CHAR(10)&amp;B618&amp;CHAR(10),H618)),B618,IFERROR(INDEX('Set Aliases'!$A$2:$A$501,MATCH(1,('Set Aliases'!$B$2:$B$501=B618)*ISNUMBER(SEARCH(CHAR(10)&amp;'Set Aliases'!$A$2:$A$501&amp;CHAR(10),H618)),0)),"")))</f>
        <v/>
      </c>
      <c r="J618" s="80" t="str">
        <f t="array" ref="J618">IF(I618="","",IFERROR(VALUE(TRIM(MID(SUBSTITUTE(INDEX('Deck 2'!$A:$Z,ROW()-500,'List Setup'!$G$4),CHAR(10),REPT(" ",100)),((SEARCH(CHAR(10)&amp;I618&amp;CHAR(10),H618)-LEN(SUBSTITUTE(LEFT(H618,SEARCH(CHAR(10)&amp;I618&amp;CHAR(10),H618)),CHAR(10),"")))-1)*100+1,100))),""))</f>
        <v/>
      </c>
      <c r="K618" s="80" t="str">
        <f t="array" ref="K618">IF(A618="","",IF(ISNUMBER(SEARCH("Land",LEFT(IFERROR(INDEX('Deck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18" s="80" t="str">
        <f t="shared" si="3"/>
        <v/>
      </c>
      <c r="M618" s="80" t="str">
        <f>IF(A618="","",IF(AND(E618="Y",B618='Use at Shop'!$B$4),K618*10000000000+(MAX(0,MIN(26,CODE(MID(UPPER(A618)&amp;"    ",1,1))-64))*19683+MAX(0,MIN(26,CODE(MID(UPPER(A618)&amp;"    ",2,1))-64))*729+MAX(0,MIN(26,CODE(MID(UPPER(A618)&amp;"    ",3,1))-64))*27+MAX(0,MIN(26,CODE(MID(UPPER(A618)&amp;"    ",4,1))-64))*1)*10000+ROW(),""))</f>
        <v/>
      </c>
      <c r="N618" s="80" t="str">
        <f t="shared" si="6"/>
        <v/>
      </c>
      <c r="O618" s="80" t="str">
        <f t="array" ref="O618">IF(A618="","",IFERROR(INDEX('Deck 2'!$A:$Z,ROW()-500,'List Setup'!$J$4)&amp;"",""))</f>
        <v/>
      </c>
      <c r="P618" s="2"/>
      <c r="Q618" s="80" t="str">
        <f>IF(A618="","",'List Setup'!$A$4)</f>
        <v/>
      </c>
      <c r="R618" s="80" t="str">
        <f t="array" ref="R618">IF(A618="","",IFERROR(OR(INDEX(Binders!$J$6:$J$30,MATCH(Q618,Binders!$I$6:$I$30,0))=TRUE(),UPPER(INDEX(Binders!$J$6:$J$30,MATCH(Q618,Binders!$I$6:$I$30,0))&amp;"")="TRUE"),FALSE()))</f>
        <v/>
      </c>
    </row>
    <row r="619" ht="15.75" customHeight="1">
      <c r="A619" s="80" t="str">
        <f t="array" ref="A619">IF(INDEX('Deck 2'!$A:$Z,ROW()-500,'List Setup'!$D$4)="","",INDEX('Deck 2'!$A:$Z,ROW()-500,'List Setup'!$D$4))</f>
        <v/>
      </c>
      <c r="B619" s="80" t="str">
        <f t="array" ref="B619">IF(A619="","",IFERROR(INDEX('Binder Setup'!$B$2:$B$401,MIN(IF(ISNUMBER(SEARCH(CHAR(10)&amp;'Binder Setup'!$B$2:$B$401&amp;CHAR(10),$H619)),'List Setup'!$Q$2:$Q$401,999),IF(ISNUMBER(SEARCH(CHAR(10)&amp;'Set Aliases'!$A$2:$A$501&amp;CHAR(10),$H619)),'Set Aliases'!$C$2:$C$501,999))),"(none)"))</f>
        <v/>
      </c>
      <c r="C619" s="80" t="str">
        <f t="shared" si="1"/>
        <v/>
      </c>
      <c r="D619" s="80" t="str">
        <f t="array" ref="D619">IF(A619="","",IF(ISLOGICAL(INDEX('Deck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19" s="80" t="str">
        <f t="shared" si="2"/>
        <v/>
      </c>
      <c r="F619" s="80" t="str">
        <f t="array" ref="F619">IF(A619="","",IF(ISNUMBER(J619),J619,IF(ISNUMBER(INDEX('Deck 2'!$A:$Z,ROW()-500,'List Setup'!$F$4)),INDEX('Deck 2'!$A:$Z,ROW()-500,'List Setup'!$F$4),0)))</f>
        <v/>
      </c>
      <c r="G619" s="80" t="str">
        <f t="array" ref="G619">IF(A619="","",A619&amp;IF(N(INDEX('Deck 2'!$A:$Z,ROW()-500,'List Setup'!$C$4))&gt;1," (x"&amp;INDEX('Deck 2'!$A:$Z,ROW()-500,'List Setup'!$C$4)&amp;")","")&amp;IF(COUNTIF(Binders!$J$6:$J$30,TRUE())&gt;1," ["&amp;Q619&amp;"]",""))</f>
        <v/>
      </c>
      <c r="H619" s="80" t="str">
        <f t="array" ref="H619">IF(A619="","",CHAR(10)&amp;INDEX('Deck 2'!$A:$Z,ROW()-500,'List Setup'!$E$4)&amp;CHAR(10))</f>
        <v/>
      </c>
      <c r="I619" s="80" t="str">
        <f t="array" ref="I619">IF(OR(B619="",B619="(none)"),"",IF(ISNUMBER(SEARCH(CHAR(10)&amp;B619&amp;CHAR(10),H619)),B619,IFERROR(INDEX('Set Aliases'!$A$2:$A$501,MATCH(1,('Set Aliases'!$B$2:$B$501=B619)*ISNUMBER(SEARCH(CHAR(10)&amp;'Set Aliases'!$A$2:$A$501&amp;CHAR(10),H619)),0)),"")))</f>
        <v/>
      </c>
      <c r="J619" s="80" t="str">
        <f t="array" ref="J619">IF(I619="","",IFERROR(VALUE(TRIM(MID(SUBSTITUTE(INDEX('Deck 2'!$A:$Z,ROW()-500,'List Setup'!$G$4),CHAR(10),REPT(" ",100)),((SEARCH(CHAR(10)&amp;I619&amp;CHAR(10),H619)-LEN(SUBSTITUTE(LEFT(H619,SEARCH(CHAR(10)&amp;I619&amp;CHAR(10),H619)),CHAR(10),"")))-1)*100+1,100))),""))</f>
        <v/>
      </c>
      <c r="K619" s="80" t="str">
        <f t="array" ref="K619">IF(A619="","",IF(ISNUMBER(SEARCH("Land",LEFT(IFERROR(INDEX('Deck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19" s="80" t="str">
        <f t="shared" si="3"/>
        <v/>
      </c>
      <c r="M619" s="80" t="str">
        <f>IF(A619="","",IF(AND(E619="Y",B619='Use at Shop'!$B$4),K619*10000000000+(MAX(0,MIN(26,CODE(MID(UPPER(A619)&amp;"    ",1,1))-64))*19683+MAX(0,MIN(26,CODE(MID(UPPER(A619)&amp;"    ",2,1))-64))*729+MAX(0,MIN(26,CODE(MID(UPPER(A619)&amp;"    ",3,1))-64))*27+MAX(0,MIN(26,CODE(MID(UPPER(A619)&amp;"    ",4,1))-64))*1)*10000+ROW(),""))</f>
        <v/>
      </c>
      <c r="N619" s="80" t="str">
        <f t="shared" si="6"/>
        <v/>
      </c>
      <c r="O619" s="80" t="str">
        <f t="array" ref="O619">IF(A619="","",IFERROR(INDEX('Deck 2'!$A:$Z,ROW()-500,'List Setup'!$J$4)&amp;"",""))</f>
        <v/>
      </c>
      <c r="P619" s="2"/>
      <c r="Q619" s="80" t="str">
        <f>IF(A619="","",'List Setup'!$A$4)</f>
        <v/>
      </c>
      <c r="R619" s="80" t="str">
        <f t="array" ref="R619">IF(A619="","",IFERROR(OR(INDEX(Binders!$J$6:$J$30,MATCH(Q619,Binders!$I$6:$I$30,0))=TRUE(),UPPER(INDEX(Binders!$J$6:$J$30,MATCH(Q619,Binders!$I$6:$I$30,0))&amp;"")="TRUE"),FALSE()))</f>
        <v/>
      </c>
    </row>
    <row r="620" ht="15.75" customHeight="1">
      <c r="A620" s="80" t="str">
        <f t="array" ref="A620">IF(INDEX('Deck 2'!$A:$Z,ROW()-500,'List Setup'!$D$4)="","",INDEX('Deck 2'!$A:$Z,ROW()-500,'List Setup'!$D$4))</f>
        <v/>
      </c>
      <c r="B620" s="80" t="str">
        <f t="array" ref="B620">IF(A620="","",IFERROR(INDEX('Binder Setup'!$B$2:$B$401,MIN(IF(ISNUMBER(SEARCH(CHAR(10)&amp;'Binder Setup'!$B$2:$B$401&amp;CHAR(10),$H620)),'List Setup'!$Q$2:$Q$401,999),IF(ISNUMBER(SEARCH(CHAR(10)&amp;'Set Aliases'!$A$2:$A$501&amp;CHAR(10),$H620)),'Set Aliases'!$C$2:$C$501,999))),"(none)"))</f>
        <v/>
      </c>
      <c r="C620" s="80" t="str">
        <f t="shared" si="1"/>
        <v/>
      </c>
      <c r="D620" s="80" t="str">
        <f t="array" ref="D620">IF(A620="","",IF(ISLOGICAL(INDEX('Deck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20" s="80" t="str">
        <f t="shared" si="2"/>
        <v/>
      </c>
      <c r="F620" s="80" t="str">
        <f t="array" ref="F620">IF(A620="","",IF(ISNUMBER(J620),J620,IF(ISNUMBER(INDEX('Deck 2'!$A:$Z,ROW()-500,'List Setup'!$F$4)),INDEX('Deck 2'!$A:$Z,ROW()-500,'List Setup'!$F$4),0)))</f>
        <v/>
      </c>
      <c r="G620" s="80" t="str">
        <f t="array" ref="G620">IF(A620="","",A620&amp;IF(N(INDEX('Deck 2'!$A:$Z,ROW()-500,'List Setup'!$C$4))&gt;1," (x"&amp;INDEX('Deck 2'!$A:$Z,ROW()-500,'List Setup'!$C$4)&amp;")","")&amp;IF(COUNTIF(Binders!$J$6:$J$30,TRUE())&gt;1," ["&amp;Q620&amp;"]",""))</f>
        <v/>
      </c>
      <c r="H620" s="80" t="str">
        <f t="array" ref="H620">IF(A620="","",CHAR(10)&amp;INDEX('Deck 2'!$A:$Z,ROW()-500,'List Setup'!$E$4)&amp;CHAR(10))</f>
        <v/>
      </c>
      <c r="I620" s="80" t="str">
        <f t="array" ref="I620">IF(OR(B620="",B620="(none)"),"",IF(ISNUMBER(SEARCH(CHAR(10)&amp;B620&amp;CHAR(10),H620)),B620,IFERROR(INDEX('Set Aliases'!$A$2:$A$501,MATCH(1,('Set Aliases'!$B$2:$B$501=B620)*ISNUMBER(SEARCH(CHAR(10)&amp;'Set Aliases'!$A$2:$A$501&amp;CHAR(10),H620)),0)),"")))</f>
        <v/>
      </c>
      <c r="J620" s="80" t="str">
        <f t="array" ref="J620">IF(I620="","",IFERROR(VALUE(TRIM(MID(SUBSTITUTE(INDEX('Deck 2'!$A:$Z,ROW()-500,'List Setup'!$G$4),CHAR(10),REPT(" ",100)),((SEARCH(CHAR(10)&amp;I620&amp;CHAR(10),H620)-LEN(SUBSTITUTE(LEFT(H620,SEARCH(CHAR(10)&amp;I620&amp;CHAR(10),H620)),CHAR(10),"")))-1)*100+1,100))),""))</f>
        <v/>
      </c>
      <c r="K620" s="80" t="str">
        <f t="array" ref="K620">IF(A620="","",IF(ISNUMBER(SEARCH("Land",LEFT(IFERROR(INDEX('Deck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20" s="80" t="str">
        <f t="shared" si="3"/>
        <v/>
      </c>
      <c r="M620" s="80" t="str">
        <f>IF(A620="","",IF(AND(E620="Y",B620='Use at Shop'!$B$4),K620*10000000000+(MAX(0,MIN(26,CODE(MID(UPPER(A620)&amp;"    ",1,1))-64))*19683+MAX(0,MIN(26,CODE(MID(UPPER(A620)&amp;"    ",2,1))-64))*729+MAX(0,MIN(26,CODE(MID(UPPER(A620)&amp;"    ",3,1))-64))*27+MAX(0,MIN(26,CODE(MID(UPPER(A620)&amp;"    ",4,1))-64))*1)*10000+ROW(),""))</f>
        <v/>
      </c>
      <c r="N620" s="80" t="str">
        <f t="shared" si="6"/>
        <v/>
      </c>
      <c r="O620" s="80" t="str">
        <f t="array" ref="O620">IF(A620="","",IFERROR(INDEX('Deck 2'!$A:$Z,ROW()-500,'List Setup'!$J$4)&amp;"",""))</f>
        <v/>
      </c>
      <c r="P620" s="2"/>
      <c r="Q620" s="80" t="str">
        <f>IF(A620="","",'List Setup'!$A$4)</f>
        <v/>
      </c>
      <c r="R620" s="80" t="str">
        <f t="array" ref="R620">IF(A620="","",IFERROR(OR(INDEX(Binders!$J$6:$J$30,MATCH(Q620,Binders!$I$6:$I$30,0))=TRUE(),UPPER(INDEX(Binders!$J$6:$J$30,MATCH(Q620,Binders!$I$6:$I$30,0))&amp;"")="TRUE"),FALSE()))</f>
        <v/>
      </c>
    </row>
    <row r="621" ht="15.75" customHeight="1">
      <c r="A621" s="80" t="str">
        <f t="array" ref="A621">IF(INDEX('Deck 2'!$A:$Z,ROW()-500,'List Setup'!$D$4)="","",INDEX('Deck 2'!$A:$Z,ROW()-500,'List Setup'!$D$4))</f>
        <v/>
      </c>
      <c r="B621" s="80" t="str">
        <f t="array" ref="B621">IF(A621="","",IFERROR(INDEX('Binder Setup'!$B$2:$B$401,MIN(IF(ISNUMBER(SEARCH(CHAR(10)&amp;'Binder Setup'!$B$2:$B$401&amp;CHAR(10),$H621)),'List Setup'!$Q$2:$Q$401,999),IF(ISNUMBER(SEARCH(CHAR(10)&amp;'Set Aliases'!$A$2:$A$501&amp;CHAR(10),$H621)),'Set Aliases'!$C$2:$C$501,999))),"(none)"))</f>
        <v/>
      </c>
      <c r="C621" s="80" t="str">
        <f t="shared" si="1"/>
        <v/>
      </c>
      <c r="D621" s="80" t="str">
        <f t="array" ref="D621">IF(A621="","",IF(ISLOGICAL(INDEX('Deck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21" s="80" t="str">
        <f t="shared" si="2"/>
        <v/>
      </c>
      <c r="F621" s="80" t="str">
        <f t="array" ref="F621">IF(A621="","",IF(ISNUMBER(J621),J621,IF(ISNUMBER(INDEX('Deck 2'!$A:$Z,ROW()-500,'List Setup'!$F$4)),INDEX('Deck 2'!$A:$Z,ROW()-500,'List Setup'!$F$4),0)))</f>
        <v/>
      </c>
      <c r="G621" s="80" t="str">
        <f t="array" ref="G621">IF(A621="","",A621&amp;IF(N(INDEX('Deck 2'!$A:$Z,ROW()-500,'List Setup'!$C$4))&gt;1," (x"&amp;INDEX('Deck 2'!$A:$Z,ROW()-500,'List Setup'!$C$4)&amp;")","")&amp;IF(COUNTIF(Binders!$J$6:$J$30,TRUE())&gt;1," ["&amp;Q621&amp;"]",""))</f>
        <v/>
      </c>
      <c r="H621" s="80" t="str">
        <f t="array" ref="H621">IF(A621="","",CHAR(10)&amp;INDEX('Deck 2'!$A:$Z,ROW()-500,'List Setup'!$E$4)&amp;CHAR(10))</f>
        <v/>
      </c>
      <c r="I621" s="80" t="str">
        <f t="array" ref="I621">IF(OR(B621="",B621="(none)"),"",IF(ISNUMBER(SEARCH(CHAR(10)&amp;B621&amp;CHAR(10),H621)),B621,IFERROR(INDEX('Set Aliases'!$A$2:$A$501,MATCH(1,('Set Aliases'!$B$2:$B$501=B621)*ISNUMBER(SEARCH(CHAR(10)&amp;'Set Aliases'!$A$2:$A$501&amp;CHAR(10),H621)),0)),"")))</f>
        <v/>
      </c>
      <c r="J621" s="80" t="str">
        <f t="array" ref="J621">IF(I621="","",IFERROR(VALUE(TRIM(MID(SUBSTITUTE(INDEX('Deck 2'!$A:$Z,ROW()-500,'List Setup'!$G$4),CHAR(10),REPT(" ",100)),((SEARCH(CHAR(10)&amp;I621&amp;CHAR(10),H621)-LEN(SUBSTITUTE(LEFT(H621,SEARCH(CHAR(10)&amp;I621&amp;CHAR(10),H621)),CHAR(10),"")))-1)*100+1,100))),""))</f>
        <v/>
      </c>
      <c r="K621" s="80" t="str">
        <f t="array" ref="K621">IF(A621="","",IF(ISNUMBER(SEARCH("Land",LEFT(IFERROR(INDEX('Deck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21" s="80" t="str">
        <f t="shared" si="3"/>
        <v/>
      </c>
      <c r="M621" s="80" t="str">
        <f>IF(A621="","",IF(AND(E621="Y",B621='Use at Shop'!$B$4),K621*10000000000+(MAX(0,MIN(26,CODE(MID(UPPER(A621)&amp;"    ",1,1))-64))*19683+MAX(0,MIN(26,CODE(MID(UPPER(A621)&amp;"    ",2,1))-64))*729+MAX(0,MIN(26,CODE(MID(UPPER(A621)&amp;"    ",3,1))-64))*27+MAX(0,MIN(26,CODE(MID(UPPER(A621)&amp;"    ",4,1))-64))*1)*10000+ROW(),""))</f>
        <v/>
      </c>
      <c r="N621" s="80" t="str">
        <f t="shared" si="6"/>
        <v/>
      </c>
      <c r="O621" s="80" t="str">
        <f t="array" ref="O621">IF(A621="","",IFERROR(INDEX('Deck 2'!$A:$Z,ROW()-500,'List Setup'!$J$4)&amp;"",""))</f>
        <v/>
      </c>
      <c r="P621" s="2"/>
      <c r="Q621" s="80" t="str">
        <f>IF(A621="","",'List Setup'!$A$4)</f>
        <v/>
      </c>
      <c r="R621" s="80" t="str">
        <f t="array" ref="R621">IF(A621="","",IFERROR(OR(INDEX(Binders!$J$6:$J$30,MATCH(Q621,Binders!$I$6:$I$30,0))=TRUE(),UPPER(INDEX(Binders!$J$6:$J$30,MATCH(Q621,Binders!$I$6:$I$30,0))&amp;"")="TRUE"),FALSE()))</f>
        <v/>
      </c>
    </row>
    <row r="622" ht="15.75" customHeight="1">
      <c r="A622" s="80" t="str">
        <f t="array" ref="A622">IF(INDEX('Deck 2'!$A:$Z,ROW()-500,'List Setup'!$D$4)="","",INDEX('Deck 2'!$A:$Z,ROW()-500,'List Setup'!$D$4))</f>
        <v/>
      </c>
      <c r="B622" s="80" t="str">
        <f t="array" ref="B622">IF(A622="","",IFERROR(INDEX('Binder Setup'!$B$2:$B$401,MIN(IF(ISNUMBER(SEARCH(CHAR(10)&amp;'Binder Setup'!$B$2:$B$401&amp;CHAR(10),$H622)),'List Setup'!$Q$2:$Q$401,999),IF(ISNUMBER(SEARCH(CHAR(10)&amp;'Set Aliases'!$A$2:$A$501&amp;CHAR(10),$H622)),'Set Aliases'!$C$2:$C$501,999))),"(none)"))</f>
        <v/>
      </c>
      <c r="C622" s="80" t="str">
        <f t="shared" si="1"/>
        <v/>
      </c>
      <c r="D622" s="80" t="str">
        <f t="array" ref="D622">IF(A622="","",IF(ISLOGICAL(INDEX('Deck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22" s="80" t="str">
        <f t="shared" si="2"/>
        <v/>
      </c>
      <c r="F622" s="80" t="str">
        <f t="array" ref="F622">IF(A622="","",IF(ISNUMBER(J622),J622,IF(ISNUMBER(INDEX('Deck 2'!$A:$Z,ROW()-500,'List Setup'!$F$4)),INDEX('Deck 2'!$A:$Z,ROW()-500,'List Setup'!$F$4),0)))</f>
        <v/>
      </c>
      <c r="G622" s="80" t="str">
        <f t="array" ref="G622">IF(A622="","",A622&amp;IF(N(INDEX('Deck 2'!$A:$Z,ROW()-500,'List Setup'!$C$4))&gt;1," (x"&amp;INDEX('Deck 2'!$A:$Z,ROW()-500,'List Setup'!$C$4)&amp;")","")&amp;IF(COUNTIF(Binders!$J$6:$J$30,TRUE())&gt;1," ["&amp;Q622&amp;"]",""))</f>
        <v/>
      </c>
      <c r="H622" s="80" t="str">
        <f t="array" ref="H622">IF(A622="","",CHAR(10)&amp;INDEX('Deck 2'!$A:$Z,ROW()-500,'List Setup'!$E$4)&amp;CHAR(10))</f>
        <v/>
      </c>
      <c r="I622" s="80" t="str">
        <f t="array" ref="I622">IF(OR(B622="",B622="(none)"),"",IF(ISNUMBER(SEARCH(CHAR(10)&amp;B622&amp;CHAR(10),H622)),B622,IFERROR(INDEX('Set Aliases'!$A$2:$A$501,MATCH(1,('Set Aliases'!$B$2:$B$501=B622)*ISNUMBER(SEARCH(CHAR(10)&amp;'Set Aliases'!$A$2:$A$501&amp;CHAR(10),H622)),0)),"")))</f>
        <v/>
      </c>
      <c r="J622" s="80" t="str">
        <f t="array" ref="J622">IF(I622="","",IFERROR(VALUE(TRIM(MID(SUBSTITUTE(INDEX('Deck 2'!$A:$Z,ROW()-500,'List Setup'!$G$4),CHAR(10),REPT(" ",100)),((SEARCH(CHAR(10)&amp;I622&amp;CHAR(10),H622)-LEN(SUBSTITUTE(LEFT(H622,SEARCH(CHAR(10)&amp;I622&amp;CHAR(10),H622)),CHAR(10),"")))-1)*100+1,100))),""))</f>
        <v/>
      </c>
      <c r="K622" s="80" t="str">
        <f t="array" ref="K622">IF(A622="","",IF(ISNUMBER(SEARCH("Land",LEFT(IFERROR(INDEX('Deck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22" s="80" t="str">
        <f t="shared" si="3"/>
        <v/>
      </c>
      <c r="M622" s="80" t="str">
        <f>IF(A622="","",IF(AND(E622="Y",B622='Use at Shop'!$B$4),K622*10000000000+(MAX(0,MIN(26,CODE(MID(UPPER(A622)&amp;"    ",1,1))-64))*19683+MAX(0,MIN(26,CODE(MID(UPPER(A622)&amp;"    ",2,1))-64))*729+MAX(0,MIN(26,CODE(MID(UPPER(A622)&amp;"    ",3,1))-64))*27+MAX(0,MIN(26,CODE(MID(UPPER(A622)&amp;"    ",4,1))-64))*1)*10000+ROW(),""))</f>
        <v/>
      </c>
      <c r="N622" s="80" t="str">
        <f t="shared" si="6"/>
        <v/>
      </c>
      <c r="O622" s="80" t="str">
        <f t="array" ref="O622">IF(A622="","",IFERROR(INDEX('Deck 2'!$A:$Z,ROW()-500,'List Setup'!$J$4)&amp;"",""))</f>
        <v/>
      </c>
      <c r="P622" s="2"/>
      <c r="Q622" s="80" t="str">
        <f>IF(A622="","",'List Setup'!$A$4)</f>
        <v/>
      </c>
      <c r="R622" s="80" t="str">
        <f t="array" ref="R622">IF(A622="","",IFERROR(OR(INDEX(Binders!$J$6:$J$30,MATCH(Q622,Binders!$I$6:$I$30,0))=TRUE(),UPPER(INDEX(Binders!$J$6:$J$30,MATCH(Q622,Binders!$I$6:$I$30,0))&amp;"")="TRUE"),FALSE()))</f>
        <v/>
      </c>
    </row>
    <row r="623" ht="15.75" customHeight="1">
      <c r="A623" s="80" t="str">
        <f t="array" ref="A623">IF(INDEX('Deck 2'!$A:$Z,ROW()-500,'List Setup'!$D$4)="","",INDEX('Deck 2'!$A:$Z,ROW()-500,'List Setup'!$D$4))</f>
        <v/>
      </c>
      <c r="B623" s="80" t="str">
        <f t="array" ref="B623">IF(A623="","",IFERROR(INDEX('Binder Setup'!$B$2:$B$401,MIN(IF(ISNUMBER(SEARCH(CHAR(10)&amp;'Binder Setup'!$B$2:$B$401&amp;CHAR(10),$H623)),'List Setup'!$Q$2:$Q$401,999),IF(ISNUMBER(SEARCH(CHAR(10)&amp;'Set Aliases'!$A$2:$A$501&amp;CHAR(10),$H623)),'Set Aliases'!$C$2:$C$501,999))),"(none)"))</f>
        <v/>
      </c>
      <c r="C623" s="80" t="str">
        <f t="shared" si="1"/>
        <v/>
      </c>
      <c r="D623" s="80" t="str">
        <f t="array" ref="D623">IF(A623="","",IF(ISLOGICAL(INDEX('Deck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23" s="80" t="str">
        <f t="shared" si="2"/>
        <v/>
      </c>
      <c r="F623" s="80" t="str">
        <f t="array" ref="F623">IF(A623="","",IF(ISNUMBER(J623),J623,IF(ISNUMBER(INDEX('Deck 2'!$A:$Z,ROW()-500,'List Setup'!$F$4)),INDEX('Deck 2'!$A:$Z,ROW()-500,'List Setup'!$F$4),0)))</f>
        <v/>
      </c>
      <c r="G623" s="80" t="str">
        <f t="array" ref="G623">IF(A623="","",A623&amp;IF(N(INDEX('Deck 2'!$A:$Z,ROW()-500,'List Setup'!$C$4))&gt;1," (x"&amp;INDEX('Deck 2'!$A:$Z,ROW()-500,'List Setup'!$C$4)&amp;")","")&amp;IF(COUNTIF(Binders!$J$6:$J$30,TRUE())&gt;1," ["&amp;Q623&amp;"]",""))</f>
        <v/>
      </c>
      <c r="H623" s="80" t="str">
        <f t="array" ref="H623">IF(A623="","",CHAR(10)&amp;INDEX('Deck 2'!$A:$Z,ROW()-500,'List Setup'!$E$4)&amp;CHAR(10))</f>
        <v/>
      </c>
      <c r="I623" s="80" t="str">
        <f t="array" ref="I623">IF(OR(B623="",B623="(none)"),"",IF(ISNUMBER(SEARCH(CHAR(10)&amp;B623&amp;CHAR(10),H623)),B623,IFERROR(INDEX('Set Aliases'!$A$2:$A$501,MATCH(1,('Set Aliases'!$B$2:$B$501=B623)*ISNUMBER(SEARCH(CHAR(10)&amp;'Set Aliases'!$A$2:$A$501&amp;CHAR(10),H623)),0)),"")))</f>
        <v/>
      </c>
      <c r="J623" s="80" t="str">
        <f t="array" ref="J623">IF(I623="","",IFERROR(VALUE(TRIM(MID(SUBSTITUTE(INDEX('Deck 2'!$A:$Z,ROW()-500,'List Setup'!$G$4),CHAR(10),REPT(" ",100)),((SEARCH(CHAR(10)&amp;I623&amp;CHAR(10),H623)-LEN(SUBSTITUTE(LEFT(H623,SEARCH(CHAR(10)&amp;I623&amp;CHAR(10),H623)),CHAR(10),"")))-1)*100+1,100))),""))</f>
        <v/>
      </c>
      <c r="K623" s="80" t="str">
        <f t="array" ref="K623">IF(A623="","",IF(ISNUMBER(SEARCH("Land",LEFT(IFERROR(INDEX('Deck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23" s="80" t="str">
        <f t="shared" si="3"/>
        <v/>
      </c>
      <c r="M623" s="80" t="str">
        <f>IF(A623="","",IF(AND(E623="Y",B623='Use at Shop'!$B$4),K623*10000000000+(MAX(0,MIN(26,CODE(MID(UPPER(A623)&amp;"    ",1,1))-64))*19683+MAX(0,MIN(26,CODE(MID(UPPER(A623)&amp;"    ",2,1))-64))*729+MAX(0,MIN(26,CODE(MID(UPPER(A623)&amp;"    ",3,1))-64))*27+MAX(0,MIN(26,CODE(MID(UPPER(A623)&amp;"    ",4,1))-64))*1)*10000+ROW(),""))</f>
        <v/>
      </c>
      <c r="N623" s="80" t="str">
        <f t="shared" si="6"/>
        <v/>
      </c>
      <c r="O623" s="80" t="str">
        <f t="array" ref="O623">IF(A623="","",IFERROR(INDEX('Deck 2'!$A:$Z,ROW()-500,'List Setup'!$J$4)&amp;"",""))</f>
        <v/>
      </c>
      <c r="P623" s="2"/>
      <c r="Q623" s="80" t="str">
        <f>IF(A623="","",'List Setup'!$A$4)</f>
        <v/>
      </c>
      <c r="R623" s="80" t="str">
        <f t="array" ref="R623">IF(A623="","",IFERROR(OR(INDEX(Binders!$J$6:$J$30,MATCH(Q623,Binders!$I$6:$I$30,0))=TRUE(),UPPER(INDEX(Binders!$J$6:$J$30,MATCH(Q623,Binders!$I$6:$I$30,0))&amp;"")="TRUE"),FALSE()))</f>
        <v/>
      </c>
    </row>
    <row r="624" ht="15.75" customHeight="1">
      <c r="A624" s="80" t="str">
        <f t="array" ref="A624">IF(INDEX('Deck 2'!$A:$Z,ROW()-500,'List Setup'!$D$4)="","",INDEX('Deck 2'!$A:$Z,ROW()-500,'List Setup'!$D$4))</f>
        <v/>
      </c>
      <c r="B624" s="80" t="str">
        <f t="array" ref="B624">IF(A624="","",IFERROR(INDEX('Binder Setup'!$B$2:$B$401,MIN(IF(ISNUMBER(SEARCH(CHAR(10)&amp;'Binder Setup'!$B$2:$B$401&amp;CHAR(10),$H624)),'List Setup'!$Q$2:$Q$401,999),IF(ISNUMBER(SEARCH(CHAR(10)&amp;'Set Aliases'!$A$2:$A$501&amp;CHAR(10),$H624)),'Set Aliases'!$C$2:$C$501,999))),"(none)"))</f>
        <v/>
      </c>
      <c r="C624" s="80" t="str">
        <f t="shared" si="1"/>
        <v/>
      </c>
      <c r="D624" s="80" t="str">
        <f t="array" ref="D624">IF(A624="","",IF(ISLOGICAL(INDEX('Deck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24" s="80" t="str">
        <f t="shared" si="2"/>
        <v/>
      </c>
      <c r="F624" s="80" t="str">
        <f t="array" ref="F624">IF(A624="","",IF(ISNUMBER(J624),J624,IF(ISNUMBER(INDEX('Deck 2'!$A:$Z,ROW()-500,'List Setup'!$F$4)),INDEX('Deck 2'!$A:$Z,ROW()-500,'List Setup'!$F$4),0)))</f>
        <v/>
      </c>
      <c r="G624" s="80" t="str">
        <f t="array" ref="G624">IF(A624="","",A624&amp;IF(N(INDEX('Deck 2'!$A:$Z,ROW()-500,'List Setup'!$C$4))&gt;1," (x"&amp;INDEX('Deck 2'!$A:$Z,ROW()-500,'List Setup'!$C$4)&amp;")","")&amp;IF(COUNTIF(Binders!$J$6:$J$30,TRUE())&gt;1," ["&amp;Q624&amp;"]",""))</f>
        <v/>
      </c>
      <c r="H624" s="80" t="str">
        <f t="array" ref="H624">IF(A624="","",CHAR(10)&amp;INDEX('Deck 2'!$A:$Z,ROW()-500,'List Setup'!$E$4)&amp;CHAR(10))</f>
        <v/>
      </c>
      <c r="I624" s="80" t="str">
        <f t="array" ref="I624">IF(OR(B624="",B624="(none)"),"",IF(ISNUMBER(SEARCH(CHAR(10)&amp;B624&amp;CHAR(10),H624)),B624,IFERROR(INDEX('Set Aliases'!$A$2:$A$501,MATCH(1,('Set Aliases'!$B$2:$B$501=B624)*ISNUMBER(SEARCH(CHAR(10)&amp;'Set Aliases'!$A$2:$A$501&amp;CHAR(10),H624)),0)),"")))</f>
        <v/>
      </c>
      <c r="J624" s="80" t="str">
        <f t="array" ref="J624">IF(I624="","",IFERROR(VALUE(TRIM(MID(SUBSTITUTE(INDEX('Deck 2'!$A:$Z,ROW()-500,'List Setup'!$G$4),CHAR(10),REPT(" ",100)),((SEARCH(CHAR(10)&amp;I624&amp;CHAR(10),H624)-LEN(SUBSTITUTE(LEFT(H624,SEARCH(CHAR(10)&amp;I624&amp;CHAR(10),H624)),CHAR(10),"")))-1)*100+1,100))),""))</f>
        <v/>
      </c>
      <c r="K624" s="80" t="str">
        <f t="array" ref="K624">IF(A624="","",IF(ISNUMBER(SEARCH("Land",LEFT(IFERROR(INDEX('Deck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24" s="80" t="str">
        <f t="shared" si="3"/>
        <v/>
      </c>
      <c r="M624" s="80" t="str">
        <f>IF(A624="","",IF(AND(E624="Y",B624='Use at Shop'!$B$4),K624*10000000000+(MAX(0,MIN(26,CODE(MID(UPPER(A624)&amp;"    ",1,1))-64))*19683+MAX(0,MIN(26,CODE(MID(UPPER(A624)&amp;"    ",2,1))-64))*729+MAX(0,MIN(26,CODE(MID(UPPER(A624)&amp;"    ",3,1))-64))*27+MAX(0,MIN(26,CODE(MID(UPPER(A624)&amp;"    ",4,1))-64))*1)*10000+ROW(),""))</f>
        <v/>
      </c>
      <c r="N624" s="80" t="str">
        <f t="shared" si="6"/>
        <v/>
      </c>
      <c r="O624" s="80" t="str">
        <f t="array" ref="O624">IF(A624="","",IFERROR(INDEX('Deck 2'!$A:$Z,ROW()-500,'List Setup'!$J$4)&amp;"",""))</f>
        <v/>
      </c>
      <c r="P624" s="2"/>
      <c r="Q624" s="80" t="str">
        <f>IF(A624="","",'List Setup'!$A$4)</f>
        <v/>
      </c>
      <c r="R624" s="80" t="str">
        <f t="array" ref="R624">IF(A624="","",IFERROR(OR(INDEX(Binders!$J$6:$J$30,MATCH(Q624,Binders!$I$6:$I$30,0))=TRUE(),UPPER(INDEX(Binders!$J$6:$J$30,MATCH(Q624,Binders!$I$6:$I$30,0))&amp;"")="TRUE"),FALSE()))</f>
        <v/>
      </c>
    </row>
    <row r="625" ht="15.75" customHeight="1">
      <c r="A625" s="80" t="str">
        <f t="array" ref="A625">IF(INDEX('Deck 2'!$A:$Z,ROW()-500,'List Setup'!$D$4)="","",INDEX('Deck 2'!$A:$Z,ROW()-500,'List Setup'!$D$4))</f>
        <v/>
      </c>
      <c r="B625" s="80" t="str">
        <f t="array" ref="B625">IF(A625="","",IFERROR(INDEX('Binder Setup'!$B$2:$B$401,MIN(IF(ISNUMBER(SEARCH(CHAR(10)&amp;'Binder Setup'!$B$2:$B$401&amp;CHAR(10),$H625)),'List Setup'!$Q$2:$Q$401,999),IF(ISNUMBER(SEARCH(CHAR(10)&amp;'Set Aliases'!$A$2:$A$501&amp;CHAR(10),$H625)),'Set Aliases'!$C$2:$C$501,999))),"(none)"))</f>
        <v/>
      </c>
      <c r="C625" s="80" t="str">
        <f t="shared" si="1"/>
        <v/>
      </c>
      <c r="D625" s="80" t="str">
        <f t="array" ref="D625">IF(A625="","",IF(ISLOGICAL(INDEX('Deck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25" s="80" t="str">
        <f t="shared" si="2"/>
        <v/>
      </c>
      <c r="F625" s="80" t="str">
        <f t="array" ref="F625">IF(A625="","",IF(ISNUMBER(J625),J625,IF(ISNUMBER(INDEX('Deck 2'!$A:$Z,ROW()-500,'List Setup'!$F$4)),INDEX('Deck 2'!$A:$Z,ROW()-500,'List Setup'!$F$4),0)))</f>
        <v/>
      </c>
      <c r="G625" s="80" t="str">
        <f t="array" ref="G625">IF(A625="","",A625&amp;IF(N(INDEX('Deck 2'!$A:$Z,ROW()-500,'List Setup'!$C$4))&gt;1," (x"&amp;INDEX('Deck 2'!$A:$Z,ROW()-500,'List Setup'!$C$4)&amp;")","")&amp;IF(COUNTIF(Binders!$J$6:$J$30,TRUE())&gt;1," ["&amp;Q625&amp;"]",""))</f>
        <v/>
      </c>
      <c r="H625" s="80" t="str">
        <f t="array" ref="H625">IF(A625="","",CHAR(10)&amp;INDEX('Deck 2'!$A:$Z,ROW()-500,'List Setup'!$E$4)&amp;CHAR(10))</f>
        <v/>
      </c>
      <c r="I625" s="80" t="str">
        <f t="array" ref="I625">IF(OR(B625="",B625="(none)"),"",IF(ISNUMBER(SEARCH(CHAR(10)&amp;B625&amp;CHAR(10),H625)),B625,IFERROR(INDEX('Set Aliases'!$A$2:$A$501,MATCH(1,('Set Aliases'!$B$2:$B$501=B625)*ISNUMBER(SEARCH(CHAR(10)&amp;'Set Aliases'!$A$2:$A$501&amp;CHAR(10),H625)),0)),"")))</f>
        <v/>
      </c>
      <c r="J625" s="80" t="str">
        <f t="array" ref="J625">IF(I625="","",IFERROR(VALUE(TRIM(MID(SUBSTITUTE(INDEX('Deck 2'!$A:$Z,ROW()-500,'List Setup'!$G$4),CHAR(10),REPT(" ",100)),((SEARCH(CHAR(10)&amp;I625&amp;CHAR(10),H625)-LEN(SUBSTITUTE(LEFT(H625,SEARCH(CHAR(10)&amp;I625&amp;CHAR(10),H625)),CHAR(10),"")))-1)*100+1,100))),""))</f>
        <v/>
      </c>
      <c r="K625" s="80" t="str">
        <f t="array" ref="K625">IF(A625="","",IF(ISNUMBER(SEARCH("Land",LEFT(IFERROR(INDEX('Deck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25" s="80" t="str">
        <f t="shared" si="3"/>
        <v/>
      </c>
      <c r="M625" s="80" t="str">
        <f>IF(A625="","",IF(AND(E625="Y",B625='Use at Shop'!$B$4),K625*10000000000+(MAX(0,MIN(26,CODE(MID(UPPER(A625)&amp;"    ",1,1))-64))*19683+MAX(0,MIN(26,CODE(MID(UPPER(A625)&amp;"    ",2,1))-64))*729+MAX(0,MIN(26,CODE(MID(UPPER(A625)&amp;"    ",3,1))-64))*27+MAX(0,MIN(26,CODE(MID(UPPER(A625)&amp;"    ",4,1))-64))*1)*10000+ROW(),""))</f>
        <v/>
      </c>
      <c r="N625" s="80" t="str">
        <f t="shared" si="6"/>
        <v/>
      </c>
      <c r="O625" s="80" t="str">
        <f t="array" ref="O625">IF(A625="","",IFERROR(INDEX('Deck 2'!$A:$Z,ROW()-500,'List Setup'!$J$4)&amp;"",""))</f>
        <v/>
      </c>
      <c r="P625" s="2"/>
      <c r="Q625" s="80" t="str">
        <f>IF(A625="","",'List Setup'!$A$4)</f>
        <v/>
      </c>
      <c r="R625" s="80" t="str">
        <f t="array" ref="R625">IF(A625="","",IFERROR(OR(INDEX(Binders!$J$6:$J$30,MATCH(Q625,Binders!$I$6:$I$30,0))=TRUE(),UPPER(INDEX(Binders!$J$6:$J$30,MATCH(Q625,Binders!$I$6:$I$30,0))&amp;"")="TRUE"),FALSE()))</f>
        <v/>
      </c>
    </row>
    <row r="626" ht="15.75" customHeight="1">
      <c r="A626" s="80" t="str">
        <f t="array" ref="A626">IF(INDEX('Deck 2'!$A:$Z,ROW()-500,'List Setup'!$D$4)="","",INDEX('Deck 2'!$A:$Z,ROW()-500,'List Setup'!$D$4))</f>
        <v/>
      </c>
      <c r="B626" s="80" t="str">
        <f t="array" ref="B626">IF(A626="","",IFERROR(INDEX('Binder Setup'!$B$2:$B$401,MIN(IF(ISNUMBER(SEARCH(CHAR(10)&amp;'Binder Setup'!$B$2:$B$401&amp;CHAR(10),$H626)),'List Setup'!$Q$2:$Q$401,999),IF(ISNUMBER(SEARCH(CHAR(10)&amp;'Set Aliases'!$A$2:$A$501&amp;CHAR(10),$H626)),'Set Aliases'!$C$2:$C$501,999))),"(none)"))</f>
        <v/>
      </c>
      <c r="C626" s="80" t="str">
        <f t="shared" si="1"/>
        <v/>
      </c>
      <c r="D626" s="80" t="str">
        <f t="array" ref="D626">IF(A626="","",IF(ISLOGICAL(INDEX('Deck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26" s="80" t="str">
        <f t="shared" si="2"/>
        <v/>
      </c>
      <c r="F626" s="80" t="str">
        <f t="array" ref="F626">IF(A626="","",IF(ISNUMBER(J626),J626,IF(ISNUMBER(INDEX('Deck 2'!$A:$Z,ROW()-500,'List Setup'!$F$4)),INDEX('Deck 2'!$A:$Z,ROW()-500,'List Setup'!$F$4),0)))</f>
        <v/>
      </c>
      <c r="G626" s="80" t="str">
        <f t="array" ref="G626">IF(A626="","",A626&amp;IF(N(INDEX('Deck 2'!$A:$Z,ROW()-500,'List Setup'!$C$4))&gt;1," (x"&amp;INDEX('Deck 2'!$A:$Z,ROW()-500,'List Setup'!$C$4)&amp;")","")&amp;IF(COUNTIF(Binders!$J$6:$J$30,TRUE())&gt;1," ["&amp;Q626&amp;"]",""))</f>
        <v/>
      </c>
      <c r="H626" s="80" t="str">
        <f t="array" ref="H626">IF(A626="","",CHAR(10)&amp;INDEX('Deck 2'!$A:$Z,ROW()-500,'List Setup'!$E$4)&amp;CHAR(10))</f>
        <v/>
      </c>
      <c r="I626" s="80" t="str">
        <f t="array" ref="I626">IF(OR(B626="",B626="(none)"),"",IF(ISNUMBER(SEARCH(CHAR(10)&amp;B626&amp;CHAR(10),H626)),B626,IFERROR(INDEX('Set Aliases'!$A$2:$A$501,MATCH(1,('Set Aliases'!$B$2:$B$501=B626)*ISNUMBER(SEARCH(CHAR(10)&amp;'Set Aliases'!$A$2:$A$501&amp;CHAR(10),H626)),0)),"")))</f>
        <v/>
      </c>
      <c r="J626" s="80" t="str">
        <f t="array" ref="J626">IF(I626="","",IFERROR(VALUE(TRIM(MID(SUBSTITUTE(INDEX('Deck 2'!$A:$Z,ROW()-500,'List Setup'!$G$4),CHAR(10),REPT(" ",100)),((SEARCH(CHAR(10)&amp;I626&amp;CHAR(10),H626)-LEN(SUBSTITUTE(LEFT(H626,SEARCH(CHAR(10)&amp;I626&amp;CHAR(10),H626)),CHAR(10),"")))-1)*100+1,100))),""))</f>
        <v/>
      </c>
      <c r="K626" s="80" t="str">
        <f t="array" ref="K626">IF(A626="","",IF(ISNUMBER(SEARCH("Land",LEFT(IFERROR(INDEX('Deck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26" s="80" t="str">
        <f t="shared" si="3"/>
        <v/>
      </c>
      <c r="M626" s="80" t="str">
        <f>IF(A626="","",IF(AND(E626="Y",B626='Use at Shop'!$B$4),K626*10000000000+(MAX(0,MIN(26,CODE(MID(UPPER(A626)&amp;"    ",1,1))-64))*19683+MAX(0,MIN(26,CODE(MID(UPPER(A626)&amp;"    ",2,1))-64))*729+MAX(0,MIN(26,CODE(MID(UPPER(A626)&amp;"    ",3,1))-64))*27+MAX(0,MIN(26,CODE(MID(UPPER(A626)&amp;"    ",4,1))-64))*1)*10000+ROW(),""))</f>
        <v/>
      </c>
      <c r="N626" s="80" t="str">
        <f t="shared" si="6"/>
        <v/>
      </c>
      <c r="O626" s="80" t="str">
        <f t="array" ref="O626">IF(A626="","",IFERROR(INDEX('Deck 2'!$A:$Z,ROW()-500,'List Setup'!$J$4)&amp;"",""))</f>
        <v/>
      </c>
      <c r="P626" s="2"/>
      <c r="Q626" s="80" t="str">
        <f>IF(A626="","",'List Setup'!$A$4)</f>
        <v/>
      </c>
      <c r="R626" s="80" t="str">
        <f t="array" ref="R626">IF(A626="","",IFERROR(OR(INDEX(Binders!$J$6:$J$30,MATCH(Q626,Binders!$I$6:$I$30,0))=TRUE(),UPPER(INDEX(Binders!$J$6:$J$30,MATCH(Q626,Binders!$I$6:$I$30,0))&amp;"")="TRUE"),FALSE()))</f>
        <v/>
      </c>
    </row>
    <row r="627" ht="15.75" customHeight="1">
      <c r="A627" s="80" t="str">
        <f t="array" ref="A627">IF(INDEX('Deck 2'!$A:$Z,ROW()-500,'List Setup'!$D$4)="","",INDEX('Deck 2'!$A:$Z,ROW()-500,'List Setup'!$D$4))</f>
        <v/>
      </c>
      <c r="B627" s="80" t="str">
        <f t="array" ref="B627">IF(A627="","",IFERROR(INDEX('Binder Setup'!$B$2:$B$401,MIN(IF(ISNUMBER(SEARCH(CHAR(10)&amp;'Binder Setup'!$B$2:$B$401&amp;CHAR(10),$H627)),'List Setup'!$Q$2:$Q$401,999),IF(ISNUMBER(SEARCH(CHAR(10)&amp;'Set Aliases'!$A$2:$A$501&amp;CHAR(10),$H627)),'Set Aliases'!$C$2:$C$501,999))),"(none)"))</f>
        <v/>
      </c>
      <c r="C627" s="80" t="str">
        <f t="shared" si="1"/>
        <v/>
      </c>
      <c r="D627" s="80" t="str">
        <f t="array" ref="D627">IF(A627="","",IF(ISLOGICAL(INDEX('Deck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27" s="80" t="str">
        <f t="shared" si="2"/>
        <v/>
      </c>
      <c r="F627" s="80" t="str">
        <f t="array" ref="F627">IF(A627="","",IF(ISNUMBER(J627),J627,IF(ISNUMBER(INDEX('Deck 2'!$A:$Z,ROW()-500,'List Setup'!$F$4)),INDEX('Deck 2'!$A:$Z,ROW()-500,'List Setup'!$F$4),0)))</f>
        <v/>
      </c>
      <c r="G627" s="80" t="str">
        <f t="array" ref="G627">IF(A627="","",A627&amp;IF(N(INDEX('Deck 2'!$A:$Z,ROW()-500,'List Setup'!$C$4))&gt;1," (x"&amp;INDEX('Deck 2'!$A:$Z,ROW()-500,'List Setup'!$C$4)&amp;")","")&amp;IF(COUNTIF(Binders!$J$6:$J$30,TRUE())&gt;1," ["&amp;Q627&amp;"]",""))</f>
        <v/>
      </c>
      <c r="H627" s="80" t="str">
        <f t="array" ref="H627">IF(A627="","",CHAR(10)&amp;INDEX('Deck 2'!$A:$Z,ROW()-500,'List Setup'!$E$4)&amp;CHAR(10))</f>
        <v/>
      </c>
      <c r="I627" s="80" t="str">
        <f t="array" ref="I627">IF(OR(B627="",B627="(none)"),"",IF(ISNUMBER(SEARCH(CHAR(10)&amp;B627&amp;CHAR(10),H627)),B627,IFERROR(INDEX('Set Aliases'!$A$2:$A$501,MATCH(1,('Set Aliases'!$B$2:$B$501=B627)*ISNUMBER(SEARCH(CHAR(10)&amp;'Set Aliases'!$A$2:$A$501&amp;CHAR(10),H627)),0)),"")))</f>
        <v/>
      </c>
      <c r="J627" s="80" t="str">
        <f t="array" ref="J627">IF(I627="","",IFERROR(VALUE(TRIM(MID(SUBSTITUTE(INDEX('Deck 2'!$A:$Z,ROW()-500,'List Setup'!$G$4),CHAR(10),REPT(" ",100)),((SEARCH(CHAR(10)&amp;I627&amp;CHAR(10),H627)-LEN(SUBSTITUTE(LEFT(H627,SEARCH(CHAR(10)&amp;I627&amp;CHAR(10),H627)),CHAR(10),"")))-1)*100+1,100))),""))</f>
        <v/>
      </c>
      <c r="K627" s="80" t="str">
        <f t="array" ref="K627">IF(A627="","",IF(ISNUMBER(SEARCH("Land",LEFT(IFERROR(INDEX('Deck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27" s="80" t="str">
        <f t="shared" si="3"/>
        <v/>
      </c>
      <c r="M627" s="80" t="str">
        <f>IF(A627="","",IF(AND(E627="Y",B627='Use at Shop'!$B$4),K627*10000000000+(MAX(0,MIN(26,CODE(MID(UPPER(A627)&amp;"    ",1,1))-64))*19683+MAX(0,MIN(26,CODE(MID(UPPER(A627)&amp;"    ",2,1))-64))*729+MAX(0,MIN(26,CODE(MID(UPPER(A627)&amp;"    ",3,1))-64))*27+MAX(0,MIN(26,CODE(MID(UPPER(A627)&amp;"    ",4,1))-64))*1)*10000+ROW(),""))</f>
        <v/>
      </c>
      <c r="N627" s="80" t="str">
        <f t="shared" si="6"/>
        <v/>
      </c>
      <c r="O627" s="80" t="str">
        <f t="array" ref="O627">IF(A627="","",IFERROR(INDEX('Deck 2'!$A:$Z,ROW()-500,'List Setup'!$J$4)&amp;"",""))</f>
        <v/>
      </c>
      <c r="P627" s="2"/>
      <c r="Q627" s="80" t="str">
        <f>IF(A627="","",'List Setup'!$A$4)</f>
        <v/>
      </c>
      <c r="R627" s="80" t="str">
        <f t="array" ref="R627">IF(A627="","",IFERROR(OR(INDEX(Binders!$J$6:$J$30,MATCH(Q627,Binders!$I$6:$I$30,0))=TRUE(),UPPER(INDEX(Binders!$J$6:$J$30,MATCH(Q627,Binders!$I$6:$I$30,0))&amp;"")="TRUE"),FALSE()))</f>
        <v/>
      </c>
    </row>
    <row r="628" ht="15.75" customHeight="1">
      <c r="A628" s="80" t="str">
        <f t="array" ref="A628">IF(INDEX('Deck 2'!$A:$Z,ROW()-500,'List Setup'!$D$4)="","",INDEX('Deck 2'!$A:$Z,ROW()-500,'List Setup'!$D$4))</f>
        <v/>
      </c>
      <c r="B628" s="80" t="str">
        <f t="array" ref="B628">IF(A628="","",IFERROR(INDEX('Binder Setup'!$B$2:$B$401,MIN(IF(ISNUMBER(SEARCH(CHAR(10)&amp;'Binder Setup'!$B$2:$B$401&amp;CHAR(10),$H628)),'List Setup'!$Q$2:$Q$401,999),IF(ISNUMBER(SEARCH(CHAR(10)&amp;'Set Aliases'!$A$2:$A$501&amp;CHAR(10),$H628)),'Set Aliases'!$C$2:$C$501,999))),"(none)"))</f>
        <v/>
      </c>
      <c r="C628" s="80" t="str">
        <f t="shared" si="1"/>
        <v/>
      </c>
      <c r="D628" s="80" t="str">
        <f t="array" ref="D628">IF(A628="","",IF(ISLOGICAL(INDEX('Deck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28" s="80" t="str">
        <f t="shared" si="2"/>
        <v/>
      </c>
      <c r="F628" s="80" t="str">
        <f t="array" ref="F628">IF(A628="","",IF(ISNUMBER(J628),J628,IF(ISNUMBER(INDEX('Deck 2'!$A:$Z,ROW()-500,'List Setup'!$F$4)),INDEX('Deck 2'!$A:$Z,ROW()-500,'List Setup'!$F$4),0)))</f>
        <v/>
      </c>
      <c r="G628" s="80" t="str">
        <f t="array" ref="G628">IF(A628="","",A628&amp;IF(N(INDEX('Deck 2'!$A:$Z,ROW()-500,'List Setup'!$C$4))&gt;1," (x"&amp;INDEX('Deck 2'!$A:$Z,ROW()-500,'List Setup'!$C$4)&amp;")","")&amp;IF(COUNTIF(Binders!$J$6:$J$30,TRUE())&gt;1," ["&amp;Q628&amp;"]",""))</f>
        <v/>
      </c>
      <c r="H628" s="80" t="str">
        <f t="array" ref="H628">IF(A628="","",CHAR(10)&amp;INDEX('Deck 2'!$A:$Z,ROW()-500,'List Setup'!$E$4)&amp;CHAR(10))</f>
        <v/>
      </c>
      <c r="I628" s="80" t="str">
        <f t="array" ref="I628">IF(OR(B628="",B628="(none)"),"",IF(ISNUMBER(SEARCH(CHAR(10)&amp;B628&amp;CHAR(10),H628)),B628,IFERROR(INDEX('Set Aliases'!$A$2:$A$501,MATCH(1,('Set Aliases'!$B$2:$B$501=B628)*ISNUMBER(SEARCH(CHAR(10)&amp;'Set Aliases'!$A$2:$A$501&amp;CHAR(10),H628)),0)),"")))</f>
        <v/>
      </c>
      <c r="J628" s="80" t="str">
        <f t="array" ref="J628">IF(I628="","",IFERROR(VALUE(TRIM(MID(SUBSTITUTE(INDEX('Deck 2'!$A:$Z,ROW()-500,'List Setup'!$G$4),CHAR(10),REPT(" ",100)),((SEARCH(CHAR(10)&amp;I628&amp;CHAR(10),H628)-LEN(SUBSTITUTE(LEFT(H628,SEARCH(CHAR(10)&amp;I628&amp;CHAR(10),H628)),CHAR(10),"")))-1)*100+1,100))),""))</f>
        <v/>
      </c>
      <c r="K628" s="80" t="str">
        <f t="array" ref="K628">IF(A628="","",IF(ISNUMBER(SEARCH("Land",LEFT(IFERROR(INDEX('Deck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28" s="80" t="str">
        <f t="shared" si="3"/>
        <v/>
      </c>
      <c r="M628" s="80" t="str">
        <f>IF(A628="","",IF(AND(E628="Y",B628='Use at Shop'!$B$4),K628*10000000000+(MAX(0,MIN(26,CODE(MID(UPPER(A628)&amp;"    ",1,1))-64))*19683+MAX(0,MIN(26,CODE(MID(UPPER(A628)&amp;"    ",2,1))-64))*729+MAX(0,MIN(26,CODE(MID(UPPER(A628)&amp;"    ",3,1))-64))*27+MAX(0,MIN(26,CODE(MID(UPPER(A628)&amp;"    ",4,1))-64))*1)*10000+ROW(),""))</f>
        <v/>
      </c>
      <c r="N628" s="80" t="str">
        <f t="shared" si="6"/>
        <v/>
      </c>
      <c r="O628" s="80" t="str">
        <f t="array" ref="O628">IF(A628="","",IFERROR(INDEX('Deck 2'!$A:$Z,ROW()-500,'List Setup'!$J$4)&amp;"",""))</f>
        <v/>
      </c>
      <c r="P628" s="2"/>
      <c r="Q628" s="80" t="str">
        <f>IF(A628="","",'List Setup'!$A$4)</f>
        <v/>
      </c>
      <c r="R628" s="80" t="str">
        <f t="array" ref="R628">IF(A628="","",IFERROR(OR(INDEX(Binders!$J$6:$J$30,MATCH(Q628,Binders!$I$6:$I$30,0))=TRUE(),UPPER(INDEX(Binders!$J$6:$J$30,MATCH(Q628,Binders!$I$6:$I$30,0))&amp;"")="TRUE"),FALSE()))</f>
        <v/>
      </c>
    </row>
    <row r="629" ht="15.75" customHeight="1">
      <c r="A629" s="80" t="str">
        <f t="array" ref="A629">IF(INDEX('Deck 2'!$A:$Z,ROW()-500,'List Setup'!$D$4)="","",INDEX('Deck 2'!$A:$Z,ROW()-500,'List Setup'!$D$4))</f>
        <v/>
      </c>
      <c r="B629" s="80" t="str">
        <f t="array" ref="B629">IF(A629="","",IFERROR(INDEX('Binder Setup'!$B$2:$B$401,MIN(IF(ISNUMBER(SEARCH(CHAR(10)&amp;'Binder Setup'!$B$2:$B$401&amp;CHAR(10),$H629)),'List Setup'!$Q$2:$Q$401,999),IF(ISNUMBER(SEARCH(CHAR(10)&amp;'Set Aliases'!$A$2:$A$501&amp;CHAR(10),$H629)),'Set Aliases'!$C$2:$C$501,999))),"(none)"))</f>
        <v/>
      </c>
      <c r="C629" s="80" t="str">
        <f t="shared" si="1"/>
        <v/>
      </c>
      <c r="D629" s="80" t="str">
        <f t="array" ref="D629">IF(A629="","",IF(ISLOGICAL(INDEX('Deck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29" s="80" t="str">
        <f t="shared" si="2"/>
        <v/>
      </c>
      <c r="F629" s="80" t="str">
        <f t="array" ref="F629">IF(A629="","",IF(ISNUMBER(J629),J629,IF(ISNUMBER(INDEX('Deck 2'!$A:$Z,ROW()-500,'List Setup'!$F$4)),INDEX('Deck 2'!$A:$Z,ROW()-500,'List Setup'!$F$4),0)))</f>
        <v/>
      </c>
      <c r="G629" s="80" t="str">
        <f t="array" ref="G629">IF(A629="","",A629&amp;IF(N(INDEX('Deck 2'!$A:$Z,ROW()-500,'List Setup'!$C$4))&gt;1," (x"&amp;INDEX('Deck 2'!$A:$Z,ROW()-500,'List Setup'!$C$4)&amp;")","")&amp;IF(COUNTIF(Binders!$J$6:$J$30,TRUE())&gt;1," ["&amp;Q629&amp;"]",""))</f>
        <v/>
      </c>
      <c r="H629" s="80" t="str">
        <f t="array" ref="H629">IF(A629="","",CHAR(10)&amp;INDEX('Deck 2'!$A:$Z,ROW()-500,'List Setup'!$E$4)&amp;CHAR(10))</f>
        <v/>
      </c>
      <c r="I629" s="80" t="str">
        <f t="array" ref="I629">IF(OR(B629="",B629="(none)"),"",IF(ISNUMBER(SEARCH(CHAR(10)&amp;B629&amp;CHAR(10),H629)),B629,IFERROR(INDEX('Set Aliases'!$A$2:$A$501,MATCH(1,('Set Aliases'!$B$2:$B$501=B629)*ISNUMBER(SEARCH(CHAR(10)&amp;'Set Aliases'!$A$2:$A$501&amp;CHAR(10),H629)),0)),"")))</f>
        <v/>
      </c>
      <c r="J629" s="80" t="str">
        <f t="array" ref="J629">IF(I629="","",IFERROR(VALUE(TRIM(MID(SUBSTITUTE(INDEX('Deck 2'!$A:$Z,ROW()-500,'List Setup'!$G$4),CHAR(10),REPT(" ",100)),((SEARCH(CHAR(10)&amp;I629&amp;CHAR(10),H629)-LEN(SUBSTITUTE(LEFT(H629,SEARCH(CHAR(10)&amp;I629&amp;CHAR(10),H629)),CHAR(10),"")))-1)*100+1,100))),""))</f>
        <v/>
      </c>
      <c r="K629" s="80" t="str">
        <f t="array" ref="K629">IF(A629="","",IF(ISNUMBER(SEARCH("Land",LEFT(IFERROR(INDEX('Deck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29" s="80" t="str">
        <f t="shared" si="3"/>
        <v/>
      </c>
      <c r="M629" s="80" t="str">
        <f>IF(A629="","",IF(AND(E629="Y",B629='Use at Shop'!$B$4),K629*10000000000+(MAX(0,MIN(26,CODE(MID(UPPER(A629)&amp;"    ",1,1))-64))*19683+MAX(0,MIN(26,CODE(MID(UPPER(A629)&amp;"    ",2,1))-64))*729+MAX(0,MIN(26,CODE(MID(UPPER(A629)&amp;"    ",3,1))-64))*27+MAX(0,MIN(26,CODE(MID(UPPER(A629)&amp;"    ",4,1))-64))*1)*10000+ROW(),""))</f>
        <v/>
      </c>
      <c r="N629" s="80" t="str">
        <f t="shared" si="6"/>
        <v/>
      </c>
      <c r="O629" s="80" t="str">
        <f t="array" ref="O629">IF(A629="","",IFERROR(INDEX('Deck 2'!$A:$Z,ROW()-500,'List Setup'!$J$4)&amp;"",""))</f>
        <v/>
      </c>
      <c r="P629" s="2"/>
      <c r="Q629" s="80" t="str">
        <f>IF(A629="","",'List Setup'!$A$4)</f>
        <v/>
      </c>
      <c r="R629" s="80" t="str">
        <f t="array" ref="R629">IF(A629="","",IFERROR(OR(INDEX(Binders!$J$6:$J$30,MATCH(Q629,Binders!$I$6:$I$30,0))=TRUE(),UPPER(INDEX(Binders!$J$6:$J$30,MATCH(Q629,Binders!$I$6:$I$30,0))&amp;"")="TRUE"),FALSE()))</f>
        <v/>
      </c>
    </row>
    <row r="630" ht="15.75" customHeight="1">
      <c r="A630" s="80" t="str">
        <f t="array" ref="A630">IF(INDEX('Deck 2'!$A:$Z,ROW()-500,'List Setup'!$D$4)="","",INDEX('Deck 2'!$A:$Z,ROW()-500,'List Setup'!$D$4))</f>
        <v/>
      </c>
      <c r="B630" s="80" t="str">
        <f t="array" ref="B630">IF(A630="","",IFERROR(INDEX('Binder Setup'!$B$2:$B$401,MIN(IF(ISNUMBER(SEARCH(CHAR(10)&amp;'Binder Setup'!$B$2:$B$401&amp;CHAR(10),$H630)),'List Setup'!$Q$2:$Q$401,999),IF(ISNUMBER(SEARCH(CHAR(10)&amp;'Set Aliases'!$A$2:$A$501&amp;CHAR(10),$H630)),'Set Aliases'!$C$2:$C$501,999))),"(none)"))</f>
        <v/>
      </c>
      <c r="C630" s="80" t="str">
        <f t="shared" si="1"/>
        <v/>
      </c>
      <c r="D630" s="80" t="str">
        <f t="array" ref="D630">IF(A630="","",IF(ISLOGICAL(INDEX('Deck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30" s="80" t="str">
        <f t="shared" si="2"/>
        <v/>
      </c>
      <c r="F630" s="80" t="str">
        <f t="array" ref="F630">IF(A630="","",IF(ISNUMBER(J630),J630,IF(ISNUMBER(INDEX('Deck 2'!$A:$Z,ROW()-500,'List Setup'!$F$4)),INDEX('Deck 2'!$A:$Z,ROW()-500,'List Setup'!$F$4),0)))</f>
        <v/>
      </c>
      <c r="G630" s="80" t="str">
        <f t="array" ref="G630">IF(A630="","",A630&amp;IF(N(INDEX('Deck 2'!$A:$Z,ROW()-500,'List Setup'!$C$4))&gt;1," (x"&amp;INDEX('Deck 2'!$A:$Z,ROW()-500,'List Setup'!$C$4)&amp;")","")&amp;IF(COUNTIF(Binders!$J$6:$J$30,TRUE())&gt;1," ["&amp;Q630&amp;"]",""))</f>
        <v/>
      </c>
      <c r="H630" s="80" t="str">
        <f t="array" ref="H630">IF(A630="","",CHAR(10)&amp;INDEX('Deck 2'!$A:$Z,ROW()-500,'List Setup'!$E$4)&amp;CHAR(10))</f>
        <v/>
      </c>
      <c r="I630" s="80" t="str">
        <f t="array" ref="I630">IF(OR(B630="",B630="(none)"),"",IF(ISNUMBER(SEARCH(CHAR(10)&amp;B630&amp;CHAR(10),H630)),B630,IFERROR(INDEX('Set Aliases'!$A$2:$A$501,MATCH(1,('Set Aliases'!$B$2:$B$501=B630)*ISNUMBER(SEARCH(CHAR(10)&amp;'Set Aliases'!$A$2:$A$501&amp;CHAR(10),H630)),0)),"")))</f>
        <v/>
      </c>
      <c r="J630" s="80" t="str">
        <f t="array" ref="J630">IF(I630="","",IFERROR(VALUE(TRIM(MID(SUBSTITUTE(INDEX('Deck 2'!$A:$Z,ROW()-500,'List Setup'!$G$4),CHAR(10),REPT(" ",100)),((SEARCH(CHAR(10)&amp;I630&amp;CHAR(10),H630)-LEN(SUBSTITUTE(LEFT(H630,SEARCH(CHAR(10)&amp;I630&amp;CHAR(10),H630)),CHAR(10),"")))-1)*100+1,100))),""))</f>
        <v/>
      </c>
      <c r="K630" s="80" t="str">
        <f t="array" ref="K630">IF(A630="","",IF(ISNUMBER(SEARCH("Land",LEFT(IFERROR(INDEX('Deck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30" s="80" t="str">
        <f t="shared" si="3"/>
        <v/>
      </c>
      <c r="M630" s="80" t="str">
        <f>IF(A630="","",IF(AND(E630="Y",B630='Use at Shop'!$B$4),K630*10000000000+(MAX(0,MIN(26,CODE(MID(UPPER(A630)&amp;"    ",1,1))-64))*19683+MAX(0,MIN(26,CODE(MID(UPPER(A630)&amp;"    ",2,1))-64))*729+MAX(0,MIN(26,CODE(MID(UPPER(A630)&amp;"    ",3,1))-64))*27+MAX(0,MIN(26,CODE(MID(UPPER(A630)&amp;"    ",4,1))-64))*1)*10000+ROW(),""))</f>
        <v/>
      </c>
      <c r="N630" s="80" t="str">
        <f t="shared" si="6"/>
        <v/>
      </c>
      <c r="O630" s="80" t="str">
        <f t="array" ref="O630">IF(A630="","",IFERROR(INDEX('Deck 2'!$A:$Z,ROW()-500,'List Setup'!$J$4)&amp;"",""))</f>
        <v/>
      </c>
      <c r="P630" s="2"/>
      <c r="Q630" s="80" t="str">
        <f>IF(A630="","",'List Setup'!$A$4)</f>
        <v/>
      </c>
      <c r="R630" s="80" t="str">
        <f t="array" ref="R630">IF(A630="","",IFERROR(OR(INDEX(Binders!$J$6:$J$30,MATCH(Q630,Binders!$I$6:$I$30,0))=TRUE(),UPPER(INDEX(Binders!$J$6:$J$30,MATCH(Q630,Binders!$I$6:$I$30,0))&amp;"")="TRUE"),FALSE()))</f>
        <v/>
      </c>
    </row>
    <row r="631" ht="15.75" customHeight="1">
      <c r="A631" s="80" t="str">
        <f t="array" ref="A631">IF(INDEX('Deck 2'!$A:$Z,ROW()-500,'List Setup'!$D$4)="","",INDEX('Deck 2'!$A:$Z,ROW()-500,'List Setup'!$D$4))</f>
        <v/>
      </c>
      <c r="B631" s="80" t="str">
        <f t="array" ref="B631">IF(A631="","",IFERROR(INDEX('Binder Setup'!$B$2:$B$401,MIN(IF(ISNUMBER(SEARCH(CHAR(10)&amp;'Binder Setup'!$B$2:$B$401&amp;CHAR(10),$H631)),'List Setup'!$Q$2:$Q$401,999),IF(ISNUMBER(SEARCH(CHAR(10)&amp;'Set Aliases'!$A$2:$A$501&amp;CHAR(10),$H631)),'Set Aliases'!$C$2:$C$501,999))),"(none)"))</f>
        <v/>
      </c>
      <c r="C631" s="80" t="str">
        <f t="shared" si="1"/>
        <v/>
      </c>
      <c r="D631" s="80" t="str">
        <f t="array" ref="D631">IF(A631="","",IF(ISLOGICAL(INDEX('Deck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31" s="80" t="str">
        <f t="shared" si="2"/>
        <v/>
      </c>
      <c r="F631" s="80" t="str">
        <f t="array" ref="F631">IF(A631="","",IF(ISNUMBER(J631),J631,IF(ISNUMBER(INDEX('Deck 2'!$A:$Z,ROW()-500,'List Setup'!$F$4)),INDEX('Deck 2'!$A:$Z,ROW()-500,'List Setup'!$F$4),0)))</f>
        <v/>
      </c>
      <c r="G631" s="80" t="str">
        <f t="array" ref="G631">IF(A631="","",A631&amp;IF(N(INDEX('Deck 2'!$A:$Z,ROW()-500,'List Setup'!$C$4))&gt;1," (x"&amp;INDEX('Deck 2'!$A:$Z,ROW()-500,'List Setup'!$C$4)&amp;")","")&amp;IF(COUNTIF(Binders!$J$6:$J$30,TRUE())&gt;1," ["&amp;Q631&amp;"]",""))</f>
        <v/>
      </c>
      <c r="H631" s="80" t="str">
        <f t="array" ref="H631">IF(A631="","",CHAR(10)&amp;INDEX('Deck 2'!$A:$Z,ROW()-500,'List Setup'!$E$4)&amp;CHAR(10))</f>
        <v/>
      </c>
      <c r="I631" s="80" t="str">
        <f t="array" ref="I631">IF(OR(B631="",B631="(none)"),"",IF(ISNUMBER(SEARCH(CHAR(10)&amp;B631&amp;CHAR(10),H631)),B631,IFERROR(INDEX('Set Aliases'!$A$2:$A$501,MATCH(1,('Set Aliases'!$B$2:$B$501=B631)*ISNUMBER(SEARCH(CHAR(10)&amp;'Set Aliases'!$A$2:$A$501&amp;CHAR(10),H631)),0)),"")))</f>
        <v/>
      </c>
      <c r="J631" s="80" t="str">
        <f t="array" ref="J631">IF(I631="","",IFERROR(VALUE(TRIM(MID(SUBSTITUTE(INDEX('Deck 2'!$A:$Z,ROW()-500,'List Setup'!$G$4),CHAR(10),REPT(" ",100)),((SEARCH(CHAR(10)&amp;I631&amp;CHAR(10),H631)-LEN(SUBSTITUTE(LEFT(H631,SEARCH(CHAR(10)&amp;I631&amp;CHAR(10),H631)),CHAR(10),"")))-1)*100+1,100))),""))</f>
        <v/>
      </c>
      <c r="K631" s="80" t="str">
        <f t="array" ref="K631">IF(A631="","",IF(ISNUMBER(SEARCH("Land",LEFT(IFERROR(INDEX('Deck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31" s="80" t="str">
        <f t="shared" si="3"/>
        <v/>
      </c>
      <c r="M631" s="80" t="str">
        <f>IF(A631="","",IF(AND(E631="Y",B631='Use at Shop'!$B$4),K631*10000000000+(MAX(0,MIN(26,CODE(MID(UPPER(A631)&amp;"    ",1,1))-64))*19683+MAX(0,MIN(26,CODE(MID(UPPER(A631)&amp;"    ",2,1))-64))*729+MAX(0,MIN(26,CODE(MID(UPPER(A631)&amp;"    ",3,1))-64))*27+MAX(0,MIN(26,CODE(MID(UPPER(A631)&amp;"    ",4,1))-64))*1)*10000+ROW(),""))</f>
        <v/>
      </c>
      <c r="N631" s="80" t="str">
        <f t="shared" si="6"/>
        <v/>
      </c>
      <c r="O631" s="80" t="str">
        <f t="array" ref="O631">IF(A631="","",IFERROR(INDEX('Deck 2'!$A:$Z,ROW()-500,'List Setup'!$J$4)&amp;"",""))</f>
        <v/>
      </c>
      <c r="P631" s="2"/>
      <c r="Q631" s="80" t="str">
        <f>IF(A631="","",'List Setup'!$A$4)</f>
        <v/>
      </c>
      <c r="R631" s="80" t="str">
        <f t="array" ref="R631">IF(A631="","",IFERROR(OR(INDEX(Binders!$J$6:$J$30,MATCH(Q631,Binders!$I$6:$I$30,0))=TRUE(),UPPER(INDEX(Binders!$J$6:$J$30,MATCH(Q631,Binders!$I$6:$I$30,0))&amp;"")="TRUE"),FALSE()))</f>
        <v/>
      </c>
    </row>
    <row r="632" ht="15.75" customHeight="1">
      <c r="A632" s="80" t="str">
        <f t="array" ref="A632">IF(INDEX('Deck 2'!$A:$Z,ROW()-500,'List Setup'!$D$4)="","",INDEX('Deck 2'!$A:$Z,ROW()-500,'List Setup'!$D$4))</f>
        <v/>
      </c>
      <c r="B632" s="80" t="str">
        <f t="array" ref="B632">IF(A632="","",IFERROR(INDEX('Binder Setup'!$B$2:$B$401,MIN(IF(ISNUMBER(SEARCH(CHAR(10)&amp;'Binder Setup'!$B$2:$B$401&amp;CHAR(10),$H632)),'List Setup'!$Q$2:$Q$401,999),IF(ISNUMBER(SEARCH(CHAR(10)&amp;'Set Aliases'!$A$2:$A$501&amp;CHAR(10),$H632)),'Set Aliases'!$C$2:$C$501,999))),"(none)"))</f>
        <v/>
      </c>
      <c r="C632" s="80" t="str">
        <f t="shared" si="1"/>
        <v/>
      </c>
      <c r="D632" s="80" t="str">
        <f t="array" ref="D632">IF(A632="","",IF(ISLOGICAL(INDEX('Deck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32" s="80" t="str">
        <f t="shared" si="2"/>
        <v/>
      </c>
      <c r="F632" s="80" t="str">
        <f t="array" ref="F632">IF(A632="","",IF(ISNUMBER(J632),J632,IF(ISNUMBER(INDEX('Deck 2'!$A:$Z,ROW()-500,'List Setup'!$F$4)),INDEX('Deck 2'!$A:$Z,ROW()-500,'List Setup'!$F$4),0)))</f>
        <v/>
      </c>
      <c r="G632" s="80" t="str">
        <f t="array" ref="G632">IF(A632="","",A632&amp;IF(N(INDEX('Deck 2'!$A:$Z,ROW()-500,'List Setup'!$C$4))&gt;1," (x"&amp;INDEX('Deck 2'!$A:$Z,ROW()-500,'List Setup'!$C$4)&amp;")","")&amp;IF(COUNTIF(Binders!$J$6:$J$30,TRUE())&gt;1," ["&amp;Q632&amp;"]",""))</f>
        <v/>
      </c>
      <c r="H632" s="80" t="str">
        <f t="array" ref="H632">IF(A632="","",CHAR(10)&amp;INDEX('Deck 2'!$A:$Z,ROW()-500,'List Setup'!$E$4)&amp;CHAR(10))</f>
        <v/>
      </c>
      <c r="I632" s="80" t="str">
        <f t="array" ref="I632">IF(OR(B632="",B632="(none)"),"",IF(ISNUMBER(SEARCH(CHAR(10)&amp;B632&amp;CHAR(10),H632)),B632,IFERROR(INDEX('Set Aliases'!$A$2:$A$501,MATCH(1,('Set Aliases'!$B$2:$B$501=B632)*ISNUMBER(SEARCH(CHAR(10)&amp;'Set Aliases'!$A$2:$A$501&amp;CHAR(10),H632)),0)),"")))</f>
        <v/>
      </c>
      <c r="J632" s="80" t="str">
        <f t="array" ref="J632">IF(I632="","",IFERROR(VALUE(TRIM(MID(SUBSTITUTE(INDEX('Deck 2'!$A:$Z,ROW()-500,'List Setup'!$G$4),CHAR(10),REPT(" ",100)),((SEARCH(CHAR(10)&amp;I632&amp;CHAR(10),H632)-LEN(SUBSTITUTE(LEFT(H632,SEARCH(CHAR(10)&amp;I632&amp;CHAR(10),H632)),CHAR(10),"")))-1)*100+1,100))),""))</f>
        <v/>
      </c>
      <c r="K632" s="80" t="str">
        <f t="array" ref="K632">IF(A632="","",IF(ISNUMBER(SEARCH("Land",LEFT(IFERROR(INDEX('Deck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32" s="80" t="str">
        <f t="shared" si="3"/>
        <v/>
      </c>
      <c r="M632" s="80" t="str">
        <f>IF(A632="","",IF(AND(E632="Y",B632='Use at Shop'!$B$4),K632*10000000000+(MAX(0,MIN(26,CODE(MID(UPPER(A632)&amp;"    ",1,1))-64))*19683+MAX(0,MIN(26,CODE(MID(UPPER(A632)&amp;"    ",2,1))-64))*729+MAX(0,MIN(26,CODE(MID(UPPER(A632)&amp;"    ",3,1))-64))*27+MAX(0,MIN(26,CODE(MID(UPPER(A632)&amp;"    ",4,1))-64))*1)*10000+ROW(),""))</f>
        <v/>
      </c>
      <c r="N632" s="80" t="str">
        <f t="shared" si="6"/>
        <v/>
      </c>
      <c r="O632" s="80" t="str">
        <f t="array" ref="O632">IF(A632="","",IFERROR(INDEX('Deck 2'!$A:$Z,ROW()-500,'List Setup'!$J$4)&amp;"",""))</f>
        <v/>
      </c>
      <c r="P632" s="2"/>
      <c r="Q632" s="80" t="str">
        <f>IF(A632="","",'List Setup'!$A$4)</f>
        <v/>
      </c>
      <c r="R632" s="80" t="str">
        <f t="array" ref="R632">IF(A632="","",IFERROR(OR(INDEX(Binders!$J$6:$J$30,MATCH(Q632,Binders!$I$6:$I$30,0))=TRUE(),UPPER(INDEX(Binders!$J$6:$J$30,MATCH(Q632,Binders!$I$6:$I$30,0))&amp;"")="TRUE"),FALSE()))</f>
        <v/>
      </c>
    </row>
    <row r="633" ht="15.75" customHeight="1">
      <c r="A633" s="80" t="str">
        <f t="array" ref="A633">IF(INDEX('Deck 2'!$A:$Z,ROW()-500,'List Setup'!$D$4)="","",INDEX('Deck 2'!$A:$Z,ROW()-500,'List Setup'!$D$4))</f>
        <v/>
      </c>
      <c r="B633" s="80" t="str">
        <f t="array" ref="B633">IF(A633="","",IFERROR(INDEX('Binder Setup'!$B$2:$B$401,MIN(IF(ISNUMBER(SEARCH(CHAR(10)&amp;'Binder Setup'!$B$2:$B$401&amp;CHAR(10),$H633)),'List Setup'!$Q$2:$Q$401,999),IF(ISNUMBER(SEARCH(CHAR(10)&amp;'Set Aliases'!$A$2:$A$501&amp;CHAR(10),$H633)),'Set Aliases'!$C$2:$C$501,999))),"(none)"))</f>
        <v/>
      </c>
      <c r="C633" s="80" t="str">
        <f t="shared" si="1"/>
        <v/>
      </c>
      <c r="D633" s="80" t="str">
        <f t="array" ref="D633">IF(A633="","",IF(ISLOGICAL(INDEX('Deck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33" s="80" t="str">
        <f t="shared" si="2"/>
        <v/>
      </c>
      <c r="F633" s="80" t="str">
        <f t="array" ref="F633">IF(A633="","",IF(ISNUMBER(J633),J633,IF(ISNUMBER(INDEX('Deck 2'!$A:$Z,ROW()-500,'List Setup'!$F$4)),INDEX('Deck 2'!$A:$Z,ROW()-500,'List Setup'!$F$4),0)))</f>
        <v/>
      </c>
      <c r="G633" s="80" t="str">
        <f t="array" ref="G633">IF(A633="","",A633&amp;IF(N(INDEX('Deck 2'!$A:$Z,ROW()-500,'List Setup'!$C$4))&gt;1," (x"&amp;INDEX('Deck 2'!$A:$Z,ROW()-500,'List Setup'!$C$4)&amp;")","")&amp;IF(COUNTIF(Binders!$J$6:$J$30,TRUE())&gt;1," ["&amp;Q633&amp;"]",""))</f>
        <v/>
      </c>
      <c r="H633" s="80" t="str">
        <f t="array" ref="H633">IF(A633="","",CHAR(10)&amp;INDEX('Deck 2'!$A:$Z,ROW()-500,'List Setup'!$E$4)&amp;CHAR(10))</f>
        <v/>
      </c>
      <c r="I633" s="80" t="str">
        <f t="array" ref="I633">IF(OR(B633="",B633="(none)"),"",IF(ISNUMBER(SEARCH(CHAR(10)&amp;B633&amp;CHAR(10),H633)),B633,IFERROR(INDEX('Set Aliases'!$A$2:$A$501,MATCH(1,('Set Aliases'!$B$2:$B$501=B633)*ISNUMBER(SEARCH(CHAR(10)&amp;'Set Aliases'!$A$2:$A$501&amp;CHAR(10),H633)),0)),"")))</f>
        <v/>
      </c>
      <c r="J633" s="80" t="str">
        <f t="array" ref="J633">IF(I633="","",IFERROR(VALUE(TRIM(MID(SUBSTITUTE(INDEX('Deck 2'!$A:$Z,ROW()-500,'List Setup'!$G$4),CHAR(10),REPT(" ",100)),((SEARCH(CHAR(10)&amp;I633&amp;CHAR(10),H633)-LEN(SUBSTITUTE(LEFT(H633,SEARCH(CHAR(10)&amp;I633&amp;CHAR(10),H633)),CHAR(10),"")))-1)*100+1,100))),""))</f>
        <v/>
      </c>
      <c r="K633" s="80" t="str">
        <f t="array" ref="K633">IF(A633="","",IF(ISNUMBER(SEARCH("Land",LEFT(IFERROR(INDEX('Deck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33" s="80" t="str">
        <f t="shared" si="3"/>
        <v/>
      </c>
      <c r="M633" s="80" t="str">
        <f>IF(A633="","",IF(AND(E633="Y",B633='Use at Shop'!$B$4),K633*10000000000+(MAX(0,MIN(26,CODE(MID(UPPER(A633)&amp;"    ",1,1))-64))*19683+MAX(0,MIN(26,CODE(MID(UPPER(A633)&amp;"    ",2,1))-64))*729+MAX(0,MIN(26,CODE(MID(UPPER(A633)&amp;"    ",3,1))-64))*27+MAX(0,MIN(26,CODE(MID(UPPER(A633)&amp;"    ",4,1))-64))*1)*10000+ROW(),""))</f>
        <v/>
      </c>
      <c r="N633" s="80" t="str">
        <f t="shared" si="6"/>
        <v/>
      </c>
      <c r="O633" s="80" t="str">
        <f t="array" ref="O633">IF(A633="","",IFERROR(INDEX('Deck 2'!$A:$Z,ROW()-500,'List Setup'!$J$4)&amp;"",""))</f>
        <v/>
      </c>
      <c r="P633" s="2"/>
      <c r="Q633" s="80" t="str">
        <f>IF(A633="","",'List Setup'!$A$4)</f>
        <v/>
      </c>
      <c r="R633" s="80" t="str">
        <f t="array" ref="R633">IF(A633="","",IFERROR(OR(INDEX(Binders!$J$6:$J$30,MATCH(Q633,Binders!$I$6:$I$30,0))=TRUE(),UPPER(INDEX(Binders!$J$6:$J$30,MATCH(Q633,Binders!$I$6:$I$30,0))&amp;"")="TRUE"),FALSE()))</f>
        <v/>
      </c>
    </row>
    <row r="634" ht="15.75" customHeight="1">
      <c r="A634" s="80" t="str">
        <f t="array" ref="A634">IF(INDEX('Deck 2'!$A:$Z,ROW()-500,'List Setup'!$D$4)="","",INDEX('Deck 2'!$A:$Z,ROW()-500,'List Setup'!$D$4))</f>
        <v/>
      </c>
      <c r="B634" s="80" t="str">
        <f t="array" ref="B634">IF(A634="","",IFERROR(INDEX('Binder Setup'!$B$2:$B$401,MIN(IF(ISNUMBER(SEARCH(CHAR(10)&amp;'Binder Setup'!$B$2:$B$401&amp;CHAR(10),$H634)),'List Setup'!$Q$2:$Q$401,999),IF(ISNUMBER(SEARCH(CHAR(10)&amp;'Set Aliases'!$A$2:$A$501&amp;CHAR(10),$H634)),'Set Aliases'!$C$2:$C$501,999))),"(none)"))</f>
        <v/>
      </c>
      <c r="C634" s="80" t="str">
        <f t="shared" si="1"/>
        <v/>
      </c>
      <c r="D634" s="80" t="str">
        <f t="array" ref="D634">IF(A634="","",IF(ISLOGICAL(INDEX('Deck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34" s="80" t="str">
        <f t="shared" si="2"/>
        <v/>
      </c>
      <c r="F634" s="80" t="str">
        <f t="array" ref="F634">IF(A634="","",IF(ISNUMBER(J634),J634,IF(ISNUMBER(INDEX('Deck 2'!$A:$Z,ROW()-500,'List Setup'!$F$4)),INDEX('Deck 2'!$A:$Z,ROW()-500,'List Setup'!$F$4),0)))</f>
        <v/>
      </c>
      <c r="G634" s="80" t="str">
        <f t="array" ref="G634">IF(A634="","",A634&amp;IF(N(INDEX('Deck 2'!$A:$Z,ROW()-500,'List Setup'!$C$4))&gt;1," (x"&amp;INDEX('Deck 2'!$A:$Z,ROW()-500,'List Setup'!$C$4)&amp;")","")&amp;IF(COUNTIF(Binders!$J$6:$J$30,TRUE())&gt;1," ["&amp;Q634&amp;"]",""))</f>
        <v/>
      </c>
      <c r="H634" s="80" t="str">
        <f t="array" ref="H634">IF(A634="","",CHAR(10)&amp;INDEX('Deck 2'!$A:$Z,ROW()-500,'List Setup'!$E$4)&amp;CHAR(10))</f>
        <v/>
      </c>
      <c r="I634" s="80" t="str">
        <f t="array" ref="I634">IF(OR(B634="",B634="(none)"),"",IF(ISNUMBER(SEARCH(CHAR(10)&amp;B634&amp;CHAR(10),H634)),B634,IFERROR(INDEX('Set Aliases'!$A$2:$A$501,MATCH(1,('Set Aliases'!$B$2:$B$501=B634)*ISNUMBER(SEARCH(CHAR(10)&amp;'Set Aliases'!$A$2:$A$501&amp;CHAR(10),H634)),0)),"")))</f>
        <v/>
      </c>
      <c r="J634" s="80" t="str">
        <f t="array" ref="J634">IF(I634="","",IFERROR(VALUE(TRIM(MID(SUBSTITUTE(INDEX('Deck 2'!$A:$Z,ROW()-500,'List Setup'!$G$4),CHAR(10),REPT(" ",100)),((SEARCH(CHAR(10)&amp;I634&amp;CHAR(10),H634)-LEN(SUBSTITUTE(LEFT(H634,SEARCH(CHAR(10)&amp;I634&amp;CHAR(10),H634)),CHAR(10),"")))-1)*100+1,100))),""))</f>
        <v/>
      </c>
      <c r="K634" s="80" t="str">
        <f t="array" ref="K634">IF(A634="","",IF(ISNUMBER(SEARCH("Land",LEFT(IFERROR(INDEX('Deck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34" s="80" t="str">
        <f t="shared" si="3"/>
        <v/>
      </c>
      <c r="M634" s="80" t="str">
        <f>IF(A634="","",IF(AND(E634="Y",B634='Use at Shop'!$B$4),K634*10000000000+(MAX(0,MIN(26,CODE(MID(UPPER(A634)&amp;"    ",1,1))-64))*19683+MAX(0,MIN(26,CODE(MID(UPPER(A634)&amp;"    ",2,1))-64))*729+MAX(0,MIN(26,CODE(MID(UPPER(A634)&amp;"    ",3,1))-64))*27+MAX(0,MIN(26,CODE(MID(UPPER(A634)&amp;"    ",4,1))-64))*1)*10000+ROW(),""))</f>
        <v/>
      </c>
      <c r="N634" s="80" t="str">
        <f t="shared" si="6"/>
        <v/>
      </c>
      <c r="O634" s="80" t="str">
        <f t="array" ref="O634">IF(A634="","",IFERROR(INDEX('Deck 2'!$A:$Z,ROW()-500,'List Setup'!$J$4)&amp;"",""))</f>
        <v/>
      </c>
      <c r="P634" s="2"/>
      <c r="Q634" s="80" t="str">
        <f>IF(A634="","",'List Setup'!$A$4)</f>
        <v/>
      </c>
      <c r="R634" s="80" t="str">
        <f t="array" ref="R634">IF(A634="","",IFERROR(OR(INDEX(Binders!$J$6:$J$30,MATCH(Q634,Binders!$I$6:$I$30,0))=TRUE(),UPPER(INDEX(Binders!$J$6:$J$30,MATCH(Q634,Binders!$I$6:$I$30,0))&amp;"")="TRUE"),FALSE()))</f>
        <v/>
      </c>
    </row>
    <row r="635" ht="15.75" customHeight="1">
      <c r="A635" s="80" t="str">
        <f t="array" ref="A635">IF(INDEX('Deck 2'!$A:$Z,ROW()-500,'List Setup'!$D$4)="","",INDEX('Deck 2'!$A:$Z,ROW()-500,'List Setup'!$D$4))</f>
        <v/>
      </c>
      <c r="B635" s="80" t="str">
        <f t="array" ref="B635">IF(A635="","",IFERROR(INDEX('Binder Setup'!$B$2:$B$401,MIN(IF(ISNUMBER(SEARCH(CHAR(10)&amp;'Binder Setup'!$B$2:$B$401&amp;CHAR(10),$H635)),'List Setup'!$Q$2:$Q$401,999),IF(ISNUMBER(SEARCH(CHAR(10)&amp;'Set Aliases'!$A$2:$A$501&amp;CHAR(10),$H635)),'Set Aliases'!$C$2:$C$501,999))),"(none)"))</f>
        <v/>
      </c>
      <c r="C635" s="80" t="str">
        <f t="shared" si="1"/>
        <v/>
      </c>
      <c r="D635" s="80" t="str">
        <f t="array" ref="D635">IF(A635="","",IF(ISLOGICAL(INDEX('Deck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35" s="80" t="str">
        <f t="shared" si="2"/>
        <v/>
      </c>
      <c r="F635" s="80" t="str">
        <f t="array" ref="F635">IF(A635="","",IF(ISNUMBER(J635),J635,IF(ISNUMBER(INDEX('Deck 2'!$A:$Z,ROW()-500,'List Setup'!$F$4)),INDEX('Deck 2'!$A:$Z,ROW()-500,'List Setup'!$F$4),0)))</f>
        <v/>
      </c>
      <c r="G635" s="80" t="str">
        <f t="array" ref="G635">IF(A635="","",A635&amp;IF(N(INDEX('Deck 2'!$A:$Z,ROW()-500,'List Setup'!$C$4))&gt;1," (x"&amp;INDEX('Deck 2'!$A:$Z,ROW()-500,'List Setup'!$C$4)&amp;")","")&amp;IF(COUNTIF(Binders!$J$6:$J$30,TRUE())&gt;1," ["&amp;Q635&amp;"]",""))</f>
        <v/>
      </c>
      <c r="H635" s="80" t="str">
        <f t="array" ref="H635">IF(A635="","",CHAR(10)&amp;INDEX('Deck 2'!$A:$Z,ROW()-500,'List Setup'!$E$4)&amp;CHAR(10))</f>
        <v/>
      </c>
      <c r="I635" s="80" t="str">
        <f t="array" ref="I635">IF(OR(B635="",B635="(none)"),"",IF(ISNUMBER(SEARCH(CHAR(10)&amp;B635&amp;CHAR(10),H635)),B635,IFERROR(INDEX('Set Aliases'!$A$2:$A$501,MATCH(1,('Set Aliases'!$B$2:$B$501=B635)*ISNUMBER(SEARCH(CHAR(10)&amp;'Set Aliases'!$A$2:$A$501&amp;CHAR(10),H635)),0)),"")))</f>
        <v/>
      </c>
      <c r="J635" s="80" t="str">
        <f t="array" ref="J635">IF(I635="","",IFERROR(VALUE(TRIM(MID(SUBSTITUTE(INDEX('Deck 2'!$A:$Z,ROW()-500,'List Setup'!$G$4),CHAR(10),REPT(" ",100)),((SEARCH(CHAR(10)&amp;I635&amp;CHAR(10),H635)-LEN(SUBSTITUTE(LEFT(H635,SEARCH(CHAR(10)&amp;I635&amp;CHAR(10),H635)),CHAR(10),"")))-1)*100+1,100))),""))</f>
        <v/>
      </c>
      <c r="K635" s="80" t="str">
        <f t="array" ref="K635">IF(A635="","",IF(ISNUMBER(SEARCH("Land",LEFT(IFERROR(INDEX('Deck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35" s="80" t="str">
        <f t="shared" si="3"/>
        <v/>
      </c>
      <c r="M635" s="80" t="str">
        <f>IF(A635="","",IF(AND(E635="Y",B635='Use at Shop'!$B$4),K635*10000000000+(MAX(0,MIN(26,CODE(MID(UPPER(A635)&amp;"    ",1,1))-64))*19683+MAX(0,MIN(26,CODE(MID(UPPER(A635)&amp;"    ",2,1))-64))*729+MAX(0,MIN(26,CODE(MID(UPPER(A635)&amp;"    ",3,1))-64))*27+MAX(0,MIN(26,CODE(MID(UPPER(A635)&amp;"    ",4,1))-64))*1)*10000+ROW(),""))</f>
        <v/>
      </c>
      <c r="N635" s="80" t="str">
        <f t="shared" si="6"/>
        <v/>
      </c>
      <c r="O635" s="80" t="str">
        <f t="array" ref="O635">IF(A635="","",IFERROR(INDEX('Deck 2'!$A:$Z,ROW()-500,'List Setup'!$J$4)&amp;"",""))</f>
        <v/>
      </c>
      <c r="P635" s="2"/>
      <c r="Q635" s="80" t="str">
        <f>IF(A635="","",'List Setup'!$A$4)</f>
        <v/>
      </c>
      <c r="R635" s="80" t="str">
        <f t="array" ref="R635">IF(A635="","",IFERROR(OR(INDEX(Binders!$J$6:$J$30,MATCH(Q635,Binders!$I$6:$I$30,0))=TRUE(),UPPER(INDEX(Binders!$J$6:$J$30,MATCH(Q635,Binders!$I$6:$I$30,0))&amp;"")="TRUE"),FALSE()))</f>
        <v/>
      </c>
    </row>
    <row r="636" ht="15.75" customHeight="1">
      <c r="A636" s="80" t="str">
        <f t="array" ref="A636">IF(INDEX('Deck 2'!$A:$Z,ROW()-500,'List Setup'!$D$4)="","",INDEX('Deck 2'!$A:$Z,ROW()-500,'List Setup'!$D$4))</f>
        <v/>
      </c>
      <c r="B636" s="80" t="str">
        <f t="array" ref="B636">IF(A636="","",IFERROR(INDEX('Binder Setup'!$B$2:$B$401,MIN(IF(ISNUMBER(SEARCH(CHAR(10)&amp;'Binder Setup'!$B$2:$B$401&amp;CHAR(10),$H636)),'List Setup'!$Q$2:$Q$401,999),IF(ISNUMBER(SEARCH(CHAR(10)&amp;'Set Aliases'!$A$2:$A$501&amp;CHAR(10),$H636)),'Set Aliases'!$C$2:$C$501,999))),"(none)"))</f>
        <v/>
      </c>
      <c r="C636" s="80" t="str">
        <f t="shared" si="1"/>
        <v/>
      </c>
      <c r="D636" s="80" t="str">
        <f t="array" ref="D636">IF(A636="","",IF(ISLOGICAL(INDEX('Deck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36" s="80" t="str">
        <f t="shared" si="2"/>
        <v/>
      </c>
      <c r="F636" s="80" t="str">
        <f t="array" ref="F636">IF(A636="","",IF(ISNUMBER(J636),J636,IF(ISNUMBER(INDEX('Deck 2'!$A:$Z,ROW()-500,'List Setup'!$F$4)),INDEX('Deck 2'!$A:$Z,ROW()-500,'List Setup'!$F$4),0)))</f>
        <v/>
      </c>
      <c r="G636" s="80" t="str">
        <f t="array" ref="G636">IF(A636="","",A636&amp;IF(N(INDEX('Deck 2'!$A:$Z,ROW()-500,'List Setup'!$C$4))&gt;1," (x"&amp;INDEX('Deck 2'!$A:$Z,ROW()-500,'List Setup'!$C$4)&amp;")","")&amp;IF(COUNTIF(Binders!$J$6:$J$30,TRUE())&gt;1," ["&amp;Q636&amp;"]",""))</f>
        <v/>
      </c>
      <c r="H636" s="80" t="str">
        <f t="array" ref="H636">IF(A636="","",CHAR(10)&amp;INDEX('Deck 2'!$A:$Z,ROW()-500,'List Setup'!$E$4)&amp;CHAR(10))</f>
        <v/>
      </c>
      <c r="I636" s="80" t="str">
        <f t="array" ref="I636">IF(OR(B636="",B636="(none)"),"",IF(ISNUMBER(SEARCH(CHAR(10)&amp;B636&amp;CHAR(10),H636)),B636,IFERROR(INDEX('Set Aliases'!$A$2:$A$501,MATCH(1,('Set Aliases'!$B$2:$B$501=B636)*ISNUMBER(SEARCH(CHAR(10)&amp;'Set Aliases'!$A$2:$A$501&amp;CHAR(10),H636)),0)),"")))</f>
        <v/>
      </c>
      <c r="J636" s="80" t="str">
        <f t="array" ref="J636">IF(I636="","",IFERROR(VALUE(TRIM(MID(SUBSTITUTE(INDEX('Deck 2'!$A:$Z,ROW()-500,'List Setup'!$G$4),CHAR(10),REPT(" ",100)),((SEARCH(CHAR(10)&amp;I636&amp;CHAR(10),H636)-LEN(SUBSTITUTE(LEFT(H636,SEARCH(CHAR(10)&amp;I636&amp;CHAR(10),H636)),CHAR(10),"")))-1)*100+1,100))),""))</f>
        <v/>
      </c>
      <c r="K636" s="80" t="str">
        <f t="array" ref="K636">IF(A636="","",IF(ISNUMBER(SEARCH("Land",LEFT(IFERROR(INDEX('Deck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36" s="80" t="str">
        <f t="shared" si="3"/>
        <v/>
      </c>
      <c r="M636" s="80" t="str">
        <f>IF(A636="","",IF(AND(E636="Y",B636='Use at Shop'!$B$4),K636*10000000000+(MAX(0,MIN(26,CODE(MID(UPPER(A636)&amp;"    ",1,1))-64))*19683+MAX(0,MIN(26,CODE(MID(UPPER(A636)&amp;"    ",2,1))-64))*729+MAX(0,MIN(26,CODE(MID(UPPER(A636)&amp;"    ",3,1))-64))*27+MAX(0,MIN(26,CODE(MID(UPPER(A636)&amp;"    ",4,1))-64))*1)*10000+ROW(),""))</f>
        <v/>
      </c>
      <c r="N636" s="80" t="str">
        <f t="shared" si="6"/>
        <v/>
      </c>
      <c r="O636" s="80" t="str">
        <f t="array" ref="O636">IF(A636="","",IFERROR(INDEX('Deck 2'!$A:$Z,ROW()-500,'List Setup'!$J$4)&amp;"",""))</f>
        <v/>
      </c>
      <c r="P636" s="2"/>
      <c r="Q636" s="80" t="str">
        <f>IF(A636="","",'List Setup'!$A$4)</f>
        <v/>
      </c>
      <c r="R636" s="80" t="str">
        <f t="array" ref="R636">IF(A636="","",IFERROR(OR(INDEX(Binders!$J$6:$J$30,MATCH(Q636,Binders!$I$6:$I$30,0))=TRUE(),UPPER(INDEX(Binders!$J$6:$J$30,MATCH(Q636,Binders!$I$6:$I$30,0))&amp;"")="TRUE"),FALSE()))</f>
        <v/>
      </c>
    </row>
    <row r="637" ht="15.75" customHeight="1">
      <c r="A637" s="80" t="str">
        <f t="array" ref="A637">IF(INDEX('Deck 2'!$A:$Z,ROW()-500,'List Setup'!$D$4)="","",INDEX('Deck 2'!$A:$Z,ROW()-500,'List Setup'!$D$4))</f>
        <v/>
      </c>
      <c r="B637" s="80" t="str">
        <f t="array" ref="B637">IF(A637="","",IFERROR(INDEX('Binder Setup'!$B$2:$B$401,MIN(IF(ISNUMBER(SEARCH(CHAR(10)&amp;'Binder Setup'!$B$2:$B$401&amp;CHAR(10),$H637)),'List Setup'!$Q$2:$Q$401,999),IF(ISNUMBER(SEARCH(CHAR(10)&amp;'Set Aliases'!$A$2:$A$501&amp;CHAR(10),$H637)),'Set Aliases'!$C$2:$C$501,999))),"(none)"))</f>
        <v/>
      </c>
      <c r="C637" s="80" t="str">
        <f t="shared" si="1"/>
        <v/>
      </c>
      <c r="D637" s="80" t="str">
        <f t="array" ref="D637">IF(A637="","",IF(ISLOGICAL(INDEX('Deck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37" s="80" t="str">
        <f t="shared" si="2"/>
        <v/>
      </c>
      <c r="F637" s="80" t="str">
        <f t="array" ref="F637">IF(A637="","",IF(ISNUMBER(J637),J637,IF(ISNUMBER(INDEX('Deck 2'!$A:$Z,ROW()-500,'List Setup'!$F$4)),INDEX('Deck 2'!$A:$Z,ROW()-500,'List Setup'!$F$4),0)))</f>
        <v/>
      </c>
      <c r="G637" s="80" t="str">
        <f t="array" ref="G637">IF(A637="","",A637&amp;IF(N(INDEX('Deck 2'!$A:$Z,ROW()-500,'List Setup'!$C$4))&gt;1," (x"&amp;INDEX('Deck 2'!$A:$Z,ROW()-500,'List Setup'!$C$4)&amp;")","")&amp;IF(COUNTIF(Binders!$J$6:$J$30,TRUE())&gt;1," ["&amp;Q637&amp;"]",""))</f>
        <v/>
      </c>
      <c r="H637" s="80" t="str">
        <f t="array" ref="H637">IF(A637="","",CHAR(10)&amp;INDEX('Deck 2'!$A:$Z,ROW()-500,'List Setup'!$E$4)&amp;CHAR(10))</f>
        <v/>
      </c>
      <c r="I637" s="80" t="str">
        <f t="array" ref="I637">IF(OR(B637="",B637="(none)"),"",IF(ISNUMBER(SEARCH(CHAR(10)&amp;B637&amp;CHAR(10),H637)),B637,IFERROR(INDEX('Set Aliases'!$A$2:$A$501,MATCH(1,('Set Aliases'!$B$2:$B$501=B637)*ISNUMBER(SEARCH(CHAR(10)&amp;'Set Aliases'!$A$2:$A$501&amp;CHAR(10),H637)),0)),"")))</f>
        <v/>
      </c>
      <c r="J637" s="80" t="str">
        <f t="array" ref="J637">IF(I637="","",IFERROR(VALUE(TRIM(MID(SUBSTITUTE(INDEX('Deck 2'!$A:$Z,ROW()-500,'List Setup'!$G$4),CHAR(10),REPT(" ",100)),((SEARCH(CHAR(10)&amp;I637&amp;CHAR(10),H637)-LEN(SUBSTITUTE(LEFT(H637,SEARCH(CHAR(10)&amp;I637&amp;CHAR(10),H637)),CHAR(10),"")))-1)*100+1,100))),""))</f>
        <v/>
      </c>
      <c r="K637" s="80" t="str">
        <f t="array" ref="K637">IF(A637="","",IF(ISNUMBER(SEARCH("Land",LEFT(IFERROR(INDEX('Deck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37" s="80" t="str">
        <f t="shared" si="3"/>
        <v/>
      </c>
      <c r="M637" s="80" t="str">
        <f>IF(A637="","",IF(AND(E637="Y",B637='Use at Shop'!$B$4),K637*10000000000+(MAX(0,MIN(26,CODE(MID(UPPER(A637)&amp;"    ",1,1))-64))*19683+MAX(0,MIN(26,CODE(MID(UPPER(A637)&amp;"    ",2,1))-64))*729+MAX(0,MIN(26,CODE(MID(UPPER(A637)&amp;"    ",3,1))-64))*27+MAX(0,MIN(26,CODE(MID(UPPER(A637)&amp;"    ",4,1))-64))*1)*10000+ROW(),""))</f>
        <v/>
      </c>
      <c r="N637" s="80" t="str">
        <f t="shared" si="6"/>
        <v/>
      </c>
      <c r="O637" s="80" t="str">
        <f t="array" ref="O637">IF(A637="","",IFERROR(INDEX('Deck 2'!$A:$Z,ROW()-500,'List Setup'!$J$4)&amp;"",""))</f>
        <v/>
      </c>
      <c r="P637" s="2"/>
      <c r="Q637" s="80" t="str">
        <f>IF(A637="","",'List Setup'!$A$4)</f>
        <v/>
      </c>
      <c r="R637" s="80" t="str">
        <f t="array" ref="R637">IF(A637="","",IFERROR(OR(INDEX(Binders!$J$6:$J$30,MATCH(Q637,Binders!$I$6:$I$30,0))=TRUE(),UPPER(INDEX(Binders!$J$6:$J$30,MATCH(Q637,Binders!$I$6:$I$30,0))&amp;"")="TRUE"),FALSE()))</f>
        <v/>
      </c>
    </row>
    <row r="638" ht="15.75" customHeight="1">
      <c r="A638" s="80" t="str">
        <f t="array" ref="A638">IF(INDEX('Deck 2'!$A:$Z,ROW()-500,'List Setup'!$D$4)="","",INDEX('Deck 2'!$A:$Z,ROW()-500,'List Setup'!$D$4))</f>
        <v/>
      </c>
      <c r="B638" s="80" t="str">
        <f t="array" ref="B638">IF(A638="","",IFERROR(INDEX('Binder Setup'!$B$2:$B$401,MIN(IF(ISNUMBER(SEARCH(CHAR(10)&amp;'Binder Setup'!$B$2:$B$401&amp;CHAR(10),$H638)),'List Setup'!$Q$2:$Q$401,999),IF(ISNUMBER(SEARCH(CHAR(10)&amp;'Set Aliases'!$A$2:$A$501&amp;CHAR(10),$H638)),'Set Aliases'!$C$2:$C$501,999))),"(none)"))</f>
        <v/>
      </c>
      <c r="C638" s="80" t="str">
        <f t="shared" si="1"/>
        <v/>
      </c>
      <c r="D638" s="80" t="str">
        <f t="array" ref="D638">IF(A638="","",IF(ISLOGICAL(INDEX('Deck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38" s="80" t="str">
        <f t="shared" si="2"/>
        <v/>
      </c>
      <c r="F638" s="80" t="str">
        <f t="array" ref="F638">IF(A638="","",IF(ISNUMBER(J638),J638,IF(ISNUMBER(INDEX('Deck 2'!$A:$Z,ROW()-500,'List Setup'!$F$4)),INDEX('Deck 2'!$A:$Z,ROW()-500,'List Setup'!$F$4),0)))</f>
        <v/>
      </c>
      <c r="G638" s="80" t="str">
        <f t="array" ref="G638">IF(A638="","",A638&amp;IF(N(INDEX('Deck 2'!$A:$Z,ROW()-500,'List Setup'!$C$4))&gt;1," (x"&amp;INDEX('Deck 2'!$A:$Z,ROW()-500,'List Setup'!$C$4)&amp;")","")&amp;IF(COUNTIF(Binders!$J$6:$J$30,TRUE())&gt;1," ["&amp;Q638&amp;"]",""))</f>
        <v/>
      </c>
      <c r="H638" s="80" t="str">
        <f t="array" ref="H638">IF(A638="","",CHAR(10)&amp;INDEX('Deck 2'!$A:$Z,ROW()-500,'List Setup'!$E$4)&amp;CHAR(10))</f>
        <v/>
      </c>
      <c r="I638" s="80" t="str">
        <f t="array" ref="I638">IF(OR(B638="",B638="(none)"),"",IF(ISNUMBER(SEARCH(CHAR(10)&amp;B638&amp;CHAR(10),H638)),B638,IFERROR(INDEX('Set Aliases'!$A$2:$A$501,MATCH(1,('Set Aliases'!$B$2:$B$501=B638)*ISNUMBER(SEARCH(CHAR(10)&amp;'Set Aliases'!$A$2:$A$501&amp;CHAR(10),H638)),0)),"")))</f>
        <v/>
      </c>
      <c r="J638" s="80" t="str">
        <f t="array" ref="J638">IF(I638="","",IFERROR(VALUE(TRIM(MID(SUBSTITUTE(INDEX('Deck 2'!$A:$Z,ROW()-500,'List Setup'!$G$4),CHAR(10),REPT(" ",100)),((SEARCH(CHAR(10)&amp;I638&amp;CHAR(10),H638)-LEN(SUBSTITUTE(LEFT(H638,SEARCH(CHAR(10)&amp;I638&amp;CHAR(10),H638)),CHAR(10),"")))-1)*100+1,100))),""))</f>
        <v/>
      </c>
      <c r="K638" s="80" t="str">
        <f t="array" ref="K638">IF(A638="","",IF(ISNUMBER(SEARCH("Land",LEFT(IFERROR(INDEX('Deck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38" s="80" t="str">
        <f t="shared" si="3"/>
        <v/>
      </c>
      <c r="M638" s="80" t="str">
        <f>IF(A638="","",IF(AND(E638="Y",B638='Use at Shop'!$B$4),K638*10000000000+(MAX(0,MIN(26,CODE(MID(UPPER(A638)&amp;"    ",1,1))-64))*19683+MAX(0,MIN(26,CODE(MID(UPPER(A638)&amp;"    ",2,1))-64))*729+MAX(0,MIN(26,CODE(MID(UPPER(A638)&amp;"    ",3,1))-64))*27+MAX(0,MIN(26,CODE(MID(UPPER(A638)&amp;"    ",4,1))-64))*1)*10000+ROW(),""))</f>
        <v/>
      </c>
      <c r="N638" s="80" t="str">
        <f t="shared" si="6"/>
        <v/>
      </c>
      <c r="O638" s="80" t="str">
        <f t="array" ref="O638">IF(A638="","",IFERROR(INDEX('Deck 2'!$A:$Z,ROW()-500,'List Setup'!$J$4)&amp;"",""))</f>
        <v/>
      </c>
      <c r="P638" s="2"/>
      <c r="Q638" s="80" t="str">
        <f>IF(A638="","",'List Setup'!$A$4)</f>
        <v/>
      </c>
      <c r="R638" s="80" t="str">
        <f t="array" ref="R638">IF(A638="","",IFERROR(OR(INDEX(Binders!$J$6:$J$30,MATCH(Q638,Binders!$I$6:$I$30,0))=TRUE(),UPPER(INDEX(Binders!$J$6:$J$30,MATCH(Q638,Binders!$I$6:$I$30,0))&amp;"")="TRUE"),FALSE()))</f>
        <v/>
      </c>
    </row>
    <row r="639" ht="15.75" customHeight="1">
      <c r="A639" s="80" t="str">
        <f t="array" ref="A639">IF(INDEX('Deck 2'!$A:$Z,ROW()-500,'List Setup'!$D$4)="","",INDEX('Deck 2'!$A:$Z,ROW()-500,'List Setup'!$D$4))</f>
        <v/>
      </c>
      <c r="B639" s="80" t="str">
        <f t="array" ref="B639">IF(A639="","",IFERROR(INDEX('Binder Setup'!$B$2:$B$401,MIN(IF(ISNUMBER(SEARCH(CHAR(10)&amp;'Binder Setup'!$B$2:$B$401&amp;CHAR(10),$H639)),'List Setup'!$Q$2:$Q$401,999),IF(ISNUMBER(SEARCH(CHAR(10)&amp;'Set Aliases'!$A$2:$A$501&amp;CHAR(10),$H639)),'Set Aliases'!$C$2:$C$501,999))),"(none)"))</f>
        <v/>
      </c>
      <c r="C639" s="80" t="str">
        <f t="shared" si="1"/>
        <v/>
      </c>
      <c r="D639" s="80" t="str">
        <f t="array" ref="D639">IF(A639="","",IF(ISLOGICAL(INDEX('Deck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39" s="80" t="str">
        <f t="shared" si="2"/>
        <v/>
      </c>
      <c r="F639" s="80" t="str">
        <f t="array" ref="F639">IF(A639="","",IF(ISNUMBER(J639),J639,IF(ISNUMBER(INDEX('Deck 2'!$A:$Z,ROW()-500,'List Setup'!$F$4)),INDEX('Deck 2'!$A:$Z,ROW()-500,'List Setup'!$F$4),0)))</f>
        <v/>
      </c>
      <c r="G639" s="80" t="str">
        <f t="array" ref="G639">IF(A639="","",A639&amp;IF(N(INDEX('Deck 2'!$A:$Z,ROW()-500,'List Setup'!$C$4))&gt;1," (x"&amp;INDEX('Deck 2'!$A:$Z,ROW()-500,'List Setup'!$C$4)&amp;")","")&amp;IF(COUNTIF(Binders!$J$6:$J$30,TRUE())&gt;1," ["&amp;Q639&amp;"]",""))</f>
        <v/>
      </c>
      <c r="H639" s="80" t="str">
        <f t="array" ref="H639">IF(A639="","",CHAR(10)&amp;INDEX('Deck 2'!$A:$Z,ROW()-500,'List Setup'!$E$4)&amp;CHAR(10))</f>
        <v/>
      </c>
      <c r="I639" s="80" t="str">
        <f t="array" ref="I639">IF(OR(B639="",B639="(none)"),"",IF(ISNUMBER(SEARCH(CHAR(10)&amp;B639&amp;CHAR(10),H639)),B639,IFERROR(INDEX('Set Aliases'!$A$2:$A$501,MATCH(1,('Set Aliases'!$B$2:$B$501=B639)*ISNUMBER(SEARCH(CHAR(10)&amp;'Set Aliases'!$A$2:$A$501&amp;CHAR(10),H639)),0)),"")))</f>
        <v/>
      </c>
      <c r="J639" s="80" t="str">
        <f t="array" ref="J639">IF(I639="","",IFERROR(VALUE(TRIM(MID(SUBSTITUTE(INDEX('Deck 2'!$A:$Z,ROW()-500,'List Setup'!$G$4),CHAR(10),REPT(" ",100)),((SEARCH(CHAR(10)&amp;I639&amp;CHAR(10),H639)-LEN(SUBSTITUTE(LEFT(H639,SEARCH(CHAR(10)&amp;I639&amp;CHAR(10),H639)),CHAR(10),"")))-1)*100+1,100))),""))</f>
        <v/>
      </c>
      <c r="K639" s="80" t="str">
        <f t="array" ref="K639">IF(A639="","",IF(ISNUMBER(SEARCH("Land",LEFT(IFERROR(INDEX('Deck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39" s="80" t="str">
        <f t="shared" si="3"/>
        <v/>
      </c>
      <c r="M639" s="80" t="str">
        <f>IF(A639="","",IF(AND(E639="Y",B639='Use at Shop'!$B$4),K639*10000000000+(MAX(0,MIN(26,CODE(MID(UPPER(A639)&amp;"    ",1,1))-64))*19683+MAX(0,MIN(26,CODE(MID(UPPER(A639)&amp;"    ",2,1))-64))*729+MAX(0,MIN(26,CODE(MID(UPPER(A639)&amp;"    ",3,1))-64))*27+MAX(0,MIN(26,CODE(MID(UPPER(A639)&amp;"    ",4,1))-64))*1)*10000+ROW(),""))</f>
        <v/>
      </c>
      <c r="N639" s="80" t="str">
        <f t="shared" si="6"/>
        <v/>
      </c>
      <c r="O639" s="80" t="str">
        <f t="array" ref="O639">IF(A639="","",IFERROR(INDEX('Deck 2'!$A:$Z,ROW()-500,'List Setup'!$J$4)&amp;"",""))</f>
        <v/>
      </c>
      <c r="P639" s="2"/>
      <c r="Q639" s="80" t="str">
        <f>IF(A639="","",'List Setup'!$A$4)</f>
        <v/>
      </c>
      <c r="R639" s="80" t="str">
        <f t="array" ref="R639">IF(A639="","",IFERROR(OR(INDEX(Binders!$J$6:$J$30,MATCH(Q639,Binders!$I$6:$I$30,0))=TRUE(),UPPER(INDEX(Binders!$J$6:$J$30,MATCH(Q639,Binders!$I$6:$I$30,0))&amp;"")="TRUE"),FALSE()))</f>
        <v/>
      </c>
    </row>
    <row r="640" ht="15.75" customHeight="1">
      <c r="A640" s="80" t="str">
        <f t="array" ref="A640">IF(INDEX('Deck 2'!$A:$Z,ROW()-500,'List Setup'!$D$4)="","",INDEX('Deck 2'!$A:$Z,ROW()-500,'List Setup'!$D$4))</f>
        <v/>
      </c>
      <c r="B640" s="80" t="str">
        <f t="array" ref="B640">IF(A640="","",IFERROR(INDEX('Binder Setup'!$B$2:$B$401,MIN(IF(ISNUMBER(SEARCH(CHAR(10)&amp;'Binder Setup'!$B$2:$B$401&amp;CHAR(10),$H640)),'List Setup'!$Q$2:$Q$401,999),IF(ISNUMBER(SEARCH(CHAR(10)&amp;'Set Aliases'!$A$2:$A$501&amp;CHAR(10),$H640)),'Set Aliases'!$C$2:$C$501,999))),"(none)"))</f>
        <v/>
      </c>
      <c r="C640" s="80" t="str">
        <f t="shared" si="1"/>
        <v/>
      </c>
      <c r="D640" s="80" t="str">
        <f t="array" ref="D640">IF(A640="","",IF(ISLOGICAL(INDEX('Deck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40" s="80" t="str">
        <f t="shared" si="2"/>
        <v/>
      </c>
      <c r="F640" s="80" t="str">
        <f t="array" ref="F640">IF(A640="","",IF(ISNUMBER(J640),J640,IF(ISNUMBER(INDEX('Deck 2'!$A:$Z,ROW()-500,'List Setup'!$F$4)),INDEX('Deck 2'!$A:$Z,ROW()-500,'List Setup'!$F$4),0)))</f>
        <v/>
      </c>
      <c r="G640" s="80" t="str">
        <f t="array" ref="G640">IF(A640="","",A640&amp;IF(N(INDEX('Deck 2'!$A:$Z,ROW()-500,'List Setup'!$C$4))&gt;1," (x"&amp;INDEX('Deck 2'!$A:$Z,ROW()-500,'List Setup'!$C$4)&amp;")","")&amp;IF(COUNTIF(Binders!$J$6:$J$30,TRUE())&gt;1," ["&amp;Q640&amp;"]",""))</f>
        <v/>
      </c>
      <c r="H640" s="80" t="str">
        <f t="array" ref="H640">IF(A640="","",CHAR(10)&amp;INDEX('Deck 2'!$A:$Z,ROW()-500,'List Setup'!$E$4)&amp;CHAR(10))</f>
        <v/>
      </c>
      <c r="I640" s="80" t="str">
        <f t="array" ref="I640">IF(OR(B640="",B640="(none)"),"",IF(ISNUMBER(SEARCH(CHAR(10)&amp;B640&amp;CHAR(10),H640)),B640,IFERROR(INDEX('Set Aliases'!$A$2:$A$501,MATCH(1,('Set Aliases'!$B$2:$B$501=B640)*ISNUMBER(SEARCH(CHAR(10)&amp;'Set Aliases'!$A$2:$A$501&amp;CHAR(10),H640)),0)),"")))</f>
        <v/>
      </c>
      <c r="J640" s="80" t="str">
        <f t="array" ref="J640">IF(I640="","",IFERROR(VALUE(TRIM(MID(SUBSTITUTE(INDEX('Deck 2'!$A:$Z,ROW()-500,'List Setup'!$G$4),CHAR(10),REPT(" ",100)),((SEARCH(CHAR(10)&amp;I640&amp;CHAR(10),H640)-LEN(SUBSTITUTE(LEFT(H640,SEARCH(CHAR(10)&amp;I640&amp;CHAR(10),H640)),CHAR(10),"")))-1)*100+1,100))),""))</f>
        <v/>
      </c>
      <c r="K640" s="80" t="str">
        <f t="array" ref="K640">IF(A640="","",IF(ISNUMBER(SEARCH("Land",LEFT(IFERROR(INDEX('Deck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40" s="80" t="str">
        <f t="shared" si="3"/>
        <v/>
      </c>
      <c r="M640" s="80" t="str">
        <f>IF(A640="","",IF(AND(E640="Y",B640='Use at Shop'!$B$4),K640*10000000000+(MAX(0,MIN(26,CODE(MID(UPPER(A640)&amp;"    ",1,1))-64))*19683+MAX(0,MIN(26,CODE(MID(UPPER(A640)&amp;"    ",2,1))-64))*729+MAX(0,MIN(26,CODE(MID(UPPER(A640)&amp;"    ",3,1))-64))*27+MAX(0,MIN(26,CODE(MID(UPPER(A640)&amp;"    ",4,1))-64))*1)*10000+ROW(),""))</f>
        <v/>
      </c>
      <c r="N640" s="80" t="str">
        <f t="shared" si="6"/>
        <v/>
      </c>
      <c r="O640" s="80" t="str">
        <f t="array" ref="O640">IF(A640="","",IFERROR(INDEX('Deck 2'!$A:$Z,ROW()-500,'List Setup'!$J$4)&amp;"",""))</f>
        <v/>
      </c>
      <c r="P640" s="2"/>
      <c r="Q640" s="80" t="str">
        <f>IF(A640="","",'List Setup'!$A$4)</f>
        <v/>
      </c>
      <c r="R640" s="80" t="str">
        <f t="array" ref="R640">IF(A640="","",IFERROR(OR(INDEX(Binders!$J$6:$J$30,MATCH(Q640,Binders!$I$6:$I$30,0))=TRUE(),UPPER(INDEX(Binders!$J$6:$J$30,MATCH(Q640,Binders!$I$6:$I$30,0))&amp;"")="TRUE"),FALSE()))</f>
        <v/>
      </c>
    </row>
    <row r="641" ht="15.75" customHeight="1">
      <c r="A641" s="80" t="str">
        <f t="array" ref="A641">IF(INDEX('Deck 2'!$A:$Z,ROW()-500,'List Setup'!$D$4)="","",INDEX('Deck 2'!$A:$Z,ROW()-500,'List Setup'!$D$4))</f>
        <v/>
      </c>
      <c r="B641" s="80" t="str">
        <f t="array" ref="B641">IF(A641="","",IFERROR(INDEX('Binder Setup'!$B$2:$B$401,MIN(IF(ISNUMBER(SEARCH(CHAR(10)&amp;'Binder Setup'!$B$2:$B$401&amp;CHAR(10),$H641)),'List Setup'!$Q$2:$Q$401,999),IF(ISNUMBER(SEARCH(CHAR(10)&amp;'Set Aliases'!$A$2:$A$501&amp;CHAR(10),$H641)),'Set Aliases'!$C$2:$C$501,999))),"(none)"))</f>
        <v/>
      </c>
      <c r="C641" s="80" t="str">
        <f t="shared" si="1"/>
        <v/>
      </c>
      <c r="D641" s="80" t="str">
        <f t="array" ref="D641">IF(A641="","",IF(ISLOGICAL(INDEX('Deck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41" s="80" t="str">
        <f t="shared" si="2"/>
        <v/>
      </c>
      <c r="F641" s="80" t="str">
        <f t="array" ref="F641">IF(A641="","",IF(ISNUMBER(J641),J641,IF(ISNUMBER(INDEX('Deck 2'!$A:$Z,ROW()-500,'List Setup'!$F$4)),INDEX('Deck 2'!$A:$Z,ROW()-500,'List Setup'!$F$4),0)))</f>
        <v/>
      </c>
      <c r="G641" s="80" t="str">
        <f t="array" ref="G641">IF(A641="","",A641&amp;IF(N(INDEX('Deck 2'!$A:$Z,ROW()-500,'List Setup'!$C$4))&gt;1," (x"&amp;INDEX('Deck 2'!$A:$Z,ROW()-500,'List Setup'!$C$4)&amp;")","")&amp;IF(COUNTIF(Binders!$J$6:$J$30,TRUE())&gt;1," ["&amp;Q641&amp;"]",""))</f>
        <v/>
      </c>
      <c r="H641" s="80" t="str">
        <f t="array" ref="H641">IF(A641="","",CHAR(10)&amp;INDEX('Deck 2'!$A:$Z,ROW()-500,'List Setup'!$E$4)&amp;CHAR(10))</f>
        <v/>
      </c>
      <c r="I641" s="80" t="str">
        <f t="array" ref="I641">IF(OR(B641="",B641="(none)"),"",IF(ISNUMBER(SEARCH(CHAR(10)&amp;B641&amp;CHAR(10),H641)),B641,IFERROR(INDEX('Set Aliases'!$A$2:$A$501,MATCH(1,('Set Aliases'!$B$2:$B$501=B641)*ISNUMBER(SEARCH(CHAR(10)&amp;'Set Aliases'!$A$2:$A$501&amp;CHAR(10),H641)),0)),"")))</f>
        <v/>
      </c>
      <c r="J641" s="80" t="str">
        <f t="array" ref="J641">IF(I641="","",IFERROR(VALUE(TRIM(MID(SUBSTITUTE(INDEX('Deck 2'!$A:$Z,ROW()-500,'List Setup'!$G$4),CHAR(10),REPT(" ",100)),((SEARCH(CHAR(10)&amp;I641&amp;CHAR(10),H641)-LEN(SUBSTITUTE(LEFT(H641,SEARCH(CHAR(10)&amp;I641&amp;CHAR(10),H641)),CHAR(10),"")))-1)*100+1,100))),""))</f>
        <v/>
      </c>
      <c r="K641" s="80" t="str">
        <f t="array" ref="K641">IF(A641="","",IF(ISNUMBER(SEARCH("Land",LEFT(IFERROR(INDEX('Deck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41" s="80" t="str">
        <f t="shared" si="3"/>
        <v/>
      </c>
      <c r="M641" s="80" t="str">
        <f>IF(A641="","",IF(AND(E641="Y",B641='Use at Shop'!$B$4),K641*10000000000+(MAX(0,MIN(26,CODE(MID(UPPER(A641)&amp;"    ",1,1))-64))*19683+MAX(0,MIN(26,CODE(MID(UPPER(A641)&amp;"    ",2,1))-64))*729+MAX(0,MIN(26,CODE(MID(UPPER(A641)&amp;"    ",3,1))-64))*27+MAX(0,MIN(26,CODE(MID(UPPER(A641)&amp;"    ",4,1))-64))*1)*10000+ROW(),""))</f>
        <v/>
      </c>
      <c r="N641" s="80" t="str">
        <f t="shared" si="6"/>
        <v/>
      </c>
      <c r="O641" s="80" t="str">
        <f t="array" ref="O641">IF(A641="","",IFERROR(INDEX('Deck 2'!$A:$Z,ROW()-500,'List Setup'!$J$4)&amp;"",""))</f>
        <v/>
      </c>
      <c r="P641" s="2"/>
      <c r="Q641" s="80" t="str">
        <f>IF(A641="","",'List Setup'!$A$4)</f>
        <v/>
      </c>
      <c r="R641" s="80" t="str">
        <f t="array" ref="R641">IF(A641="","",IFERROR(OR(INDEX(Binders!$J$6:$J$30,MATCH(Q641,Binders!$I$6:$I$30,0))=TRUE(),UPPER(INDEX(Binders!$J$6:$J$30,MATCH(Q641,Binders!$I$6:$I$30,0))&amp;"")="TRUE"),FALSE()))</f>
        <v/>
      </c>
    </row>
    <row r="642" ht="15.75" customHeight="1">
      <c r="A642" s="80" t="str">
        <f t="array" ref="A642">IF(INDEX('Deck 2'!$A:$Z,ROW()-500,'List Setup'!$D$4)="","",INDEX('Deck 2'!$A:$Z,ROW()-500,'List Setup'!$D$4))</f>
        <v/>
      </c>
      <c r="B642" s="80" t="str">
        <f t="array" ref="B642">IF(A642="","",IFERROR(INDEX('Binder Setup'!$B$2:$B$401,MIN(IF(ISNUMBER(SEARCH(CHAR(10)&amp;'Binder Setup'!$B$2:$B$401&amp;CHAR(10),$H642)),'List Setup'!$Q$2:$Q$401,999),IF(ISNUMBER(SEARCH(CHAR(10)&amp;'Set Aliases'!$A$2:$A$501&amp;CHAR(10),$H642)),'Set Aliases'!$C$2:$C$501,999))),"(none)"))</f>
        <v/>
      </c>
      <c r="C642" s="80" t="str">
        <f t="shared" si="1"/>
        <v/>
      </c>
      <c r="D642" s="80" t="str">
        <f t="array" ref="D642">IF(A642="","",IF(ISLOGICAL(INDEX('Deck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42" s="80" t="str">
        <f t="shared" si="2"/>
        <v/>
      </c>
      <c r="F642" s="80" t="str">
        <f t="array" ref="F642">IF(A642="","",IF(ISNUMBER(J642),J642,IF(ISNUMBER(INDEX('Deck 2'!$A:$Z,ROW()-500,'List Setup'!$F$4)),INDEX('Deck 2'!$A:$Z,ROW()-500,'List Setup'!$F$4),0)))</f>
        <v/>
      </c>
      <c r="G642" s="80" t="str">
        <f t="array" ref="G642">IF(A642="","",A642&amp;IF(N(INDEX('Deck 2'!$A:$Z,ROW()-500,'List Setup'!$C$4))&gt;1," (x"&amp;INDEX('Deck 2'!$A:$Z,ROW()-500,'List Setup'!$C$4)&amp;")","")&amp;IF(COUNTIF(Binders!$J$6:$J$30,TRUE())&gt;1," ["&amp;Q642&amp;"]",""))</f>
        <v/>
      </c>
      <c r="H642" s="80" t="str">
        <f t="array" ref="H642">IF(A642="","",CHAR(10)&amp;INDEX('Deck 2'!$A:$Z,ROW()-500,'List Setup'!$E$4)&amp;CHAR(10))</f>
        <v/>
      </c>
      <c r="I642" s="80" t="str">
        <f t="array" ref="I642">IF(OR(B642="",B642="(none)"),"",IF(ISNUMBER(SEARCH(CHAR(10)&amp;B642&amp;CHAR(10),H642)),B642,IFERROR(INDEX('Set Aliases'!$A$2:$A$501,MATCH(1,('Set Aliases'!$B$2:$B$501=B642)*ISNUMBER(SEARCH(CHAR(10)&amp;'Set Aliases'!$A$2:$A$501&amp;CHAR(10),H642)),0)),"")))</f>
        <v/>
      </c>
      <c r="J642" s="80" t="str">
        <f t="array" ref="J642">IF(I642="","",IFERROR(VALUE(TRIM(MID(SUBSTITUTE(INDEX('Deck 2'!$A:$Z,ROW()-500,'List Setup'!$G$4),CHAR(10),REPT(" ",100)),((SEARCH(CHAR(10)&amp;I642&amp;CHAR(10),H642)-LEN(SUBSTITUTE(LEFT(H642,SEARCH(CHAR(10)&amp;I642&amp;CHAR(10),H642)),CHAR(10),"")))-1)*100+1,100))),""))</f>
        <v/>
      </c>
      <c r="K642" s="80" t="str">
        <f t="array" ref="K642">IF(A642="","",IF(ISNUMBER(SEARCH("Land",LEFT(IFERROR(INDEX('Deck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42" s="80" t="str">
        <f t="shared" si="3"/>
        <v/>
      </c>
      <c r="M642" s="80" t="str">
        <f>IF(A642="","",IF(AND(E642="Y",B642='Use at Shop'!$B$4),K642*10000000000+(MAX(0,MIN(26,CODE(MID(UPPER(A642)&amp;"    ",1,1))-64))*19683+MAX(0,MIN(26,CODE(MID(UPPER(A642)&amp;"    ",2,1))-64))*729+MAX(0,MIN(26,CODE(MID(UPPER(A642)&amp;"    ",3,1))-64))*27+MAX(0,MIN(26,CODE(MID(UPPER(A642)&amp;"    ",4,1))-64))*1)*10000+ROW(),""))</f>
        <v/>
      </c>
      <c r="N642" s="80" t="str">
        <f t="shared" si="6"/>
        <v/>
      </c>
      <c r="O642" s="80" t="str">
        <f t="array" ref="O642">IF(A642="","",IFERROR(INDEX('Deck 2'!$A:$Z,ROW()-500,'List Setup'!$J$4)&amp;"",""))</f>
        <v/>
      </c>
      <c r="P642" s="2"/>
      <c r="Q642" s="80" t="str">
        <f>IF(A642="","",'List Setup'!$A$4)</f>
        <v/>
      </c>
      <c r="R642" s="80" t="str">
        <f t="array" ref="R642">IF(A642="","",IFERROR(OR(INDEX(Binders!$J$6:$J$30,MATCH(Q642,Binders!$I$6:$I$30,0))=TRUE(),UPPER(INDEX(Binders!$J$6:$J$30,MATCH(Q642,Binders!$I$6:$I$30,0))&amp;"")="TRUE"),FALSE()))</f>
        <v/>
      </c>
    </row>
    <row r="643" ht="15.75" customHeight="1">
      <c r="A643" s="80" t="str">
        <f t="array" ref="A643">IF(INDEX('Deck 2'!$A:$Z,ROW()-500,'List Setup'!$D$4)="","",INDEX('Deck 2'!$A:$Z,ROW()-500,'List Setup'!$D$4))</f>
        <v/>
      </c>
      <c r="B643" s="80" t="str">
        <f t="array" ref="B643">IF(A643="","",IFERROR(INDEX('Binder Setup'!$B$2:$B$401,MIN(IF(ISNUMBER(SEARCH(CHAR(10)&amp;'Binder Setup'!$B$2:$B$401&amp;CHAR(10),$H643)),'List Setup'!$Q$2:$Q$401,999),IF(ISNUMBER(SEARCH(CHAR(10)&amp;'Set Aliases'!$A$2:$A$501&amp;CHAR(10),$H643)),'Set Aliases'!$C$2:$C$501,999))),"(none)"))</f>
        <v/>
      </c>
      <c r="C643" s="80" t="str">
        <f t="shared" si="1"/>
        <v/>
      </c>
      <c r="D643" s="80" t="str">
        <f t="array" ref="D643">IF(A643="","",IF(ISLOGICAL(INDEX('Deck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43" s="80" t="str">
        <f t="shared" si="2"/>
        <v/>
      </c>
      <c r="F643" s="80" t="str">
        <f t="array" ref="F643">IF(A643="","",IF(ISNUMBER(J643),J643,IF(ISNUMBER(INDEX('Deck 2'!$A:$Z,ROW()-500,'List Setup'!$F$4)),INDEX('Deck 2'!$A:$Z,ROW()-500,'List Setup'!$F$4),0)))</f>
        <v/>
      </c>
      <c r="G643" s="80" t="str">
        <f t="array" ref="G643">IF(A643="","",A643&amp;IF(N(INDEX('Deck 2'!$A:$Z,ROW()-500,'List Setup'!$C$4))&gt;1," (x"&amp;INDEX('Deck 2'!$A:$Z,ROW()-500,'List Setup'!$C$4)&amp;")","")&amp;IF(COUNTIF(Binders!$J$6:$J$30,TRUE())&gt;1," ["&amp;Q643&amp;"]",""))</f>
        <v/>
      </c>
      <c r="H643" s="80" t="str">
        <f t="array" ref="H643">IF(A643="","",CHAR(10)&amp;INDEX('Deck 2'!$A:$Z,ROW()-500,'List Setup'!$E$4)&amp;CHAR(10))</f>
        <v/>
      </c>
      <c r="I643" s="80" t="str">
        <f t="array" ref="I643">IF(OR(B643="",B643="(none)"),"",IF(ISNUMBER(SEARCH(CHAR(10)&amp;B643&amp;CHAR(10),H643)),B643,IFERROR(INDEX('Set Aliases'!$A$2:$A$501,MATCH(1,('Set Aliases'!$B$2:$B$501=B643)*ISNUMBER(SEARCH(CHAR(10)&amp;'Set Aliases'!$A$2:$A$501&amp;CHAR(10),H643)),0)),"")))</f>
        <v/>
      </c>
      <c r="J643" s="80" t="str">
        <f t="array" ref="J643">IF(I643="","",IFERROR(VALUE(TRIM(MID(SUBSTITUTE(INDEX('Deck 2'!$A:$Z,ROW()-500,'List Setup'!$G$4),CHAR(10),REPT(" ",100)),((SEARCH(CHAR(10)&amp;I643&amp;CHAR(10),H643)-LEN(SUBSTITUTE(LEFT(H643,SEARCH(CHAR(10)&amp;I643&amp;CHAR(10),H643)),CHAR(10),"")))-1)*100+1,100))),""))</f>
        <v/>
      </c>
      <c r="K643" s="80" t="str">
        <f t="array" ref="K643">IF(A643="","",IF(ISNUMBER(SEARCH("Land",LEFT(IFERROR(INDEX('Deck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43" s="80" t="str">
        <f t="shared" si="3"/>
        <v/>
      </c>
      <c r="M643" s="80" t="str">
        <f>IF(A643="","",IF(AND(E643="Y",B643='Use at Shop'!$B$4),K643*10000000000+(MAX(0,MIN(26,CODE(MID(UPPER(A643)&amp;"    ",1,1))-64))*19683+MAX(0,MIN(26,CODE(MID(UPPER(A643)&amp;"    ",2,1))-64))*729+MAX(0,MIN(26,CODE(MID(UPPER(A643)&amp;"    ",3,1))-64))*27+MAX(0,MIN(26,CODE(MID(UPPER(A643)&amp;"    ",4,1))-64))*1)*10000+ROW(),""))</f>
        <v/>
      </c>
      <c r="N643" s="80" t="str">
        <f t="shared" si="6"/>
        <v/>
      </c>
      <c r="O643" s="80" t="str">
        <f t="array" ref="O643">IF(A643="","",IFERROR(INDEX('Deck 2'!$A:$Z,ROW()-500,'List Setup'!$J$4)&amp;"",""))</f>
        <v/>
      </c>
      <c r="P643" s="2"/>
      <c r="Q643" s="80" t="str">
        <f>IF(A643="","",'List Setup'!$A$4)</f>
        <v/>
      </c>
      <c r="R643" s="80" t="str">
        <f t="array" ref="R643">IF(A643="","",IFERROR(OR(INDEX(Binders!$J$6:$J$30,MATCH(Q643,Binders!$I$6:$I$30,0))=TRUE(),UPPER(INDEX(Binders!$J$6:$J$30,MATCH(Q643,Binders!$I$6:$I$30,0))&amp;"")="TRUE"),FALSE()))</f>
        <v/>
      </c>
    </row>
    <row r="644" ht="15.75" customHeight="1">
      <c r="A644" s="80" t="str">
        <f t="array" ref="A644">IF(INDEX('Deck 2'!$A:$Z,ROW()-500,'List Setup'!$D$4)="","",INDEX('Deck 2'!$A:$Z,ROW()-500,'List Setup'!$D$4))</f>
        <v/>
      </c>
      <c r="B644" s="80" t="str">
        <f t="array" ref="B644">IF(A644="","",IFERROR(INDEX('Binder Setup'!$B$2:$B$401,MIN(IF(ISNUMBER(SEARCH(CHAR(10)&amp;'Binder Setup'!$B$2:$B$401&amp;CHAR(10),$H644)),'List Setup'!$Q$2:$Q$401,999),IF(ISNUMBER(SEARCH(CHAR(10)&amp;'Set Aliases'!$A$2:$A$501&amp;CHAR(10),$H644)),'Set Aliases'!$C$2:$C$501,999))),"(none)"))</f>
        <v/>
      </c>
      <c r="C644" s="80" t="str">
        <f t="shared" si="1"/>
        <v/>
      </c>
      <c r="D644" s="80" t="str">
        <f t="array" ref="D644">IF(A644="","",IF(ISLOGICAL(INDEX('Deck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44" s="80" t="str">
        <f t="shared" si="2"/>
        <v/>
      </c>
      <c r="F644" s="80" t="str">
        <f t="array" ref="F644">IF(A644="","",IF(ISNUMBER(J644),J644,IF(ISNUMBER(INDEX('Deck 2'!$A:$Z,ROW()-500,'List Setup'!$F$4)),INDEX('Deck 2'!$A:$Z,ROW()-500,'List Setup'!$F$4),0)))</f>
        <v/>
      </c>
      <c r="G644" s="80" t="str">
        <f t="array" ref="G644">IF(A644="","",A644&amp;IF(N(INDEX('Deck 2'!$A:$Z,ROW()-500,'List Setup'!$C$4))&gt;1," (x"&amp;INDEX('Deck 2'!$A:$Z,ROW()-500,'List Setup'!$C$4)&amp;")","")&amp;IF(COUNTIF(Binders!$J$6:$J$30,TRUE())&gt;1," ["&amp;Q644&amp;"]",""))</f>
        <v/>
      </c>
      <c r="H644" s="80" t="str">
        <f t="array" ref="H644">IF(A644="","",CHAR(10)&amp;INDEX('Deck 2'!$A:$Z,ROW()-500,'List Setup'!$E$4)&amp;CHAR(10))</f>
        <v/>
      </c>
      <c r="I644" s="80" t="str">
        <f t="array" ref="I644">IF(OR(B644="",B644="(none)"),"",IF(ISNUMBER(SEARCH(CHAR(10)&amp;B644&amp;CHAR(10),H644)),B644,IFERROR(INDEX('Set Aliases'!$A$2:$A$501,MATCH(1,('Set Aliases'!$B$2:$B$501=B644)*ISNUMBER(SEARCH(CHAR(10)&amp;'Set Aliases'!$A$2:$A$501&amp;CHAR(10),H644)),0)),"")))</f>
        <v/>
      </c>
      <c r="J644" s="80" t="str">
        <f t="array" ref="J644">IF(I644="","",IFERROR(VALUE(TRIM(MID(SUBSTITUTE(INDEX('Deck 2'!$A:$Z,ROW()-500,'List Setup'!$G$4),CHAR(10),REPT(" ",100)),((SEARCH(CHAR(10)&amp;I644&amp;CHAR(10),H644)-LEN(SUBSTITUTE(LEFT(H644,SEARCH(CHAR(10)&amp;I644&amp;CHAR(10),H644)),CHAR(10),"")))-1)*100+1,100))),""))</f>
        <v/>
      </c>
      <c r="K644" s="80" t="str">
        <f t="array" ref="K644">IF(A644="","",IF(ISNUMBER(SEARCH("Land",LEFT(IFERROR(INDEX('Deck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44" s="80" t="str">
        <f t="shared" si="3"/>
        <v/>
      </c>
      <c r="M644" s="80" t="str">
        <f>IF(A644="","",IF(AND(E644="Y",B644='Use at Shop'!$B$4),K644*10000000000+(MAX(0,MIN(26,CODE(MID(UPPER(A644)&amp;"    ",1,1))-64))*19683+MAX(0,MIN(26,CODE(MID(UPPER(A644)&amp;"    ",2,1))-64))*729+MAX(0,MIN(26,CODE(MID(UPPER(A644)&amp;"    ",3,1))-64))*27+MAX(0,MIN(26,CODE(MID(UPPER(A644)&amp;"    ",4,1))-64))*1)*10000+ROW(),""))</f>
        <v/>
      </c>
      <c r="N644" s="80" t="str">
        <f t="shared" si="6"/>
        <v/>
      </c>
      <c r="O644" s="80" t="str">
        <f t="array" ref="O644">IF(A644="","",IFERROR(INDEX('Deck 2'!$A:$Z,ROW()-500,'List Setup'!$J$4)&amp;"",""))</f>
        <v/>
      </c>
      <c r="P644" s="2"/>
      <c r="Q644" s="80" t="str">
        <f>IF(A644="","",'List Setup'!$A$4)</f>
        <v/>
      </c>
      <c r="R644" s="80" t="str">
        <f t="array" ref="R644">IF(A644="","",IFERROR(OR(INDEX(Binders!$J$6:$J$30,MATCH(Q644,Binders!$I$6:$I$30,0))=TRUE(),UPPER(INDEX(Binders!$J$6:$J$30,MATCH(Q644,Binders!$I$6:$I$30,0))&amp;"")="TRUE"),FALSE()))</f>
        <v/>
      </c>
    </row>
    <row r="645" ht="15.75" customHeight="1">
      <c r="A645" s="80" t="str">
        <f t="array" ref="A645">IF(INDEX('Deck 2'!$A:$Z,ROW()-500,'List Setup'!$D$4)="","",INDEX('Deck 2'!$A:$Z,ROW()-500,'List Setup'!$D$4))</f>
        <v/>
      </c>
      <c r="B645" s="80" t="str">
        <f t="array" ref="B645">IF(A645="","",IFERROR(INDEX('Binder Setup'!$B$2:$B$401,MIN(IF(ISNUMBER(SEARCH(CHAR(10)&amp;'Binder Setup'!$B$2:$B$401&amp;CHAR(10),$H645)),'List Setup'!$Q$2:$Q$401,999),IF(ISNUMBER(SEARCH(CHAR(10)&amp;'Set Aliases'!$A$2:$A$501&amp;CHAR(10),$H645)),'Set Aliases'!$C$2:$C$501,999))),"(none)"))</f>
        <v/>
      </c>
      <c r="C645" s="80" t="str">
        <f t="shared" si="1"/>
        <v/>
      </c>
      <c r="D645" s="80" t="str">
        <f t="array" ref="D645">IF(A645="","",IF(ISLOGICAL(INDEX('Deck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45" s="80" t="str">
        <f t="shared" si="2"/>
        <v/>
      </c>
      <c r="F645" s="80" t="str">
        <f t="array" ref="F645">IF(A645="","",IF(ISNUMBER(J645),J645,IF(ISNUMBER(INDEX('Deck 2'!$A:$Z,ROW()-500,'List Setup'!$F$4)),INDEX('Deck 2'!$A:$Z,ROW()-500,'List Setup'!$F$4),0)))</f>
        <v/>
      </c>
      <c r="G645" s="80" t="str">
        <f t="array" ref="G645">IF(A645="","",A645&amp;IF(N(INDEX('Deck 2'!$A:$Z,ROW()-500,'List Setup'!$C$4))&gt;1," (x"&amp;INDEX('Deck 2'!$A:$Z,ROW()-500,'List Setup'!$C$4)&amp;")","")&amp;IF(COUNTIF(Binders!$J$6:$J$30,TRUE())&gt;1," ["&amp;Q645&amp;"]",""))</f>
        <v/>
      </c>
      <c r="H645" s="80" t="str">
        <f t="array" ref="H645">IF(A645="","",CHAR(10)&amp;INDEX('Deck 2'!$A:$Z,ROW()-500,'List Setup'!$E$4)&amp;CHAR(10))</f>
        <v/>
      </c>
      <c r="I645" s="80" t="str">
        <f t="array" ref="I645">IF(OR(B645="",B645="(none)"),"",IF(ISNUMBER(SEARCH(CHAR(10)&amp;B645&amp;CHAR(10),H645)),B645,IFERROR(INDEX('Set Aliases'!$A$2:$A$501,MATCH(1,('Set Aliases'!$B$2:$B$501=B645)*ISNUMBER(SEARCH(CHAR(10)&amp;'Set Aliases'!$A$2:$A$501&amp;CHAR(10),H645)),0)),"")))</f>
        <v/>
      </c>
      <c r="J645" s="80" t="str">
        <f t="array" ref="J645">IF(I645="","",IFERROR(VALUE(TRIM(MID(SUBSTITUTE(INDEX('Deck 2'!$A:$Z,ROW()-500,'List Setup'!$G$4),CHAR(10),REPT(" ",100)),((SEARCH(CHAR(10)&amp;I645&amp;CHAR(10),H645)-LEN(SUBSTITUTE(LEFT(H645,SEARCH(CHAR(10)&amp;I645&amp;CHAR(10),H645)),CHAR(10),"")))-1)*100+1,100))),""))</f>
        <v/>
      </c>
      <c r="K645" s="80" t="str">
        <f t="array" ref="K645">IF(A645="","",IF(ISNUMBER(SEARCH("Land",LEFT(IFERROR(INDEX('Deck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45" s="80" t="str">
        <f t="shared" si="3"/>
        <v/>
      </c>
      <c r="M645" s="80" t="str">
        <f>IF(A645="","",IF(AND(E645="Y",B645='Use at Shop'!$B$4),K645*10000000000+(MAX(0,MIN(26,CODE(MID(UPPER(A645)&amp;"    ",1,1))-64))*19683+MAX(0,MIN(26,CODE(MID(UPPER(A645)&amp;"    ",2,1))-64))*729+MAX(0,MIN(26,CODE(MID(UPPER(A645)&amp;"    ",3,1))-64))*27+MAX(0,MIN(26,CODE(MID(UPPER(A645)&amp;"    ",4,1))-64))*1)*10000+ROW(),""))</f>
        <v/>
      </c>
      <c r="N645" s="80" t="str">
        <f t="shared" si="6"/>
        <v/>
      </c>
      <c r="O645" s="80" t="str">
        <f t="array" ref="O645">IF(A645="","",IFERROR(INDEX('Deck 2'!$A:$Z,ROW()-500,'List Setup'!$J$4)&amp;"",""))</f>
        <v/>
      </c>
      <c r="P645" s="2"/>
      <c r="Q645" s="80" t="str">
        <f>IF(A645="","",'List Setup'!$A$4)</f>
        <v/>
      </c>
      <c r="R645" s="80" t="str">
        <f t="array" ref="R645">IF(A645="","",IFERROR(OR(INDEX(Binders!$J$6:$J$30,MATCH(Q645,Binders!$I$6:$I$30,0))=TRUE(),UPPER(INDEX(Binders!$J$6:$J$30,MATCH(Q645,Binders!$I$6:$I$30,0))&amp;"")="TRUE"),FALSE()))</f>
        <v/>
      </c>
    </row>
    <row r="646" ht="15.75" customHeight="1">
      <c r="A646" s="80" t="str">
        <f t="array" ref="A646">IF(INDEX('Deck 2'!$A:$Z,ROW()-500,'List Setup'!$D$4)="","",INDEX('Deck 2'!$A:$Z,ROW()-500,'List Setup'!$D$4))</f>
        <v/>
      </c>
      <c r="B646" s="80" t="str">
        <f t="array" ref="B646">IF(A646="","",IFERROR(INDEX('Binder Setup'!$B$2:$B$401,MIN(IF(ISNUMBER(SEARCH(CHAR(10)&amp;'Binder Setup'!$B$2:$B$401&amp;CHAR(10),$H646)),'List Setup'!$Q$2:$Q$401,999),IF(ISNUMBER(SEARCH(CHAR(10)&amp;'Set Aliases'!$A$2:$A$501&amp;CHAR(10),$H646)),'Set Aliases'!$C$2:$C$501,999))),"(none)"))</f>
        <v/>
      </c>
      <c r="C646" s="80" t="str">
        <f t="shared" si="1"/>
        <v/>
      </c>
      <c r="D646" s="80" t="str">
        <f t="array" ref="D646">IF(A646="","",IF(ISLOGICAL(INDEX('Deck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46" s="80" t="str">
        <f t="shared" si="2"/>
        <v/>
      </c>
      <c r="F646" s="80" t="str">
        <f t="array" ref="F646">IF(A646="","",IF(ISNUMBER(J646),J646,IF(ISNUMBER(INDEX('Deck 2'!$A:$Z,ROW()-500,'List Setup'!$F$4)),INDEX('Deck 2'!$A:$Z,ROW()-500,'List Setup'!$F$4),0)))</f>
        <v/>
      </c>
      <c r="G646" s="80" t="str">
        <f t="array" ref="G646">IF(A646="","",A646&amp;IF(N(INDEX('Deck 2'!$A:$Z,ROW()-500,'List Setup'!$C$4))&gt;1," (x"&amp;INDEX('Deck 2'!$A:$Z,ROW()-500,'List Setup'!$C$4)&amp;")","")&amp;IF(COUNTIF(Binders!$J$6:$J$30,TRUE())&gt;1," ["&amp;Q646&amp;"]",""))</f>
        <v/>
      </c>
      <c r="H646" s="80" t="str">
        <f t="array" ref="H646">IF(A646="","",CHAR(10)&amp;INDEX('Deck 2'!$A:$Z,ROW()-500,'List Setup'!$E$4)&amp;CHAR(10))</f>
        <v/>
      </c>
      <c r="I646" s="80" t="str">
        <f t="array" ref="I646">IF(OR(B646="",B646="(none)"),"",IF(ISNUMBER(SEARCH(CHAR(10)&amp;B646&amp;CHAR(10),H646)),B646,IFERROR(INDEX('Set Aliases'!$A$2:$A$501,MATCH(1,('Set Aliases'!$B$2:$B$501=B646)*ISNUMBER(SEARCH(CHAR(10)&amp;'Set Aliases'!$A$2:$A$501&amp;CHAR(10),H646)),0)),"")))</f>
        <v/>
      </c>
      <c r="J646" s="80" t="str">
        <f t="array" ref="J646">IF(I646="","",IFERROR(VALUE(TRIM(MID(SUBSTITUTE(INDEX('Deck 2'!$A:$Z,ROW()-500,'List Setup'!$G$4),CHAR(10),REPT(" ",100)),((SEARCH(CHAR(10)&amp;I646&amp;CHAR(10),H646)-LEN(SUBSTITUTE(LEFT(H646,SEARCH(CHAR(10)&amp;I646&amp;CHAR(10),H646)),CHAR(10),"")))-1)*100+1,100))),""))</f>
        <v/>
      </c>
      <c r="K646" s="80" t="str">
        <f t="array" ref="K646">IF(A646="","",IF(ISNUMBER(SEARCH("Land",LEFT(IFERROR(INDEX('Deck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46" s="80" t="str">
        <f t="shared" si="3"/>
        <v/>
      </c>
      <c r="M646" s="80" t="str">
        <f>IF(A646="","",IF(AND(E646="Y",B646='Use at Shop'!$B$4),K646*10000000000+(MAX(0,MIN(26,CODE(MID(UPPER(A646)&amp;"    ",1,1))-64))*19683+MAX(0,MIN(26,CODE(MID(UPPER(A646)&amp;"    ",2,1))-64))*729+MAX(0,MIN(26,CODE(MID(UPPER(A646)&amp;"    ",3,1))-64))*27+MAX(0,MIN(26,CODE(MID(UPPER(A646)&amp;"    ",4,1))-64))*1)*10000+ROW(),""))</f>
        <v/>
      </c>
      <c r="N646" s="80" t="str">
        <f t="shared" si="6"/>
        <v/>
      </c>
      <c r="O646" s="80" t="str">
        <f t="array" ref="O646">IF(A646="","",IFERROR(INDEX('Deck 2'!$A:$Z,ROW()-500,'List Setup'!$J$4)&amp;"",""))</f>
        <v/>
      </c>
      <c r="P646" s="2"/>
      <c r="Q646" s="80" t="str">
        <f>IF(A646="","",'List Setup'!$A$4)</f>
        <v/>
      </c>
      <c r="R646" s="80" t="str">
        <f t="array" ref="R646">IF(A646="","",IFERROR(OR(INDEX(Binders!$J$6:$J$30,MATCH(Q646,Binders!$I$6:$I$30,0))=TRUE(),UPPER(INDEX(Binders!$J$6:$J$30,MATCH(Q646,Binders!$I$6:$I$30,0))&amp;"")="TRUE"),FALSE()))</f>
        <v/>
      </c>
    </row>
    <row r="647" ht="15.75" customHeight="1">
      <c r="A647" s="80" t="str">
        <f t="array" ref="A647">IF(INDEX('Deck 2'!$A:$Z,ROW()-500,'List Setup'!$D$4)="","",INDEX('Deck 2'!$A:$Z,ROW()-500,'List Setup'!$D$4))</f>
        <v/>
      </c>
      <c r="B647" s="80" t="str">
        <f t="array" ref="B647">IF(A647="","",IFERROR(INDEX('Binder Setup'!$B$2:$B$401,MIN(IF(ISNUMBER(SEARCH(CHAR(10)&amp;'Binder Setup'!$B$2:$B$401&amp;CHAR(10),$H647)),'List Setup'!$Q$2:$Q$401,999),IF(ISNUMBER(SEARCH(CHAR(10)&amp;'Set Aliases'!$A$2:$A$501&amp;CHAR(10),$H647)),'Set Aliases'!$C$2:$C$501,999))),"(none)"))</f>
        <v/>
      </c>
      <c r="C647" s="80" t="str">
        <f t="shared" si="1"/>
        <v/>
      </c>
      <c r="D647" s="80" t="str">
        <f t="array" ref="D647">IF(A647="","",IF(ISLOGICAL(INDEX('Deck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47" s="80" t="str">
        <f t="shared" si="2"/>
        <v/>
      </c>
      <c r="F647" s="80" t="str">
        <f t="array" ref="F647">IF(A647="","",IF(ISNUMBER(J647),J647,IF(ISNUMBER(INDEX('Deck 2'!$A:$Z,ROW()-500,'List Setup'!$F$4)),INDEX('Deck 2'!$A:$Z,ROW()-500,'List Setup'!$F$4),0)))</f>
        <v/>
      </c>
      <c r="G647" s="80" t="str">
        <f t="array" ref="G647">IF(A647="","",A647&amp;IF(N(INDEX('Deck 2'!$A:$Z,ROW()-500,'List Setup'!$C$4))&gt;1," (x"&amp;INDEX('Deck 2'!$A:$Z,ROW()-500,'List Setup'!$C$4)&amp;")","")&amp;IF(COUNTIF(Binders!$J$6:$J$30,TRUE())&gt;1," ["&amp;Q647&amp;"]",""))</f>
        <v/>
      </c>
      <c r="H647" s="80" t="str">
        <f t="array" ref="H647">IF(A647="","",CHAR(10)&amp;INDEX('Deck 2'!$A:$Z,ROW()-500,'List Setup'!$E$4)&amp;CHAR(10))</f>
        <v/>
      </c>
      <c r="I647" s="80" t="str">
        <f t="array" ref="I647">IF(OR(B647="",B647="(none)"),"",IF(ISNUMBER(SEARCH(CHAR(10)&amp;B647&amp;CHAR(10),H647)),B647,IFERROR(INDEX('Set Aliases'!$A$2:$A$501,MATCH(1,('Set Aliases'!$B$2:$B$501=B647)*ISNUMBER(SEARCH(CHAR(10)&amp;'Set Aliases'!$A$2:$A$501&amp;CHAR(10),H647)),0)),"")))</f>
        <v/>
      </c>
      <c r="J647" s="80" t="str">
        <f t="array" ref="J647">IF(I647="","",IFERROR(VALUE(TRIM(MID(SUBSTITUTE(INDEX('Deck 2'!$A:$Z,ROW()-500,'List Setup'!$G$4),CHAR(10),REPT(" ",100)),((SEARCH(CHAR(10)&amp;I647&amp;CHAR(10),H647)-LEN(SUBSTITUTE(LEFT(H647,SEARCH(CHAR(10)&amp;I647&amp;CHAR(10),H647)),CHAR(10),"")))-1)*100+1,100))),""))</f>
        <v/>
      </c>
      <c r="K647" s="80" t="str">
        <f t="array" ref="K647">IF(A647="","",IF(ISNUMBER(SEARCH("Land",LEFT(IFERROR(INDEX('Deck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47" s="80" t="str">
        <f t="shared" si="3"/>
        <v/>
      </c>
      <c r="M647" s="80" t="str">
        <f>IF(A647="","",IF(AND(E647="Y",B647='Use at Shop'!$B$4),K647*10000000000+(MAX(0,MIN(26,CODE(MID(UPPER(A647)&amp;"    ",1,1))-64))*19683+MAX(0,MIN(26,CODE(MID(UPPER(A647)&amp;"    ",2,1))-64))*729+MAX(0,MIN(26,CODE(MID(UPPER(A647)&amp;"    ",3,1))-64))*27+MAX(0,MIN(26,CODE(MID(UPPER(A647)&amp;"    ",4,1))-64))*1)*10000+ROW(),""))</f>
        <v/>
      </c>
      <c r="N647" s="80" t="str">
        <f t="shared" si="6"/>
        <v/>
      </c>
      <c r="O647" s="80" t="str">
        <f t="array" ref="O647">IF(A647="","",IFERROR(INDEX('Deck 2'!$A:$Z,ROW()-500,'List Setup'!$J$4)&amp;"",""))</f>
        <v/>
      </c>
      <c r="P647" s="2"/>
      <c r="Q647" s="80" t="str">
        <f>IF(A647="","",'List Setup'!$A$4)</f>
        <v/>
      </c>
      <c r="R647" s="80" t="str">
        <f t="array" ref="R647">IF(A647="","",IFERROR(OR(INDEX(Binders!$J$6:$J$30,MATCH(Q647,Binders!$I$6:$I$30,0))=TRUE(),UPPER(INDEX(Binders!$J$6:$J$30,MATCH(Q647,Binders!$I$6:$I$30,0))&amp;"")="TRUE"),FALSE()))</f>
        <v/>
      </c>
    </row>
    <row r="648" ht="15.75" customHeight="1">
      <c r="A648" s="80" t="str">
        <f t="array" ref="A648">IF(INDEX('Deck 2'!$A:$Z,ROW()-500,'List Setup'!$D$4)="","",INDEX('Deck 2'!$A:$Z,ROW()-500,'List Setup'!$D$4))</f>
        <v/>
      </c>
      <c r="B648" s="80" t="str">
        <f t="array" ref="B648">IF(A648="","",IFERROR(INDEX('Binder Setup'!$B$2:$B$401,MIN(IF(ISNUMBER(SEARCH(CHAR(10)&amp;'Binder Setup'!$B$2:$B$401&amp;CHAR(10),$H648)),'List Setup'!$Q$2:$Q$401,999),IF(ISNUMBER(SEARCH(CHAR(10)&amp;'Set Aliases'!$A$2:$A$501&amp;CHAR(10),$H648)),'Set Aliases'!$C$2:$C$501,999))),"(none)"))</f>
        <v/>
      </c>
      <c r="C648" s="80" t="str">
        <f t="shared" si="1"/>
        <v/>
      </c>
      <c r="D648" s="80" t="str">
        <f t="array" ref="D648">IF(A648="","",IF(ISLOGICAL(INDEX('Deck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48" s="80" t="str">
        <f t="shared" si="2"/>
        <v/>
      </c>
      <c r="F648" s="80" t="str">
        <f t="array" ref="F648">IF(A648="","",IF(ISNUMBER(J648),J648,IF(ISNUMBER(INDEX('Deck 2'!$A:$Z,ROW()-500,'List Setup'!$F$4)),INDEX('Deck 2'!$A:$Z,ROW()-500,'List Setup'!$F$4),0)))</f>
        <v/>
      </c>
      <c r="G648" s="80" t="str">
        <f t="array" ref="G648">IF(A648="","",A648&amp;IF(N(INDEX('Deck 2'!$A:$Z,ROW()-500,'List Setup'!$C$4))&gt;1," (x"&amp;INDEX('Deck 2'!$A:$Z,ROW()-500,'List Setup'!$C$4)&amp;")","")&amp;IF(COUNTIF(Binders!$J$6:$J$30,TRUE())&gt;1," ["&amp;Q648&amp;"]",""))</f>
        <v/>
      </c>
      <c r="H648" s="80" t="str">
        <f t="array" ref="H648">IF(A648="","",CHAR(10)&amp;INDEX('Deck 2'!$A:$Z,ROW()-500,'List Setup'!$E$4)&amp;CHAR(10))</f>
        <v/>
      </c>
      <c r="I648" s="80" t="str">
        <f t="array" ref="I648">IF(OR(B648="",B648="(none)"),"",IF(ISNUMBER(SEARCH(CHAR(10)&amp;B648&amp;CHAR(10),H648)),B648,IFERROR(INDEX('Set Aliases'!$A$2:$A$501,MATCH(1,('Set Aliases'!$B$2:$B$501=B648)*ISNUMBER(SEARCH(CHAR(10)&amp;'Set Aliases'!$A$2:$A$501&amp;CHAR(10),H648)),0)),"")))</f>
        <v/>
      </c>
      <c r="J648" s="80" t="str">
        <f t="array" ref="J648">IF(I648="","",IFERROR(VALUE(TRIM(MID(SUBSTITUTE(INDEX('Deck 2'!$A:$Z,ROW()-500,'List Setup'!$G$4),CHAR(10),REPT(" ",100)),((SEARCH(CHAR(10)&amp;I648&amp;CHAR(10),H648)-LEN(SUBSTITUTE(LEFT(H648,SEARCH(CHAR(10)&amp;I648&amp;CHAR(10),H648)),CHAR(10),"")))-1)*100+1,100))),""))</f>
        <v/>
      </c>
      <c r="K648" s="80" t="str">
        <f t="array" ref="K648">IF(A648="","",IF(ISNUMBER(SEARCH("Land",LEFT(IFERROR(INDEX('Deck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48" s="80" t="str">
        <f t="shared" si="3"/>
        <v/>
      </c>
      <c r="M648" s="80" t="str">
        <f>IF(A648="","",IF(AND(E648="Y",B648='Use at Shop'!$B$4),K648*10000000000+(MAX(0,MIN(26,CODE(MID(UPPER(A648)&amp;"    ",1,1))-64))*19683+MAX(0,MIN(26,CODE(MID(UPPER(A648)&amp;"    ",2,1))-64))*729+MAX(0,MIN(26,CODE(MID(UPPER(A648)&amp;"    ",3,1))-64))*27+MAX(0,MIN(26,CODE(MID(UPPER(A648)&amp;"    ",4,1))-64))*1)*10000+ROW(),""))</f>
        <v/>
      </c>
      <c r="N648" s="80" t="str">
        <f t="shared" si="6"/>
        <v/>
      </c>
      <c r="O648" s="80" t="str">
        <f t="array" ref="O648">IF(A648="","",IFERROR(INDEX('Deck 2'!$A:$Z,ROW()-500,'List Setup'!$J$4)&amp;"",""))</f>
        <v/>
      </c>
      <c r="P648" s="2"/>
      <c r="Q648" s="80" t="str">
        <f>IF(A648="","",'List Setup'!$A$4)</f>
        <v/>
      </c>
      <c r="R648" s="80" t="str">
        <f t="array" ref="R648">IF(A648="","",IFERROR(OR(INDEX(Binders!$J$6:$J$30,MATCH(Q648,Binders!$I$6:$I$30,0))=TRUE(),UPPER(INDEX(Binders!$J$6:$J$30,MATCH(Q648,Binders!$I$6:$I$30,0))&amp;"")="TRUE"),FALSE()))</f>
        <v/>
      </c>
    </row>
    <row r="649" ht="15.75" customHeight="1">
      <c r="A649" s="80" t="str">
        <f t="array" ref="A649">IF(INDEX('Deck 2'!$A:$Z,ROW()-500,'List Setup'!$D$4)="","",INDEX('Deck 2'!$A:$Z,ROW()-500,'List Setup'!$D$4))</f>
        <v/>
      </c>
      <c r="B649" s="80" t="str">
        <f t="array" ref="B649">IF(A649="","",IFERROR(INDEX('Binder Setup'!$B$2:$B$401,MIN(IF(ISNUMBER(SEARCH(CHAR(10)&amp;'Binder Setup'!$B$2:$B$401&amp;CHAR(10),$H649)),'List Setup'!$Q$2:$Q$401,999),IF(ISNUMBER(SEARCH(CHAR(10)&amp;'Set Aliases'!$A$2:$A$501&amp;CHAR(10),$H649)),'Set Aliases'!$C$2:$C$501,999))),"(none)"))</f>
        <v/>
      </c>
      <c r="C649" s="80" t="str">
        <f t="shared" si="1"/>
        <v/>
      </c>
      <c r="D649" s="80" t="str">
        <f t="array" ref="D649">IF(A649="","",IF(ISLOGICAL(INDEX('Deck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49" s="80" t="str">
        <f t="shared" si="2"/>
        <v/>
      </c>
      <c r="F649" s="80" t="str">
        <f t="array" ref="F649">IF(A649="","",IF(ISNUMBER(J649),J649,IF(ISNUMBER(INDEX('Deck 2'!$A:$Z,ROW()-500,'List Setup'!$F$4)),INDEX('Deck 2'!$A:$Z,ROW()-500,'List Setup'!$F$4),0)))</f>
        <v/>
      </c>
      <c r="G649" s="80" t="str">
        <f t="array" ref="G649">IF(A649="","",A649&amp;IF(N(INDEX('Deck 2'!$A:$Z,ROW()-500,'List Setup'!$C$4))&gt;1," (x"&amp;INDEX('Deck 2'!$A:$Z,ROW()-500,'List Setup'!$C$4)&amp;")","")&amp;IF(COUNTIF(Binders!$J$6:$J$30,TRUE())&gt;1," ["&amp;Q649&amp;"]",""))</f>
        <v/>
      </c>
      <c r="H649" s="80" t="str">
        <f t="array" ref="H649">IF(A649="","",CHAR(10)&amp;INDEX('Deck 2'!$A:$Z,ROW()-500,'List Setup'!$E$4)&amp;CHAR(10))</f>
        <v/>
      </c>
      <c r="I649" s="80" t="str">
        <f t="array" ref="I649">IF(OR(B649="",B649="(none)"),"",IF(ISNUMBER(SEARCH(CHAR(10)&amp;B649&amp;CHAR(10),H649)),B649,IFERROR(INDEX('Set Aliases'!$A$2:$A$501,MATCH(1,('Set Aliases'!$B$2:$B$501=B649)*ISNUMBER(SEARCH(CHAR(10)&amp;'Set Aliases'!$A$2:$A$501&amp;CHAR(10),H649)),0)),"")))</f>
        <v/>
      </c>
      <c r="J649" s="80" t="str">
        <f t="array" ref="J649">IF(I649="","",IFERROR(VALUE(TRIM(MID(SUBSTITUTE(INDEX('Deck 2'!$A:$Z,ROW()-500,'List Setup'!$G$4),CHAR(10),REPT(" ",100)),((SEARCH(CHAR(10)&amp;I649&amp;CHAR(10),H649)-LEN(SUBSTITUTE(LEFT(H649,SEARCH(CHAR(10)&amp;I649&amp;CHAR(10),H649)),CHAR(10),"")))-1)*100+1,100))),""))</f>
        <v/>
      </c>
      <c r="K649" s="80" t="str">
        <f t="array" ref="K649">IF(A649="","",IF(ISNUMBER(SEARCH("Land",LEFT(IFERROR(INDEX('Deck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49" s="80" t="str">
        <f t="shared" si="3"/>
        <v/>
      </c>
      <c r="M649" s="80" t="str">
        <f>IF(A649="","",IF(AND(E649="Y",B649='Use at Shop'!$B$4),K649*10000000000+(MAX(0,MIN(26,CODE(MID(UPPER(A649)&amp;"    ",1,1))-64))*19683+MAX(0,MIN(26,CODE(MID(UPPER(A649)&amp;"    ",2,1))-64))*729+MAX(0,MIN(26,CODE(MID(UPPER(A649)&amp;"    ",3,1))-64))*27+MAX(0,MIN(26,CODE(MID(UPPER(A649)&amp;"    ",4,1))-64))*1)*10000+ROW(),""))</f>
        <v/>
      </c>
      <c r="N649" s="80" t="str">
        <f t="shared" si="6"/>
        <v/>
      </c>
      <c r="O649" s="80" t="str">
        <f t="array" ref="O649">IF(A649="","",IFERROR(INDEX('Deck 2'!$A:$Z,ROW()-500,'List Setup'!$J$4)&amp;"",""))</f>
        <v/>
      </c>
      <c r="P649" s="2"/>
      <c r="Q649" s="80" t="str">
        <f>IF(A649="","",'List Setup'!$A$4)</f>
        <v/>
      </c>
      <c r="R649" s="80" t="str">
        <f t="array" ref="R649">IF(A649="","",IFERROR(OR(INDEX(Binders!$J$6:$J$30,MATCH(Q649,Binders!$I$6:$I$30,0))=TRUE(),UPPER(INDEX(Binders!$J$6:$J$30,MATCH(Q649,Binders!$I$6:$I$30,0))&amp;"")="TRUE"),FALSE()))</f>
        <v/>
      </c>
    </row>
    <row r="650" ht="15.75" customHeight="1">
      <c r="A650" s="80" t="str">
        <f t="array" ref="A650">IF(INDEX('Deck 2'!$A:$Z,ROW()-500,'List Setup'!$D$4)="","",INDEX('Deck 2'!$A:$Z,ROW()-500,'List Setup'!$D$4))</f>
        <v/>
      </c>
      <c r="B650" s="80" t="str">
        <f t="array" ref="B650">IF(A650="","",IFERROR(INDEX('Binder Setup'!$B$2:$B$401,MIN(IF(ISNUMBER(SEARCH(CHAR(10)&amp;'Binder Setup'!$B$2:$B$401&amp;CHAR(10),$H650)),'List Setup'!$Q$2:$Q$401,999),IF(ISNUMBER(SEARCH(CHAR(10)&amp;'Set Aliases'!$A$2:$A$501&amp;CHAR(10),$H650)),'Set Aliases'!$C$2:$C$501,999))),"(none)"))</f>
        <v/>
      </c>
      <c r="C650" s="80" t="str">
        <f t="shared" si="1"/>
        <v/>
      </c>
      <c r="D650" s="80" t="str">
        <f t="array" ref="D650">IF(A650="","",IF(ISLOGICAL(INDEX('Deck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50" s="80" t="str">
        <f t="shared" si="2"/>
        <v/>
      </c>
      <c r="F650" s="80" t="str">
        <f t="array" ref="F650">IF(A650="","",IF(ISNUMBER(J650),J650,IF(ISNUMBER(INDEX('Deck 2'!$A:$Z,ROW()-500,'List Setup'!$F$4)),INDEX('Deck 2'!$A:$Z,ROW()-500,'List Setup'!$F$4),0)))</f>
        <v/>
      </c>
      <c r="G650" s="80" t="str">
        <f t="array" ref="G650">IF(A650="","",A650&amp;IF(N(INDEX('Deck 2'!$A:$Z,ROW()-500,'List Setup'!$C$4))&gt;1," (x"&amp;INDEX('Deck 2'!$A:$Z,ROW()-500,'List Setup'!$C$4)&amp;")","")&amp;IF(COUNTIF(Binders!$J$6:$J$30,TRUE())&gt;1," ["&amp;Q650&amp;"]",""))</f>
        <v/>
      </c>
      <c r="H650" s="80" t="str">
        <f t="array" ref="H650">IF(A650="","",CHAR(10)&amp;INDEX('Deck 2'!$A:$Z,ROW()-500,'List Setup'!$E$4)&amp;CHAR(10))</f>
        <v/>
      </c>
      <c r="I650" s="80" t="str">
        <f t="array" ref="I650">IF(OR(B650="",B650="(none)"),"",IF(ISNUMBER(SEARCH(CHAR(10)&amp;B650&amp;CHAR(10),H650)),B650,IFERROR(INDEX('Set Aliases'!$A$2:$A$501,MATCH(1,('Set Aliases'!$B$2:$B$501=B650)*ISNUMBER(SEARCH(CHAR(10)&amp;'Set Aliases'!$A$2:$A$501&amp;CHAR(10),H650)),0)),"")))</f>
        <v/>
      </c>
      <c r="J650" s="80" t="str">
        <f t="array" ref="J650">IF(I650="","",IFERROR(VALUE(TRIM(MID(SUBSTITUTE(INDEX('Deck 2'!$A:$Z,ROW()-500,'List Setup'!$G$4),CHAR(10),REPT(" ",100)),((SEARCH(CHAR(10)&amp;I650&amp;CHAR(10),H650)-LEN(SUBSTITUTE(LEFT(H650,SEARCH(CHAR(10)&amp;I650&amp;CHAR(10),H650)),CHAR(10),"")))-1)*100+1,100))),""))</f>
        <v/>
      </c>
      <c r="K650" s="80" t="str">
        <f t="array" ref="K650">IF(A650="","",IF(ISNUMBER(SEARCH("Land",LEFT(IFERROR(INDEX('Deck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50" s="80" t="str">
        <f t="shared" si="3"/>
        <v/>
      </c>
      <c r="M650" s="80" t="str">
        <f>IF(A650="","",IF(AND(E650="Y",B650='Use at Shop'!$B$4),K650*10000000000+(MAX(0,MIN(26,CODE(MID(UPPER(A650)&amp;"    ",1,1))-64))*19683+MAX(0,MIN(26,CODE(MID(UPPER(A650)&amp;"    ",2,1))-64))*729+MAX(0,MIN(26,CODE(MID(UPPER(A650)&amp;"    ",3,1))-64))*27+MAX(0,MIN(26,CODE(MID(UPPER(A650)&amp;"    ",4,1))-64))*1)*10000+ROW(),""))</f>
        <v/>
      </c>
      <c r="N650" s="80" t="str">
        <f t="shared" si="6"/>
        <v/>
      </c>
      <c r="O650" s="80" t="str">
        <f t="array" ref="O650">IF(A650="","",IFERROR(INDEX('Deck 2'!$A:$Z,ROW()-500,'List Setup'!$J$4)&amp;"",""))</f>
        <v/>
      </c>
      <c r="P650" s="2"/>
      <c r="Q650" s="80" t="str">
        <f>IF(A650="","",'List Setup'!$A$4)</f>
        <v/>
      </c>
      <c r="R650" s="80" t="str">
        <f t="array" ref="R650">IF(A650="","",IFERROR(OR(INDEX(Binders!$J$6:$J$30,MATCH(Q650,Binders!$I$6:$I$30,0))=TRUE(),UPPER(INDEX(Binders!$J$6:$J$30,MATCH(Q650,Binders!$I$6:$I$30,0))&amp;"")="TRUE"),FALSE()))</f>
        <v/>
      </c>
    </row>
    <row r="651" ht="15.75" customHeight="1">
      <c r="A651" s="80" t="str">
        <f t="array" ref="A651">IF(INDEX('Deck 2'!$A:$Z,ROW()-500,'List Setup'!$D$4)="","",INDEX('Deck 2'!$A:$Z,ROW()-500,'List Setup'!$D$4))</f>
        <v/>
      </c>
      <c r="B651" s="80" t="str">
        <f t="array" ref="B651">IF(A651="","",IFERROR(INDEX('Binder Setup'!$B$2:$B$401,MIN(IF(ISNUMBER(SEARCH(CHAR(10)&amp;'Binder Setup'!$B$2:$B$401&amp;CHAR(10),$H651)),'List Setup'!$Q$2:$Q$401,999),IF(ISNUMBER(SEARCH(CHAR(10)&amp;'Set Aliases'!$A$2:$A$501&amp;CHAR(10),$H651)),'Set Aliases'!$C$2:$C$501,999))),"(none)"))</f>
        <v/>
      </c>
      <c r="C651" s="80" t="str">
        <f t="shared" si="1"/>
        <v/>
      </c>
      <c r="D651" s="80" t="str">
        <f t="array" ref="D651">IF(A651="","",IF(ISLOGICAL(INDEX('Deck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51" s="80" t="str">
        <f t="shared" si="2"/>
        <v/>
      </c>
      <c r="F651" s="80" t="str">
        <f t="array" ref="F651">IF(A651="","",IF(ISNUMBER(J651),J651,IF(ISNUMBER(INDEX('Deck 2'!$A:$Z,ROW()-500,'List Setup'!$F$4)),INDEX('Deck 2'!$A:$Z,ROW()-500,'List Setup'!$F$4),0)))</f>
        <v/>
      </c>
      <c r="G651" s="80" t="str">
        <f t="array" ref="G651">IF(A651="","",A651&amp;IF(N(INDEX('Deck 2'!$A:$Z,ROW()-500,'List Setup'!$C$4))&gt;1," (x"&amp;INDEX('Deck 2'!$A:$Z,ROW()-500,'List Setup'!$C$4)&amp;")","")&amp;IF(COUNTIF(Binders!$J$6:$J$30,TRUE())&gt;1," ["&amp;Q651&amp;"]",""))</f>
        <v/>
      </c>
      <c r="H651" s="80" t="str">
        <f t="array" ref="H651">IF(A651="","",CHAR(10)&amp;INDEX('Deck 2'!$A:$Z,ROW()-500,'List Setup'!$E$4)&amp;CHAR(10))</f>
        <v/>
      </c>
      <c r="I651" s="80" t="str">
        <f t="array" ref="I651">IF(OR(B651="",B651="(none)"),"",IF(ISNUMBER(SEARCH(CHAR(10)&amp;B651&amp;CHAR(10),H651)),B651,IFERROR(INDEX('Set Aliases'!$A$2:$A$501,MATCH(1,('Set Aliases'!$B$2:$B$501=B651)*ISNUMBER(SEARCH(CHAR(10)&amp;'Set Aliases'!$A$2:$A$501&amp;CHAR(10),H651)),0)),"")))</f>
        <v/>
      </c>
      <c r="J651" s="80" t="str">
        <f t="array" ref="J651">IF(I651="","",IFERROR(VALUE(TRIM(MID(SUBSTITUTE(INDEX('Deck 2'!$A:$Z,ROW()-500,'List Setup'!$G$4),CHAR(10),REPT(" ",100)),((SEARCH(CHAR(10)&amp;I651&amp;CHAR(10),H651)-LEN(SUBSTITUTE(LEFT(H651,SEARCH(CHAR(10)&amp;I651&amp;CHAR(10),H651)),CHAR(10),"")))-1)*100+1,100))),""))</f>
        <v/>
      </c>
      <c r="K651" s="80" t="str">
        <f t="array" ref="K651">IF(A651="","",IF(ISNUMBER(SEARCH("Land",LEFT(IFERROR(INDEX('Deck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51" s="80" t="str">
        <f t="shared" si="3"/>
        <v/>
      </c>
      <c r="M651" s="80" t="str">
        <f>IF(A651="","",IF(AND(E651="Y",B651='Use at Shop'!$B$4),K651*10000000000+(MAX(0,MIN(26,CODE(MID(UPPER(A651)&amp;"    ",1,1))-64))*19683+MAX(0,MIN(26,CODE(MID(UPPER(A651)&amp;"    ",2,1))-64))*729+MAX(0,MIN(26,CODE(MID(UPPER(A651)&amp;"    ",3,1))-64))*27+MAX(0,MIN(26,CODE(MID(UPPER(A651)&amp;"    ",4,1))-64))*1)*10000+ROW(),""))</f>
        <v/>
      </c>
      <c r="N651" s="80" t="str">
        <f t="shared" si="6"/>
        <v/>
      </c>
      <c r="O651" s="80" t="str">
        <f t="array" ref="O651">IF(A651="","",IFERROR(INDEX('Deck 2'!$A:$Z,ROW()-500,'List Setup'!$J$4)&amp;"",""))</f>
        <v/>
      </c>
      <c r="P651" s="2"/>
      <c r="Q651" s="80" t="str">
        <f>IF(A651="","",'List Setup'!$A$4)</f>
        <v/>
      </c>
      <c r="R651" s="80" t="str">
        <f t="array" ref="R651">IF(A651="","",IFERROR(OR(INDEX(Binders!$J$6:$J$30,MATCH(Q651,Binders!$I$6:$I$30,0))=TRUE(),UPPER(INDEX(Binders!$J$6:$J$30,MATCH(Q651,Binders!$I$6:$I$30,0))&amp;"")="TRUE"),FALSE()))</f>
        <v/>
      </c>
    </row>
    <row r="652" ht="15.75" customHeight="1">
      <c r="A652" s="80" t="str">
        <f t="array" ref="A652">IF(INDEX('Deck 2'!$A:$Z,ROW()-500,'List Setup'!$D$4)="","",INDEX('Deck 2'!$A:$Z,ROW()-500,'List Setup'!$D$4))</f>
        <v/>
      </c>
      <c r="B652" s="80" t="str">
        <f t="array" ref="B652">IF(A652="","",IFERROR(INDEX('Binder Setup'!$B$2:$B$401,MIN(IF(ISNUMBER(SEARCH(CHAR(10)&amp;'Binder Setup'!$B$2:$B$401&amp;CHAR(10),$H652)),'List Setup'!$Q$2:$Q$401,999),IF(ISNUMBER(SEARCH(CHAR(10)&amp;'Set Aliases'!$A$2:$A$501&amp;CHAR(10),$H652)),'Set Aliases'!$C$2:$C$501,999))),"(none)"))</f>
        <v/>
      </c>
      <c r="C652" s="80" t="str">
        <f t="shared" si="1"/>
        <v/>
      </c>
      <c r="D652" s="80" t="str">
        <f t="array" ref="D652">IF(A652="","",IF(ISLOGICAL(INDEX('Deck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52" s="80" t="str">
        <f t="shared" si="2"/>
        <v/>
      </c>
      <c r="F652" s="80" t="str">
        <f t="array" ref="F652">IF(A652="","",IF(ISNUMBER(J652),J652,IF(ISNUMBER(INDEX('Deck 2'!$A:$Z,ROW()-500,'List Setup'!$F$4)),INDEX('Deck 2'!$A:$Z,ROW()-500,'List Setup'!$F$4),0)))</f>
        <v/>
      </c>
      <c r="G652" s="80" t="str">
        <f t="array" ref="G652">IF(A652="","",A652&amp;IF(N(INDEX('Deck 2'!$A:$Z,ROW()-500,'List Setup'!$C$4))&gt;1," (x"&amp;INDEX('Deck 2'!$A:$Z,ROW()-500,'List Setup'!$C$4)&amp;")","")&amp;IF(COUNTIF(Binders!$J$6:$J$30,TRUE())&gt;1," ["&amp;Q652&amp;"]",""))</f>
        <v/>
      </c>
      <c r="H652" s="80" t="str">
        <f t="array" ref="H652">IF(A652="","",CHAR(10)&amp;INDEX('Deck 2'!$A:$Z,ROW()-500,'List Setup'!$E$4)&amp;CHAR(10))</f>
        <v/>
      </c>
      <c r="I652" s="80" t="str">
        <f t="array" ref="I652">IF(OR(B652="",B652="(none)"),"",IF(ISNUMBER(SEARCH(CHAR(10)&amp;B652&amp;CHAR(10),H652)),B652,IFERROR(INDEX('Set Aliases'!$A$2:$A$501,MATCH(1,('Set Aliases'!$B$2:$B$501=B652)*ISNUMBER(SEARCH(CHAR(10)&amp;'Set Aliases'!$A$2:$A$501&amp;CHAR(10),H652)),0)),"")))</f>
        <v/>
      </c>
      <c r="J652" s="80" t="str">
        <f t="array" ref="J652">IF(I652="","",IFERROR(VALUE(TRIM(MID(SUBSTITUTE(INDEX('Deck 2'!$A:$Z,ROW()-500,'List Setup'!$G$4),CHAR(10),REPT(" ",100)),((SEARCH(CHAR(10)&amp;I652&amp;CHAR(10),H652)-LEN(SUBSTITUTE(LEFT(H652,SEARCH(CHAR(10)&amp;I652&amp;CHAR(10),H652)),CHAR(10),"")))-1)*100+1,100))),""))</f>
        <v/>
      </c>
      <c r="K652" s="80" t="str">
        <f t="array" ref="K652">IF(A652="","",IF(ISNUMBER(SEARCH("Land",LEFT(IFERROR(INDEX('Deck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52" s="80" t="str">
        <f t="shared" si="3"/>
        <v/>
      </c>
      <c r="M652" s="80" t="str">
        <f>IF(A652="","",IF(AND(E652="Y",B652='Use at Shop'!$B$4),K652*10000000000+(MAX(0,MIN(26,CODE(MID(UPPER(A652)&amp;"    ",1,1))-64))*19683+MAX(0,MIN(26,CODE(MID(UPPER(A652)&amp;"    ",2,1))-64))*729+MAX(0,MIN(26,CODE(MID(UPPER(A652)&amp;"    ",3,1))-64))*27+MAX(0,MIN(26,CODE(MID(UPPER(A652)&amp;"    ",4,1))-64))*1)*10000+ROW(),""))</f>
        <v/>
      </c>
      <c r="N652" s="80" t="str">
        <f t="shared" si="6"/>
        <v/>
      </c>
      <c r="O652" s="80" t="str">
        <f t="array" ref="O652">IF(A652="","",IFERROR(INDEX('Deck 2'!$A:$Z,ROW()-500,'List Setup'!$J$4)&amp;"",""))</f>
        <v/>
      </c>
      <c r="P652" s="2"/>
      <c r="Q652" s="80" t="str">
        <f>IF(A652="","",'List Setup'!$A$4)</f>
        <v/>
      </c>
      <c r="R652" s="80" t="str">
        <f t="array" ref="R652">IF(A652="","",IFERROR(OR(INDEX(Binders!$J$6:$J$30,MATCH(Q652,Binders!$I$6:$I$30,0))=TRUE(),UPPER(INDEX(Binders!$J$6:$J$30,MATCH(Q652,Binders!$I$6:$I$30,0))&amp;"")="TRUE"),FALSE()))</f>
        <v/>
      </c>
    </row>
    <row r="653" ht="15.75" customHeight="1">
      <c r="A653" s="80" t="str">
        <f t="array" ref="A653">IF(INDEX('Deck 2'!$A:$Z,ROW()-500,'List Setup'!$D$4)="","",INDEX('Deck 2'!$A:$Z,ROW()-500,'List Setup'!$D$4))</f>
        <v/>
      </c>
      <c r="B653" s="80" t="str">
        <f t="array" ref="B653">IF(A653="","",IFERROR(INDEX('Binder Setup'!$B$2:$B$401,MIN(IF(ISNUMBER(SEARCH(CHAR(10)&amp;'Binder Setup'!$B$2:$B$401&amp;CHAR(10),$H653)),'List Setup'!$Q$2:$Q$401,999),IF(ISNUMBER(SEARCH(CHAR(10)&amp;'Set Aliases'!$A$2:$A$501&amp;CHAR(10),$H653)),'Set Aliases'!$C$2:$C$501,999))),"(none)"))</f>
        <v/>
      </c>
      <c r="C653" s="80" t="str">
        <f t="shared" si="1"/>
        <v/>
      </c>
      <c r="D653" s="80" t="str">
        <f t="array" ref="D653">IF(A653="","",IF(ISLOGICAL(INDEX('Deck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53" s="80" t="str">
        <f t="shared" si="2"/>
        <v/>
      </c>
      <c r="F653" s="80" t="str">
        <f t="array" ref="F653">IF(A653="","",IF(ISNUMBER(J653),J653,IF(ISNUMBER(INDEX('Deck 2'!$A:$Z,ROW()-500,'List Setup'!$F$4)),INDEX('Deck 2'!$A:$Z,ROW()-500,'List Setup'!$F$4),0)))</f>
        <v/>
      </c>
      <c r="G653" s="80" t="str">
        <f t="array" ref="G653">IF(A653="","",A653&amp;IF(N(INDEX('Deck 2'!$A:$Z,ROW()-500,'List Setup'!$C$4))&gt;1," (x"&amp;INDEX('Deck 2'!$A:$Z,ROW()-500,'List Setup'!$C$4)&amp;")","")&amp;IF(COUNTIF(Binders!$J$6:$J$30,TRUE())&gt;1," ["&amp;Q653&amp;"]",""))</f>
        <v/>
      </c>
      <c r="H653" s="80" t="str">
        <f t="array" ref="H653">IF(A653="","",CHAR(10)&amp;INDEX('Deck 2'!$A:$Z,ROW()-500,'List Setup'!$E$4)&amp;CHAR(10))</f>
        <v/>
      </c>
      <c r="I653" s="80" t="str">
        <f t="array" ref="I653">IF(OR(B653="",B653="(none)"),"",IF(ISNUMBER(SEARCH(CHAR(10)&amp;B653&amp;CHAR(10),H653)),B653,IFERROR(INDEX('Set Aliases'!$A$2:$A$501,MATCH(1,('Set Aliases'!$B$2:$B$501=B653)*ISNUMBER(SEARCH(CHAR(10)&amp;'Set Aliases'!$A$2:$A$501&amp;CHAR(10),H653)),0)),"")))</f>
        <v/>
      </c>
      <c r="J653" s="80" t="str">
        <f t="array" ref="J653">IF(I653="","",IFERROR(VALUE(TRIM(MID(SUBSTITUTE(INDEX('Deck 2'!$A:$Z,ROW()-500,'List Setup'!$G$4),CHAR(10),REPT(" ",100)),((SEARCH(CHAR(10)&amp;I653&amp;CHAR(10),H653)-LEN(SUBSTITUTE(LEFT(H653,SEARCH(CHAR(10)&amp;I653&amp;CHAR(10),H653)),CHAR(10),"")))-1)*100+1,100))),""))</f>
        <v/>
      </c>
      <c r="K653" s="80" t="str">
        <f t="array" ref="K653">IF(A653="","",IF(ISNUMBER(SEARCH("Land",LEFT(IFERROR(INDEX('Deck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53" s="80" t="str">
        <f t="shared" si="3"/>
        <v/>
      </c>
      <c r="M653" s="80" t="str">
        <f>IF(A653="","",IF(AND(E653="Y",B653='Use at Shop'!$B$4),K653*10000000000+(MAX(0,MIN(26,CODE(MID(UPPER(A653)&amp;"    ",1,1))-64))*19683+MAX(0,MIN(26,CODE(MID(UPPER(A653)&amp;"    ",2,1))-64))*729+MAX(0,MIN(26,CODE(MID(UPPER(A653)&amp;"    ",3,1))-64))*27+MAX(0,MIN(26,CODE(MID(UPPER(A653)&amp;"    ",4,1))-64))*1)*10000+ROW(),""))</f>
        <v/>
      </c>
      <c r="N653" s="80" t="str">
        <f t="shared" si="6"/>
        <v/>
      </c>
      <c r="O653" s="80" t="str">
        <f t="array" ref="O653">IF(A653="","",IFERROR(INDEX('Deck 2'!$A:$Z,ROW()-500,'List Setup'!$J$4)&amp;"",""))</f>
        <v/>
      </c>
      <c r="P653" s="2"/>
      <c r="Q653" s="80" t="str">
        <f>IF(A653="","",'List Setup'!$A$4)</f>
        <v/>
      </c>
      <c r="R653" s="80" t="str">
        <f t="array" ref="R653">IF(A653="","",IFERROR(OR(INDEX(Binders!$J$6:$J$30,MATCH(Q653,Binders!$I$6:$I$30,0))=TRUE(),UPPER(INDEX(Binders!$J$6:$J$30,MATCH(Q653,Binders!$I$6:$I$30,0))&amp;"")="TRUE"),FALSE()))</f>
        <v/>
      </c>
    </row>
    <row r="654" ht="15.75" customHeight="1">
      <c r="A654" s="80" t="str">
        <f t="array" ref="A654">IF(INDEX('Deck 2'!$A:$Z,ROW()-500,'List Setup'!$D$4)="","",INDEX('Deck 2'!$A:$Z,ROW()-500,'List Setup'!$D$4))</f>
        <v/>
      </c>
      <c r="B654" s="80" t="str">
        <f t="array" ref="B654">IF(A654="","",IFERROR(INDEX('Binder Setup'!$B$2:$B$401,MIN(IF(ISNUMBER(SEARCH(CHAR(10)&amp;'Binder Setup'!$B$2:$B$401&amp;CHAR(10),$H654)),'List Setup'!$Q$2:$Q$401,999),IF(ISNUMBER(SEARCH(CHAR(10)&amp;'Set Aliases'!$A$2:$A$501&amp;CHAR(10),$H654)),'Set Aliases'!$C$2:$C$501,999))),"(none)"))</f>
        <v/>
      </c>
      <c r="C654" s="80" t="str">
        <f t="shared" si="1"/>
        <v/>
      </c>
      <c r="D654" s="80" t="str">
        <f t="array" ref="D654">IF(A654="","",IF(ISLOGICAL(INDEX('Deck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54" s="80" t="str">
        <f t="shared" si="2"/>
        <v/>
      </c>
      <c r="F654" s="80" t="str">
        <f t="array" ref="F654">IF(A654="","",IF(ISNUMBER(J654),J654,IF(ISNUMBER(INDEX('Deck 2'!$A:$Z,ROW()-500,'List Setup'!$F$4)),INDEX('Deck 2'!$A:$Z,ROW()-500,'List Setup'!$F$4),0)))</f>
        <v/>
      </c>
      <c r="G654" s="80" t="str">
        <f t="array" ref="G654">IF(A654="","",A654&amp;IF(N(INDEX('Deck 2'!$A:$Z,ROW()-500,'List Setup'!$C$4))&gt;1," (x"&amp;INDEX('Deck 2'!$A:$Z,ROW()-500,'List Setup'!$C$4)&amp;")","")&amp;IF(COUNTIF(Binders!$J$6:$J$30,TRUE())&gt;1," ["&amp;Q654&amp;"]",""))</f>
        <v/>
      </c>
      <c r="H654" s="80" t="str">
        <f t="array" ref="H654">IF(A654="","",CHAR(10)&amp;INDEX('Deck 2'!$A:$Z,ROW()-500,'List Setup'!$E$4)&amp;CHAR(10))</f>
        <v/>
      </c>
      <c r="I654" s="80" t="str">
        <f t="array" ref="I654">IF(OR(B654="",B654="(none)"),"",IF(ISNUMBER(SEARCH(CHAR(10)&amp;B654&amp;CHAR(10),H654)),B654,IFERROR(INDEX('Set Aliases'!$A$2:$A$501,MATCH(1,('Set Aliases'!$B$2:$B$501=B654)*ISNUMBER(SEARCH(CHAR(10)&amp;'Set Aliases'!$A$2:$A$501&amp;CHAR(10),H654)),0)),"")))</f>
        <v/>
      </c>
      <c r="J654" s="80" t="str">
        <f t="array" ref="J654">IF(I654="","",IFERROR(VALUE(TRIM(MID(SUBSTITUTE(INDEX('Deck 2'!$A:$Z,ROW()-500,'List Setup'!$G$4),CHAR(10),REPT(" ",100)),((SEARCH(CHAR(10)&amp;I654&amp;CHAR(10),H654)-LEN(SUBSTITUTE(LEFT(H654,SEARCH(CHAR(10)&amp;I654&amp;CHAR(10),H654)),CHAR(10),"")))-1)*100+1,100))),""))</f>
        <v/>
      </c>
      <c r="K654" s="80" t="str">
        <f t="array" ref="K654">IF(A654="","",IF(ISNUMBER(SEARCH("Land",LEFT(IFERROR(INDEX('Deck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54" s="80" t="str">
        <f t="shared" si="3"/>
        <v/>
      </c>
      <c r="M654" s="80" t="str">
        <f>IF(A654="","",IF(AND(E654="Y",B654='Use at Shop'!$B$4),K654*10000000000+(MAX(0,MIN(26,CODE(MID(UPPER(A654)&amp;"    ",1,1))-64))*19683+MAX(0,MIN(26,CODE(MID(UPPER(A654)&amp;"    ",2,1))-64))*729+MAX(0,MIN(26,CODE(MID(UPPER(A654)&amp;"    ",3,1))-64))*27+MAX(0,MIN(26,CODE(MID(UPPER(A654)&amp;"    ",4,1))-64))*1)*10000+ROW(),""))</f>
        <v/>
      </c>
      <c r="N654" s="80" t="str">
        <f t="shared" si="6"/>
        <v/>
      </c>
      <c r="O654" s="80" t="str">
        <f t="array" ref="O654">IF(A654="","",IFERROR(INDEX('Deck 2'!$A:$Z,ROW()-500,'List Setup'!$J$4)&amp;"",""))</f>
        <v/>
      </c>
      <c r="P654" s="2"/>
      <c r="Q654" s="80" t="str">
        <f>IF(A654="","",'List Setup'!$A$4)</f>
        <v/>
      </c>
      <c r="R654" s="80" t="str">
        <f t="array" ref="R654">IF(A654="","",IFERROR(OR(INDEX(Binders!$J$6:$J$30,MATCH(Q654,Binders!$I$6:$I$30,0))=TRUE(),UPPER(INDEX(Binders!$J$6:$J$30,MATCH(Q654,Binders!$I$6:$I$30,0))&amp;"")="TRUE"),FALSE()))</f>
        <v/>
      </c>
    </row>
    <row r="655" ht="15.75" customHeight="1">
      <c r="A655" s="80" t="str">
        <f t="array" ref="A655">IF(INDEX('Deck 2'!$A:$Z,ROW()-500,'List Setup'!$D$4)="","",INDEX('Deck 2'!$A:$Z,ROW()-500,'List Setup'!$D$4))</f>
        <v/>
      </c>
      <c r="B655" s="80" t="str">
        <f t="array" ref="B655">IF(A655="","",IFERROR(INDEX('Binder Setup'!$B$2:$B$401,MIN(IF(ISNUMBER(SEARCH(CHAR(10)&amp;'Binder Setup'!$B$2:$B$401&amp;CHAR(10),$H655)),'List Setup'!$Q$2:$Q$401,999),IF(ISNUMBER(SEARCH(CHAR(10)&amp;'Set Aliases'!$A$2:$A$501&amp;CHAR(10),$H655)),'Set Aliases'!$C$2:$C$501,999))),"(none)"))</f>
        <v/>
      </c>
      <c r="C655" s="80" t="str">
        <f t="shared" si="1"/>
        <v/>
      </c>
      <c r="D655" s="80" t="str">
        <f t="array" ref="D655">IF(A655="","",IF(ISLOGICAL(INDEX('Deck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55" s="80" t="str">
        <f t="shared" si="2"/>
        <v/>
      </c>
      <c r="F655" s="80" t="str">
        <f t="array" ref="F655">IF(A655="","",IF(ISNUMBER(J655),J655,IF(ISNUMBER(INDEX('Deck 2'!$A:$Z,ROW()-500,'List Setup'!$F$4)),INDEX('Deck 2'!$A:$Z,ROW()-500,'List Setup'!$F$4),0)))</f>
        <v/>
      </c>
      <c r="G655" s="80" t="str">
        <f t="array" ref="G655">IF(A655="","",A655&amp;IF(N(INDEX('Deck 2'!$A:$Z,ROW()-500,'List Setup'!$C$4))&gt;1," (x"&amp;INDEX('Deck 2'!$A:$Z,ROW()-500,'List Setup'!$C$4)&amp;")","")&amp;IF(COUNTIF(Binders!$J$6:$J$30,TRUE())&gt;1," ["&amp;Q655&amp;"]",""))</f>
        <v/>
      </c>
      <c r="H655" s="80" t="str">
        <f t="array" ref="H655">IF(A655="","",CHAR(10)&amp;INDEX('Deck 2'!$A:$Z,ROW()-500,'List Setup'!$E$4)&amp;CHAR(10))</f>
        <v/>
      </c>
      <c r="I655" s="80" t="str">
        <f t="array" ref="I655">IF(OR(B655="",B655="(none)"),"",IF(ISNUMBER(SEARCH(CHAR(10)&amp;B655&amp;CHAR(10),H655)),B655,IFERROR(INDEX('Set Aliases'!$A$2:$A$501,MATCH(1,('Set Aliases'!$B$2:$B$501=B655)*ISNUMBER(SEARCH(CHAR(10)&amp;'Set Aliases'!$A$2:$A$501&amp;CHAR(10),H655)),0)),"")))</f>
        <v/>
      </c>
      <c r="J655" s="80" t="str">
        <f t="array" ref="J655">IF(I655="","",IFERROR(VALUE(TRIM(MID(SUBSTITUTE(INDEX('Deck 2'!$A:$Z,ROW()-500,'List Setup'!$G$4),CHAR(10),REPT(" ",100)),((SEARCH(CHAR(10)&amp;I655&amp;CHAR(10),H655)-LEN(SUBSTITUTE(LEFT(H655,SEARCH(CHAR(10)&amp;I655&amp;CHAR(10),H655)),CHAR(10),"")))-1)*100+1,100))),""))</f>
        <v/>
      </c>
      <c r="K655" s="80" t="str">
        <f t="array" ref="K655">IF(A655="","",IF(ISNUMBER(SEARCH("Land",LEFT(IFERROR(INDEX('Deck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55" s="80" t="str">
        <f t="shared" si="3"/>
        <v/>
      </c>
      <c r="M655" s="80" t="str">
        <f>IF(A655="","",IF(AND(E655="Y",B655='Use at Shop'!$B$4),K655*10000000000+(MAX(0,MIN(26,CODE(MID(UPPER(A655)&amp;"    ",1,1))-64))*19683+MAX(0,MIN(26,CODE(MID(UPPER(A655)&amp;"    ",2,1))-64))*729+MAX(0,MIN(26,CODE(MID(UPPER(A655)&amp;"    ",3,1))-64))*27+MAX(0,MIN(26,CODE(MID(UPPER(A655)&amp;"    ",4,1))-64))*1)*10000+ROW(),""))</f>
        <v/>
      </c>
      <c r="N655" s="80" t="str">
        <f t="shared" si="6"/>
        <v/>
      </c>
      <c r="O655" s="80" t="str">
        <f t="array" ref="O655">IF(A655="","",IFERROR(INDEX('Deck 2'!$A:$Z,ROW()-500,'List Setup'!$J$4)&amp;"",""))</f>
        <v/>
      </c>
      <c r="P655" s="2"/>
      <c r="Q655" s="80" t="str">
        <f>IF(A655="","",'List Setup'!$A$4)</f>
        <v/>
      </c>
      <c r="R655" s="80" t="str">
        <f t="array" ref="R655">IF(A655="","",IFERROR(OR(INDEX(Binders!$J$6:$J$30,MATCH(Q655,Binders!$I$6:$I$30,0))=TRUE(),UPPER(INDEX(Binders!$J$6:$J$30,MATCH(Q655,Binders!$I$6:$I$30,0))&amp;"")="TRUE"),FALSE()))</f>
        <v/>
      </c>
    </row>
    <row r="656" ht="15.75" customHeight="1">
      <c r="A656" s="80" t="str">
        <f t="array" ref="A656">IF(INDEX('Deck 2'!$A:$Z,ROW()-500,'List Setup'!$D$4)="","",INDEX('Deck 2'!$A:$Z,ROW()-500,'List Setup'!$D$4))</f>
        <v/>
      </c>
      <c r="B656" s="80" t="str">
        <f t="array" ref="B656">IF(A656="","",IFERROR(INDEX('Binder Setup'!$B$2:$B$401,MIN(IF(ISNUMBER(SEARCH(CHAR(10)&amp;'Binder Setup'!$B$2:$B$401&amp;CHAR(10),$H656)),'List Setup'!$Q$2:$Q$401,999),IF(ISNUMBER(SEARCH(CHAR(10)&amp;'Set Aliases'!$A$2:$A$501&amp;CHAR(10),$H656)),'Set Aliases'!$C$2:$C$501,999))),"(none)"))</f>
        <v/>
      </c>
      <c r="C656" s="80" t="str">
        <f t="shared" si="1"/>
        <v/>
      </c>
      <c r="D656" s="80" t="str">
        <f t="array" ref="D656">IF(A656="","",IF(ISLOGICAL(INDEX('Deck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56" s="80" t="str">
        <f t="shared" si="2"/>
        <v/>
      </c>
      <c r="F656" s="80" t="str">
        <f t="array" ref="F656">IF(A656="","",IF(ISNUMBER(J656),J656,IF(ISNUMBER(INDEX('Deck 2'!$A:$Z,ROW()-500,'List Setup'!$F$4)),INDEX('Deck 2'!$A:$Z,ROW()-500,'List Setup'!$F$4),0)))</f>
        <v/>
      </c>
      <c r="G656" s="80" t="str">
        <f t="array" ref="G656">IF(A656="","",A656&amp;IF(N(INDEX('Deck 2'!$A:$Z,ROW()-500,'List Setup'!$C$4))&gt;1," (x"&amp;INDEX('Deck 2'!$A:$Z,ROW()-500,'List Setup'!$C$4)&amp;")","")&amp;IF(COUNTIF(Binders!$J$6:$J$30,TRUE())&gt;1," ["&amp;Q656&amp;"]",""))</f>
        <v/>
      </c>
      <c r="H656" s="80" t="str">
        <f t="array" ref="H656">IF(A656="","",CHAR(10)&amp;INDEX('Deck 2'!$A:$Z,ROW()-500,'List Setup'!$E$4)&amp;CHAR(10))</f>
        <v/>
      </c>
      <c r="I656" s="80" t="str">
        <f t="array" ref="I656">IF(OR(B656="",B656="(none)"),"",IF(ISNUMBER(SEARCH(CHAR(10)&amp;B656&amp;CHAR(10),H656)),B656,IFERROR(INDEX('Set Aliases'!$A$2:$A$501,MATCH(1,('Set Aliases'!$B$2:$B$501=B656)*ISNUMBER(SEARCH(CHAR(10)&amp;'Set Aliases'!$A$2:$A$501&amp;CHAR(10),H656)),0)),"")))</f>
        <v/>
      </c>
      <c r="J656" s="80" t="str">
        <f t="array" ref="J656">IF(I656="","",IFERROR(VALUE(TRIM(MID(SUBSTITUTE(INDEX('Deck 2'!$A:$Z,ROW()-500,'List Setup'!$G$4),CHAR(10),REPT(" ",100)),((SEARCH(CHAR(10)&amp;I656&amp;CHAR(10),H656)-LEN(SUBSTITUTE(LEFT(H656,SEARCH(CHAR(10)&amp;I656&amp;CHAR(10),H656)),CHAR(10),"")))-1)*100+1,100))),""))</f>
        <v/>
      </c>
      <c r="K656" s="80" t="str">
        <f t="array" ref="K656">IF(A656="","",IF(ISNUMBER(SEARCH("Land",LEFT(IFERROR(INDEX('Deck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56" s="80" t="str">
        <f t="shared" si="3"/>
        <v/>
      </c>
      <c r="M656" s="80" t="str">
        <f>IF(A656="","",IF(AND(E656="Y",B656='Use at Shop'!$B$4),K656*10000000000+(MAX(0,MIN(26,CODE(MID(UPPER(A656)&amp;"    ",1,1))-64))*19683+MAX(0,MIN(26,CODE(MID(UPPER(A656)&amp;"    ",2,1))-64))*729+MAX(0,MIN(26,CODE(MID(UPPER(A656)&amp;"    ",3,1))-64))*27+MAX(0,MIN(26,CODE(MID(UPPER(A656)&amp;"    ",4,1))-64))*1)*10000+ROW(),""))</f>
        <v/>
      </c>
      <c r="N656" s="80" t="str">
        <f t="shared" si="6"/>
        <v/>
      </c>
      <c r="O656" s="80" t="str">
        <f t="array" ref="O656">IF(A656="","",IFERROR(INDEX('Deck 2'!$A:$Z,ROW()-500,'List Setup'!$J$4)&amp;"",""))</f>
        <v/>
      </c>
      <c r="P656" s="2"/>
      <c r="Q656" s="80" t="str">
        <f>IF(A656="","",'List Setup'!$A$4)</f>
        <v/>
      </c>
      <c r="R656" s="80" t="str">
        <f t="array" ref="R656">IF(A656="","",IFERROR(OR(INDEX(Binders!$J$6:$J$30,MATCH(Q656,Binders!$I$6:$I$30,0))=TRUE(),UPPER(INDEX(Binders!$J$6:$J$30,MATCH(Q656,Binders!$I$6:$I$30,0))&amp;"")="TRUE"),FALSE()))</f>
        <v/>
      </c>
    </row>
    <row r="657" ht="15.75" customHeight="1">
      <c r="A657" s="80" t="str">
        <f t="array" ref="A657">IF(INDEX('Deck 2'!$A:$Z,ROW()-500,'List Setup'!$D$4)="","",INDEX('Deck 2'!$A:$Z,ROW()-500,'List Setup'!$D$4))</f>
        <v/>
      </c>
      <c r="B657" s="80" t="str">
        <f t="array" ref="B657">IF(A657="","",IFERROR(INDEX('Binder Setup'!$B$2:$B$401,MIN(IF(ISNUMBER(SEARCH(CHAR(10)&amp;'Binder Setup'!$B$2:$B$401&amp;CHAR(10),$H657)),'List Setup'!$Q$2:$Q$401,999),IF(ISNUMBER(SEARCH(CHAR(10)&amp;'Set Aliases'!$A$2:$A$501&amp;CHAR(10),$H657)),'Set Aliases'!$C$2:$C$501,999))),"(none)"))</f>
        <v/>
      </c>
      <c r="C657" s="80" t="str">
        <f t="shared" si="1"/>
        <v/>
      </c>
      <c r="D657" s="80" t="str">
        <f t="array" ref="D657">IF(A657="","",IF(ISLOGICAL(INDEX('Deck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57" s="80" t="str">
        <f t="shared" si="2"/>
        <v/>
      </c>
      <c r="F657" s="80" t="str">
        <f t="array" ref="F657">IF(A657="","",IF(ISNUMBER(J657),J657,IF(ISNUMBER(INDEX('Deck 2'!$A:$Z,ROW()-500,'List Setup'!$F$4)),INDEX('Deck 2'!$A:$Z,ROW()-500,'List Setup'!$F$4),0)))</f>
        <v/>
      </c>
      <c r="G657" s="80" t="str">
        <f t="array" ref="G657">IF(A657="","",A657&amp;IF(N(INDEX('Deck 2'!$A:$Z,ROW()-500,'List Setup'!$C$4))&gt;1," (x"&amp;INDEX('Deck 2'!$A:$Z,ROW()-500,'List Setup'!$C$4)&amp;")","")&amp;IF(COUNTIF(Binders!$J$6:$J$30,TRUE())&gt;1," ["&amp;Q657&amp;"]",""))</f>
        <v/>
      </c>
      <c r="H657" s="80" t="str">
        <f t="array" ref="H657">IF(A657="","",CHAR(10)&amp;INDEX('Deck 2'!$A:$Z,ROW()-500,'List Setup'!$E$4)&amp;CHAR(10))</f>
        <v/>
      </c>
      <c r="I657" s="80" t="str">
        <f t="array" ref="I657">IF(OR(B657="",B657="(none)"),"",IF(ISNUMBER(SEARCH(CHAR(10)&amp;B657&amp;CHAR(10),H657)),B657,IFERROR(INDEX('Set Aliases'!$A$2:$A$501,MATCH(1,('Set Aliases'!$B$2:$B$501=B657)*ISNUMBER(SEARCH(CHAR(10)&amp;'Set Aliases'!$A$2:$A$501&amp;CHAR(10),H657)),0)),"")))</f>
        <v/>
      </c>
      <c r="J657" s="80" t="str">
        <f t="array" ref="J657">IF(I657="","",IFERROR(VALUE(TRIM(MID(SUBSTITUTE(INDEX('Deck 2'!$A:$Z,ROW()-500,'List Setup'!$G$4),CHAR(10),REPT(" ",100)),((SEARCH(CHAR(10)&amp;I657&amp;CHAR(10),H657)-LEN(SUBSTITUTE(LEFT(H657,SEARCH(CHAR(10)&amp;I657&amp;CHAR(10),H657)),CHAR(10),"")))-1)*100+1,100))),""))</f>
        <v/>
      </c>
      <c r="K657" s="80" t="str">
        <f t="array" ref="K657">IF(A657="","",IF(ISNUMBER(SEARCH("Land",LEFT(IFERROR(INDEX('Deck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57" s="80" t="str">
        <f t="shared" si="3"/>
        <v/>
      </c>
      <c r="M657" s="80" t="str">
        <f>IF(A657="","",IF(AND(E657="Y",B657='Use at Shop'!$B$4),K657*10000000000+(MAX(0,MIN(26,CODE(MID(UPPER(A657)&amp;"    ",1,1))-64))*19683+MAX(0,MIN(26,CODE(MID(UPPER(A657)&amp;"    ",2,1))-64))*729+MAX(0,MIN(26,CODE(MID(UPPER(A657)&amp;"    ",3,1))-64))*27+MAX(0,MIN(26,CODE(MID(UPPER(A657)&amp;"    ",4,1))-64))*1)*10000+ROW(),""))</f>
        <v/>
      </c>
      <c r="N657" s="80" t="str">
        <f t="shared" si="6"/>
        <v/>
      </c>
      <c r="O657" s="80" t="str">
        <f t="array" ref="O657">IF(A657="","",IFERROR(INDEX('Deck 2'!$A:$Z,ROW()-500,'List Setup'!$J$4)&amp;"",""))</f>
        <v/>
      </c>
      <c r="P657" s="2"/>
      <c r="Q657" s="80" t="str">
        <f>IF(A657="","",'List Setup'!$A$4)</f>
        <v/>
      </c>
      <c r="R657" s="80" t="str">
        <f t="array" ref="R657">IF(A657="","",IFERROR(OR(INDEX(Binders!$J$6:$J$30,MATCH(Q657,Binders!$I$6:$I$30,0))=TRUE(),UPPER(INDEX(Binders!$J$6:$J$30,MATCH(Q657,Binders!$I$6:$I$30,0))&amp;"")="TRUE"),FALSE()))</f>
        <v/>
      </c>
    </row>
    <row r="658" ht="15.75" customHeight="1">
      <c r="A658" s="80" t="str">
        <f t="array" ref="A658">IF(INDEX('Deck 2'!$A:$Z,ROW()-500,'List Setup'!$D$4)="","",INDEX('Deck 2'!$A:$Z,ROW()-500,'List Setup'!$D$4))</f>
        <v/>
      </c>
      <c r="B658" s="80" t="str">
        <f t="array" ref="B658">IF(A658="","",IFERROR(INDEX('Binder Setup'!$B$2:$B$401,MIN(IF(ISNUMBER(SEARCH(CHAR(10)&amp;'Binder Setup'!$B$2:$B$401&amp;CHAR(10),$H658)),'List Setup'!$Q$2:$Q$401,999),IF(ISNUMBER(SEARCH(CHAR(10)&amp;'Set Aliases'!$A$2:$A$501&amp;CHAR(10),$H658)),'Set Aliases'!$C$2:$C$501,999))),"(none)"))</f>
        <v/>
      </c>
      <c r="C658" s="80" t="str">
        <f t="shared" si="1"/>
        <v/>
      </c>
      <c r="D658" s="80" t="str">
        <f t="array" ref="D658">IF(A658="","",IF(ISLOGICAL(INDEX('Deck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58" s="80" t="str">
        <f t="shared" si="2"/>
        <v/>
      </c>
      <c r="F658" s="80" t="str">
        <f t="array" ref="F658">IF(A658="","",IF(ISNUMBER(J658),J658,IF(ISNUMBER(INDEX('Deck 2'!$A:$Z,ROW()-500,'List Setup'!$F$4)),INDEX('Deck 2'!$A:$Z,ROW()-500,'List Setup'!$F$4),0)))</f>
        <v/>
      </c>
      <c r="G658" s="80" t="str">
        <f t="array" ref="G658">IF(A658="","",A658&amp;IF(N(INDEX('Deck 2'!$A:$Z,ROW()-500,'List Setup'!$C$4))&gt;1," (x"&amp;INDEX('Deck 2'!$A:$Z,ROW()-500,'List Setup'!$C$4)&amp;")","")&amp;IF(COUNTIF(Binders!$J$6:$J$30,TRUE())&gt;1," ["&amp;Q658&amp;"]",""))</f>
        <v/>
      </c>
      <c r="H658" s="80" t="str">
        <f t="array" ref="H658">IF(A658="","",CHAR(10)&amp;INDEX('Deck 2'!$A:$Z,ROW()-500,'List Setup'!$E$4)&amp;CHAR(10))</f>
        <v/>
      </c>
      <c r="I658" s="80" t="str">
        <f t="array" ref="I658">IF(OR(B658="",B658="(none)"),"",IF(ISNUMBER(SEARCH(CHAR(10)&amp;B658&amp;CHAR(10),H658)),B658,IFERROR(INDEX('Set Aliases'!$A$2:$A$501,MATCH(1,('Set Aliases'!$B$2:$B$501=B658)*ISNUMBER(SEARCH(CHAR(10)&amp;'Set Aliases'!$A$2:$A$501&amp;CHAR(10),H658)),0)),"")))</f>
        <v/>
      </c>
      <c r="J658" s="80" t="str">
        <f t="array" ref="J658">IF(I658="","",IFERROR(VALUE(TRIM(MID(SUBSTITUTE(INDEX('Deck 2'!$A:$Z,ROW()-500,'List Setup'!$G$4),CHAR(10),REPT(" ",100)),((SEARCH(CHAR(10)&amp;I658&amp;CHAR(10),H658)-LEN(SUBSTITUTE(LEFT(H658,SEARCH(CHAR(10)&amp;I658&amp;CHAR(10),H658)),CHAR(10),"")))-1)*100+1,100))),""))</f>
        <v/>
      </c>
      <c r="K658" s="80" t="str">
        <f t="array" ref="K658">IF(A658="","",IF(ISNUMBER(SEARCH("Land",LEFT(IFERROR(INDEX('Deck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58" s="80" t="str">
        <f t="shared" si="3"/>
        <v/>
      </c>
      <c r="M658" s="80" t="str">
        <f>IF(A658="","",IF(AND(E658="Y",B658='Use at Shop'!$B$4),K658*10000000000+(MAX(0,MIN(26,CODE(MID(UPPER(A658)&amp;"    ",1,1))-64))*19683+MAX(0,MIN(26,CODE(MID(UPPER(A658)&amp;"    ",2,1))-64))*729+MAX(0,MIN(26,CODE(MID(UPPER(A658)&amp;"    ",3,1))-64))*27+MAX(0,MIN(26,CODE(MID(UPPER(A658)&amp;"    ",4,1))-64))*1)*10000+ROW(),""))</f>
        <v/>
      </c>
      <c r="N658" s="80" t="str">
        <f t="shared" si="6"/>
        <v/>
      </c>
      <c r="O658" s="80" t="str">
        <f t="array" ref="O658">IF(A658="","",IFERROR(INDEX('Deck 2'!$A:$Z,ROW()-500,'List Setup'!$J$4)&amp;"",""))</f>
        <v/>
      </c>
      <c r="P658" s="2"/>
      <c r="Q658" s="80" t="str">
        <f>IF(A658="","",'List Setup'!$A$4)</f>
        <v/>
      </c>
      <c r="R658" s="80" t="str">
        <f t="array" ref="R658">IF(A658="","",IFERROR(OR(INDEX(Binders!$J$6:$J$30,MATCH(Q658,Binders!$I$6:$I$30,0))=TRUE(),UPPER(INDEX(Binders!$J$6:$J$30,MATCH(Q658,Binders!$I$6:$I$30,0))&amp;"")="TRUE"),FALSE()))</f>
        <v/>
      </c>
    </row>
    <row r="659" ht="15.75" customHeight="1">
      <c r="A659" s="80" t="str">
        <f t="array" ref="A659">IF(INDEX('Deck 2'!$A:$Z,ROW()-500,'List Setup'!$D$4)="","",INDEX('Deck 2'!$A:$Z,ROW()-500,'List Setup'!$D$4))</f>
        <v/>
      </c>
      <c r="B659" s="80" t="str">
        <f t="array" ref="B659">IF(A659="","",IFERROR(INDEX('Binder Setup'!$B$2:$B$401,MIN(IF(ISNUMBER(SEARCH(CHAR(10)&amp;'Binder Setup'!$B$2:$B$401&amp;CHAR(10),$H659)),'List Setup'!$Q$2:$Q$401,999),IF(ISNUMBER(SEARCH(CHAR(10)&amp;'Set Aliases'!$A$2:$A$501&amp;CHAR(10),$H659)),'Set Aliases'!$C$2:$C$501,999))),"(none)"))</f>
        <v/>
      </c>
      <c r="C659" s="80" t="str">
        <f t="shared" si="1"/>
        <v/>
      </c>
      <c r="D659" s="80" t="str">
        <f t="array" ref="D659">IF(A659="","",IF(ISLOGICAL(INDEX('Deck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59" s="80" t="str">
        <f t="shared" si="2"/>
        <v/>
      </c>
      <c r="F659" s="80" t="str">
        <f t="array" ref="F659">IF(A659="","",IF(ISNUMBER(J659),J659,IF(ISNUMBER(INDEX('Deck 2'!$A:$Z,ROW()-500,'List Setup'!$F$4)),INDEX('Deck 2'!$A:$Z,ROW()-500,'List Setup'!$F$4),0)))</f>
        <v/>
      </c>
      <c r="G659" s="80" t="str">
        <f t="array" ref="G659">IF(A659="","",A659&amp;IF(N(INDEX('Deck 2'!$A:$Z,ROW()-500,'List Setup'!$C$4))&gt;1," (x"&amp;INDEX('Deck 2'!$A:$Z,ROW()-500,'List Setup'!$C$4)&amp;")","")&amp;IF(COUNTIF(Binders!$J$6:$J$30,TRUE())&gt;1," ["&amp;Q659&amp;"]",""))</f>
        <v/>
      </c>
      <c r="H659" s="80" t="str">
        <f t="array" ref="H659">IF(A659="","",CHAR(10)&amp;INDEX('Deck 2'!$A:$Z,ROW()-500,'List Setup'!$E$4)&amp;CHAR(10))</f>
        <v/>
      </c>
      <c r="I659" s="80" t="str">
        <f t="array" ref="I659">IF(OR(B659="",B659="(none)"),"",IF(ISNUMBER(SEARCH(CHAR(10)&amp;B659&amp;CHAR(10),H659)),B659,IFERROR(INDEX('Set Aliases'!$A$2:$A$501,MATCH(1,('Set Aliases'!$B$2:$B$501=B659)*ISNUMBER(SEARCH(CHAR(10)&amp;'Set Aliases'!$A$2:$A$501&amp;CHAR(10),H659)),0)),"")))</f>
        <v/>
      </c>
      <c r="J659" s="80" t="str">
        <f t="array" ref="J659">IF(I659="","",IFERROR(VALUE(TRIM(MID(SUBSTITUTE(INDEX('Deck 2'!$A:$Z,ROW()-500,'List Setup'!$G$4),CHAR(10),REPT(" ",100)),((SEARCH(CHAR(10)&amp;I659&amp;CHAR(10),H659)-LEN(SUBSTITUTE(LEFT(H659,SEARCH(CHAR(10)&amp;I659&amp;CHAR(10),H659)),CHAR(10),"")))-1)*100+1,100))),""))</f>
        <v/>
      </c>
      <c r="K659" s="80" t="str">
        <f t="array" ref="K659">IF(A659="","",IF(ISNUMBER(SEARCH("Land",LEFT(IFERROR(INDEX('Deck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59" s="80" t="str">
        <f t="shared" si="3"/>
        <v/>
      </c>
      <c r="M659" s="80" t="str">
        <f>IF(A659="","",IF(AND(E659="Y",B659='Use at Shop'!$B$4),K659*10000000000+(MAX(0,MIN(26,CODE(MID(UPPER(A659)&amp;"    ",1,1))-64))*19683+MAX(0,MIN(26,CODE(MID(UPPER(A659)&amp;"    ",2,1))-64))*729+MAX(0,MIN(26,CODE(MID(UPPER(A659)&amp;"    ",3,1))-64))*27+MAX(0,MIN(26,CODE(MID(UPPER(A659)&amp;"    ",4,1))-64))*1)*10000+ROW(),""))</f>
        <v/>
      </c>
      <c r="N659" s="80" t="str">
        <f t="shared" si="6"/>
        <v/>
      </c>
      <c r="O659" s="80" t="str">
        <f t="array" ref="O659">IF(A659="","",IFERROR(INDEX('Deck 2'!$A:$Z,ROW()-500,'List Setup'!$J$4)&amp;"",""))</f>
        <v/>
      </c>
      <c r="P659" s="2"/>
      <c r="Q659" s="80" t="str">
        <f>IF(A659="","",'List Setup'!$A$4)</f>
        <v/>
      </c>
      <c r="R659" s="80" t="str">
        <f t="array" ref="R659">IF(A659="","",IFERROR(OR(INDEX(Binders!$J$6:$J$30,MATCH(Q659,Binders!$I$6:$I$30,0))=TRUE(),UPPER(INDEX(Binders!$J$6:$J$30,MATCH(Q659,Binders!$I$6:$I$30,0))&amp;"")="TRUE"),FALSE()))</f>
        <v/>
      </c>
    </row>
    <row r="660" ht="15.75" customHeight="1">
      <c r="A660" s="80" t="str">
        <f t="array" ref="A660">IF(INDEX('Deck 2'!$A:$Z,ROW()-500,'List Setup'!$D$4)="","",INDEX('Deck 2'!$A:$Z,ROW()-500,'List Setup'!$D$4))</f>
        <v/>
      </c>
      <c r="B660" s="80" t="str">
        <f t="array" ref="B660">IF(A660="","",IFERROR(INDEX('Binder Setup'!$B$2:$B$401,MIN(IF(ISNUMBER(SEARCH(CHAR(10)&amp;'Binder Setup'!$B$2:$B$401&amp;CHAR(10),$H660)),'List Setup'!$Q$2:$Q$401,999),IF(ISNUMBER(SEARCH(CHAR(10)&amp;'Set Aliases'!$A$2:$A$501&amp;CHAR(10),$H660)),'Set Aliases'!$C$2:$C$501,999))),"(none)"))</f>
        <v/>
      </c>
      <c r="C660" s="80" t="str">
        <f t="shared" si="1"/>
        <v/>
      </c>
      <c r="D660" s="80" t="str">
        <f t="array" ref="D660">IF(A660="","",IF(ISLOGICAL(INDEX('Deck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60" s="80" t="str">
        <f t="shared" si="2"/>
        <v/>
      </c>
      <c r="F660" s="80" t="str">
        <f t="array" ref="F660">IF(A660="","",IF(ISNUMBER(J660),J660,IF(ISNUMBER(INDEX('Deck 2'!$A:$Z,ROW()-500,'List Setup'!$F$4)),INDEX('Deck 2'!$A:$Z,ROW()-500,'List Setup'!$F$4),0)))</f>
        <v/>
      </c>
      <c r="G660" s="80" t="str">
        <f t="array" ref="G660">IF(A660="","",A660&amp;IF(N(INDEX('Deck 2'!$A:$Z,ROW()-500,'List Setup'!$C$4))&gt;1," (x"&amp;INDEX('Deck 2'!$A:$Z,ROW()-500,'List Setup'!$C$4)&amp;")","")&amp;IF(COUNTIF(Binders!$J$6:$J$30,TRUE())&gt;1," ["&amp;Q660&amp;"]",""))</f>
        <v/>
      </c>
      <c r="H660" s="80" t="str">
        <f t="array" ref="H660">IF(A660="","",CHAR(10)&amp;INDEX('Deck 2'!$A:$Z,ROW()-500,'List Setup'!$E$4)&amp;CHAR(10))</f>
        <v/>
      </c>
      <c r="I660" s="80" t="str">
        <f t="array" ref="I660">IF(OR(B660="",B660="(none)"),"",IF(ISNUMBER(SEARCH(CHAR(10)&amp;B660&amp;CHAR(10),H660)),B660,IFERROR(INDEX('Set Aliases'!$A$2:$A$501,MATCH(1,('Set Aliases'!$B$2:$B$501=B660)*ISNUMBER(SEARCH(CHAR(10)&amp;'Set Aliases'!$A$2:$A$501&amp;CHAR(10),H660)),0)),"")))</f>
        <v/>
      </c>
      <c r="J660" s="80" t="str">
        <f t="array" ref="J660">IF(I660="","",IFERROR(VALUE(TRIM(MID(SUBSTITUTE(INDEX('Deck 2'!$A:$Z,ROW()-500,'List Setup'!$G$4),CHAR(10),REPT(" ",100)),((SEARCH(CHAR(10)&amp;I660&amp;CHAR(10),H660)-LEN(SUBSTITUTE(LEFT(H660,SEARCH(CHAR(10)&amp;I660&amp;CHAR(10),H660)),CHAR(10),"")))-1)*100+1,100))),""))</f>
        <v/>
      </c>
      <c r="K660" s="80" t="str">
        <f t="array" ref="K660">IF(A660="","",IF(ISNUMBER(SEARCH("Land",LEFT(IFERROR(INDEX('Deck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60" s="80" t="str">
        <f t="shared" si="3"/>
        <v/>
      </c>
      <c r="M660" s="80" t="str">
        <f>IF(A660="","",IF(AND(E660="Y",B660='Use at Shop'!$B$4),K660*10000000000+(MAX(0,MIN(26,CODE(MID(UPPER(A660)&amp;"    ",1,1))-64))*19683+MAX(0,MIN(26,CODE(MID(UPPER(A660)&amp;"    ",2,1))-64))*729+MAX(0,MIN(26,CODE(MID(UPPER(A660)&amp;"    ",3,1))-64))*27+MAX(0,MIN(26,CODE(MID(UPPER(A660)&amp;"    ",4,1))-64))*1)*10000+ROW(),""))</f>
        <v/>
      </c>
      <c r="N660" s="80" t="str">
        <f t="shared" si="6"/>
        <v/>
      </c>
      <c r="O660" s="80" t="str">
        <f t="array" ref="O660">IF(A660="","",IFERROR(INDEX('Deck 2'!$A:$Z,ROW()-500,'List Setup'!$J$4)&amp;"",""))</f>
        <v/>
      </c>
      <c r="P660" s="2"/>
      <c r="Q660" s="80" t="str">
        <f>IF(A660="","",'List Setup'!$A$4)</f>
        <v/>
      </c>
      <c r="R660" s="80" t="str">
        <f t="array" ref="R660">IF(A660="","",IFERROR(OR(INDEX(Binders!$J$6:$J$30,MATCH(Q660,Binders!$I$6:$I$30,0))=TRUE(),UPPER(INDEX(Binders!$J$6:$J$30,MATCH(Q660,Binders!$I$6:$I$30,0))&amp;"")="TRUE"),FALSE()))</f>
        <v/>
      </c>
    </row>
    <row r="661" ht="15.75" customHeight="1">
      <c r="A661" s="80" t="str">
        <f t="array" ref="A661">IF(INDEX('Deck 2'!$A:$Z,ROW()-500,'List Setup'!$D$4)="","",INDEX('Deck 2'!$A:$Z,ROW()-500,'List Setup'!$D$4))</f>
        <v/>
      </c>
      <c r="B661" s="80" t="str">
        <f t="array" ref="B661">IF(A661="","",IFERROR(INDEX('Binder Setup'!$B$2:$B$401,MIN(IF(ISNUMBER(SEARCH(CHAR(10)&amp;'Binder Setup'!$B$2:$B$401&amp;CHAR(10),$H661)),'List Setup'!$Q$2:$Q$401,999),IF(ISNUMBER(SEARCH(CHAR(10)&amp;'Set Aliases'!$A$2:$A$501&amp;CHAR(10),$H661)),'Set Aliases'!$C$2:$C$501,999))),"(none)"))</f>
        <v/>
      </c>
      <c r="C661" s="80" t="str">
        <f t="shared" si="1"/>
        <v/>
      </c>
      <c r="D661" s="80" t="str">
        <f t="array" ref="D661">IF(A661="","",IF(ISLOGICAL(INDEX('Deck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61" s="80" t="str">
        <f t="shared" si="2"/>
        <v/>
      </c>
      <c r="F661" s="80" t="str">
        <f t="array" ref="F661">IF(A661="","",IF(ISNUMBER(J661),J661,IF(ISNUMBER(INDEX('Deck 2'!$A:$Z,ROW()-500,'List Setup'!$F$4)),INDEX('Deck 2'!$A:$Z,ROW()-500,'List Setup'!$F$4),0)))</f>
        <v/>
      </c>
      <c r="G661" s="80" t="str">
        <f t="array" ref="G661">IF(A661="","",A661&amp;IF(N(INDEX('Deck 2'!$A:$Z,ROW()-500,'List Setup'!$C$4))&gt;1," (x"&amp;INDEX('Deck 2'!$A:$Z,ROW()-500,'List Setup'!$C$4)&amp;")","")&amp;IF(COUNTIF(Binders!$J$6:$J$30,TRUE())&gt;1," ["&amp;Q661&amp;"]",""))</f>
        <v/>
      </c>
      <c r="H661" s="80" t="str">
        <f t="array" ref="H661">IF(A661="","",CHAR(10)&amp;INDEX('Deck 2'!$A:$Z,ROW()-500,'List Setup'!$E$4)&amp;CHAR(10))</f>
        <v/>
      </c>
      <c r="I661" s="80" t="str">
        <f t="array" ref="I661">IF(OR(B661="",B661="(none)"),"",IF(ISNUMBER(SEARCH(CHAR(10)&amp;B661&amp;CHAR(10),H661)),B661,IFERROR(INDEX('Set Aliases'!$A$2:$A$501,MATCH(1,('Set Aliases'!$B$2:$B$501=B661)*ISNUMBER(SEARCH(CHAR(10)&amp;'Set Aliases'!$A$2:$A$501&amp;CHAR(10),H661)),0)),"")))</f>
        <v/>
      </c>
      <c r="J661" s="80" t="str">
        <f t="array" ref="J661">IF(I661="","",IFERROR(VALUE(TRIM(MID(SUBSTITUTE(INDEX('Deck 2'!$A:$Z,ROW()-500,'List Setup'!$G$4),CHAR(10),REPT(" ",100)),((SEARCH(CHAR(10)&amp;I661&amp;CHAR(10),H661)-LEN(SUBSTITUTE(LEFT(H661,SEARCH(CHAR(10)&amp;I661&amp;CHAR(10),H661)),CHAR(10),"")))-1)*100+1,100))),""))</f>
        <v/>
      </c>
      <c r="K661" s="80" t="str">
        <f t="array" ref="K661">IF(A661="","",IF(ISNUMBER(SEARCH("Land",LEFT(IFERROR(INDEX('Deck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61" s="80" t="str">
        <f t="shared" si="3"/>
        <v/>
      </c>
      <c r="M661" s="80" t="str">
        <f>IF(A661="","",IF(AND(E661="Y",B661='Use at Shop'!$B$4),K661*10000000000+(MAX(0,MIN(26,CODE(MID(UPPER(A661)&amp;"    ",1,1))-64))*19683+MAX(0,MIN(26,CODE(MID(UPPER(A661)&amp;"    ",2,1))-64))*729+MAX(0,MIN(26,CODE(MID(UPPER(A661)&amp;"    ",3,1))-64))*27+MAX(0,MIN(26,CODE(MID(UPPER(A661)&amp;"    ",4,1))-64))*1)*10000+ROW(),""))</f>
        <v/>
      </c>
      <c r="N661" s="80" t="str">
        <f t="shared" si="6"/>
        <v/>
      </c>
      <c r="O661" s="80" t="str">
        <f t="array" ref="O661">IF(A661="","",IFERROR(INDEX('Deck 2'!$A:$Z,ROW()-500,'List Setup'!$J$4)&amp;"",""))</f>
        <v/>
      </c>
      <c r="P661" s="2"/>
      <c r="Q661" s="80" t="str">
        <f>IF(A661="","",'List Setup'!$A$4)</f>
        <v/>
      </c>
      <c r="R661" s="80" t="str">
        <f t="array" ref="R661">IF(A661="","",IFERROR(OR(INDEX(Binders!$J$6:$J$30,MATCH(Q661,Binders!$I$6:$I$30,0))=TRUE(),UPPER(INDEX(Binders!$J$6:$J$30,MATCH(Q661,Binders!$I$6:$I$30,0))&amp;"")="TRUE"),FALSE()))</f>
        <v/>
      </c>
    </row>
    <row r="662" ht="15.75" customHeight="1">
      <c r="A662" s="80" t="str">
        <f t="array" ref="A662">IF(INDEX('Deck 2'!$A:$Z,ROW()-500,'List Setup'!$D$4)="","",INDEX('Deck 2'!$A:$Z,ROW()-500,'List Setup'!$D$4))</f>
        <v/>
      </c>
      <c r="B662" s="80" t="str">
        <f t="array" ref="B662">IF(A662="","",IFERROR(INDEX('Binder Setup'!$B$2:$B$401,MIN(IF(ISNUMBER(SEARCH(CHAR(10)&amp;'Binder Setup'!$B$2:$B$401&amp;CHAR(10),$H662)),'List Setup'!$Q$2:$Q$401,999),IF(ISNUMBER(SEARCH(CHAR(10)&amp;'Set Aliases'!$A$2:$A$501&amp;CHAR(10),$H662)),'Set Aliases'!$C$2:$C$501,999))),"(none)"))</f>
        <v/>
      </c>
      <c r="C662" s="80" t="str">
        <f t="shared" si="1"/>
        <v/>
      </c>
      <c r="D662" s="80" t="str">
        <f t="array" ref="D662">IF(A662="","",IF(ISLOGICAL(INDEX('Deck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62" s="80" t="str">
        <f t="shared" si="2"/>
        <v/>
      </c>
      <c r="F662" s="80" t="str">
        <f t="array" ref="F662">IF(A662="","",IF(ISNUMBER(J662),J662,IF(ISNUMBER(INDEX('Deck 2'!$A:$Z,ROW()-500,'List Setup'!$F$4)),INDEX('Deck 2'!$A:$Z,ROW()-500,'List Setup'!$F$4),0)))</f>
        <v/>
      </c>
      <c r="G662" s="80" t="str">
        <f t="array" ref="G662">IF(A662="","",A662&amp;IF(N(INDEX('Deck 2'!$A:$Z,ROW()-500,'List Setup'!$C$4))&gt;1," (x"&amp;INDEX('Deck 2'!$A:$Z,ROW()-500,'List Setup'!$C$4)&amp;")","")&amp;IF(COUNTIF(Binders!$J$6:$J$30,TRUE())&gt;1," ["&amp;Q662&amp;"]",""))</f>
        <v/>
      </c>
      <c r="H662" s="80" t="str">
        <f t="array" ref="H662">IF(A662="","",CHAR(10)&amp;INDEX('Deck 2'!$A:$Z,ROW()-500,'List Setup'!$E$4)&amp;CHAR(10))</f>
        <v/>
      </c>
      <c r="I662" s="80" t="str">
        <f t="array" ref="I662">IF(OR(B662="",B662="(none)"),"",IF(ISNUMBER(SEARCH(CHAR(10)&amp;B662&amp;CHAR(10),H662)),B662,IFERROR(INDEX('Set Aliases'!$A$2:$A$501,MATCH(1,('Set Aliases'!$B$2:$B$501=B662)*ISNUMBER(SEARCH(CHAR(10)&amp;'Set Aliases'!$A$2:$A$501&amp;CHAR(10),H662)),0)),"")))</f>
        <v/>
      </c>
      <c r="J662" s="80" t="str">
        <f t="array" ref="J662">IF(I662="","",IFERROR(VALUE(TRIM(MID(SUBSTITUTE(INDEX('Deck 2'!$A:$Z,ROW()-500,'List Setup'!$G$4),CHAR(10),REPT(" ",100)),((SEARCH(CHAR(10)&amp;I662&amp;CHAR(10),H662)-LEN(SUBSTITUTE(LEFT(H662,SEARCH(CHAR(10)&amp;I662&amp;CHAR(10),H662)),CHAR(10),"")))-1)*100+1,100))),""))</f>
        <v/>
      </c>
      <c r="K662" s="80" t="str">
        <f t="array" ref="K662">IF(A662="","",IF(ISNUMBER(SEARCH("Land",LEFT(IFERROR(INDEX('Deck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62" s="80" t="str">
        <f t="shared" si="3"/>
        <v/>
      </c>
      <c r="M662" s="80" t="str">
        <f>IF(A662="","",IF(AND(E662="Y",B662='Use at Shop'!$B$4),K662*10000000000+(MAX(0,MIN(26,CODE(MID(UPPER(A662)&amp;"    ",1,1))-64))*19683+MAX(0,MIN(26,CODE(MID(UPPER(A662)&amp;"    ",2,1))-64))*729+MAX(0,MIN(26,CODE(MID(UPPER(A662)&amp;"    ",3,1))-64))*27+MAX(0,MIN(26,CODE(MID(UPPER(A662)&amp;"    ",4,1))-64))*1)*10000+ROW(),""))</f>
        <v/>
      </c>
      <c r="N662" s="80" t="str">
        <f t="shared" si="6"/>
        <v/>
      </c>
      <c r="O662" s="80" t="str">
        <f t="array" ref="O662">IF(A662="","",IFERROR(INDEX('Deck 2'!$A:$Z,ROW()-500,'List Setup'!$J$4)&amp;"",""))</f>
        <v/>
      </c>
      <c r="P662" s="2"/>
      <c r="Q662" s="80" t="str">
        <f>IF(A662="","",'List Setup'!$A$4)</f>
        <v/>
      </c>
      <c r="R662" s="80" t="str">
        <f t="array" ref="R662">IF(A662="","",IFERROR(OR(INDEX(Binders!$J$6:$J$30,MATCH(Q662,Binders!$I$6:$I$30,0))=TRUE(),UPPER(INDEX(Binders!$J$6:$J$30,MATCH(Q662,Binders!$I$6:$I$30,0))&amp;"")="TRUE"),FALSE()))</f>
        <v/>
      </c>
    </row>
    <row r="663" ht="15.75" customHeight="1">
      <c r="A663" s="80" t="str">
        <f t="array" ref="A663">IF(INDEX('Deck 2'!$A:$Z,ROW()-500,'List Setup'!$D$4)="","",INDEX('Deck 2'!$A:$Z,ROW()-500,'List Setup'!$D$4))</f>
        <v/>
      </c>
      <c r="B663" s="80" t="str">
        <f t="array" ref="B663">IF(A663="","",IFERROR(INDEX('Binder Setup'!$B$2:$B$401,MIN(IF(ISNUMBER(SEARCH(CHAR(10)&amp;'Binder Setup'!$B$2:$B$401&amp;CHAR(10),$H663)),'List Setup'!$Q$2:$Q$401,999),IF(ISNUMBER(SEARCH(CHAR(10)&amp;'Set Aliases'!$A$2:$A$501&amp;CHAR(10),$H663)),'Set Aliases'!$C$2:$C$501,999))),"(none)"))</f>
        <v/>
      </c>
      <c r="C663" s="80" t="str">
        <f t="shared" si="1"/>
        <v/>
      </c>
      <c r="D663" s="80" t="str">
        <f t="array" ref="D663">IF(A663="","",IF(ISLOGICAL(INDEX('Deck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63" s="80" t="str">
        <f t="shared" si="2"/>
        <v/>
      </c>
      <c r="F663" s="80" t="str">
        <f t="array" ref="F663">IF(A663="","",IF(ISNUMBER(J663),J663,IF(ISNUMBER(INDEX('Deck 2'!$A:$Z,ROW()-500,'List Setup'!$F$4)),INDEX('Deck 2'!$A:$Z,ROW()-500,'List Setup'!$F$4),0)))</f>
        <v/>
      </c>
      <c r="G663" s="80" t="str">
        <f t="array" ref="G663">IF(A663="","",A663&amp;IF(N(INDEX('Deck 2'!$A:$Z,ROW()-500,'List Setup'!$C$4))&gt;1," (x"&amp;INDEX('Deck 2'!$A:$Z,ROW()-500,'List Setup'!$C$4)&amp;")","")&amp;IF(COUNTIF(Binders!$J$6:$J$30,TRUE())&gt;1," ["&amp;Q663&amp;"]",""))</f>
        <v/>
      </c>
      <c r="H663" s="80" t="str">
        <f t="array" ref="H663">IF(A663="","",CHAR(10)&amp;INDEX('Deck 2'!$A:$Z,ROW()-500,'List Setup'!$E$4)&amp;CHAR(10))</f>
        <v/>
      </c>
      <c r="I663" s="80" t="str">
        <f t="array" ref="I663">IF(OR(B663="",B663="(none)"),"",IF(ISNUMBER(SEARCH(CHAR(10)&amp;B663&amp;CHAR(10),H663)),B663,IFERROR(INDEX('Set Aliases'!$A$2:$A$501,MATCH(1,('Set Aliases'!$B$2:$B$501=B663)*ISNUMBER(SEARCH(CHAR(10)&amp;'Set Aliases'!$A$2:$A$501&amp;CHAR(10),H663)),0)),"")))</f>
        <v/>
      </c>
      <c r="J663" s="80" t="str">
        <f t="array" ref="J663">IF(I663="","",IFERROR(VALUE(TRIM(MID(SUBSTITUTE(INDEX('Deck 2'!$A:$Z,ROW()-500,'List Setup'!$G$4),CHAR(10),REPT(" ",100)),((SEARCH(CHAR(10)&amp;I663&amp;CHAR(10),H663)-LEN(SUBSTITUTE(LEFT(H663,SEARCH(CHAR(10)&amp;I663&amp;CHAR(10),H663)),CHAR(10),"")))-1)*100+1,100))),""))</f>
        <v/>
      </c>
      <c r="K663" s="80" t="str">
        <f t="array" ref="K663">IF(A663="","",IF(ISNUMBER(SEARCH("Land",LEFT(IFERROR(INDEX('Deck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63" s="80" t="str">
        <f t="shared" si="3"/>
        <v/>
      </c>
      <c r="M663" s="80" t="str">
        <f>IF(A663="","",IF(AND(E663="Y",B663='Use at Shop'!$B$4),K663*10000000000+(MAX(0,MIN(26,CODE(MID(UPPER(A663)&amp;"    ",1,1))-64))*19683+MAX(0,MIN(26,CODE(MID(UPPER(A663)&amp;"    ",2,1))-64))*729+MAX(0,MIN(26,CODE(MID(UPPER(A663)&amp;"    ",3,1))-64))*27+MAX(0,MIN(26,CODE(MID(UPPER(A663)&amp;"    ",4,1))-64))*1)*10000+ROW(),""))</f>
        <v/>
      </c>
      <c r="N663" s="80" t="str">
        <f t="shared" si="6"/>
        <v/>
      </c>
      <c r="O663" s="80" t="str">
        <f t="array" ref="O663">IF(A663="","",IFERROR(INDEX('Deck 2'!$A:$Z,ROW()-500,'List Setup'!$J$4)&amp;"",""))</f>
        <v/>
      </c>
      <c r="P663" s="2"/>
      <c r="Q663" s="80" t="str">
        <f>IF(A663="","",'List Setup'!$A$4)</f>
        <v/>
      </c>
      <c r="R663" s="80" t="str">
        <f t="array" ref="R663">IF(A663="","",IFERROR(OR(INDEX(Binders!$J$6:$J$30,MATCH(Q663,Binders!$I$6:$I$30,0))=TRUE(),UPPER(INDEX(Binders!$J$6:$J$30,MATCH(Q663,Binders!$I$6:$I$30,0))&amp;"")="TRUE"),FALSE()))</f>
        <v/>
      </c>
    </row>
    <row r="664" ht="15.75" customHeight="1">
      <c r="A664" s="80" t="str">
        <f t="array" ref="A664">IF(INDEX('Deck 2'!$A:$Z,ROW()-500,'List Setup'!$D$4)="","",INDEX('Deck 2'!$A:$Z,ROW()-500,'List Setup'!$D$4))</f>
        <v/>
      </c>
      <c r="B664" s="80" t="str">
        <f t="array" ref="B664">IF(A664="","",IFERROR(INDEX('Binder Setup'!$B$2:$B$401,MIN(IF(ISNUMBER(SEARCH(CHAR(10)&amp;'Binder Setup'!$B$2:$B$401&amp;CHAR(10),$H664)),'List Setup'!$Q$2:$Q$401,999),IF(ISNUMBER(SEARCH(CHAR(10)&amp;'Set Aliases'!$A$2:$A$501&amp;CHAR(10),$H664)),'Set Aliases'!$C$2:$C$501,999))),"(none)"))</f>
        <v/>
      </c>
      <c r="C664" s="80" t="str">
        <f t="shared" si="1"/>
        <v/>
      </c>
      <c r="D664" s="80" t="str">
        <f t="array" ref="D664">IF(A664="","",IF(ISLOGICAL(INDEX('Deck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64" s="80" t="str">
        <f t="shared" si="2"/>
        <v/>
      </c>
      <c r="F664" s="80" t="str">
        <f t="array" ref="F664">IF(A664="","",IF(ISNUMBER(J664),J664,IF(ISNUMBER(INDEX('Deck 2'!$A:$Z,ROW()-500,'List Setup'!$F$4)),INDEX('Deck 2'!$A:$Z,ROW()-500,'List Setup'!$F$4),0)))</f>
        <v/>
      </c>
      <c r="G664" s="80" t="str">
        <f t="array" ref="G664">IF(A664="","",A664&amp;IF(N(INDEX('Deck 2'!$A:$Z,ROW()-500,'List Setup'!$C$4))&gt;1," (x"&amp;INDEX('Deck 2'!$A:$Z,ROW()-500,'List Setup'!$C$4)&amp;")","")&amp;IF(COUNTIF(Binders!$J$6:$J$30,TRUE())&gt;1," ["&amp;Q664&amp;"]",""))</f>
        <v/>
      </c>
      <c r="H664" s="80" t="str">
        <f t="array" ref="H664">IF(A664="","",CHAR(10)&amp;INDEX('Deck 2'!$A:$Z,ROW()-500,'List Setup'!$E$4)&amp;CHAR(10))</f>
        <v/>
      </c>
      <c r="I664" s="80" t="str">
        <f t="array" ref="I664">IF(OR(B664="",B664="(none)"),"",IF(ISNUMBER(SEARCH(CHAR(10)&amp;B664&amp;CHAR(10),H664)),B664,IFERROR(INDEX('Set Aliases'!$A$2:$A$501,MATCH(1,('Set Aliases'!$B$2:$B$501=B664)*ISNUMBER(SEARCH(CHAR(10)&amp;'Set Aliases'!$A$2:$A$501&amp;CHAR(10),H664)),0)),"")))</f>
        <v/>
      </c>
      <c r="J664" s="80" t="str">
        <f t="array" ref="J664">IF(I664="","",IFERROR(VALUE(TRIM(MID(SUBSTITUTE(INDEX('Deck 2'!$A:$Z,ROW()-500,'List Setup'!$G$4),CHAR(10),REPT(" ",100)),((SEARCH(CHAR(10)&amp;I664&amp;CHAR(10),H664)-LEN(SUBSTITUTE(LEFT(H664,SEARCH(CHAR(10)&amp;I664&amp;CHAR(10),H664)),CHAR(10),"")))-1)*100+1,100))),""))</f>
        <v/>
      </c>
      <c r="K664" s="80" t="str">
        <f t="array" ref="K664">IF(A664="","",IF(ISNUMBER(SEARCH("Land",LEFT(IFERROR(INDEX('Deck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64" s="80" t="str">
        <f t="shared" si="3"/>
        <v/>
      </c>
      <c r="M664" s="80" t="str">
        <f>IF(A664="","",IF(AND(E664="Y",B664='Use at Shop'!$B$4),K664*10000000000+(MAX(0,MIN(26,CODE(MID(UPPER(A664)&amp;"    ",1,1))-64))*19683+MAX(0,MIN(26,CODE(MID(UPPER(A664)&amp;"    ",2,1))-64))*729+MAX(0,MIN(26,CODE(MID(UPPER(A664)&amp;"    ",3,1))-64))*27+MAX(0,MIN(26,CODE(MID(UPPER(A664)&amp;"    ",4,1))-64))*1)*10000+ROW(),""))</f>
        <v/>
      </c>
      <c r="N664" s="80" t="str">
        <f t="shared" si="6"/>
        <v/>
      </c>
      <c r="O664" s="80" t="str">
        <f t="array" ref="O664">IF(A664="","",IFERROR(INDEX('Deck 2'!$A:$Z,ROW()-500,'List Setup'!$J$4)&amp;"",""))</f>
        <v/>
      </c>
      <c r="P664" s="2"/>
      <c r="Q664" s="80" t="str">
        <f>IF(A664="","",'List Setup'!$A$4)</f>
        <v/>
      </c>
      <c r="R664" s="80" t="str">
        <f t="array" ref="R664">IF(A664="","",IFERROR(OR(INDEX(Binders!$J$6:$J$30,MATCH(Q664,Binders!$I$6:$I$30,0))=TRUE(),UPPER(INDEX(Binders!$J$6:$J$30,MATCH(Q664,Binders!$I$6:$I$30,0))&amp;"")="TRUE"),FALSE()))</f>
        <v/>
      </c>
    </row>
    <row r="665" ht="15.75" customHeight="1">
      <c r="A665" s="80" t="str">
        <f t="array" ref="A665">IF(INDEX('Deck 2'!$A:$Z,ROW()-500,'List Setup'!$D$4)="","",INDEX('Deck 2'!$A:$Z,ROW()-500,'List Setup'!$D$4))</f>
        <v/>
      </c>
      <c r="B665" s="80" t="str">
        <f t="array" ref="B665">IF(A665="","",IFERROR(INDEX('Binder Setup'!$B$2:$B$401,MIN(IF(ISNUMBER(SEARCH(CHAR(10)&amp;'Binder Setup'!$B$2:$B$401&amp;CHAR(10),$H665)),'List Setup'!$Q$2:$Q$401,999),IF(ISNUMBER(SEARCH(CHAR(10)&amp;'Set Aliases'!$A$2:$A$501&amp;CHAR(10),$H665)),'Set Aliases'!$C$2:$C$501,999))),"(none)"))</f>
        <v/>
      </c>
      <c r="C665" s="80" t="str">
        <f t="shared" si="1"/>
        <v/>
      </c>
      <c r="D665" s="80" t="str">
        <f t="array" ref="D665">IF(A665="","",IF(ISLOGICAL(INDEX('Deck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65" s="80" t="str">
        <f t="shared" si="2"/>
        <v/>
      </c>
      <c r="F665" s="80" t="str">
        <f t="array" ref="F665">IF(A665="","",IF(ISNUMBER(J665),J665,IF(ISNUMBER(INDEX('Deck 2'!$A:$Z,ROW()-500,'List Setup'!$F$4)),INDEX('Deck 2'!$A:$Z,ROW()-500,'List Setup'!$F$4),0)))</f>
        <v/>
      </c>
      <c r="G665" s="80" t="str">
        <f t="array" ref="G665">IF(A665="","",A665&amp;IF(N(INDEX('Deck 2'!$A:$Z,ROW()-500,'List Setup'!$C$4))&gt;1," (x"&amp;INDEX('Deck 2'!$A:$Z,ROW()-500,'List Setup'!$C$4)&amp;")","")&amp;IF(COUNTIF(Binders!$J$6:$J$30,TRUE())&gt;1," ["&amp;Q665&amp;"]",""))</f>
        <v/>
      </c>
      <c r="H665" s="80" t="str">
        <f t="array" ref="H665">IF(A665="","",CHAR(10)&amp;INDEX('Deck 2'!$A:$Z,ROW()-500,'List Setup'!$E$4)&amp;CHAR(10))</f>
        <v/>
      </c>
      <c r="I665" s="80" t="str">
        <f t="array" ref="I665">IF(OR(B665="",B665="(none)"),"",IF(ISNUMBER(SEARCH(CHAR(10)&amp;B665&amp;CHAR(10),H665)),B665,IFERROR(INDEX('Set Aliases'!$A$2:$A$501,MATCH(1,('Set Aliases'!$B$2:$B$501=B665)*ISNUMBER(SEARCH(CHAR(10)&amp;'Set Aliases'!$A$2:$A$501&amp;CHAR(10),H665)),0)),"")))</f>
        <v/>
      </c>
      <c r="J665" s="80" t="str">
        <f t="array" ref="J665">IF(I665="","",IFERROR(VALUE(TRIM(MID(SUBSTITUTE(INDEX('Deck 2'!$A:$Z,ROW()-500,'List Setup'!$G$4),CHAR(10),REPT(" ",100)),((SEARCH(CHAR(10)&amp;I665&amp;CHAR(10),H665)-LEN(SUBSTITUTE(LEFT(H665,SEARCH(CHAR(10)&amp;I665&amp;CHAR(10),H665)),CHAR(10),"")))-1)*100+1,100))),""))</f>
        <v/>
      </c>
      <c r="K665" s="80" t="str">
        <f t="array" ref="K665">IF(A665="","",IF(ISNUMBER(SEARCH("Land",LEFT(IFERROR(INDEX('Deck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65" s="80" t="str">
        <f t="shared" si="3"/>
        <v/>
      </c>
      <c r="M665" s="80" t="str">
        <f>IF(A665="","",IF(AND(E665="Y",B665='Use at Shop'!$B$4),K665*10000000000+(MAX(0,MIN(26,CODE(MID(UPPER(A665)&amp;"    ",1,1))-64))*19683+MAX(0,MIN(26,CODE(MID(UPPER(A665)&amp;"    ",2,1))-64))*729+MAX(0,MIN(26,CODE(MID(UPPER(A665)&amp;"    ",3,1))-64))*27+MAX(0,MIN(26,CODE(MID(UPPER(A665)&amp;"    ",4,1))-64))*1)*10000+ROW(),""))</f>
        <v/>
      </c>
      <c r="N665" s="80" t="str">
        <f t="shared" si="6"/>
        <v/>
      </c>
      <c r="O665" s="80" t="str">
        <f t="array" ref="O665">IF(A665="","",IFERROR(INDEX('Deck 2'!$A:$Z,ROW()-500,'List Setup'!$J$4)&amp;"",""))</f>
        <v/>
      </c>
      <c r="P665" s="2"/>
      <c r="Q665" s="80" t="str">
        <f>IF(A665="","",'List Setup'!$A$4)</f>
        <v/>
      </c>
      <c r="R665" s="80" t="str">
        <f t="array" ref="R665">IF(A665="","",IFERROR(OR(INDEX(Binders!$J$6:$J$30,MATCH(Q665,Binders!$I$6:$I$30,0))=TRUE(),UPPER(INDEX(Binders!$J$6:$J$30,MATCH(Q665,Binders!$I$6:$I$30,0))&amp;"")="TRUE"),FALSE()))</f>
        <v/>
      </c>
    </row>
    <row r="666" ht="15.75" customHeight="1">
      <c r="A666" s="80" t="str">
        <f t="array" ref="A666">IF(INDEX('Deck 2'!$A:$Z,ROW()-500,'List Setup'!$D$4)="","",INDEX('Deck 2'!$A:$Z,ROW()-500,'List Setup'!$D$4))</f>
        <v/>
      </c>
      <c r="B666" s="80" t="str">
        <f t="array" ref="B666">IF(A666="","",IFERROR(INDEX('Binder Setup'!$B$2:$B$401,MIN(IF(ISNUMBER(SEARCH(CHAR(10)&amp;'Binder Setup'!$B$2:$B$401&amp;CHAR(10),$H666)),'List Setup'!$Q$2:$Q$401,999),IF(ISNUMBER(SEARCH(CHAR(10)&amp;'Set Aliases'!$A$2:$A$501&amp;CHAR(10),$H666)),'Set Aliases'!$C$2:$C$501,999))),"(none)"))</f>
        <v/>
      </c>
      <c r="C666" s="80" t="str">
        <f t="shared" si="1"/>
        <v/>
      </c>
      <c r="D666" s="80" t="str">
        <f t="array" ref="D666">IF(A666="","",IF(ISLOGICAL(INDEX('Deck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66" s="80" t="str">
        <f t="shared" si="2"/>
        <v/>
      </c>
      <c r="F666" s="80" t="str">
        <f t="array" ref="F666">IF(A666="","",IF(ISNUMBER(J666),J666,IF(ISNUMBER(INDEX('Deck 2'!$A:$Z,ROW()-500,'List Setup'!$F$4)),INDEX('Deck 2'!$A:$Z,ROW()-500,'List Setup'!$F$4),0)))</f>
        <v/>
      </c>
      <c r="G666" s="80" t="str">
        <f t="array" ref="G666">IF(A666="","",A666&amp;IF(N(INDEX('Deck 2'!$A:$Z,ROW()-500,'List Setup'!$C$4))&gt;1," (x"&amp;INDEX('Deck 2'!$A:$Z,ROW()-500,'List Setup'!$C$4)&amp;")","")&amp;IF(COUNTIF(Binders!$J$6:$J$30,TRUE())&gt;1," ["&amp;Q666&amp;"]",""))</f>
        <v/>
      </c>
      <c r="H666" s="80" t="str">
        <f t="array" ref="H666">IF(A666="","",CHAR(10)&amp;INDEX('Deck 2'!$A:$Z,ROW()-500,'List Setup'!$E$4)&amp;CHAR(10))</f>
        <v/>
      </c>
      <c r="I666" s="80" t="str">
        <f t="array" ref="I666">IF(OR(B666="",B666="(none)"),"",IF(ISNUMBER(SEARCH(CHAR(10)&amp;B666&amp;CHAR(10),H666)),B666,IFERROR(INDEX('Set Aliases'!$A$2:$A$501,MATCH(1,('Set Aliases'!$B$2:$B$501=B666)*ISNUMBER(SEARCH(CHAR(10)&amp;'Set Aliases'!$A$2:$A$501&amp;CHAR(10),H666)),0)),"")))</f>
        <v/>
      </c>
      <c r="J666" s="80" t="str">
        <f t="array" ref="J666">IF(I666="","",IFERROR(VALUE(TRIM(MID(SUBSTITUTE(INDEX('Deck 2'!$A:$Z,ROW()-500,'List Setup'!$G$4),CHAR(10),REPT(" ",100)),((SEARCH(CHAR(10)&amp;I666&amp;CHAR(10),H666)-LEN(SUBSTITUTE(LEFT(H666,SEARCH(CHAR(10)&amp;I666&amp;CHAR(10),H666)),CHAR(10),"")))-1)*100+1,100))),""))</f>
        <v/>
      </c>
      <c r="K666" s="80" t="str">
        <f t="array" ref="K666">IF(A666="","",IF(ISNUMBER(SEARCH("Land",LEFT(IFERROR(INDEX('Deck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66" s="80" t="str">
        <f t="shared" si="3"/>
        <v/>
      </c>
      <c r="M666" s="80" t="str">
        <f>IF(A666="","",IF(AND(E666="Y",B666='Use at Shop'!$B$4),K666*10000000000+(MAX(0,MIN(26,CODE(MID(UPPER(A666)&amp;"    ",1,1))-64))*19683+MAX(0,MIN(26,CODE(MID(UPPER(A666)&amp;"    ",2,1))-64))*729+MAX(0,MIN(26,CODE(MID(UPPER(A666)&amp;"    ",3,1))-64))*27+MAX(0,MIN(26,CODE(MID(UPPER(A666)&amp;"    ",4,1))-64))*1)*10000+ROW(),""))</f>
        <v/>
      </c>
      <c r="N666" s="80" t="str">
        <f t="shared" si="6"/>
        <v/>
      </c>
      <c r="O666" s="80" t="str">
        <f t="array" ref="O666">IF(A666="","",IFERROR(INDEX('Deck 2'!$A:$Z,ROW()-500,'List Setup'!$J$4)&amp;"",""))</f>
        <v/>
      </c>
      <c r="P666" s="2"/>
      <c r="Q666" s="80" t="str">
        <f>IF(A666="","",'List Setup'!$A$4)</f>
        <v/>
      </c>
      <c r="R666" s="80" t="str">
        <f t="array" ref="R666">IF(A666="","",IFERROR(OR(INDEX(Binders!$J$6:$J$30,MATCH(Q666,Binders!$I$6:$I$30,0))=TRUE(),UPPER(INDEX(Binders!$J$6:$J$30,MATCH(Q666,Binders!$I$6:$I$30,0))&amp;"")="TRUE"),FALSE()))</f>
        <v/>
      </c>
    </row>
    <row r="667" ht="15.75" customHeight="1">
      <c r="A667" s="80" t="str">
        <f t="array" ref="A667">IF(INDEX('Deck 2'!$A:$Z,ROW()-500,'List Setup'!$D$4)="","",INDEX('Deck 2'!$A:$Z,ROW()-500,'List Setup'!$D$4))</f>
        <v/>
      </c>
      <c r="B667" s="80" t="str">
        <f t="array" ref="B667">IF(A667="","",IFERROR(INDEX('Binder Setup'!$B$2:$B$401,MIN(IF(ISNUMBER(SEARCH(CHAR(10)&amp;'Binder Setup'!$B$2:$B$401&amp;CHAR(10),$H667)),'List Setup'!$Q$2:$Q$401,999),IF(ISNUMBER(SEARCH(CHAR(10)&amp;'Set Aliases'!$A$2:$A$501&amp;CHAR(10),$H667)),'Set Aliases'!$C$2:$C$501,999))),"(none)"))</f>
        <v/>
      </c>
      <c r="C667" s="80" t="str">
        <f t="shared" si="1"/>
        <v/>
      </c>
      <c r="D667" s="80" t="str">
        <f t="array" ref="D667">IF(A667="","",IF(ISLOGICAL(INDEX('Deck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67" s="80" t="str">
        <f t="shared" si="2"/>
        <v/>
      </c>
      <c r="F667" s="80" t="str">
        <f t="array" ref="F667">IF(A667="","",IF(ISNUMBER(J667),J667,IF(ISNUMBER(INDEX('Deck 2'!$A:$Z,ROW()-500,'List Setup'!$F$4)),INDEX('Deck 2'!$A:$Z,ROW()-500,'List Setup'!$F$4),0)))</f>
        <v/>
      </c>
      <c r="G667" s="80" t="str">
        <f t="array" ref="G667">IF(A667="","",A667&amp;IF(N(INDEX('Deck 2'!$A:$Z,ROW()-500,'List Setup'!$C$4))&gt;1," (x"&amp;INDEX('Deck 2'!$A:$Z,ROW()-500,'List Setup'!$C$4)&amp;")","")&amp;IF(COUNTIF(Binders!$J$6:$J$30,TRUE())&gt;1," ["&amp;Q667&amp;"]",""))</f>
        <v/>
      </c>
      <c r="H667" s="80" t="str">
        <f t="array" ref="H667">IF(A667="","",CHAR(10)&amp;INDEX('Deck 2'!$A:$Z,ROW()-500,'List Setup'!$E$4)&amp;CHAR(10))</f>
        <v/>
      </c>
      <c r="I667" s="80" t="str">
        <f t="array" ref="I667">IF(OR(B667="",B667="(none)"),"",IF(ISNUMBER(SEARCH(CHAR(10)&amp;B667&amp;CHAR(10),H667)),B667,IFERROR(INDEX('Set Aliases'!$A$2:$A$501,MATCH(1,('Set Aliases'!$B$2:$B$501=B667)*ISNUMBER(SEARCH(CHAR(10)&amp;'Set Aliases'!$A$2:$A$501&amp;CHAR(10),H667)),0)),"")))</f>
        <v/>
      </c>
      <c r="J667" s="80" t="str">
        <f t="array" ref="J667">IF(I667="","",IFERROR(VALUE(TRIM(MID(SUBSTITUTE(INDEX('Deck 2'!$A:$Z,ROW()-500,'List Setup'!$G$4),CHAR(10),REPT(" ",100)),((SEARCH(CHAR(10)&amp;I667&amp;CHAR(10),H667)-LEN(SUBSTITUTE(LEFT(H667,SEARCH(CHAR(10)&amp;I667&amp;CHAR(10),H667)),CHAR(10),"")))-1)*100+1,100))),""))</f>
        <v/>
      </c>
      <c r="K667" s="80" t="str">
        <f t="array" ref="K667">IF(A667="","",IF(ISNUMBER(SEARCH("Land",LEFT(IFERROR(INDEX('Deck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67" s="80" t="str">
        <f t="shared" si="3"/>
        <v/>
      </c>
      <c r="M667" s="80" t="str">
        <f>IF(A667="","",IF(AND(E667="Y",B667='Use at Shop'!$B$4),K667*10000000000+(MAX(0,MIN(26,CODE(MID(UPPER(A667)&amp;"    ",1,1))-64))*19683+MAX(0,MIN(26,CODE(MID(UPPER(A667)&amp;"    ",2,1))-64))*729+MAX(0,MIN(26,CODE(MID(UPPER(A667)&amp;"    ",3,1))-64))*27+MAX(0,MIN(26,CODE(MID(UPPER(A667)&amp;"    ",4,1))-64))*1)*10000+ROW(),""))</f>
        <v/>
      </c>
      <c r="N667" s="80" t="str">
        <f t="shared" si="6"/>
        <v/>
      </c>
      <c r="O667" s="80" t="str">
        <f t="array" ref="O667">IF(A667="","",IFERROR(INDEX('Deck 2'!$A:$Z,ROW()-500,'List Setup'!$J$4)&amp;"",""))</f>
        <v/>
      </c>
      <c r="P667" s="2"/>
      <c r="Q667" s="80" t="str">
        <f>IF(A667="","",'List Setup'!$A$4)</f>
        <v/>
      </c>
      <c r="R667" s="80" t="str">
        <f t="array" ref="R667">IF(A667="","",IFERROR(OR(INDEX(Binders!$J$6:$J$30,MATCH(Q667,Binders!$I$6:$I$30,0))=TRUE(),UPPER(INDEX(Binders!$J$6:$J$30,MATCH(Q667,Binders!$I$6:$I$30,0))&amp;"")="TRUE"),FALSE()))</f>
        <v/>
      </c>
    </row>
    <row r="668" ht="15.75" customHeight="1">
      <c r="A668" s="80" t="str">
        <f t="array" ref="A668">IF(INDEX('Deck 2'!$A:$Z,ROW()-500,'List Setup'!$D$4)="","",INDEX('Deck 2'!$A:$Z,ROW()-500,'List Setup'!$D$4))</f>
        <v/>
      </c>
      <c r="B668" s="80" t="str">
        <f t="array" ref="B668">IF(A668="","",IFERROR(INDEX('Binder Setup'!$B$2:$B$401,MIN(IF(ISNUMBER(SEARCH(CHAR(10)&amp;'Binder Setup'!$B$2:$B$401&amp;CHAR(10),$H668)),'List Setup'!$Q$2:$Q$401,999),IF(ISNUMBER(SEARCH(CHAR(10)&amp;'Set Aliases'!$A$2:$A$501&amp;CHAR(10),$H668)),'Set Aliases'!$C$2:$C$501,999))),"(none)"))</f>
        <v/>
      </c>
      <c r="C668" s="80" t="str">
        <f t="shared" si="1"/>
        <v/>
      </c>
      <c r="D668" s="80" t="str">
        <f t="array" ref="D668">IF(A668="","",IF(ISLOGICAL(INDEX('Deck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68" s="80" t="str">
        <f t="shared" si="2"/>
        <v/>
      </c>
      <c r="F668" s="80" t="str">
        <f t="array" ref="F668">IF(A668="","",IF(ISNUMBER(J668),J668,IF(ISNUMBER(INDEX('Deck 2'!$A:$Z,ROW()-500,'List Setup'!$F$4)),INDEX('Deck 2'!$A:$Z,ROW()-500,'List Setup'!$F$4),0)))</f>
        <v/>
      </c>
      <c r="G668" s="80" t="str">
        <f t="array" ref="G668">IF(A668="","",A668&amp;IF(N(INDEX('Deck 2'!$A:$Z,ROW()-500,'List Setup'!$C$4))&gt;1," (x"&amp;INDEX('Deck 2'!$A:$Z,ROW()-500,'List Setup'!$C$4)&amp;")","")&amp;IF(COUNTIF(Binders!$J$6:$J$30,TRUE())&gt;1," ["&amp;Q668&amp;"]",""))</f>
        <v/>
      </c>
      <c r="H668" s="80" t="str">
        <f t="array" ref="H668">IF(A668="","",CHAR(10)&amp;INDEX('Deck 2'!$A:$Z,ROW()-500,'List Setup'!$E$4)&amp;CHAR(10))</f>
        <v/>
      </c>
      <c r="I668" s="80" t="str">
        <f t="array" ref="I668">IF(OR(B668="",B668="(none)"),"",IF(ISNUMBER(SEARCH(CHAR(10)&amp;B668&amp;CHAR(10),H668)),B668,IFERROR(INDEX('Set Aliases'!$A$2:$A$501,MATCH(1,('Set Aliases'!$B$2:$B$501=B668)*ISNUMBER(SEARCH(CHAR(10)&amp;'Set Aliases'!$A$2:$A$501&amp;CHAR(10),H668)),0)),"")))</f>
        <v/>
      </c>
      <c r="J668" s="80" t="str">
        <f t="array" ref="J668">IF(I668="","",IFERROR(VALUE(TRIM(MID(SUBSTITUTE(INDEX('Deck 2'!$A:$Z,ROW()-500,'List Setup'!$G$4),CHAR(10),REPT(" ",100)),((SEARCH(CHAR(10)&amp;I668&amp;CHAR(10),H668)-LEN(SUBSTITUTE(LEFT(H668,SEARCH(CHAR(10)&amp;I668&amp;CHAR(10),H668)),CHAR(10),"")))-1)*100+1,100))),""))</f>
        <v/>
      </c>
      <c r="K668" s="80" t="str">
        <f t="array" ref="K668">IF(A668="","",IF(ISNUMBER(SEARCH("Land",LEFT(IFERROR(INDEX('Deck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68" s="80" t="str">
        <f t="shared" si="3"/>
        <v/>
      </c>
      <c r="M668" s="80" t="str">
        <f>IF(A668="","",IF(AND(E668="Y",B668='Use at Shop'!$B$4),K668*10000000000+(MAX(0,MIN(26,CODE(MID(UPPER(A668)&amp;"    ",1,1))-64))*19683+MAX(0,MIN(26,CODE(MID(UPPER(A668)&amp;"    ",2,1))-64))*729+MAX(0,MIN(26,CODE(MID(UPPER(A668)&amp;"    ",3,1))-64))*27+MAX(0,MIN(26,CODE(MID(UPPER(A668)&amp;"    ",4,1))-64))*1)*10000+ROW(),""))</f>
        <v/>
      </c>
      <c r="N668" s="80" t="str">
        <f t="shared" si="6"/>
        <v/>
      </c>
      <c r="O668" s="80" t="str">
        <f t="array" ref="O668">IF(A668="","",IFERROR(INDEX('Deck 2'!$A:$Z,ROW()-500,'List Setup'!$J$4)&amp;"",""))</f>
        <v/>
      </c>
      <c r="P668" s="2"/>
      <c r="Q668" s="80" t="str">
        <f>IF(A668="","",'List Setup'!$A$4)</f>
        <v/>
      </c>
      <c r="R668" s="80" t="str">
        <f t="array" ref="R668">IF(A668="","",IFERROR(OR(INDEX(Binders!$J$6:$J$30,MATCH(Q668,Binders!$I$6:$I$30,0))=TRUE(),UPPER(INDEX(Binders!$J$6:$J$30,MATCH(Q668,Binders!$I$6:$I$30,0))&amp;"")="TRUE"),FALSE()))</f>
        <v/>
      </c>
    </row>
    <row r="669" ht="15.75" customHeight="1">
      <c r="A669" s="80" t="str">
        <f t="array" ref="A669">IF(INDEX('Deck 2'!$A:$Z,ROW()-500,'List Setup'!$D$4)="","",INDEX('Deck 2'!$A:$Z,ROW()-500,'List Setup'!$D$4))</f>
        <v/>
      </c>
      <c r="B669" s="80" t="str">
        <f t="array" ref="B669">IF(A669="","",IFERROR(INDEX('Binder Setup'!$B$2:$B$401,MIN(IF(ISNUMBER(SEARCH(CHAR(10)&amp;'Binder Setup'!$B$2:$B$401&amp;CHAR(10),$H669)),'List Setup'!$Q$2:$Q$401,999),IF(ISNUMBER(SEARCH(CHAR(10)&amp;'Set Aliases'!$A$2:$A$501&amp;CHAR(10),$H669)),'Set Aliases'!$C$2:$C$501,999))),"(none)"))</f>
        <v/>
      </c>
      <c r="C669" s="80" t="str">
        <f t="shared" si="1"/>
        <v/>
      </c>
      <c r="D669" s="80" t="str">
        <f t="array" ref="D669">IF(A669="","",IF(ISLOGICAL(INDEX('Deck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69" s="80" t="str">
        <f t="shared" si="2"/>
        <v/>
      </c>
      <c r="F669" s="80" t="str">
        <f t="array" ref="F669">IF(A669="","",IF(ISNUMBER(J669),J669,IF(ISNUMBER(INDEX('Deck 2'!$A:$Z,ROW()-500,'List Setup'!$F$4)),INDEX('Deck 2'!$A:$Z,ROW()-500,'List Setup'!$F$4),0)))</f>
        <v/>
      </c>
      <c r="G669" s="80" t="str">
        <f t="array" ref="G669">IF(A669="","",A669&amp;IF(N(INDEX('Deck 2'!$A:$Z,ROW()-500,'List Setup'!$C$4))&gt;1," (x"&amp;INDEX('Deck 2'!$A:$Z,ROW()-500,'List Setup'!$C$4)&amp;")","")&amp;IF(COUNTIF(Binders!$J$6:$J$30,TRUE())&gt;1," ["&amp;Q669&amp;"]",""))</f>
        <v/>
      </c>
      <c r="H669" s="80" t="str">
        <f t="array" ref="H669">IF(A669="","",CHAR(10)&amp;INDEX('Deck 2'!$A:$Z,ROW()-500,'List Setup'!$E$4)&amp;CHAR(10))</f>
        <v/>
      </c>
      <c r="I669" s="80" t="str">
        <f t="array" ref="I669">IF(OR(B669="",B669="(none)"),"",IF(ISNUMBER(SEARCH(CHAR(10)&amp;B669&amp;CHAR(10),H669)),B669,IFERROR(INDEX('Set Aliases'!$A$2:$A$501,MATCH(1,('Set Aliases'!$B$2:$B$501=B669)*ISNUMBER(SEARCH(CHAR(10)&amp;'Set Aliases'!$A$2:$A$501&amp;CHAR(10),H669)),0)),"")))</f>
        <v/>
      </c>
      <c r="J669" s="80" t="str">
        <f t="array" ref="J669">IF(I669="","",IFERROR(VALUE(TRIM(MID(SUBSTITUTE(INDEX('Deck 2'!$A:$Z,ROW()-500,'List Setup'!$G$4),CHAR(10),REPT(" ",100)),((SEARCH(CHAR(10)&amp;I669&amp;CHAR(10),H669)-LEN(SUBSTITUTE(LEFT(H669,SEARCH(CHAR(10)&amp;I669&amp;CHAR(10),H669)),CHAR(10),"")))-1)*100+1,100))),""))</f>
        <v/>
      </c>
      <c r="K669" s="80" t="str">
        <f t="array" ref="K669">IF(A669="","",IF(ISNUMBER(SEARCH("Land",LEFT(IFERROR(INDEX('Deck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69" s="80" t="str">
        <f t="shared" si="3"/>
        <v/>
      </c>
      <c r="M669" s="80" t="str">
        <f>IF(A669="","",IF(AND(E669="Y",B669='Use at Shop'!$B$4),K669*10000000000+(MAX(0,MIN(26,CODE(MID(UPPER(A669)&amp;"    ",1,1))-64))*19683+MAX(0,MIN(26,CODE(MID(UPPER(A669)&amp;"    ",2,1))-64))*729+MAX(0,MIN(26,CODE(MID(UPPER(A669)&amp;"    ",3,1))-64))*27+MAX(0,MIN(26,CODE(MID(UPPER(A669)&amp;"    ",4,1))-64))*1)*10000+ROW(),""))</f>
        <v/>
      </c>
      <c r="N669" s="80" t="str">
        <f t="shared" si="6"/>
        <v/>
      </c>
      <c r="O669" s="80" t="str">
        <f t="array" ref="O669">IF(A669="","",IFERROR(INDEX('Deck 2'!$A:$Z,ROW()-500,'List Setup'!$J$4)&amp;"",""))</f>
        <v/>
      </c>
      <c r="P669" s="2"/>
      <c r="Q669" s="80" t="str">
        <f>IF(A669="","",'List Setup'!$A$4)</f>
        <v/>
      </c>
      <c r="R669" s="80" t="str">
        <f t="array" ref="R669">IF(A669="","",IFERROR(OR(INDEX(Binders!$J$6:$J$30,MATCH(Q669,Binders!$I$6:$I$30,0))=TRUE(),UPPER(INDEX(Binders!$J$6:$J$30,MATCH(Q669,Binders!$I$6:$I$30,0))&amp;"")="TRUE"),FALSE()))</f>
        <v/>
      </c>
    </row>
    <row r="670" ht="15.75" customHeight="1">
      <c r="A670" s="80" t="str">
        <f t="array" ref="A670">IF(INDEX('Deck 2'!$A:$Z,ROW()-500,'List Setup'!$D$4)="","",INDEX('Deck 2'!$A:$Z,ROW()-500,'List Setup'!$D$4))</f>
        <v/>
      </c>
      <c r="B670" s="80" t="str">
        <f t="array" ref="B670">IF(A670="","",IFERROR(INDEX('Binder Setup'!$B$2:$B$401,MIN(IF(ISNUMBER(SEARCH(CHAR(10)&amp;'Binder Setup'!$B$2:$B$401&amp;CHAR(10),$H670)),'List Setup'!$Q$2:$Q$401,999),IF(ISNUMBER(SEARCH(CHAR(10)&amp;'Set Aliases'!$A$2:$A$501&amp;CHAR(10),$H670)),'Set Aliases'!$C$2:$C$501,999))),"(none)"))</f>
        <v/>
      </c>
      <c r="C670" s="80" t="str">
        <f t="shared" si="1"/>
        <v/>
      </c>
      <c r="D670" s="80" t="str">
        <f t="array" ref="D670">IF(A670="","",IF(ISLOGICAL(INDEX('Deck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70" s="80" t="str">
        <f t="shared" si="2"/>
        <v/>
      </c>
      <c r="F670" s="80" t="str">
        <f t="array" ref="F670">IF(A670="","",IF(ISNUMBER(J670),J670,IF(ISNUMBER(INDEX('Deck 2'!$A:$Z,ROW()-500,'List Setup'!$F$4)),INDEX('Deck 2'!$A:$Z,ROW()-500,'List Setup'!$F$4),0)))</f>
        <v/>
      </c>
      <c r="G670" s="80" t="str">
        <f t="array" ref="G670">IF(A670="","",A670&amp;IF(N(INDEX('Deck 2'!$A:$Z,ROW()-500,'List Setup'!$C$4))&gt;1," (x"&amp;INDEX('Deck 2'!$A:$Z,ROW()-500,'List Setup'!$C$4)&amp;")","")&amp;IF(COUNTIF(Binders!$J$6:$J$30,TRUE())&gt;1," ["&amp;Q670&amp;"]",""))</f>
        <v/>
      </c>
      <c r="H670" s="80" t="str">
        <f t="array" ref="H670">IF(A670="","",CHAR(10)&amp;INDEX('Deck 2'!$A:$Z,ROW()-500,'List Setup'!$E$4)&amp;CHAR(10))</f>
        <v/>
      </c>
      <c r="I670" s="80" t="str">
        <f t="array" ref="I670">IF(OR(B670="",B670="(none)"),"",IF(ISNUMBER(SEARCH(CHAR(10)&amp;B670&amp;CHAR(10),H670)),B670,IFERROR(INDEX('Set Aliases'!$A$2:$A$501,MATCH(1,('Set Aliases'!$B$2:$B$501=B670)*ISNUMBER(SEARCH(CHAR(10)&amp;'Set Aliases'!$A$2:$A$501&amp;CHAR(10),H670)),0)),"")))</f>
        <v/>
      </c>
      <c r="J670" s="80" t="str">
        <f t="array" ref="J670">IF(I670="","",IFERROR(VALUE(TRIM(MID(SUBSTITUTE(INDEX('Deck 2'!$A:$Z,ROW()-500,'List Setup'!$G$4),CHAR(10),REPT(" ",100)),((SEARCH(CHAR(10)&amp;I670&amp;CHAR(10),H670)-LEN(SUBSTITUTE(LEFT(H670,SEARCH(CHAR(10)&amp;I670&amp;CHAR(10),H670)),CHAR(10),"")))-1)*100+1,100))),""))</f>
        <v/>
      </c>
      <c r="K670" s="80" t="str">
        <f t="array" ref="K670">IF(A670="","",IF(ISNUMBER(SEARCH("Land",LEFT(IFERROR(INDEX('Deck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70" s="80" t="str">
        <f t="shared" si="3"/>
        <v/>
      </c>
      <c r="M670" s="80" t="str">
        <f>IF(A670="","",IF(AND(E670="Y",B670='Use at Shop'!$B$4),K670*10000000000+(MAX(0,MIN(26,CODE(MID(UPPER(A670)&amp;"    ",1,1))-64))*19683+MAX(0,MIN(26,CODE(MID(UPPER(A670)&amp;"    ",2,1))-64))*729+MAX(0,MIN(26,CODE(MID(UPPER(A670)&amp;"    ",3,1))-64))*27+MAX(0,MIN(26,CODE(MID(UPPER(A670)&amp;"    ",4,1))-64))*1)*10000+ROW(),""))</f>
        <v/>
      </c>
      <c r="N670" s="80" t="str">
        <f t="shared" si="6"/>
        <v/>
      </c>
      <c r="O670" s="80" t="str">
        <f t="array" ref="O670">IF(A670="","",IFERROR(INDEX('Deck 2'!$A:$Z,ROW()-500,'List Setup'!$J$4)&amp;"",""))</f>
        <v/>
      </c>
      <c r="P670" s="2"/>
      <c r="Q670" s="80" t="str">
        <f>IF(A670="","",'List Setup'!$A$4)</f>
        <v/>
      </c>
      <c r="R670" s="80" t="str">
        <f t="array" ref="R670">IF(A670="","",IFERROR(OR(INDEX(Binders!$J$6:$J$30,MATCH(Q670,Binders!$I$6:$I$30,0))=TRUE(),UPPER(INDEX(Binders!$J$6:$J$30,MATCH(Q670,Binders!$I$6:$I$30,0))&amp;"")="TRUE"),FALSE()))</f>
        <v/>
      </c>
    </row>
    <row r="671" ht="15.75" customHeight="1">
      <c r="A671" s="80" t="str">
        <f t="array" ref="A671">IF(INDEX('Deck 2'!$A:$Z,ROW()-500,'List Setup'!$D$4)="","",INDEX('Deck 2'!$A:$Z,ROW()-500,'List Setup'!$D$4))</f>
        <v/>
      </c>
      <c r="B671" s="80" t="str">
        <f t="array" ref="B671">IF(A671="","",IFERROR(INDEX('Binder Setup'!$B$2:$B$401,MIN(IF(ISNUMBER(SEARCH(CHAR(10)&amp;'Binder Setup'!$B$2:$B$401&amp;CHAR(10),$H671)),'List Setup'!$Q$2:$Q$401,999),IF(ISNUMBER(SEARCH(CHAR(10)&amp;'Set Aliases'!$A$2:$A$501&amp;CHAR(10),$H671)),'Set Aliases'!$C$2:$C$501,999))),"(none)"))</f>
        <v/>
      </c>
      <c r="C671" s="80" t="str">
        <f t="shared" si="1"/>
        <v/>
      </c>
      <c r="D671" s="80" t="str">
        <f t="array" ref="D671">IF(A671="","",IF(ISLOGICAL(INDEX('Deck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71" s="80" t="str">
        <f t="shared" si="2"/>
        <v/>
      </c>
      <c r="F671" s="80" t="str">
        <f t="array" ref="F671">IF(A671="","",IF(ISNUMBER(J671),J671,IF(ISNUMBER(INDEX('Deck 2'!$A:$Z,ROW()-500,'List Setup'!$F$4)),INDEX('Deck 2'!$A:$Z,ROW()-500,'List Setup'!$F$4),0)))</f>
        <v/>
      </c>
      <c r="G671" s="80" t="str">
        <f t="array" ref="G671">IF(A671="","",A671&amp;IF(N(INDEX('Deck 2'!$A:$Z,ROW()-500,'List Setup'!$C$4))&gt;1," (x"&amp;INDEX('Deck 2'!$A:$Z,ROW()-500,'List Setup'!$C$4)&amp;")","")&amp;IF(COUNTIF(Binders!$J$6:$J$30,TRUE())&gt;1," ["&amp;Q671&amp;"]",""))</f>
        <v/>
      </c>
      <c r="H671" s="80" t="str">
        <f t="array" ref="H671">IF(A671="","",CHAR(10)&amp;INDEX('Deck 2'!$A:$Z,ROW()-500,'List Setup'!$E$4)&amp;CHAR(10))</f>
        <v/>
      </c>
      <c r="I671" s="80" t="str">
        <f t="array" ref="I671">IF(OR(B671="",B671="(none)"),"",IF(ISNUMBER(SEARCH(CHAR(10)&amp;B671&amp;CHAR(10),H671)),B671,IFERROR(INDEX('Set Aliases'!$A$2:$A$501,MATCH(1,('Set Aliases'!$B$2:$B$501=B671)*ISNUMBER(SEARCH(CHAR(10)&amp;'Set Aliases'!$A$2:$A$501&amp;CHAR(10),H671)),0)),"")))</f>
        <v/>
      </c>
      <c r="J671" s="80" t="str">
        <f t="array" ref="J671">IF(I671="","",IFERROR(VALUE(TRIM(MID(SUBSTITUTE(INDEX('Deck 2'!$A:$Z,ROW()-500,'List Setup'!$G$4),CHAR(10),REPT(" ",100)),((SEARCH(CHAR(10)&amp;I671&amp;CHAR(10),H671)-LEN(SUBSTITUTE(LEFT(H671,SEARCH(CHAR(10)&amp;I671&amp;CHAR(10),H671)),CHAR(10),"")))-1)*100+1,100))),""))</f>
        <v/>
      </c>
      <c r="K671" s="80" t="str">
        <f t="array" ref="K671">IF(A671="","",IF(ISNUMBER(SEARCH("Land",LEFT(IFERROR(INDEX('Deck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71" s="80" t="str">
        <f t="shared" si="3"/>
        <v/>
      </c>
      <c r="M671" s="80" t="str">
        <f>IF(A671="","",IF(AND(E671="Y",B671='Use at Shop'!$B$4),K671*10000000000+(MAX(0,MIN(26,CODE(MID(UPPER(A671)&amp;"    ",1,1))-64))*19683+MAX(0,MIN(26,CODE(MID(UPPER(A671)&amp;"    ",2,1))-64))*729+MAX(0,MIN(26,CODE(MID(UPPER(A671)&amp;"    ",3,1))-64))*27+MAX(0,MIN(26,CODE(MID(UPPER(A671)&amp;"    ",4,1))-64))*1)*10000+ROW(),""))</f>
        <v/>
      </c>
      <c r="N671" s="80" t="str">
        <f t="shared" si="6"/>
        <v/>
      </c>
      <c r="O671" s="80" t="str">
        <f t="array" ref="O671">IF(A671="","",IFERROR(INDEX('Deck 2'!$A:$Z,ROW()-500,'List Setup'!$J$4)&amp;"",""))</f>
        <v/>
      </c>
      <c r="P671" s="2"/>
      <c r="Q671" s="80" t="str">
        <f>IF(A671="","",'List Setup'!$A$4)</f>
        <v/>
      </c>
      <c r="R671" s="80" t="str">
        <f t="array" ref="R671">IF(A671="","",IFERROR(OR(INDEX(Binders!$J$6:$J$30,MATCH(Q671,Binders!$I$6:$I$30,0))=TRUE(),UPPER(INDEX(Binders!$J$6:$J$30,MATCH(Q671,Binders!$I$6:$I$30,0))&amp;"")="TRUE"),FALSE()))</f>
        <v/>
      </c>
    </row>
    <row r="672" ht="15.75" customHeight="1">
      <c r="A672" s="80" t="str">
        <f t="array" ref="A672">IF(INDEX('Deck 2'!$A:$Z,ROW()-500,'List Setup'!$D$4)="","",INDEX('Deck 2'!$A:$Z,ROW()-500,'List Setup'!$D$4))</f>
        <v/>
      </c>
      <c r="B672" s="80" t="str">
        <f t="array" ref="B672">IF(A672="","",IFERROR(INDEX('Binder Setup'!$B$2:$B$401,MIN(IF(ISNUMBER(SEARCH(CHAR(10)&amp;'Binder Setup'!$B$2:$B$401&amp;CHAR(10),$H672)),'List Setup'!$Q$2:$Q$401,999),IF(ISNUMBER(SEARCH(CHAR(10)&amp;'Set Aliases'!$A$2:$A$501&amp;CHAR(10),$H672)),'Set Aliases'!$C$2:$C$501,999))),"(none)"))</f>
        <v/>
      </c>
      <c r="C672" s="80" t="str">
        <f t="shared" si="1"/>
        <v/>
      </c>
      <c r="D672" s="80" t="str">
        <f t="array" ref="D672">IF(A672="","",IF(ISLOGICAL(INDEX('Deck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72" s="80" t="str">
        <f t="shared" si="2"/>
        <v/>
      </c>
      <c r="F672" s="80" t="str">
        <f t="array" ref="F672">IF(A672="","",IF(ISNUMBER(J672),J672,IF(ISNUMBER(INDEX('Deck 2'!$A:$Z,ROW()-500,'List Setup'!$F$4)),INDEX('Deck 2'!$A:$Z,ROW()-500,'List Setup'!$F$4),0)))</f>
        <v/>
      </c>
      <c r="G672" s="80" t="str">
        <f t="array" ref="G672">IF(A672="","",A672&amp;IF(N(INDEX('Deck 2'!$A:$Z,ROW()-500,'List Setup'!$C$4))&gt;1," (x"&amp;INDEX('Deck 2'!$A:$Z,ROW()-500,'List Setup'!$C$4)&amp;")","")&amp;IF(COUNTIF(Binders!$J$6:$J$30,TRUE())&gt;1," ["&amp;Q672&amp;"]",""))</f>
        <v/>
      </c>
      <c r="H672" s="80" t="str">
        <f t="array" ref="H672">IF(A672="","",CHAR(10)&amp;INDEX('Deck 2'!$A:$Z,ROW()-500,'List Setup'!$E$4)&amp;CHAR(10))</f>
        <v/>
      </c>
      <c r="I672" s="80" t="str">
        <f t="array" ref="I672">IF(OR(B672="",B672="(none)"),"",IF(ISNUMBER(SEARCH(CHAR(10)&amp;B672&amp;CHAR(10),H672)),B672,IFERROR(INDEX('Set Aliases'!$A$2:$A$501,MATCH(1,('Set Aliases'!$B$2:$B$501=B672)*ISNUMBER(SEARCH(CHAR(10)&amp;'Set Aliases'!$A$2:$A$501&amp;CHAR(10),H672)),0)),"")))</f>
        <v/>
      </c>
      <c r="J672" s="80" t="str">
        <f t="array" ref="J672">IF(I672="","",IFERROR(VALUE(TRIM(MID(SUBSTITUTE(INDEX('Deck 2'!$A:$Z,ROW()-500,'List Setup'!$G$4),CHAR(10),REPT(" ",100)),((SEARCH(CHAR(10)&amp;I672&amp;CHAR(10),H672)-LEN(SUBSTITUTE(LEFT(H672,SEARCH(CHAR(10)&amp;I672&amp;CHAR(10),H672)),CHAR(10),"")))-1)*100+1,100))),""))</f>
        <v/>
      </c>
      <c r="K672" s="80" t="str">
        <f t="array" ref="K672">IF(A672="","",IF(ISNUMBER(SEARCH("Land",LEFT(IFERROR(INDEX('Deck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72" s="80" t="str">
        <f t="shared" si="3"/>
        <v/>
      </c>
      <c r="M672" s="80" t="str">
        <f>IF(A672="","",IF(AND(E672="Y",B672='Use at Shop'!$B$4),K672*10000000000+(MAX(0,MIN(26,CODE(MID(UPPER(A672)&amp;"    ",1,1))-64))*19683+MAX(0,MIN(26,CODE(MID(UPPER(A672)&amp;"    ",2,1))-64))*729+MAX(0,MIN(26,CODE(MID(UPPER(A672)&amp;"    ",3,1))-64))*27+MAX(0,MIN(26,CODE(MID(UPPER(A672)&amp;"    ",4,1))-64))*1)*10000+ROW(),""))</f>
        <v/>
      </c>
      <c r="N672" s="80" t="str">
        <f t="shared" si="6"/>
        <v/>
      </c>
      <c r="O672" s="80" t="str">
        <f t="array" ref="O672">IF(A672="","",IFERROR(INDEX('Deck 2'!$A:$Z,ROW()-500,'List Setup'!$J$4)&amp;"",""))</f>
        <v/>
      </c>
      <c r="P672" s="2"/>
      <c r="Q672" s="80" t="str">
        <f>IF(A672="","",'List Setup'!$A$4)</f>
        <v/>
      </c>
      <c r="R672" s="80" t="str">
        <f t="array" ref="R672">IF(A672="","",IFERROR(OR(INDEX(Binders!$J$6:$J$30,MATCH(Q672,Binders!$I$6:$I$30,0))=TRUE(),UPPER(INDEX(Binders!$J$6:$J$30,MATCH(Q672,Binders!$I$6:$I$30,0))&amp;"")="TRUE"),FALSE()))</f>
        <v/>
      </c>
    </row>
    <row r="673" ht="15.75" customHeight="1">
      <c r="A673" s="80" t="str">
        <f t="array" ref="A673">IF(INDEX('Deck 2'!$A:$Z,ROW()-500,'List Setup'!$D$4)="","",INDEX('Deck 2'!$A:$Z,ROW()-500,'List Setup'!$D$4))</f>
        <v/>
      </c>
      <c r="B673" s="80" t="str">
        <f t="array" ref="B673">IF(A673="","",IFERROR(INDEX('Binder Setup'!$B$2:$B$401,MIN(IF(ISNUMBER(SEARCH(CHAR(10)&amp;'Binder Setup'!$B$2:$B$401&amp;CHAR(10),$H673)),'List Setup'!$Q$2:$Q$401,999),IF(ISNUMBER(SEARCH(CHAR(10)&amp;'Set Aliases'!$A$2:$A$501&amp;CHAR(10),$H673)),'Set Aliases'!$C$2:$C$501,999))),"(none)"))</f>
        <v/>
      </c>
      <c r="C673" s="80" t="str">
        <f t="shared" si="1"/>
        <v/>
      </c>
      <c r="D673" s="80" t="str">
        <f t="array" ref="D673">IF(A673="","",IF(ISLOGICAL(INDEX('Deck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73" s="80" t="str">
        <f t="shared" si="2"/>
        <v/>
      </c>
      <c r="F673" s="80" t="str">
        <f t="array" ref="F673">IF(A673="","",IF(ISNUMBER(J673),J673,IF(ISNUMBER(INDEX('Deck 2'!$A:$Z,ROW()-500,'List Setup'!$F$4)),INDEX('Deck 2'!$A:$Z,ROW()-500,'List Setup'!$F$4),0)))</f>
        <v/>
      </c>
      <c r="G673" s="80" t="str">
        <f t="array" ref="G673">IF(A673="","",A673&amp;IF(N(INDEX('Deck 2'!$A:$Z,ROW()-500,'List Setup'!$C$4))&gt;1," (x"&amp;INDEX('Deck 2'!$A:$Z,ROW()-500,'List Setup'!$C$4)&amp;")","")&amp;IF(COUNTIF(Binders!$J$6:$J$30,TRUE())&gt;1," ["&amp;Q673&amp;"]",""))</f>
        <v/>
      </c>
      <c r="H673" s="80" t="str">
        <f t="array" ref="H673">IF(A673="","",CHAR(10)&amp;INDEX('Deck 2'!$A:$Z,ROW()-500,'List Setup'!$E$4)&amp;CHAR(10))</f>
        <v/>
      </c>
      <c r="I673" s="80" t="str">
        <f t="array" ref="I673">IF(OR(B673="",B673="(none)"),"",IF(ISNUMBER(SEARCH(CHAR(10)&amp;B673&amp;CHAR(10),H673)),B673,IFERROR(INDEX('Set Aliases'!$A$2:$A$501,MATCH(1,('Set Aliases'!$B$2:$B$501=B673)*ISNUMBER(SEARCH(CHAR(10)&amp;'Set Aliases'!$A$2:$A$501&amp;CHAR(10),H673)),0)),"")))</f>
        <v/>
      </c>
      <c r="J673" s="80" t="str">
        <f t="array" ref="J673">IF(I673="","",IFERROR(VALUE(TRIM(MID(SUBSTITUTE(INDEX('Deck 2'!$A:$Z,ROW()-500,'List Setup'!$G$4),CHAR(10),REPT(" ",100)),((SEARCH(CHAR(10)&amp;I673&amp;CHAR(10),H673)-LEN(SUBSTITUTE(LEFT(H673,SEARCH(CHAR(10)&amp;I673&amp;CHAR(10),H673)),CHAR(10),"")))-1)*100+1,100))),""))</f>
        <v/>
      </c>
      <c r="K673" s="80" t="str">
        <f t="array" ref="K673">IF(A673="","",IF(ISNUMBER(SEARCH("Land",LEFT(IFERROR(INDEX('Deck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73" s="80" t="str">
        <f t="shared" si="3"/>
        <v/>
      </c>
      <c r="M673" s="80" t="str">
        <f>IF(A673="","",IF(AND(E673="Y",B673='Use at Shop'!$B$4),K673*10000000000+(MAX(0,MIN(26,CODE(MID(UPPER(A673)&amp;"    ",1,1))-64))*19683+MAX(0,MIN(26,CODE(MID(UPPER(A673)&amp;"    ",2,1))-64))*729+MAX(0,MIN(26,CODE(MID(UPPER(A673)&amp;"    ",3,1))-64))*27+MAX(0,MIN(26,CODE(MID(UPPER(A673)&amp;"    ",4,1))-64))*1)*10000+ROW(),""))</f>
        <v/>
      </c>
      <c r="N673" s="80" t="str">
        <f t="shared" si="6"/>
        <v/>
      </c>
      <c r="O673" s="80" t="str">
        <f t="array" ref="O673">IF(A673="","",IFERROR(INDEX('Deck 2'!$A:$Z,ROW()-500,'List Setup'!$J$4)&amp;"",""))</f>
        <v/>
      </c>
      <c r="P673" s="2"/>
      <c r="Q673" s="80" t="str">
        <f>IF(A673="","",'List Setup'!$A$4)</f>
        <v/>
      </c>
      <c r="R673" s="80" t="str">
        <f t="array" ref="R673">IF(A673="","",IFERROR(OR(INDEX(Binders!$J$6:$J$30,MATCH(Q673,Binders!$I$6:$I$30,0))=TRUE(),UPPER(INDEX(Binders!$J$6:$J$30,MATCH(Q673,Binders!$I$6:$I$30,0))&amp;"")="TRUE"),FALSE()))</f>
        <v/>
      </c>
    </row>
    <row r="674" ht="15.75" customHeight="1">
      <c r="A674" s="80" t="str">
        <f t="array" ref="A674">IF(INDEX('Deck 2'!$A:$Z,ROW()-500,'List Setup'!$D$4)="","",INDEX('Deck 2'!$A:$Z,ROW()-500,'List Setup'!$D$4))</f>
        <v/>
      </c>
      <c r="B674" s="80" t="str">
        <f t="array" ref="B674">IF(A674="","",IFERROR(INDEX('Binder Setup'!$B$2:$B$401,MIN(IF(ISNUMBER(SEARCH(CHAR(10)&amp;'Binder Setup'!$B$2:$B$401&amp;CHAR(10),$H674)),'List Setup'!$Q$2:$Q$401,999),IF(ISNUMBER(SEARCH(CHAR(10)&amp;'Set Aliases'!$A$2:$A$501&amp;CHAR(10),$H674)),'Set Aliases'!$C$2:$C$501,999))),"(none)"))</f>
        <v/>
      </c>
      <c r="C674" s="80" t="str">
        <f t="shared" si="1"/>
        <v/>
      </c>
      <c r="D674" s="80" t="str">
        <f t="array" ref="D674">IF(A674="","",IF(ISLOGICAL(INDEX('Deck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74" s="80" t="str">
        <f t="shared" si="2"/>
        <v/>
      </c>
      <c r="F674" s="80" t="str">
        <f t="array" ref="F674">IF(A674="","",IF(ISNUMBER(J674),J674,IF(ISNUMBER(INDEX('Deck 2'!$A:$Z,ROW()-500,'List Setup'!$F$4)),INDEX('Deck 2'!$A:$Z,ROW()-500,'List Setup'!$F$4),0)))</f>
        <v/>
      </c>
      <c r="G674" s="80" t="str">
        <f t="array" ref="G674">IF(A674="","",A674&amp;IF(N(INDEX('Deck 2'!$A:$Z,ROW()-500,'List Setup'!$C$4))&gt;1," (x"&amp;INDEX('Deck 2'!$A:$Z,ROW()-500,'List Setup'!$C$4)&amp;")","")&amp;IF(COUNTIF(Binders!$J$6:$J$30,TRUE())&gt;1," ["&amp;Q674&amp;"]",""))</f>
        <v/>
      </c>
      <c r="H674" s="80" t="str">
        <f t="array" ref="H674">IF(A674="","",CHAR(10)&amp;INDEX('Deck 2'!$A:$Z,ROW()-500,'List Setup'!$E$4)&amp;CHAR(10))</f>
        <v/>
      </c>
      <c r="I674" s="80" t="str">
        <f t="array" ref="I674">IF(OR(B674="",B674="(none)"),"",IF(ISNUMBER(SEARCH(CHAR(10)&amp;B674&amp;CHAR(10),H674)),B674,IFERROR(INDEX('Set Aliases'!$A$2:$A$501,MATCH(1,('Set Aliases'!$B$2:$B$501=B674)*ISNUMBER(SEARCH(CHAR(10)&amp;'Set Aliases'!$A$2:$A$501&amp;CHAR(10),H674)),0)),"")))</f>
        <v/>
      </c>
      <c r="J674" s="80" t="str">
        <f t="array" ref="J674">IF(I674="","",IFERROR(VALUE(TRIM(MID(SUBSTITUTE(INDEX('Deck 2'!$A:$Z,ROW()-500,'List Setup'!$G$4),CHAR(10),REPT(" ",100)),((SEARCH(CHAR(10)&amp;I674&amp;CHAR(10),H674)-LEN(SUBSTITUTE(LEFT(H674,SEARCH(CHAR(10)&amp;I674&amp;CHAR(10),H674)),CHAR(10),"")))-1)*100+1,100))),""))</f>
        <v/>
      </c>
      <c r="K674" s="80" t="str">
        <f t="array" ref="K674">IF(A674="","",IF(ISNUMBER(SEARCH("Land",LEFT(IFERROR(INDEX('Deck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74" s="80" t="str">
        <f t="shared" si="3"/>
        <v/>
      </c>
      <c r="M674" s="80" t="str">
        <f>IF(A674="","",IF(AND(E674="Y",B674='Use at Shop'!$B$4),K674*10000000000+(MAX(0,MIN(26,CODE(MID(UPPER(A674)&amp;"    ",1,1))-64))*19683+MAX(0,MIN(26,CODE(MID(UPPER(A674)&amp;"    ",2,1))-64))*729+MAX(0,MIN(26,CODE(MID(UPPER(A674)&amp;"    ",3,1))-64))*27+MAX(0,MIN(26,CODE(MID(UPPER(A674)&amp;"    ",4,1))-64))*1)*10000+ROW(),""))</f>
        <v/>
      </c>
      <c r="N674" s="80" t="str">
        <f t="shared" si="6"/>
        <v/>
      </c>
      <c r="O674" s="80" t="str">
        <f t="array" ref="O674">IF(A674="","",IFERROR(INDEX('Deck 2'!$A:$Z,ROW()-500,'List Setup'!$J$4)&amp;"",""))</f>
        <v/>
      </c>
      <c r="P674" s="2"/>
      <c r="Q674" s="80" t="str">
        <f>IF(A674="","",'List Setup'!$A$4)</f>
        <v/>
      </c>
      <c r="R674" s="80" t="str">
        <f t="array" ref="R674">IF(A674="","",IFERROR(OR(INDEX(Binders!$J$6:$J$30,MATCH(Q674,Binders!$I$6:$I$30,0))=TRUE(),UPPER(INDEX(Binders!$J$6:$J$30,MATCH(Q674,Binders!$I$6:$I$30,0))&amp;"")="TRUE"),FALSE()))</f>
        <v/>
      </c>
    </row>
    <row r="675" ht="15.75" customHeight="1">
      <c r="A675" s="80" t="str">
        <f t="array" ref="A675">IF(INDEX('Deck 2'!$A:$Z,ROW()-500,'List Setup'!$D$4)="","",INDEX('Deck 2'!$A:$Z,ROW()-500,'List Setup'!$D$4))</f>
        <v/>
      </c>
      <c r="B675" s="80" t="str">
        <f t="array" ref="B675">IF(A675="","",IFERROR(INDEX('Binder Setup'!$B$2:$B$401,MIN(IF(ISNUMBER(SEARCH(CHAR(10)&amp;'Binder Setup'!$B$2:$B$401&amp;CHAR(10),$H675)),'List Setup'!$Q$2:$Q$401,999),IF(ISNUMBER(SEARCH(CHAR(10)&amp;'Set Aliases'!$A$2:$A$501&amp;CHAR(10),$H675)),'Set Aliases'!$C$2:$C$501,999))),"(none)"))</f>
        <v/>
      </c>
      <c r="C675" s="80" t="str">
        <f t="shared" si="1"/>
        <v/>
      </c>
      <c r="D675" s="80" t="str">
        <f t="array" ref="D675">IF(A675="","",IF(ISLOGICAL(INDEX('Deck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75" s="80" t="str">
        <f t="shared" si="2"/>
        <v/>
      </c>
      <c r="F675" s="80" t="str">
        <f t="array" ref="F675">IF(A675="","",IF(ISNUMBER(J675),J675,IF(ISNUMBER(INDEX('Deck 2'!$A:$Z,ROW()-500,'List Setup'!$F$4)),INDEX('Deck 2'!$A:$Z,ROW()-500,'List Setup'!$F$4),0)))</f>
        <v/>
      </c>
      <c r="G675" s="80" t="str">
        <f t="array" ref="G675">IF(A675="","",A675&amp;IF(N(INDEX('Deck 2'!$A:$Z,ROW()-500,'List Setup'!$C$4))&gt;1," (x"&amp;INDEX('Deck 2'!$A:$Z,ROW()-500,'List Setup'!$C$4)&amp;")","")&amp;IF(COUNTIF(Binders!$J$6:$J$30,TRUE())&gt;1," ["&amp;Q675&amp;"]",""))</f>
        <v/>
      </c>
      <c r="H675" s="80" t="str">
        <f t="array" ref="H675">IF(A675="","",CHAR(10)&amp;INDEX('Deck 2'!$A:$Z,ROW()-500,'List Setup'!$E$4)&amp;CHAR(10))</f>
        <v/>
      </c>
      <c r="I675" s="80" t="str">
        <f t="array" ref="I675">IF(OR(B675="",B675="(none)"),"",IF(ISNUMBER(SEARCH(CHAR(10)&amp;B675&amp;CHAR(10),H675)),B675,IFERROR(INDEX('Set Aliases'!$A$2:$A$501,MATCH(1,('Set Aliases'!$B$2:$B$501=B675)*ISNUMBER(SEARCH(CHAR(10)&amp;'Set Aliases'!$A$2:$A$501&amp;CHAR(10),H675)),0)),"")))</f>
        <v/>
      </c>
      <c r="J675" s="80" t="str">
        <f t="array" ref="J675">IF(I675="","",IFERROR(VALUE(TRIM(MID(SUBSTITUTE(INDEX('Deck 2'!$A:$Z,ROW()-500,'List Setup'!$G$4),CHAR(10),REPT(" ",100)),((SEARCH(CHAR(10)&amp;I675&amp;CHAR(10),H675)-LEN(SUBSTITUTE(LEFT(H675,SEARCH(CHAR(10)&amp;I675&amp;CHAR(10),H675)),CHAR(10),"")))-1)*100+1,100))),""))</f>
        <v/>
      </c>
      <c r="K675" s="80" t="str">
        <f t="array" ref="K675">IF(A675="","",IF(ISNUMBER(SEARCH("Land",LEFT(IFERROR(INDEX('Deck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75" s="80" t="str">
        <f t="shared" si="3"/>
        <v/>
      </c>
      <c r="M675" s="80" t="str">
        <f>IF(A675="","",IF(AND(E675="Y",B675='Use at Shop'!$B$4),K675*10000000000+(MAX(0,MIN(26,CODE(MID(UPPER(A675)&amp;"    ",1,1))-64))*19683+MAX(0,MIN(26,CODE(MID(UPPER(A675)&amp;"    ",2,1))-64))*729+MAX(0,MIN(26,CODE(MID(UPPER(A675)&amp;"    ",3,1))-64))*27+MAX(0,MIN(26,CODE(MID(UPPER(A675)&amp;"    ",4,1))-64))*1)*10000+ROW(),""))</f>
        <v/>
      </c>
      <c r="N675" s="80" t="str">
        <f t="shared" si="6"/>
        <v/>
      </c>
      <c r="O675" s="80" t="str">
        <f t="array" ref="O675">IF(A675="","",IFERROR(INDEX('Deck 2'!$A:$Z,ROW()-500,'List Setup'!$J$4)&amp;"",""))</f>
        <v/>
      </c>
      <c r="P675" s="2"/>
      <c r="Q675" s="80" t="str">
        <f>IF(A675="","",'List Setup'!$A$4)</f>
        <v/>
      </c>
      <c r="R675" s="80" t="str">
        <f t="array" ref="R675">IF(A675="","",IFERROR(OR(INDEX(Binders!$J$6:$J$30,MATCH(Q675,Binders!$I$6:$I$30,0))=TRUE(),UPPER(INDEX(Binders!$J$6:$J$30,MATCH(Q675,Binders!$I$6:$I$30,0))&amp;"")="TRUE"),FALSE()))</f>
        <v/>
      </c>
    </row>
    <row r="676" ht="15.75" customHeight="1">
      <c r="A676" s="80" t="str">
        <f t="array" ref="A676">IF(INDEX('Deck 2'!$A:$Z,ROW()-500,'List Setup'!$D$4)="","",INDEX('Deck 2'!$A:$Z,ROW()-500,'List Setup'!$D$4))</f>
        <v/>
      </c>
      <c r="B676" s="80" t="str">
        <f t="array" ref="B676">IF(A676="","",IFERROR(INDEX('Binder Setup'!$B$2:$B$401,MIN(IF(ISNUMBER(SEARCH(CHAR(10)&amp;'Binder Setup'!$B$2:$B$401&amp;CHAR(10),$H676)),'List Setup'!$Q$2:$Q$401,999),IF(ISNUMBER(SEARCH(CHAR(10)&amp;'Set Aliases'!$A$2:$A$501&amp;CHAR(10),$H676)),'Set Aliases'!$C$2:$C$501,999))),"(none)"))</f>
        <v/>
      </c>
      <c r="C676" s="80" t="str">
        <f t="shared" si="1"/>
        <v/>
      </c>
      <c r="D676" s="80" t="str">
        <f t="array" ref="D676">IF(A676="","",IF(ISLOGICAL(INDEX('Deck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76" s="80" t="str">
        <f t="shared" si="2"/>
        <v/>
      </c>
      <c r="F676" s="80" t="str">
        <f t="array" ref="F676">IF(A676="","",IF(ISNUMBER(J676),J676,IF(ISNUMBER(INDEX('Deck 2'!$A:$Z,ROW()-500,'List Setup'!$F$4)),INDEX('Deck 2'!$A:$Z,ROW()-500,'List Setup'!$F$4),0)))</f>
        <v/>
      </c>
      <c r="G676" s="80" t="str">
        <f t="array" ref="G676">IF(A676="","",A676&amp;IF(N(INDEX('Deck 2'!$A:$Z,ROW()-500,'List Setup'!$C$4))&gt;1," (x"&amp;INDEX('Deck 2'!$A:$Z,ROW()-500,'List Setup'!$C$4)&amp;")","")&amp;IF(COUNTIF(Binders!$J$6:$J$30,TRUE())&gt;1," ["&amp;Q676&amp;"]",""))</f>
        <v/>
      </c>
      <c r="H676" s="80" t="str">
        <f t="array" ref="H676">IF(A676="","",CHAR(10)&amp;INDEX('Deck 2'!$A:$Z,ROW()-500,'List Setup'!$E$4)&amp;CHAR(10))</f>
        <v/>
      </c>
      <c r="I676" s="80" t="str">
        <f t="array" ref="I676">IF(OR(B676="",B676="(none)"),"",IF(ISNUMBER(SEARCH(CHAR(10)&amp;B676&amp;CHAR(10),H676)),B676,IFERROR(INDEX('Set Aliases'!$A$2:$A$501,MATCH(1,('Set Aliases'!$B$2:$B$501=B676)*ISNUMBER(SEARCH(CHAR(10)&amp;'Set Aliases'!$A$2:$A$501&amp;CHAR(10),H676)),0)),"")))</f>
        <v/>
      </c>
      <c r="J676" s="80" t="str">
        <f t="array" ref="J676">IF(I676="","",IFERROR(VALUE(TRIM(MID(SUBSTITUTE(INDEX('Deck 2'!$A:$Z,ROW()-500,'List Setup'!$G$4),CHAR(10),REPT(" ",100)),((SEARCH(CHAR(10)&amp;I676&amp;CHAR(10),H676)-LEN(SUBSTITUTE(LEFT(H676,SEARCH(CHAR(10)&amp;I676&amp;CHAR(10),H676)),CHAR(10),"")))-1)*100+1,100))),""))</f>
        <v/>
      </c>
      <c r="K676" s="80" t="str">
        <f t="array" ref="K676">IF(A676="","",IF(ISNUMBER(SEARCH("Land",LEFT(IFERROR(INDEX('Deck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76" s="80" t="str">
        <f t="shared" si="3"/>
        <v/>
      </c>
      <c r="M676" s="80" t="str">
        <f>IF(A676="","",IF(AND(E676="Y",B676='Use at Shop'!$B$4),K676*10000000000+(MAX(0,MIN(26,CODE(MID(UPPER(A676)&amp;"    ",1,1))-64))*19683+MAX(0,MIN(26,CODE(MID(UPPER(A676)&amp;"    ",2,1))-64))*729+MAX(0,MIN(26,CODE(MID(UPPER(A676)&amp;"    ",3,1))-64))*27+MAX(0,MIN(26,CODE(MID(UPPER(A676)&amp;"    ",4,1))-64))*1)*10000+ROW(),""))</f>
        <v/>
      </c>
      <c r="N676" s="80" t="str">
        <f t="shared" si="6"/>
        <v/>
      </c>
      <c r="O676" s="80" t="str">
        <f t="array" ref="O676">IF(A676="","",IFERROR(INDEX('Deck 2'!$A:$Z,ROW()-500,'List Setup'!$J$4)&amp;"",""))</f>
        <v/>
      </c>
      <c r="P676" s="2"/>
      <c r="Q676" s="80" t="str">
        <f>IF(A676="","",'List Setup'!$A$4)</f>
        <v/>
      </c>
      <c r="R676" s="80" t="str">
        <f t="array" ref="R676">IF(A676="","",IFERROR(OR(INDEX(Binders!$J$6:$J$30,MATCH(Q676,Binders!$I$6:$I$30,0))=TRUE(),UPPER(INDEX(Binders!$J$6:$J$30,MATCH(Q676,Binders!$I$6:$I$30,0))&amp;"")="TRUE"),FALSE()))</f>
        <v/>
      </c>
    </row>
    <row r="677" ht="15.75" customHeight="1">
      <c r="A677" s="80" t="str">
        <f t="array" ref="A677">IF(INDEX('Deck 2'!$A:$Z,ROW()-500,'List Setup'!$D$4)="","",INDEX('Deck 2'!$A:$Z,ROW()-500,'List Setup'!$D$4))</f>
        <v/>
      </c>
      <c r="B677" s="80" t="str">
        <f t="array" ref="B677">IF(A677="","",IFERROR(INDEX('Binder Setup'!$B$2:$B$401,MIN(IF(ISNUMBER(SEARCH(CHAR(10)&amp;'Binder Setup'!$B$2:$B$401&amp;CHAR(10),$H677)),'List Setup'!$Q$2:$Q$401,999),IF(ISNUMBER(SEARCH(CHAR(10)&amp;'Set Aliases'!$A$2:$A$501&amp;CHAR(10),$H677)),'Set Aliases'!$C$2:$C$501,999))),"(none)"))</f>
        <v/>
      </c>
      <c r="C677" s="80" t="str">
        <f t="shared" si="1"/>
        <v/>
      </c>
      <c r="D677" s="80" t="str">
        <f t="array" ref="D677">IF(A677="","",IF(ISLOGICAL(INDEX('Deck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77" s="80" t="str">
        <f t="shared" si="2"/>
        <v/>
      </c>
      <c r="F677" s="80" t="str">
        <f t="array" ref="F677">IF(A677="","",IF(ISNUMBER(J677),J677,IF(ISNUMBER(INDEX('Deck 2'!$A:$Z,ROW()-500,'List Setup'!$F$4)),INDEX('Deck 2'!$A:$Z,ROW()-500,'List Setup'!$F$4),0)))</f>
        <v/>
      </c>
      <c r="G677" s="80" t="str">
        <f t="array" ref="G677">IF(A677="","",A677&amp;IF(N(INDEX('Deck 2'!$A:$Z,ROW()-500,'List Setup'!$C$4))&gt;1," (x"&amp;INDEX('Deck 2'!$A:$Z,ROW()-500,'List Setup'!$C$4)&amp;")","")&amp;IF(COUNTIF(Binders!$J$6:$J$30,TRUE())&gt;1," ["&amp;Q677&amp;"]",""))</f>
        <v/>
      </c>
      <c r="H677" s="80" t="str">
        <f t="array" ref="H677">IF(A677="","",CHAR(10)&amp;INDEX('Deck 2'!$A:$Z,ROW()-500,'List Setup'!$E$4)&amp;CHAR(10))</f>
        <v/>
      </c>
      <c r="I677" s="80" t="str">
        <f t="array" ref="I677">IF(OR(B677="",B677="(none)"),"",IF(ISNUMBER(SEARCH(CHAR(10)&amp;B677&amp;CHAR(10),H677)),B677,IFERROR(INDEX('Set Aliases'!$A$2:$A$501,MATCH(1,('Set Aliases'!$B$2:$B$501=B677)*ISNUMBER(SEARCH(CHAR(10)&amp;'Set Aliases'!$A$2:$A$501&amp;CHAR(10),H677)),0)),"")))</f>
        <v/>
      </c>
      <c r="J677" s="80" t="str">
        <f t="array" ref="J677">IF(I677="","",IFERROR(VALUE(TRIM(MID(SUBSTITUTE(INDEX('Deck 2'!$A:$Z,ROW()-500,'List Setup'!$G$4),CHAR(10),REPT(" ",100)),((SEARCH(CHAR(10)&amp;I677&amp;CHAR(10),H677)-LEN(SUBSTITUTE(LEFT(H677,SEARCH(CHAR(10)&amp;I677&amp;CHAR(10),H677)),CHAR(10),"")))-1)*100+1,100))),""))</f>
        <v/>
      </c>
      <c r="K677" s="80" t="str">
        <f t="array" ref="K677">IF(A677="","",IF(ISNUMBER(SEARCH("Land",LEFT(IFERROR(INDEX('Deck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77" s="80" t="str">
        <f t="shared" si="3"/>
        <v/>
      </c>
      <c r="M677" s="80" t="str">
        <f>IF(A677="","",IF(AND(E677="Y",B677='Use at Shop'!$B$4),K677*10000000000+(MAX(0,MIN(26,CODE(MID(UPPER(A677)&amp;"    ",1,1))-64))*19683+MAX(0,MIN(26,CODE(MID(UPPER(A677)&amp;"    ",2,1))-64))*729+MAX(0,MIN(26,CODE(MID(UPPER(A677)&amp;"    ",3,1))-64))*27+MAX(0,MIN(26,CODE(MID(UPPER(A677)&amp;"    ",4,1))-64))*1)*10000+ROW(),""))</f>
        <v/>
      </c>
      <c r="N677" s="80" t="str">
        <f t="shared" si="6"/>
        <v/>
      </c>
      <c r="O677" s="80" t="str">
        <f t="array" ref="O677">IF(A677="","",IFERROR(INDEX('Deck 2'!$A:$Z,ROW()-500,'List Setup'!$J$4)&amp;"",""))</f>
        <v/>
      </c>
      <c r="P677" s="2"/>
      <c r="Q677" s="80" t="str">
        <f>IF(A677="","",'List Setup'!$A$4)</f>
        <v/>
      </c>
      <c r="R677" s="80" t="str">
        <f t="array" ref="R677">IF(A677="","",IFERROR(OR(INDEX(Binders!$J$6:$J$30,MATCH(Q677,Binders!$I$6:$I$30,0))=TRUE(),UPPER(INDEX(Binders!$J$6:$J$30,MATCH(Q677,Binders!$I$6:$I$30,0))&amp;"")="TRUE"),FALSE()))</f>
        <v/>
      </c>
    </row>
    <row r="678" ht="15.75" customHeight="1">
      <c r="A678" s="80" t="str">
        <f t="array" ref="A678">IF(INDEX('Deck 2'!$A:$Z,ROW()-500,'List Setup'!$D$4)="","",INDEX('Deck 2'!$A:$Z,ROW()-500,'List Setup'!$D$4))</f>
        <v/>
      </c>
      <c r="B678" s="80" t="str">
        <f t="array" ref="B678">IF(A678="","",IFERROR(INDEX('Binder Setup'!$B$2:$B$401,MIN(IF(ISNUMBER(SEARCH(CHAR(10)&amp;'Binder Setup'!$B$2:$B$401&amp;CHAR(10),$H678)),'List Setup'!$Q$2:$Q$401,999),IF(ISNUMBER(SEARCH(CHAR(10)&amp;'Set Aliases'!$A$2:$A$501&amp;CHAR(10),$H678)),'Set Aliases'!$C$2:$C$501,999))),"(none)"))</f>
        <v/>
      </c>
      <c r="C678" s="80" t="str">
        <f t="shared" si="1"/>
        <v/>
      </c>
      <c r="D678" s="80" t="str">
        <f t="array" ref="D678">IF(A678="","",IF(ISLOGICAL(INDEX('Deck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78" s="80" t="str">
        <f t="shared" si="2"/>
        <v/>
      </c>
      <c r="F678" s="80" t="str">
        <f t="array" ref="F678">IF(A678="","",IF(ISNUMBER(J678),J678,IF(ISNUMBER(INDEX('Deck 2'!$A:$Z,ROW()-500,'List Setup'!$F$4)),INDEX('Deck 2'!$A:$Z,ROW()-500,'List Setup'!$F$4),0)))</f>
        <v/>
      </c>
      <c r="G678" s="80" t="str">
        <f t="array" ref="G678">IF(A678="","",A678&amp;IF(N(INDEX('Deck 2'!$A:$Z,ROW()-500,'List Setup'!$C$4))&gt;1," (x"&amp;INDEX('Deck 2'!$A:$Z,ROW()-500,'List Setup'!$C$4)&amp;")","")&amp;IF(COUNTIF(Binders!$J$6:$J$30,TRUE())&gt;1," ["&amp;Q678&amp;"]",""))</f>
        <v/>
      </c>
      <c r="H678" s="80" t="str">
        <f t="array" ref="H678">IF(A678="","",CHAR(10)&amp;INDEX('Deck 2'!$A:$Z,ROW()-500,'List Setup'!$E$4)&amp;CHAR(10))</f>
        <v/>
      </c>
      <c r="I678" s="80" t="str">
        <f t="array" ref="I678">IF(OR(B678="",B678="(none)"),"",IF(ISNUMBER(SEARCH(CHAR(10)&amp;B678&amp;CHAR(10),H678)),B678,IFERROR(INDEX('Set Aliases'!$A$2:$A$501,MATCH(1,('Set Aliases'!$B$2:$B$501=B678)*ISNUMBER(SEARCH(CHAR(10)&amp;'Set Aliases'!$A$2:$A$501&amp;CHAR(10),H678)),0)),"")))</f>
        <v/>
      </c>
      <c r="J678" s="80" t="str">
        <f t="array" ref="J678">IF(I678="","",IFERROR(VALUE(TRIM(MID(SUBSTITUTE(INDEX('Deck 2'!$A:$Z,ROW()-500,'List Setup'!$G$4),CHAR(10),REPT(" ",100)),((SEARCH(CHAR(10)&amp;I678&amp;CHAR(10),H678)-LEN(SUBSTITUTE(LEFT(H678,SEARCH(CHAR(10)&amp;I678&amp;CHAR(10),H678)),CHAR(10),"")))-1)*100+1,100))),""))</f>
        <v/>
      </c>
      <c r="K678" s="80" t="str">
        <f t="array" ref="K678">IF(A678="","",IF(ISNUMBER(SEARCH("Land",LEFT(IFERROR(INDEX('Deck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78" s="80" t="str">
        <f t="shared" si="3"/>
        <v/>
      </c>
      <c r="M678" s="80" t="str">
        <f>IF(A678="","",IF(AND(E678="Y",B678='Use at Shop'!$B$4),K678*10000000000+(MAX(0,MIN(26,CODE(MID(UPPER(A678)&amp;"    ",1,1))-64))*19683+MAX(0,MIN(26,CODE(MID(UPPER(A678)&amp;"    ",2,1))-64))*729+MAX(0,MIN(26,CODE(MID(UPPER(A678)&amp;"    ",3,1))-64))*27+MAX(0,MIN(26,CODE(MID(UPPER(A678)&amp;"    ",4,1))-64))*1)*10000+ROW(),""))</f>
        <v/>
      </c>
      <c r="N678" s="80" t="str">
        <f t="shared" si="6"/>
        <v/>
      </c>
      <c r="O678" s="80" t="str">
        <f t="array" ref="O678">IF(A678="","",IFERROR(INDEX('Deck 2'!$A:$Z,ROW()-500,'List Setup'!$J$4)&amp;"",""))</f>
        <v/>
      </c>
      <c r="P678" s="2"/>
      <c r="Q678" s="80" t="str">
        <f>IF(A678="","",'List Setup'!$A$4)</f>
        <v/>
      </c>
      <c r="R678" s="80" t="str">
        <f t="array" ref="R678">IF(A678="","",IFERROR(OR(INDEX(Binders!$J$6:$J$30,MATCH(Q678,Binders!$I$6:$I$30,0))=TRUE(),UPPER(INDEX(Binders!$J$6:$J$30,MATCH(Q678,Binders!$I$6:$I$30,0))&amp;"")="TRUE"),FALSE()))</f>
        <v/>
      </c>
    </row>
    <row r="679" ht="15.75" customHeight="1">
      <c r="A679" s="80" t="str">
        <f t="array" ref="A679">IF(INDEX('Deck 2'!$A:$Z,ROW()-500,'List Setup'!$D$4)="","",INDEX('Deck 2'!$A:$Z,ROW()-500,'List Setup'!$D$4))</f>
        <v/>
      </c>
      <c r="B679" s="80" t="str">
        <f t="array" ref="B679">IF(A679="","",IFERROR(INDEX('Binder Setup'!$B$2:$B$401,MIN(IF(ISNUMBER(SEARCH(CHAR(10)&amp;'Binder Setup'!$B$2:$B$401&amp;CHAR(10),$H679)),'List Setup'!$Q$2:$Q$401,999),IF(ISNUMBER(SEARCH(CHAR(10)&amp;'Set Aliases'!$A$2:$A$501&amp;CHAR(10),$H679)),'Set Aliases'!$C$2:$C$501,999))),"(none)"))</f>
        <v/>
      </c>
      <c r="C679" s="80" t="str">
        <f t="shared" si="1"/>
        <v/>
      </c>
      <c r="D679" s="80" t="str">
        <f t="array" ref="D679">IF(A679="","",IF(ISLOGICAL(INDEX('Deck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79" s="80" t="str">
        <f t="shared" si="2"/>
        <v/>
      </c>
      <c r="F679" s="80" t="str">
        <f t="array" ref="F679">IF(A679="","",IF(ISNUMBER(J679),J679,IF(ISNUMBER(INDEX('Deck 2'!$A:$Z,ROW()-500,'List Setup'!$F$4)),INDEX('Deck 2'!$A:$Z,ROW()-500,'List Setup'!$F$4),0)))</f>
        <v/>
      </c>
      <c r="G679" s="80" t="str">
        <f t="array" ref="G679">IF(A679="","",A679&amp;IF(N(INDEX('Deck 2'!$A:$Z,ROW()-500,'List Setup'!$C$4))&gt;1," (x"&amp;INDEX('Deck 2'!$A:$Z,ROW()-500,'List Setup'!$C$4)&amp;")","")&amp;IF(COUNTIF(Binders!$J$6:$J$30,TRUE())&gt;1," ["&amp;Q679&amp;"]",""))</f>
        <v/>
      </c>
      <c r="H679" s="80" t="str">
        <f t="array" ref="H679">IF(A679="","",CHAR(10)&amp;INDEX('Deck 2'!$A:$Z,ROW()-500,'List Setup'!$E$4)&amp;CHAR(10))</f>
        <v/>
      </c>
      <c r="I679" s="80" t="str">
        <f t="array" ref="I679">IF(OR(B679="",B679="(none)"),"",IF(ISNUMBER(SEARCH(CHAR(10)&amp;B679&amp;CHAR(10),H679)),B679,IFERROR(INDEX('Set Aliases'!$A$2:$A$501,MATCH(1,('Set Aliases'!$B$2:$B$501=B679)*ISNUMBER(SEARCH(CHAR(10)&amp;'Set Aliases'!$A$2:$A$501&amp;CHAR(10),H679)),0)),"")))</f>
        <v/>
      </c>
      <c r="J679" s="80" t="str">
        <f t="array" ref="J679">IF(I679="","",IFERROR(VALUE(TRIM(MID(SUBSTITUTE(INDEX('Deck 2'!$A:$Z,ROW()-500,'List Setup'!$G$4),CHAR(10),REPT(" ",100)),((SEARCH(CHAR(10)&amp;I679&amp;CHAR(10),H679)-LEN(SUBSTITUTE(LEFT(H679,SEARCH(CHAR(10)&amp;I679&amp;CHAR(10),H679)),CHAR(10),"")))-1)*100+1,100))),""))</f>
        <v/>
      </c>
      <c r="K679" s="80" t="str">
        <f t="array" ref="K679">IF(A679="","",IF(ISNUMBER(SEARCH("Land",LEFT(IFERROR(INDEX('Deck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79" s="80" t="str">
        <f t="shared" si="3"/>
        <v/>
      </c>
      <c r="M679" s="80" t="str">
        <f>IF(A679="","",IF(AND(E679="Y",B679='Use at Shop'!$B$4),K679*10000000000+(MAX(0,MIN(26,CODE(MID(UPPER(A679)&amp;"    ",1,1))-64))*19683+MAX(0,MIN(26,CODE(MID(UPPER(A679)&amp;"    ",2,1))-64))*729+MAX(0,MIN(26,CODE(MID(UPPER(A679)&amp;"    ",3,1))-64))*27+MAX(0,MIN(26,CODE(MID(UPPER(A679)&amp;"    ",4,1))-64))*1)*10000+ROW(),""))</f>
        <v/>
      </c>
      <c r="N679" s="80" t="str">
        <f t="shared" si="6"/>
        <v/>
      </c>
      <c r="O679" s="80" t="str">
        <f t="array" ref="O679">IF(A679="","",IFERROR(INDEX('Deck 2'!$A:$Z,ROW()-500,'List Setup'!$J$4)&amp;"",""))</f>
        <v/>
      </c>
      <c r="P679" s="2"/>
      <c r="Q679" s="80" t="str">
        <f>IF(A679="","",'List Setup'!$A$4)</f>
        <v/>
      </c>
      <c r="R679" s="80" t="str">
        <f t="array" ref="R679">IF(A679="","",IFERROR(OR(INDEX(Binders!$J$6:$J$30,MATCH(Q679,Binders!$I$6:$I$30,0))=TRUE(),UPPER(INDEX(Binders!$J$6:$J$30,MATCH(Q679,Binders!$I$6:$I$30,0))&amp;"")="TRUE"),FALSE()))</f>
        <v/>
      </c>
    </row>
    <row r="680" ht="15.75" customHeight="1">
      <c r="A680" s="80" t="str">
        <f t="array" ref="A680">IF(INDEX('Deck 2'!$A:$Z,ROW()-500,'List Setup'!$D$4)="","",INDEX('Deck 2'!$A:$Z,ROW()-500,'List Setup'!$D$4))</f>
        <v/>
      </c>
      <c r="B680" s="80" t="str">
        <f t="array" ref="B680">IF(A680="","",IFERROR(INDEX('Binder Setup'!$B$2:$B$401,MIN(IF(ISNUMBER(SEARCH(CHAR(10)&amp;'Binder Setup'!$B$2:$B$401&amp;CHAR(10),$H680)),'List Setup'!$Q$2:$Q$401,999),IF(ISNUMBER(SEARCH(CHAR(10)&amp;'Set Aliases'!$A$2:$A$501&amp;CHAR(10),$H680)),'Set Aliases'!$C$2:$C$501,999))),"(none)"))</f>
        <v/>
      </c>
      <c r="C680" s="80" t="str">
        <f t="shared" si="1"/>
        <v/>
      </c>
      <c r="D680" s="80" t="str">
        <f t="array" ref="D680">IF(A680="","",IF(ISLOGICAL(INDEX('Deck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80" s="80" t="str">
        <f t="shared" si="2"/>
        <v/>
      </c>
      <c r="F680" s="80" t="str">
        <f t="array" ref="F680">IF(A680="","",IF(ISNUMBER(J680),J680,IF(ISNUMBER(INDEX('Deck 2'!$A:$Z,ROW()-500,'List Setup'!$F$4)),INDEX('Deck 2'!$A:$Z,ROW()-500,'List Setup'!$F$4),0)))</f>
        <v/>
      </c>
      <c r="G680" s="80" t="str">
        <f t="array" ref="G680">IF(A680="","",A680&amp;IF(N(INDEX('Deck 2'!$A:$Z,ROW()-500,'List Setup'!$C$4))&gt;1," (x"&amp;INDEX('Deck 2'!$A:$Z,ROW()-500,'List Setup'!$C$4)&amp;")","")&amp;IF(COUNTIF(Binders!$J$6:$J$30,TRUE())&gt;1," ["&amp;Q680&amp;"]",""))</f>
        <v/>
      </c>
      <c r="H680" s="80" t="str">
        <f t="array" ref="H680">IF(A680="","",CHAR(10)&amp;INDEX('Deck 2'!$A:$Z,ROW()-500,'List Setup'!$E$4)&amp;CHAR(10))</f>
        <v/>
      </c>
      <c r="I680" s="80" t="str">
        <f t="array" ref="I680">IF(OR(B680="",B680="(none)"),"",IF(ISNUMBER(SEARCH(CHAR(10)&amp;B680&amp;CHAR(10),H680)),B680,IFERROR(INDEX('Set Aliases'!$A$2:$A$501,MATCH(1,('Set Aliases'!$B$2:$B$501=B680)*ISNUMBER(SEARCH(CHAR(10)&amp;'Set Aliases'!$A$2:$A$501&amp;CHAR(10),H680)),0)),"")))</f>
        <v/>
      </c>
      <c r="J680" s="80" t="str">
        <f t="array" ref="J680">IF(I680="","",IFERROR(VALUE(TRIM(MID(SUBSTITUTE(INDEX('Deck 2'!$A:$Z,ROW()-500,'List Setup'!$G$4),CHAR(10),REPT(" ",100)),((SEARCH(CHAR(10)&amp;I680&amp;CHAR(10),H680)-LEN(SUBSTITUTE(LEFT(H680,SEARCH(CHAR(10)&amp;I680&amp;CHAR(10),H680)),CHAR(10),"")))-1)*100+1,100))),""))</f>
        <v/>
      </c>
      <c r="K680" s="80" t="str">
        <f t="array" ref="K680">IF(A680="","",IF(ISNUMBER(SEARCH("Land",LEFT(IFERROR(INDEX('Deck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80" s="80" t="str">
        <f t="shared" si="3"/>
        <v/>
      </c>
      <c r="M680" s="80" t="str">
        <f>IF(A680="","",IF(AND(E680="Y",B680='Use at Shop'!$B$4),K680*10000000000+(MAX(0,MIN(26,CODE(MID(UPPER(A680)&amp;"    ",1,1))-64))*19683+MAX(0,MIN(26,CODE(MID(UPPER(A680)&amp;"    ",2,1))-64))*729+MAX(0,MIN(26,CODE(MID(UPPER(A680)&amp;"    ",3,1))-64))*27+MAX(0,MIN(26,CODE(MID(UPPER(A680)&amp;"    ",4,1))-64))*1)*10000+ROW(),""))</f>
        <v/>
      </c>
      <c r="N680" s="80" t="str">
        <f t="shared" si="6"/>
        <v/>
      </c>
      <c r="O680" s="80" t="str">
        <f t="array" ref="O680">IF(A680="","",IFERROR(INDEX('Deck 2'!$A:$Z,ROW()-500,'List Setup'!$J$4)&amp;"",""))</f>
        <v/>
      </c>
      <c r="P680" s="2"/>
      <c r="Q680" s="80" t="str">
        <f>IF(A680="","",'List Setup'!$A$4)</f>
        <v/>
      </c>
      <c r="R680" s="80" t="str">
        <f t="array" ref="R680">IF(A680="","",IFERROR(OR(INDEX(Binders!$J$6:$J$30,MATCH(Q680,Binders!$I$6:$I$30,0))=TRUE(),UPPER(INDEX(Binders!$J$6:$J$30,MATCH(Q680,Binders!$I$6:$I$30,0))&amp;"")="TRUE"),FALSE()))</f>
        <v/>
      </c>
    </row>
    <row r="681" ht="15.75" customHeight="1">
      <c r="A681" s="80" t="str">
        <f t="array" ref="A681">IF(INDEX('Deck 2'!$A:$Z,ROW()-500,'List Setup'!$D$4)="","",INDEX('Deck 2'!$A:$Z,ROW()-500,'List Setup'!$D$4))</f>
        <v/>
      </c>
      <c r="B681" s="80" t="str">
        <f t="array" ref="B681">IF(A681="","",IFERROR(INDEX('Binder Setup'!$B$2:$B$401,MIN(IF(ISNUMBER(SEARCH(CHAR(10)&amp;'Binder Setup'!$B$2:$B$401&amp;CHAR(10),$H681)),'List Setup'!$Q$2:$Q$401,999),IF(ISNUMBER(SEARCH(CHAR(10)&amp;'Set Aliases'!$A$2:$A$501&amp;CHAR(10),$H681)),'Set Aliases'!$C$2:$C$501,999))),"(none)"))</f>
        <v/>
      </c>
      <c r="C681" s="80" t="str">
        <f t="shared" si="1"/>
        <v/>
      </c>
      <c r="D681" s="80" t="str">
        <f t="array" ref="D681">IF(A681="","",IF(ISLOGICAL(INDEX('Deck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81" s="80" t="str">
        <f t="shared" si="2"/>
        <v/>
      </c>
      <c r="F681" s="80" t="str">
        <f t="array" ref="F681">IF(A681="","",IF(ISNUMBER(J681),J681,IF(ISNUMBER(INDEX('Deck 2'!$A:$Z,ROW()-500,'List Setup'!$F$4)),INDEX('Deck 2'!$A:$Z,ROW()-500,'List Setup'!$F$4),0)))</f>
        <v/>
      </c>
      <c r="G681" s="80" t="str">
        <f t="array" ref="G681">IF(A681="","",A681&amp;IF(N(INDEX('Deck 2'!$A:$Z,ROW()-500,'List Setup'!$C$4))&gt;1," (x"&amp;INDEX('Deck 2'!$A:$Z,ROW()-500,'List Setup'!$C$4)&amp;")","")&amp;IF(COUNTIF(Binders!$J$6:$J$30,TRUE())&gt;1," ["&amp;Q681&amp;"]",""))</f>
        <v/>
      </c>
      <c r="H681" s="80" t="str">
        <f t="array" ref="H681">IF(A681="","",CHAR(10)&amp;INDEX('Deck 2'!$A:$Z,ROW()-500,'List Setup'!$E$4)&amp;CHAR(10))</f>
        <v/>
      </c>
      <c r="I681" s="80" t="str">
        <f t="array" ref="I681">IF(OR(B681="",B681="(none)"),"",IF(ISNUMBER(SEARCH(CHAR(10)&amp;B681&amp;CHAR(10),H681)),B681,IFERROR(INDEX('Set Aliases'!$A$2:$A$501,MATCH(1,('Set Aliases'!$B$2:$B$501=B681)*ISNUMBER(SEARCH(CHAR(10)&amp;'Set Aliases'!$A$2:$A$501&amp;CHAR(10),H681)),0)),"")))</f>
        <v/>
      </c>
      <c r="J681" s="80" t="str">
        <f t="array" ref="J681">IF(I681="","",IFERROR(VALUE(TRIM(MID(SUBSTITUTE(INDEX('Deck 2'!$A:$Z,ROW()-500,'List Setup'!$G$4),CHAR(10),REPT(" ",100)),((SEARCH(CHAR(10)&amp;I681&amp;CHAR(10),H681)-LEN(SUBSTITUTE(LEFT(H681,SEARCH(CHAR(10)&amp;I681&amp;CHAR(10),H681)),CHAR(10),"")))-1)*100+1,100))),""))</f>
        <v/>
      </c>
      <c r="K681" s="80" t="str">
        <f t="array" ref="K681">IF(A681="","",IF(ISNUMBER(SEARCH("Land",LEFT(IFERROR(INDEX('Deck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81" s="80" t="str">
        <f t="shared" si="3"/>
        <v/>
      </c>
      <c r="M681" s="80" t="str">
        <f>IF(A681="","",IF(AND(E681="Y",B681='Use at Shop'!$B$4),K681*10000000000+(MAX(0,MIN(26,CODE(MID(UPPER(A681)&amp;"    ",1,1))-64))*19683+MAX(0,MIN(26,CODE(MID(UPPER(A681)&amp;"    ",2,1))-64))*729+MAX(0,MIN(26,CODE(MID(UPPER(A681)&amp;"    ",3,1))-64))*27+MAX(0,MIN(26,CODE(MID(UPPER(A681)&amp;"    ",4,1))-64))*1)*10000+ROW(),""))</f>
        <v/>
      </c>
      <c r="N681" s="80" t="str">
        <f t="shared" si="6"/>
        <v/>
      </c>
      <c r="O681" s="80" t="str">
        <f t="array" ref="O681">IF(A681="","",IFERROR(INDEX('Deck 2'!$A:$Z,ROW()-500,'List Setup'!$J$4)&amp;"",""))</f>
        <v/>
      </c>
      <c r="P681" s="2"/>
      <c r="Q681" s="80" t="str">
        <f>IF(A681="","",'List Setup'!$A$4)</f>
        <v/>
      </c>
      <c r="R681" s="80" t="str">
        <f t="array" ref="R681">IF(A681="","",IFERROR(OR(INDEX(Binders!$J$6:$J$30,MATCH(Q681,Binders!$I$6:$I$30,0))=TRUE(),UPPER(INDEX(Binders!$J$6:$J$30,MATCH(Q681,Binders!$I$6:$I$30,0))&amp;"")="TRUE"),FALSE()))</f>
        <v/>
      </c>
    </row>
    <row r="682" ht="15.75" customHeight="1">
      <c r="A682" s="80" t="str">
        <f t="array" ref="A682">IF(INDEX('Deck 2'!$A:$Z,ROW()-500,'List Setup'!$D$4)="","",INDEX('Deck 2'!$A:$Z,ROW()-500,'List Setup'!$D$4))</f>
        <v/>
      </c>
      <c r="B682" s="80" t="str">
        <f t="array" ref="B682">IF(A682="","",IFERROR(INDEX('Binder Setup'!$B$2:$B$401,MIN(IF(ISNUMBER(SEARCH(CHAR(10)&amp;'Binder Setup'!$B$2:$B$401&amp;CHAR(10),$H682)),'List Setup'!$Q$2:$Q$401,999),IF(ISNUMBER(SEARCH(CHAR(10)&amp;'Set Aliases'!$A$2:$A$501&amp;CHAR(10),$H682)),'Set Aliases'!$C$2:$C$501,999))),"(none)"))</f>
        <v/>
      </c>
      <c r="C682" s="80" t="str">
        <f t="shared" si="1"/>
        <v/>
      </c>
      <c r="D682" s="80" t="str">
        <f t="array" ref="D682">IF(A682="","",IF(ISLOGICAL(INDEX('Deck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82" s="80" t="str">
        <f t="shared" si="2"/>
        <v/>
      </c>
      <c r="F682" s="80" t="str">
        <f t="array" ref="F682">IF(A682="","",IF(ISNUMBER(J682),J682,IF(ISNUMBER(INDEX('Deck 2'!$A:$Z,ROW()-500,'List Setup'!$F$4)),INDEX('Deck 2'!$A:$Z,ROW()-500,'List Setup'!$F$4),0)))</f>
        <v/>
      </c>
      <c r="G682" s="80" t="str">
        <f t="array" ref="G682">IF(A682="","",A682&amp;IF(N(INDEX('Deck 2'!$A:$Z,ROW()-500,'List Setup'!$C$4))&gt;1," (x"&amp;INDEX('Deck 2'!$A:$Z,ROW()-500,'List Setup'!$C$4)&amp;")","")&amp;IF(COUNTIF(Binders!$J$6:$J$30,TRUE())&gt;1," ["&amp;Q682&amp;"]",""))</f>
        <v/>
      </c>
      <c r="H682" s="80" t="str">
        <f t="array" ref="H682">IF(A682="","",CHAR(10)&amp;INDEX('Deck 2'!$A:$Z,ROW()-500,'List Setup'!$E$4)&amp;CHAR(10))</f>
        <v/>
      </c>
      <c r="I682" s="80" t="str">
        <f t="array" ref="I682">IF(OR(B682="",B682="(none)"),"",IF(ISNUMBER(SEARCH(CHAR(10)&amp;B682&amp;CHAR(10),H682)),B682,IFERROR(INDEX('Set Aliases'!$A$2:$A$501,MATCH(1,('Set Aliases'!$B$2:$B$501=B682)*ISNUMBER(SEARCH(CHAR(10)&amp;'Set Aliases'!$A$2:$A$501&amp;CHAR(10),H682)),0)),"")))</f>
        <v/>
      </c>
      <c r="J682" s="80" t="str">
        <f t="array" ref="J682">IF(I682="","",IFERROR(VALUE(TRIM(MID(SUBSTITUTE(INDEX('Deck 2'!$A:$Z,ROW()-500,'List Setup'!$G$4),CHAR(10),REPT(" ",100)),((SEARCH(CHAR(10)&amp;I682&amp;CHAR(10),H682)-LEN(SUBSTITUTE(LEFT(H682,SEARCH(CHAR(10)&amp;I682&amp;CHAR(10),H682)),CHAR(10),"")))-1)*100+1,100))),""))</f>
        <v/>
      </c>
      <c r="K682" s="80" t="str">
        <f t="array" ref="K682">IF(A682="","",IF(ISNUMBER(SEARCH("Land",LEFT(IFERROR(INDEX('Deck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82" s="80" t="str">
        <f t="shared" si="3"/>
        <v/>
      </c>
      <c r="M682" s="80" t="str">
        <f>IF(A682="","",IF(AND(E682="Y",B682='Use at Shop'!$B$4),K682*10000000000+(MAX(0,MIN(26,CODE(MID(UPPER(A682)&amp;"    ",1,1))-64))*19683+MAX(0,MIN(26,CODE(MID(UPPER(A682)&amp;"    ",2,1))-64))*729+MAX(0,MIN(26,CODE(MID(UPPER(A682)&amp;"    ",3,1))-64))*27+MAX(0,MIN(26,CODE(MID(UPPER(A682)&amp;"    ",4,1))-64))*1)*10000+ROW(),""))</f>
        <v/>
      </c>
      <c r="N682" s="80" t="str">
        <f t="shared" si="6"/>
        <v/>
      </c>
      <c r="O682" s="80" t="str">
        <f t="array" ref="O682">IF(A682="","",IFERROR(INDEX('Deck 2'!$A:$Z,ROW()-500,'List Setup'!$J$4)&amp;"",""))</f>
        <v/>
      </c>
      <c r="P682" s="2"/>
      <c r="Q682" s="80" t="str">
        <f>IF(A682="","",'List Setup'!$A$4)</f>
        <v/>
      </c>
      <c r="R682" s="80" t="str">
        <f t="array" ref="R682">IF(A682="","",IFERROR(OR(INDEX(Binders!$J$6:$J$30,MATCH(Q682,Binders!$I$6:$I$30,0))=TRUE(),UPPER(INDEX(Binders!$J$6:$J$30,MATCH(Q682,Binders!$I$6:$I$30,0))&amp;"")="TRUE"),FALSE()))</f>
        <v/>
      </c>
    </row>
    <row r="683" ht="15.75" customHeight="1">
      <c r="A683" s="80" t="str">
        <f t="array" ref="A683">IF(INDEX('Deck 2'!$A:$Z,ROW()-500,'List Setup'!$D$4)="","",INDEX('Deck 2'!$A:$Z,ROW()-500,'List Setup'!$D$4))</f>
        <v/>
      </c>
      <c r="B683" s="80" t="str">
        <f t="array" ref="B683">IF(A683="","",IFERROR(INDEX('Binder Setup'!$B$2:$B$401,MIN(IF(ISNUMBER(SEARCH(CHAR(10)&amp;'Binder Setup'!$B$2:$B$401&amp;CHAR(10),$H683)),'List Setup'!$Q$2:$Q$401,999),IF(ISNUMBER(SEARCH(CHAR(10)&amp;'Set Aliases'!$A$2:$A$501&amp;CHAR(10),$H683)),'Set Aliases'!$C$2:$C$501,999))),"(none)"))</f>
        <v/>
      </c>
      <c r="C683" s="80" t="str">
        <f t="shared" si="1"/>
        <v/>
      </c>
      <c r="D683" s="80" t="str">
        <f t="array" ref="D683">IF(A683="","",IF(ISLOGICAL(INDEX('Deck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83" s="80" t="str">
        <f t="shared" si="2"/>
        <v/>
      </c>
      <c r="F683" s="80" t="str">
        <f t="array" ref="F683">IF(A683="","",IF(ISNUMBER(J683),J683,IF(ISNUMBER(INDEX('Deck 2'!$A:$Z,ROW()-500,'List Setup'!$F$4)),INDEX('Deck 2'!$A:$Z,ROW()-500,'List Setup'!$F$4),0)))</f>
        <v/>
      </c>
      <c r="G683" s="80" t="str">
        <f t="array" ref="G683">IF(A683="","",A683&amp;IF(N(INDEX('Deck 2'!$A:$Z,ROW()-500,'List Setup'!$C$4))&gt;1," (x"&amp;INDEX('Deck 2'!$A:$Z,ROW()-500,'List Setup'!$C$4)&amp;")","")&amp;IF(COUNTIF(Binders!$J$6:$J$30,TRUE())&gt;1," ["&amp;Q683&amp;"]",""))</f>
        <v/>
      </c>
      <c r="H683" s="80" t="str">
        <f t="array" ref="H683">IF(A683="","",CHAR(10)&amp;INDEX('Deck 2'!$A:$Z,ROW()-500,'List Setup'!$E$4)&amp;CHAR(10))</f>
        <v/>
      </c>
      <c r="I683" s="80" t="str">
        <f t="array" ref="I683">IF(OR(B683="",B683="(none)"),"",IF(ISNUMBER(SEARCH(CHAR(10)&amp;B683&amp;CHAR(10),H683)),B683,IFERROR(INDEX('Set Aliases'!$A$2:$A$501,MATCH(1,('Set Aliases'!$B$2:$B$501=B683)*ISNUMBER(SEARCH(CHAR(10)&amp;'Set Aliases'!$A$2:$A$501&amp;CHAR(10),H683)),0)),"")))</f>
        <v/>
      </c>
      <c r="J683" s="80" t="str">
        <f t="array" ref="J683">IF(I683="","",IFERROR(VALUE(TRIM(MID(SUBSTITUTE(INDEX('Deck 2'!$A:$Z,ROW()-500,'List Setup'!$G$4),CHAR(10),REPT(" ",100)),((SEARCH(CHAR(10)&amp;I683&amp;CHAR(10),H683)-LEN(SUBSTITUTE(LEFT(H683,SEARCH(CHAR(10)&amp;I683&amp;CHAR(10),H683)),CHAR(10),"")))-1)*100+1,100))),""))</f>
        <v/>
      </c>
      <c r="K683" s="80" t="str">
        <f t="array" ref="K683">IF(A683="","",IF(ISNUMBER(SEARCH("Land",LEFT(IFERROR(INDEX('Deck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83" s="80" t="str">
        <f t="shared" si="3"/>
        <v/>
      </c>
      <c r="M683" s="80" t="str">
        <f>IF(A683="","",IF(AND(E683="Y",B683='Use at Shop'!$B$4),K683*10000000000+(MAX(0,MIN(26,CODE(MID(UPPER(A683)&amp;"    ",1,1))-64))*19683+MAX(0,MIN(26,CODE(MID(UPPER(A683)&amp;"    ",2,1))-64))*729+MAX(0,MIN(26,CODE(MID(UPPER(A683)&amp;"    ",3,1))-64))*27+MAX(0,MIN(26,CODE(MID(UPPER(A683)&amp;"    ",4,1))-64))*1)*10000+ROW(),""))</f>
        <v/>
      </c>
      <c r="N683" s="80" t="str">
        <f t="shared" si="6"/>
        <v/>
      </c>
      <c r="O683" s="80" t="str">
        <f t="array" ref="O683">IF(A683="","",IFERROR(INDEX('Deck 2'!$A:$Z,ROW()-500,'List Setup'!$J$4)&amp;"",""))</f>
        <v/>
      </c>
      <c r="P683" s="2"/>
      <c r="Q683" s="80" t="str">
        <f>IF(A683="","",'List Setup'!$A$4)</f>
        <v/>
      </c>
      <c r="R683" s="80" t="str">
        <f t="array" ref="R683">IF(A683="","",IFERROR(OR(INDEX(Binders!$J$6:$J$30,MATCH(Q683,Binders!$I$6:$I$30,0))=TRUE(),UPPER(INDEX(Binders!$J$6:$J$30,MATCH(Q683,Binders!$I$6:$I$30,0))&amp;"")="TRUE"),FALSE()))</f>
        <v/>
      </c>
    </row>
    <row r="684" ht="15.75" customHeight="1">
      <c r="A684" s="80" t="str">
        <f t="array" ref="A684">IF(INDEX('Deck 2'!$A:$Z,ROW()-500,'List Setup'!$D$4)="","",INDEX('Deck 2'!$A:$Z,ROW()-500,'List Setup'!$D$4))</f>
        <v/>
      </c>
      <c r="B684" s="80" t="str">
        <f t="array" ref="B684">IF(A684="","",IFERROR(INDEX('Binder Setup'!$B$2:$B$401,MIN(IF(ISNUMBER(SEARCH(CHAR(10)&amp;'Binder Setup'!$B$2:$B$401&amp;CHAR(10),$H684)),'List Setup'!$Q$2:$Q$401,999),IF(ISNUMBER(SEARCH(CHAR(10)&amp;'Set Aliases'!$A$2:$A$501&amp;CHAR(10),$H684)),'Set Aliases'!$C$2:$C$501,999))),"(none)"))</f>
        <v/>
      </c>
      <c r="C684" s="80" t="str">
        <f t="shared" si="1"/>
        <v/>
      </c>
      <c r="D684" s="80" t="str">
        <f t="array" ref="D684">IF(A684="","",IF(ISLOGICAL(INDEX('Deck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84" s="80" t="str">
        <f t="shared" si="2"/>
        <v/>
      </c>
      <c r="F684" s="80" t="str">
        <f t="array" ref="F684">IF(A684="","",IF(ISNUMBER(J684),J684,IF(ISNUMBER(INDEX('Deck 2'!$A:$Z,ROW()-500,'List Setup'!$F$4)),INDEX('Deck 2'!$A:$Z,ROW()-500,'List Setup'!$F$4),0)))</f>
        <v/>
      </c>
      <c r="G684" s="80" t="str">
        <f t="array" ref="G684">IF(A684="","",A684&amp;IF(N(INDEX('Deck 2'!$A:$Z,ROW()-500,'List Setup'!$C$4))&gt;1," (x"&amp;INDEX('Deck 2'!$A:$Z,ROW()-500,'List Setup'!$C$4)&amp;")","")&amp;IF(COUNTIF(Binders!$J$6:$J$30,TRUE())&gt;1," ["&amp;Q684&amp;"]",""))</f>
        <v/>
      </c>
      <c r="H684" s="80" t="str">
        <f t="array" ref="H684">IF(A684="","",CHAR(10)&amp;INDEX('Deck 2'!$A:$Z,ROW()-500,'List Setup'!$E$4)&amp;CHAR(10))</f>
        <v/>
      </c>
      <c r="I684" s="80" t="str">
        <f t="array" ref="I684">IF(OR(B684="",B684="(none)"),"",IF(ISNUMBER(SEARCH(CHAR(10)&amp;B684&amp;CHAR(10),H684)),B684,IFERROR(INDEX('Set Aliases'!$A$2:$A$501,MATCH(1,('Set Aliases'!$B$2:$B$501=B684)*ISNUMBER(SEARCH(CHAR(10)&amp;'Set Aliases'!$A$2:$A$501&amp;CHAR(10),H684)),0)),"")))</f>
        <v/>
      </c>
      <c r="J684" s="80" t="str">
        <f t="array" ref="J684">IF(I684="","",IFERROR(VALUE(TRIM(MID(SUBSTITUTE(INDEX('Deck 2'!$A:$Z,ROW()-500,'List Setup'!$G$4),CHAR(10),REPT(" ",100)),((SEARCH(CHAR(10)&amp;I684&amp;CHAR(10),H684)-LEN(SUBSTITUTE(LEFT(H684,SEARCH(CHAR(10)&amp;I684&amp;CHAR(10),H684)),CHAR(10),"")))-1)*100+1,100))),""))</f>
        <v/>
      </c>
      <c r="K684" s="80" t="str">
        <f t="array" ref="K684">IF(A684="","",IF(ISNUMBER(SEARCH("Land",LEFT(IFERROR(INDEX('Deck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84" s="80" t="str">
        <f t="shared" si="3"/>
        <v/>
      </c>
      <c r="M684" s="80" t="str">
        <f>IF(A684="","",IF(AND(E684="Y",B684='Use at Shop'!$B$4),K684*10000000000+(MAX(0,MIN(26,CODE(MID(UPPER(A684)&amp;"    ",1,1))-64))*19683+MAX(0,MIN(26,CODE(MID(UPPER(A684)&amp;"    ",2,1))-64))*729+MAX(0,MIN(26,CODE(MID(UPPER(A684)&amp;"    ",3,1))-64))*27+MAX(0,MIN(26,CODE(MID(UPPER(A684)&amp;"    ",4,1))-64))*1)*10000+ROW(),""))</f>
        <v/>
      </c>
      <c r="N684" s="80" t="str">
        <f t="shared" si="6"/>
        <v/>
      </c>
      <c r="O684" s="80" t="str">
        <f t="array" ref="O684">IF(A684="","",IFERROR(INDEX('Deck 2'!$A:$Z,ROW()-500,'List Setup'!$J$4)&amp;"",""))</f>
        <v/>
      </c>
      <c r="P684" s="2"/>
      <c r="Q684" s="80" t="str">
        <f>IF(A684="","",'List Setup'!$A$4)</f>
        <v/>
      </c>
      <c r="R684" s="80" t="str">
        <f t="array" ref="R684">IF(A684="","",IFERROR(OR(INDEX(Binders!$J$6:$J$30,MATCH(Q684,Binders!$I$6:$I$30,0))=TRUE(),UPPER(INDEX(Binders!$J$6:$J$30,MATCH(Q684,Binders!$I$6:$I$30,0))&amp;"")="TRUE"),FALSE()))</f>
        <v/>
      </c>
    </row>
    <row r="685" ht="15.75" customHeight="1">
      <c r="A685" s="80" t="str">
        <f t="array" ref="A685">IF(INDEX('Deck 2'!$A:$Z,ROW()-500,'List Setup'!$D$4)="","",INDEX('Deck 2'!$A:$Z,ROW()-500,'List Setup'!$D$4))</f>
        <v/>
      </c>
      <c r="B685" s="80" t="str">
        <f t="array" ref="B685">IF(A685="","",IFERROR(INDEX('Binder Setup'!$B$2:$B$401,MIN(IF(ISNUMBER(SEARCH(CHAR(10)&amp;'Binder Setup'!$B$2:$B$401&amp;CHAR(10),$H685)),'List Setup'!$Q$2:$Q$401,999),IF(ISNUMBER(SEARCH(CHAR(10)&amp;'Set Aliases'!$A$2:$A$501&amp;CHAR(10),$H685)),'Set Aliases'!$C$2:$C$501,999))),"(none)"))</f>
        <v/>
      </c>
      <c r="C685" s="80" t="str">
        <f t="shared" si="1"/>
        <v/>
      </c>
      <c r="D685" s="80" t="str">
        <f t="array" ref="D685">IF(A685="","",IF(ISLOGICAL(INDEX('Deck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85" s="80" t="str">
        <f t="shared" si="2"/>
        <v/>
      </c>
      <c r="F685" s="80" t="str">
        <f t="array" ref="F685">IF(A685="","",IF(ISNUMBER(J685),J685,IF(ISNUMBER(INDEX('Deck 2'!$A:$Z,ROW()-500,'List Setup'!$F$4)),INDEX('Deck 2'!$A:$Z,ROW()-500,'List Setup'!$F$4),0)))</f>
        <v/>
      </c>
      <c r="G685" s="80" t="str">
        <f t="array" ref="G685">IF(A685="","",A685&amp;IF(N(INDEX('Deck 2'!$A:$Z,ROW()-500,'List Setup'!$C$4))&gt;1," (x"&amp;INDEX('Deck 2'!$A:$Z,ROW()-500,'List Setup'!$C$4)&amp;")","")&amp;IF(COUNTIF(Binders!$J$6:$J$30,TRUE())&gt;1," ["&amp;Q685&amp;"]",""))</f>
        <v/>
      </c>
      <c r="H685" s="80" t="str">
        <f t="array" ref="H685">IF(A685="","",CHAR(10)&amp;INDEX('Deck 2'!$A:$Z,ROW()-500,'List Setup'!$E$4)&amp;CHAR(10))</f>
        <v/>
      </c>
      <c r="I685" s="80" t="str">
        <f t="array" ref="I685">IF(OR(B685="",B685="(none)"),"",IF(ISNUMBER(SEARCH(CHAR(10)&amp;B685&amp;CHAR(10),H685)),B685,IFERROR(INDEX('Set Aliases'!$A$2:$A$501,MATCH(1,('Set Aliases'!$B$2:$B$501=B685)*ISNUMBER(SEARCH(CHAR(10)&amp;'Set Aliases'!$A$2:$A$501&amp;CHAR(10),H685)),0)),"")))</f>
        <v/>
      </c>
      <c r="J685" s="80" t="str">
        <f t="array" ref="J685">IF(I685="","",IFERROR(VALUE(TRIM(MID(SUBSTITUTE(INDEX('Deck 2'!$A:$Z,ROW()-500,'List Setup'!$G$4),CHAR(10),REPT(" ",100)),((SEARCH(CHAR(10)&amp;I685&amp;CHAR(10),H685)-LEN(SUBSTITUTE(LEFT(H685,SEARCH(CHAR(10)&amp;I685&amp;CHAR(10),H685)),CHAR(10),"")))-1)*100+1,100))),""))</f>
        <v/>
      </c>
      <c r="K685" s="80" t="str">
        <f t="array" ref="K685">IF(A685="","",IF(ISNUMBER(SEARCH("Land",LEFT(IFERROR(INDEX('Deck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85" s="80" t="str">
        <f t="shared" si="3"/>
        <v/>
      </c>
      <c r="M685" s="80" t="str">
        <f>IF(A685="","",IF(AND(E685="Y",B685='Use at Shop'!$B$4),K685*10000000000+(MAX(0,MIN(26,CODE(MID(UPPER(A685)&amp;"    ",1,1))-64))*19683+MAX(0,MIN(26,CODE(MID(UPPER(A685)&amp;"    ",2,1))-64))*729+MAX(0,MIN(26,CODE(MID(UPPER(A685)&amp;"    ",3,1))-64))*27+MAX(0,MIN(26,CODE(MID(UPPER(A685)&amp;"    ",4,1))-64))*1)*10000+ROW(),""))</f>
        <v/>
      </c>
      <c r="N685" s="80" t="str">
        <f t="shared" si="6"/>
        <v/>
      </c>
      <c r="O685" s="80" t="str">
        <f t="array" ref="O685">IF(A685="","",IFERROR(INDEX('Deck 2'!$A:$Z,ROW()-500,'List Setup'!$J$4)&amp;"",""))</f>
        <v/>
      </c>
      <c r="P685" s="2"/>
      <c r="Q685" s="80" t="str">
        <f>IF(A685="","",'List Setup'!$A$4)</f>
        <v/>
      </c>
      <c r="R685" s="80" t="str">
        <f t="array" ref="R685">IF(A685="","",IFERROR(OR(INDEX(Binders!$J$6:$J$30,MATCH(Q685,Binders!$I$6:$I$30,0))=TRUE(),UPPER(INDEX(Binders!$J$6:$J$30,MATCH(Q685,Binders!$I$6:$I$30,0))&amp;"")="TRUE"),FALSE()))</f>
        <v/>
      </c>
    </row>
    <row r="686" ht="15.75" customHeight="1">
      <c r="A686" s="80" t="str">
        <f t="array" ref="A686">IF(INDEX('Deck 2'!$A:$Z,ROW()-500,'List Setup'!$D$4)="","",INDEX('Deck 2'!$A:$Z,ROW()-500,'List Setup'!$D$4))</f>
        <v/>
      </c>
      <c r="B686" s="80" t="str">
        <f t="array" ref="B686">IF(A686="","",IFERROR(INDEX('Binder Setup'!$B$2:$B$401,MIN(IF(ISNUMBER(SEARCH(CHAR(10)&amp;'Binder Setup'!$B$2:$B$401&amp;CHAR(10),$H686)),'List Setup'!$Q$2:$Q$401,999),IF(ISNUMBER(SEARCH(CHAR(10)&amp;'Set Aliases'!$A$2:$A$501&amp;CHAR(10),$H686)),'Set Aliases'!$C$2:$C$501,999))),"(none)"))</f>
        <v/>
      </c>
      <c r="C686" s="80" t="str">
        <f t="shared" si="1"/>
        <v/>
      </c>
      <c r="D686" s="80" t="str">
        <f t="array" ref="D686">IF(A686="","",IF(ISLOGICAL(INDEX('Deck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86" s="80" t="str">
        <f t="shared" si="2"/>
        <v/>
      </c>
      <c r="F686" s="80" t="str">
        <f t="array" ref="F686">IF(A686="","",IF(ISNUMBER(J686),J686,IF(ISNUMBER(INDEX('Deck 2'!$A:$Z,ROW()-500,'List Setup'!$F$4)),INDEX('Deck 2'!$A:$Z,ROW()-500,'List Setup'!$F$4),0)))</f>
        <v/>
      </c>
      <c r="G686" s="80" t="str">
        <f t="array" ref="G686">IF(A686="","",A686&amp;IF(N(INDEX('Deck 2'!$A:$Z,ROW()-500,'List Setup'!$C$4))&gt;1," (x"&amp;INDEX('Deck 2'!$A:$Z,ROW()-500,'List Setup'!$C$4)&amp;")","")&amp;IF(COUNTIF(Binders!$J$6:$J$30,TRUE())&gt;1," ["&amp;Q686&amp;"]",""))</f>
        <v/>
      </c>
      <c r="H686" s="80" t="str">
        <f t="array" ref="H686">IF(A686="","",CHAR(10)&amp;INDEX('Deck 2'!$A:$Z,ROW()-500,'List Setup'!$E$4)&amp;CHAR(10))</f>
        <v/>
      </c>
      <c r="I686" s="80" t="str">
        <f t="array" ref="I686">IF(OR(B686="",B686="(none)"),"",IF(ISNUMBER(SEARCH(CHAR(10)&amp;B686&amp;CHAR(10),H686)),B686,IFERROR(INDEX('Set Aliases'!$A$2:$A$501,MATCH(1,('Set Aliases'!$B$2:$B$501=B686)*ISNUMBER(SEARCH(CHAR(10)&amp;'Set Aliases'!$A$2:$A$501&amp;CHAR(10),H686)),0)),"")))</f>
        <v/>
      </c>
      <c r="J686" s="80" t="str">
        <f t="array" ref="J686">IF(I686="","",IFERROR(VALUE(TRIM(MID(SUBSTITUTE(INDEX('Deck 2'!$A:$Z,ROW()-500,'List Setup'!$G$4),CHAR(10),REPT(" ",100)),((SEARCH(CHAR(10)&amp;I686&amp;CHAR(10),H686)-LEN(SUBSTITUTE(LEFT(H686,SEARCH(CHAR(10)&amp;I686&amp;CHAR(10),H686)),CHAR(10),"")))-1)*100+1,100))),""))</f>
        <v/>
      </c>
      <c r="K686" s="80" t="str">
        <f t="array" ref="K686">IF(A686="","",IF(ISNUMBER(SEARCH("Land",LEFT(IFERROR(INDEX('Deck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86" s="80" t="str">
        <f t="shared" si="3"/>
        <v/>
      </c>
      <c r="M686" s="80" t="str">
        <f>IF(A686="","",IF(AND(E686="Y",B686='Use at Shop'!$B$4),K686*10000000000+(MAX(0,MIN(26,CODE(MID(UPPER(A686)&amp;"    ",1,1))-64))*19683+MAX(0,MIN(26,CODE(MID(UPPER(A686)&amp;"    ",2,1))-64))*729+MAX(0,MIN(26,CODE(MID(UPPER(A686)&amp;"    ",3,1))-64))*27+MAX(0,MIN(26,CODE(MID(UPPER(A686)&amp;"    ",4,1))-64))*1)*10000+ROW(),""))</f>
        <v/>
      </c>
      <c r="N686" s="80" t="str">
        <f t="shared" si="6"/>
        <v/>
      </c>
      <c r="O686" s="80" t="str">
        <f t="array" ref="O686">IF(A686="","",IFERROR(INDEX('Deck 2'!$A:$Z,ROW()-500,'List Setup'!$J$4)&amp;"",""))</f>
        <v/>
      </c>
      <c r="P686" s="2"/>
      <c r="Q686" s="80" t="str">
        <f>IF(A686="","",'List Setup'!$A$4)</f>
        <v/>
      </c>
      <c r="R686" s="80" t="str">
        <f t="array" ref="R686">IF(A686="","",IFERROR(OR(INDEX(Binders!$J$6:$J$30,MATCH(Q686,Binders!$I$6:$I$30,0))=TRUE(),UPPER(INDEX(Binders!$J$6:$J$30,MATCH(Q686,Binders!$I$6:$I$30,0))&amp;"")="TRUE"),FALSE()))</f>
        <v/>
      </c>
    </row>
    <row r="687" ht="15.75" customHeight="1">
      <c r="A687" s="80" t="str">
        <f t="array" ref="A687">IF(INDEX('Deck 2'!$A:$Z,ROW()-500,'List Setup'!$D$4)="","",INDEX('Deck 2'!$A:$Z,ROW()-500,'List Setup'!$D$4))</f>
        <v/>
      </c>
      <c r="B687" s="80" t="str">
        <f t="array" ref="B687">IF(A687="","",IFERROR(INDEX('Binder Setup'!$B$2:$B$401,MIN(IF(ISNUMBER(SEARCH(CHAR(10)&amp;'Binder Setup'!$B$2:$B$401&amp;CHAR(10),$H687)),'List Setup'!$Q$2:$Q$401,999),IF(ISNUMBER(SEARCH(CHAR(10)&amp;'Set Aliases'!$A$2:$A$501&amp;CHAR(10),$H687)),'Set Aliases'!$C$2:$C$501,999))),"(none)"))</f>
        <v/>
      </c>
      <c r="C687" s="80" t="str">
        <f t="shared" si="1"/>
        <v/>
      </c>
      <c r="D687" s="80" t="str">
        <f t="array" ref="D687">IF(A687="","",IF(ISLOGICAL(INDEX('Deck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87" s="80" t="str">
        <f t="shared" si="2"/>
        <v/>
      </c>
      <c r="F687" s="80" t="str">
        <f t="array" ref="F687">IF(A687="","",IF(ISNUMBER(J687),J687,IF(ISNUMBER(INDEX('Deck 2'!$A:$Z,ROW()-500,'List Setup'!$F$4)),INDEX('Deck 2'!$A:$Z,ROW()-500,'List Setup'!$F$4),0)))</f>
        <v/>
      </c>
      <c r="G687" s="80" t="str">
        <f t="array" ref="G687">IF(A687="","",A687&amp;IF(N(INDEX('Deck 2'!$A:$Z,ROW()-500,'List Setup'!$C$4))&gt;1," (x"&amp;INDEX('Deck 2'!$A:$Z,ROW()-500,'List Setup'!$C$4)&amp;")","")&amp;IF(COUNTIF(Binders!$J$6:$J$30,TRUE())&gt;1," ["&amp;Q687&amp;"]",""))</f>
        <v/>
      </c>
      <c r="H687" s="80" t="str">
        <f t="array" ref="H687">IF(A687="","",CHAR(10)&amp;INDEX('Deck 2'!$A:$Z,ROW()-500,'List Setup'!$E$4)&amp;CHAR(10))</f>
        <v/>
      </c>
      <c r="I687" s="80" t="str">
        <f t="array" ref="I687">IF(OR(B687="",B687="(none)"),"",IF(ISNUMBER(SEARCH(CHAR(10)&amp;B687&amp;CHAR(10),H687)),B687,IFERROR(INDEX('Set Aliases'!$A$2:$A$501,MATCH(1,('Set Aliases'!$B$2:$B$501=B687)*ISNUMBER(SEARCH(CHAR(10)&amp;'Set Aliases'!$A$2:$A$501&amp;CHAR(10),H687)),0)),"")))</f>
        <v/>
      </c>
      <c r="J687" s="80" t="str">
        <f t="array" ref="J687">IF(I687="","",IFERROR(VALUE(TRIM(MID(SUBSTITUTE(INDEX('Deck 2'!$A:$Z,ROW()-500,'List Setup'!$G$4),CHAR(10),REPT(" ",100)),((SEARCH(CHAR(10)&amp;I687&amp;CHAR(10),H687)-LEN(SUBSTITUTE(LEFT(H687,SEARCH(CHAR(10)&amp;I687&amp;CHAR(10),H687)),CHAR(10),"")))-1)*100+1,100))),""))</f>
        <v/>
      </c>
      <c r="K687" s="80" t="str">
        <f t="array" ref="K687">IF(A687="","",IF(ISNUMBER(SEARCH("Land",LEFT(IFERROR(INDEX('Deck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87" s="80" t="str">
        <f t="shared" si="3"/>
        <v/>
      </c>
      <c r="M687" s="80" t="str">
        <f>IF(A687="","",IF(AND(E687="Y",B687='Use at Shop'!$B$4),K687*10000000000+(MAX(0,MIN(26,CODE(MID(UPPER(A687)&amp;"    ",1,1))-64))*19683+MAX(0,MIN(26,CODE(MID(UPPER(A687)&amp;"    ",2,1))-64))*729+MAX(0,MIN(26,CODE(MID(UPPER(A687)&amp;"    ",3,1))-64))*27+MAX(0,MIN(26,CODE(MID(UPPER(A687)&amp;"    ",4,1))-64))*1)*10000+ROW(),""))</f>
        <v/>
      </c>
      <c r="N687" s="80" t="str">
        <f t="shared" si="6"/>
        <v/>
      </c>
      <c r="O687" s="80" t="str">
        <f t="array" ref="O687">IF(A687="","",IFERROR(INDEX('Deck 2'!$A:$Z,ROW()-500,'List Setup'!$J$4)&amp;"",""))</f>
        <v/>
      </c>
      <c r="P687" s="2"/>
      <c r="Q687" s="80" t="str">
        <f>IF(A687="","",'List Setup'!$A$4)</f>
        <v/>
      </c>
      <c r="R687" s="80" t="str">
        <f t="array" ref="R687">IF(A687="","",IFERROR(OR(INDEX(Binders!$J$6:$J$30,MATCH(Q687,Binders!$I$6:$I$30,0))=TRUE(),UPPER(INDEX(Binders!$J$6:$J$30,MATCH(Q687,Binders!$I$6:$I$30,0))&amp;"")="TRUE"),FALSE()))</f>
        <v/>
      </c>
    </row>
    <row r="688" ht="15.75" customHeight="1">
      <c r="A688" s="80" t="str">
        <f t="array" ref="A688">IF(INDEX('Deck 2'!$A:$Z,ROW()-500,'List Setup'!$D$4)="","",INDEX('Deck 2'!$A:$Z,ROW()-500,'List Setup'!$D$4))</f>
        <v/>
      </c>
      <c r="B688" s="80" t="str">
        <f t="array" ref="B688">IF(A688="","",IFERROR(INDEX('Binder Setup'!$B$2:$B$401,MIN(IF(ISNUMBER(SEARCH(CHAR(10)&amp;'Binder Setup'!$B$2:$B$401&amp;CHAR(10),$H688)),'List Setup'!$Q$2:$Q$401,999),IF(ISNUMBER(SEARCH(CHAR(10)&amp;'Set Aliases'!$A$2:$A$501&amp;CHAR(10),$H688)),'Set Aliases'!$C$2:$C$501,999))),"(none)"))</f>
        <v/>
      </c>
      <c r="C688" s="80" t="str">
        <f t="shared" si="1"/>
        <v/>
      </c>
      <c r="D688" s="80" t="str">
        <f t="array" ref="D688">IF(A688="","",IF(ISLOGICAL(INDEX('Deck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88" s="80" t="str">
        <f t="shared" si="2"/>
        <v/>
      </c>
      <c r="F688" s="80" t="str">
        <f t="array" ref="F688">IF(A688="","",IF(ISNUMBER(J688),J688,IF(ISNUMBER(INDEX('Deck 2'!$A:$Z,ROW()-500,'List Setup'!$F$4)),INDEX('Deck 2'!$A:$Z,ROW()-500,'List Setup'!$F$4),0)))</f>
        <v/>
      </c>
      <c r="G688" s="80" t="str">
        <f t="array" ref="G688">IF(A688="","",A688&amp;IF(N(INDEX('Deck 2'!$A:$Z,ROW()-500,'List Setup'!$C$4))&gt;1," (x"&amp;INDEX('Deck 2'!$A:$Z,ROW()-500,'List Setup'!$C$4)&amp;")","")&amp;IF(COUNTIF(Binders!$J$6:$J$30,TRUE())&gt;1," ["&amp;Q688&amp;"]",""))</f>
        <v/>
      </c>
      <c r="H688" s="80" t="str">
        <f t="array" ref="H688">IF(A688="","",CHAR(10)&amp;INDEX('Deck 2'!$A:$Z,ROW()-500,'List Setup'!$E$4)&amp;CHAR(10))</f>
        <v/>
      </c>
      <c r="I688" s="80" t="str">
        <f t="array" ref="I688">IF(OR(B688="",B688="(none)"),"",IF(ISNUMBER(SEARCH(CHAR(10)&amp;B688&amp;CHAR(10),H688)),B688,IFERROR(INDEX('Set Aliases'!$A$2:$A$501,MATCH(1,('Set Aliases'!$B$2:$B$501=B688)*ISNUMBER(SEARCH(CHAR(10)&amp;'Set Aliases'!$A$2:$A$501&amp;CHAR(10),H688)),0)),"")))</f>
        <v/>
      </c>
      <c r="J688" s="80" t="str">
        <f t="array" ref="J688">IF(I688="","",IFERROR(VALUE(TRIM(MID(SUBSTITUTE(INDEX('Deck 2'!$A:$Z,ROW()-500,'List Setup'!$G$4),CHAR(10),REPT(" ",100)),((SEARCH(CHAR(10)&amp;I688&amp;CHAR(10),H688)-LEN(SUBSTITUTE(LEFT(H688,SEARCH(CHAR(10)&amp;I688&amp;CHAR(10),H688)),CHAR(10),"")))-1)*100+1,100))),""))</f>
        <v/>
      </c>
      <c r="K688" s="80" t="str">
        <f t="array" ref="K688">IF(A688="","",IF(ISNUMBER(SEARCH("Land",LEFT(IFERROR(INDEX('Deck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88" s="80" t="str">
        <f t="shared" si="3"/>
        <v/>
      </c>
      <c r="M688" s="80" t="str">
        <f>IF(A688="","",IF(AND(E688="Y",B688='Use at Shop'!$B$4),K688*10000000000+(MAX(0,MIN(26,CODE(MID(UPPER(A688)&amp;"    ",1,1))-64))*19683+MAX(0,MIN(26,CODE(MID(UPPER(A688)&amp;"    ",2,1))-64))*729+MAX(0,MIN(26,CODE(MID(UPPER(A688)&amp;"    ",3,1))-64))*27+MAX(0,MIN(26,CODE(MID(UPPER(A688)&amp;"    ",4,1))-64))*1)*10000+ROW(),""))</f>
        <v/>
      </c>
      <c r="N688" s="80" t="str">
        <f t="shared" si="6"/>
        <v/>
      </c>
      <c r="O688" s="80" t="str">
        <f t="array" ref="O688">IF(A688="","",IFERROR(INDEX('Deck 2'!$A:$Z,ROW()-500,'List Setup'!$J$4)&amp;"",""))</f>
        <v/>
      </c>
      <c r="P688" s="2"/>
      <c r="Q688" s="80" t="str">
        <f>IF(A688="","",'List Setup'!$A$4)</f>
        <v/>
      </c>
      <c r="R688" s="80" t="str">
        <f t="array" ref="R688">IF(A688="","",IFERROR(OR(INDEX(Binders!$J$6:$J$30,MATCH(Q688,Binders!$I$6:$I$30,0))=TRUE(),UPPER(INDEX(Binders!$J$6:$J$30,MATCH(Q688,Binders!$I$6:$I$30,0))&amp;"")="TRUE"),FALSE()))</f>
        <v/>
      </c>
    </row>
    <row r="689" ht="15.75" customHeight="1">
      <c r="A689" s="80" t="str">
        <f t="array" ref="A689">IF(INDEX('Deck 2'!$A:$Z,ROW()-500,'List Setup'!$D$4)="","",INDEX('Deck 2'!$A:$Z,ROW()-500,'List Setup'!$D$4))</f>
        <v/>
      </c>
      <c r="B689" s="80" t="str">
        <f t="array" ref="B689">IF(A689="","",IFERROR(INDEX('Binder Setup'!$B$2:$B$401,MIN(IF(ISNUMBER(SEARCH(CHAR(10)&amp;'Binder Setup'!$B$2:$B$401&amp;CHAR(10),$H689)),'List Setup'!$Q$2:$Q$401,999),IF(ISNUMBER(SEARCH(CHAR(10)&amp;'Set Aliases'!$A$2:$A$501&amp;CHAR(10),$H689)),'Set Aliases'!$C$2:$C$501,999))),"(none)"))</f>
        <v/>
      </c>
      <c r="C689" s="80" t="str">
        <f t="shared" si="1"/>
        <v/>
      </c>
      <c r="D689" s="80" t="str">
        <f t="array" ref="D689">IF(A689="","",IF(ISLOGICAL(INDEX('Deck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89" s="80" t="str">
        <f t="shared" si="2"/>
        <v/>
      </c>
      <c r="F689" s="80" t="str">
        <f t="array" ref="F689">IF(A689="","",IF(ISNUMBER(J689),J689,IF(ISNUMBER(INDEX('Deck 2'!$A:$Z,ROW()-500,'List Setup'!$F$4)),INDEX('Deck 2'!$A:$Z,ROW()-500,'List Setup'!$F$4),0)))</f>
        <v/>
      </c>
      <c r="G689" s="80" t="str">
        <f t="array" ref="G689">IF(A689="","",A689&amp;IF(N(INDEX('Deck 2'!$A:$Z,ROW()-500,'List Setup'!$C$4))&gt;1," (x"&amp;INDEX('Deck 2'!$A:$Z,ROW()-500,'List Setup'!$C$4)&amp;")","")&amp;IF(COUNTIF(Binders!$J$6:$J$30,TRUE())&gt;1," ["&amp;Q689&amp;"]",""))</f>
        <v/>
      </c>
      <c r="H689" s="80" t="str">
        <f t="array" ref="H689">IF(A689="","",CHAR(10)&amp;INDEX('Deck 2'!$A:$Z,ROW()-500,'List Setup'!$E$4)&amp;CHAR(10))</f>
        <v/>
      </c>
      <c r="I689" s="80" t="str">
        <f t="array" ref="I689">IF(OR(B689="",B689="(none)"),"",IF(ISNUMBER(SEARCH(CHAR(10)&amp;B689&amp;CHAR(10),H689)),B689,IFERROR(INDEX('Set Aliases'!$A$2:$A$501,MATCH(1,('Set Aliases'!$B$2:$B$501=B689)*ISNUMBER(SEARCH(CHAR(10)&amp;'Set Aliases'!$A$2:$A$501&amp;CHAR(10),H689)),0)),"")))</f>
        <v/>
      </c>
      <c r="J689" s="80" t="str">
        <f t="array" ref="J689">IF(I689="","",IFERROR(VALUE(TRIM(MID(SUBSTITUTE(INDEX('Deck 2'!$A:$Z,ROW()-500,'List Setup'!$G$4),CHAR(10),REPT(" ",100)),((SEARCH(CHAR(10)&amp;I689&amp;CHAR(10),H689)-LEN(SUBSTITUTE(LEFT(H689,SEARCH(CHAR(10)&amp;I689&amp;CHAR(10),H689)),CHAR(10),"")))-1)*100+1,100))),""))</f>
        <v/>
      </c>
      <c r="K689" s="80" t="str">
        <f t="array" ref="K689">IF(A689="","",IF(ISNUMBER(SEARCH("Land",LEFT(IFERROR(INDEX('Deck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89" s="80" t="str">
        <f t="shared" si="3"/>
        <v/>
      </c>
      <c r="M689" s="80" t="str">
        <f>IF(A689="","",IF(AND(E689="Y",B689='Use at Shop'!$B$4),K689*10000000000+(MAX(0,MIN(26,CODE(MID(UPPER(A689)&amp;"    ",1,1))-64))*19683+MAX(0,MIN(26,CODE(MID(UPPER(A689)&amp;"    ",2,1))-64))*729+MAX(0,MIN(26,CODE(MID(UPPER(A689)&amp;"    ",3,1))-64))*27+MAX(0,MIN(26,CODE(MID(UPPER(A689)&amp;"    ",4,1))-64))*1)*10000+ROW(),""))</f>
        <v/>
      </c>
      <c r="N689" s="80" t="str">
        <f t="shared" si="6"/>
        <v/>
      </c>
      <c r="O689" s="80" t="str">
        <f t="array" ref="O689">IF(A689="","",IFERROR(INDEX('Deck 2'!$A:$Z,ROW()-500,'List Setup'!$J$4)&amp;"",""))</f>
        <v/>
      </c>
      <c r="P689" s="2"/>
      <c r="Q689" s="80" t="str">
        <f>IF(A689="","",'List Setup'!$A$4)</f>
        <v/>
      </c>
      <c r="R689" s="80" t="str">
        <f t="array" ref="R689">IF(A689="","",IFERROR(OR(INDEX(Binders!$J$6:$J$30,MATCH(Q689,Binders!$I$6:$I$30,0))=TRUE(),UPPER(INDEX(Binders!$J$6:$J$30,MATCH(Q689,Binders!$I$6:$I$30,0))&amp;"")="TRUE"),FALSE()))</f>
        <v/>
      </c>
    </row>
    <row r="690" ht="15.75" customHeight="1">
      <c r="A690" s="80" t="str">
        <f t="array" ref="A690">IF(INDEX('Deck 2'!$A:$Z,ROW()-500,'List Setup'!$D$4)="","",INDEX('Deck 2'!$A:$Z,ROW()-500,'List Setup'!$D$4))</f>
        <v/>
      </c>
      <c r="B690" s="80" t="str">
        <f t="array" ref="B690">IF(A690="","",IFERROR(INDEX('Binder Setup'!$B$2:$B$401,MIN(IF(ISNUMBER(SEARCH(CHAR(10)&amp;'Binder Setup'!$B$2:$B$401&amp;CHAR(10),$H690)),'List Setup'!$Q$2:$Q$401,999),IF(ISNUMBER(SEARCH(CHAR(10)&amp;'Set Aliases'!$A$2:$A$501&amp;CHAR(10),$H690)),'Set Aliases'!$C$2:$C$501,999))),"(none)"))</f>
        <v/>
      </c>
      <c r="C690" s="80" t="str">
        <f t="shared" si="1"/>
        <v/>
      </c>
      <c r="D690" s="80" t="str">
        <f t="array" ref="D690">IF(A690="","",IF(ISLOGICAL(INDEX('Deck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90" s="80" t="str">
        <f t="shared" si="2"/>
        <v/>
      </c>
      <c r="F690" s="80" t="str">
        <f t="array" ref="F690">IF(A690="","",IF(ISNUMBER(J690),J690,IF(ISNUMBER(INDEX('Deck 2'!$A:$Z,ROW()-500,'List Setup'!$F$4)),INDEX('Deck 2'!$A:$Z,ROW()-500,'List Setup'!$F$4),0)))</f>
        <v/>
      </c>
      <c r="G690" s="80" t="str">
        <f t="array" ref="G690">IF(A690="","",A690&amp;IF(N(INDEX('Deck 2'!$A:$Z,ROW()-500,'List Setup'!$C$4))&gt;1," (x"&amp;INDEX('Deck 2'!$A:$Z,ROW()-500,'List Setup'!$C$4)&amp;")","")&amp;IF(COUNTIF(Binders!$J$6:$J$30,TRUE())&gt;1," ["&amp;Q690&amp;"]",""))</f>
        <v/>
      </c>
      <c r="H690" s="80" t="str">
        <f t="array" ref="H690">IF(A690="","",CHAR(10)&amp;INDEX('Deck 2'!$A:$Z,ROW()-500,'List Setup'!$E$4)&amp;CHAR(10))</f>
        <v/>
      </c>
      <c r="I690" s="80" t="str">
        <f t="array" ref="I690">IF(OR(B690="",B690="(none)"),"",IF(ISNUMBER(SEARCH(CHAR(10)&amp;B690&amp;CHAR(10),H690)),B690,IFERROR(INDEX('Set Aliases'!$A$2:$A$501,MATCH(1,('Set Aliases'!$B$2:$B$501=B690)*ISNUMBER(SEARCH(CHAR(10)&amp;'Set Aliases'!$A$2:$A$501&amp;CHAR(10),H690)),0)),"")))</f>
        <v/>
      </c>
      <c r="J690" s="80" t="str">
        <f t="array" ref="J690">IF(I690="","",IFERROR(VALUE(TRIM(MID(SUBSTITUTE(INDEX('Deck 2'!$A:$Z,ROW()-500,'List Setup'!$G$4),CHAR(10),REPT(" ",100)),((SEARCH(CHAR(10)&amp;I690&amp;CHAR(10),H690)-LEN(SUBSTITUTE(LEFT(H690,SEARCH(CHAR(10)&amp;I690&amp;CHAR(10),H690)),CHAR(10),"")))-1)*100+1,100))),""))</f>
        <v/>
      </c>
      <c r="K690" s="80" t="str">
        <f t="array" ref="K690">IF(A690="","",IF(ISNUMBER(SEARCH("Land",LEFT(IFERROR(INDEX('Deck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90" s="80" t="str">
        <f t="shared" si="3"/>
        <v/>
      </c>
      <c r="M690" s="80" t="str">
        <f>IF(A690="","",IF(AND(E690="Y",B690='Use at Shop'!$B$4),K690*10000000000+(MAX(0,MIN(26,CODE(MID(UPPER(A690)&amp;"    ",1,1))-64))*19683+MAX(0,MIN(26,CODE(MID(UPPER(A690)&amp;"    ",2,1))-64))*729+MAX(0,MIN(26,CODE(MID(UPPER(A690)&amp;"    ",3,1))-64))*27+MAX(0,MIN(26,CODE(MID(UPPER(A690)&amp;"    ",4,1))-64))*1)*10000+ROW(),""))</f>
        <v/>
      </c>
      <c r="N690" s="80" t="str">
        <f t="shared" si="6"/>
        <v/>
      </c>
      <c r="O690" s="80" t="str">
        <f t="array" ref="O690">IF(A690="","",IFERROR(INDEX('Deck 2'!$A:$Z,ROW()-500,'List Setup'!$J$4)&amp;"",""))</f>
        <v/>
      </c>
      <c r="P690" s="2"/>
      <c r="Q690" s="80" t="str">
        <f>IF(A690="","",'List Setup'!$A$4)</f>
        <v/>
      </c>
      <c r="R690" s="80" t="str">
        <f t="array" ref="R690">IF(A690="","",IFERROR(OR(INDEX(Binders!$J$6:$J$30,MATCH(Q690,Binders!$I$6:$I$30,0))=TRUE(),UPPER(INDEX(Binders!$J$6:$J$30,MATCH(Q690,Binders!$I$6:$I$30,0))&amp;"")="TRUE"),FALSE()))</f>
        <v/>
      </c>
    </row>
    <row r="691" ht="15.75" customHeight="1">
      <c r="A691" s="80" t="str">
        <f t="array" ref="A691">IF(INDEX('Deck 2'!$A:$Z,ROW()-500,'List Setup'!$D$4)="","",INDEX('Deck 2'!$A:$Z,ROW()-500,'List Setup'!$D$4))</f>
        <v/>
      </c>
      <c r="B691" s="80" t="str">
        <f t="array" ref="B691">IF(A691="","",IFERROR(INDEX('Binder Setup'!$B$2:$B$401,MIN(IF(ISNUMBER(SEARCH(CHAR(10)&amp;'Binder Setup'!$B$2:$B$401&amp;CHAR(10),$H691)),'List Setup'!$Q$2:$Q$401,999),IF(ISNUMBER(SEARCH(CHAR(10)&amp;'Set Aliases'!$A$2:$A$501&amp;CHAR(10),$H691)),'Set Aliases'!$C$2:$C$501,999))),"(none)"))</f>
        <v/>
      </c>
      <c r="C691" s="80" t="str">
        <f t="shared" si="1"/>
        <v/>
      </c>
      <c r="D691" s="80" t="str">
        <f t="array" ref="D691">IF(A691="","",IF(ISLOGICAL(INDEX('Deck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91" s="80" t="str">
        <f t="shared" si="2"/>
        <v/>
      </c>
      <c r="F691" s="80" t="str">
        <f t="array" ref="F691">IF(A691="","",IF(ISNUMBER(J691),J691,IF(ISNUMBER(INDEX('Deck 2'!$A:$Z,ROW()-500,'List Setup'!$F$4)),INDEX('Deck 2'!$A:$Z,ROW()-500,'List Setup'!$F$4),0)))</f>
        <v/>
      </c>
      <c r="G691" s="80" t="str">
        <f t="array" ref="G691">IF(A691="","",A691&amp;IF(N(INDEX('Deck 2'!$A:$Z,ROW()-500,'List Setup'!$C$4))&gt;1," (x"&amp;INDEX('Deck 2'!$A:$Z,ROW()-500,'List Setup'!$C$4)&amp;")","")&amp;IF(COUNTIF(Binders!$J$6:$J$30,TRUE())&gt;1," ["&amp;Q691&amp;"]",""))</f>
        <v/>
      </c>
      <c r="H691" s="80" t="str">
        <f t="array" ref="H691">IF(A691="","",CHAR(10)&amp;INDEX('Deck 2'!$A:$Z,ROW()-500,'List Setup'!$E$4)&amp;CHAR(10))</f>
        <v/>
      </c>
      <c r="I691" s="80" t="str">
        <f t="array" ref="I691">IF(OR(B691="",B691="(none)"),"",IF(ISNUMBER(SEARCH(CHAR(10)&amp;B691&amp;CHAR(10),H691)),B691,IFERROR(INDEX('Set Aliases'!$A$2:$A$501,MATCH(1,('Set Aliases'!$B$2:$B$501=B691)*ISNUMBER(SEARCH(CHAR(10)&amp;'Set Aliases'!$A$2:$A$501&amp;CHAR(10),H691)),0)),"")))</f>
        <v/>
      </c>
      <c r="J691" s="80" t="str">
        <f t="array" ref="J691">IF(I691="","",IFERROR(VALUE(TRIM(MID(SUBSTITUTE(INDEX('Deck 2'!$A:$Z,ROW()-500,'List Setup'!$G$4),CHAR(10),REPT(" ",100)),((SEARCH(CHAR(10)&amp;I691&amp;CHAR(10),H691)-LEN(SUBSTITUTE(LEFT(H691,SEARCH(CHAR(10)&amp;I691&amp;CHAR(10),H691)),CHAR(10),"")))-1)*100+1,100))),""))</f>
        <v/>
      </c>
      <c r="K691" s="80" t="str">
        <f t="array" ref="K691">IF(A691="","",IF(ISNUMBER(SEARCH("Land",LEFT(IFERROR(INDEX('Deck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91" s="80" t="str">
        <f t="shared" si="3"/>
        <v/>
      </c>
      <c r="M691" s="80" t="str">
        <f>IF(A691="","",IF(AND(E691="Y",B691='Use at Shop'!$B$4),K691*10000000000+(MAX(0,MIN(26,CODE(MID(UPPER(A691)&amp;"    ",1,1))-64))*19683+MAX(0,MIN(26,CODE(MID(UPPER(A691)&amp;"    ",2,1))-64))*729+MAX(0,MIN(26,CODE(MID(UPPER(A691)&amp;"    ",3,1))-64))*27+MAX(0,MIN(26,CODE(MID(UPPER(A691)&amp;"    ",4,1))-64))*1)*10000+ROW(),""))</f>
        <v/>
      </c>
      <c r="N691" s="80" t="str">
        <f t="shared" si="6"/>
        <v/>
      </c>
      <c r="O691" s="80" t="str">
        <f t="array" ref="O691">IF(A691="","",IFERROR(INDEX('Deck 2'!$A:$Z,ROW()-500,'List Setup'!$J$4)&amp;"",""))</f>
        <v/>
      </c>
      <c r="P691" s="2"/>
      <c r="Q691" s="80" t="str">
        <f>IF(A691="","",'List Setup'!$A$4)</f>
        <v/>
      </c>
      <c r="R691" s="80" t="str">
        <f t="array" ref="R691">IF(A691="","",IFERROR(OR(INDEX(Binders!$J$6:$J$30,MATCH(Q691,Binders!$I$6:$I$30,0))=TRUE(),UPPER(INDEX(Binders!$J$6:$J$30,MATCH(Q691,Binders!$I$6:$I$30,0))&amp;"")="TRUE"),FALSE()))</f>
        <v/>
      </c>
    </row>
    <row r="692" ht="15.75" customHeight="1">
      <c r="A692" s="80" t="str">
        <f t="array" ref="A692">IF(INDEX('Deck 2'!$A:$Z,ROW()-500,'List Setup'!$D$4)="","",INDEX('Deck 2'!$A:$Z,ROW()-500,'List Setup'!$D$4))</f>
        <v/>
      </c>
      <c r="B692" s="80" t="str">
        <f t="array" ref="B692">IF(A692="","",IFERROR(INDEX('Binder Setup'!$B$2:$B$401,MIN(IF(ISNUMBER(SEARCH(CHAR(10)&amp;'Binder Setup'!$B$2:$B$401&amp;CHAR(10),$H692)),'List Setup'!$Q$2:$Q$401,999),IF(ISNUMBER(SEARCH(CHAR(10)&amp;'Set Aliases'!$A$2:$A$501&amp;CHAR(10),$H692)),'Set Aliases'!$C$2:$C$501,999))),"(none)"))</f>
        <v/>
      </c>
      <c r="C692" s="80" t="str">
        <f t="shared" si="1"/>
        <v/>
      </c>
      <c r="D692" s="80" t="str">
        <f t="array" ref="D692">IF(A692="","",IF(ISLOGICAL(INDEX('Deck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92" s="80" t="str">
        <f t="shared" si="2"/>
        <v/>
      </c>
      <c r="F692" s="80" t="str">
        <f t="array" ref="F692">IF(A692="","",IF(ISNUMBER(J692),J692,IF(ISNUMBER(INDEX('Deck 2'!$A:$Z,ROW()-500,'List Setup'!$F$4)),INDEX('Deck 2'!$A:$Z,ROW()-500,'List Setup'!$F$4),0)))</f>
        <v/>
      </c>
      <c r="G692" s="80" t="str">
        <f t="array" ref="G692">IF(A692="","",A692&amp;IF(N(INDEX('Deck 2'!$A:$Z,ROW()-500,'List Setup'!$C$4))&gt;1," (x"&amp;INDEX('Deck 2'!$A:$Z,ROW()-500,'List Setup'!$C$4)&amp;")","")&amp;IF(COUNTIF(Binders!$J$6:$J$30,TRUE())&gt;1," ["&amp;Q692&amp;"]",""))</f>
        <v/>
      </c>
      <c r="H692" s="80" t="str">
        <f t="array" ref="H692">IF(A692="","",CHAR(10)&amp;INDEX('Deck 2'!$A:$Z,ROW()-500,'List Setup'!$E$4)&amp;CHAR(10))</f>
        <v/>
      </c>
      <c r="I692" s="80" t="str">
        <f t="array" ref="I692">IF(OR(B692="",B692="(none)"),"",IF(ISNUMBER(SEARCH(CHAR(10)&amp;B692&amp;CHAR(10),H692)),B692,IFERROR(INDEX('Set Aliases'!$A$2:$A$501,MATCH(1,('Set Aliases'!$B$2:$B$501=B692)*ISNUMBER(SEARCH(CHAR(10)&amp;'Set Aliases'!$A$2:$A$501&amp;CHAR(10),H692)),0)),"")))</f>
        <v/>
      </c>
      <c r="J692" s="80" t="str">
        <f t="array" ref="J692">IF(I692="","",IFERROR(VALUE(TRIM(MID(SUBSTITUTE(INDEX('Deck 2'!$A:$Z,ROW()-500,'List Setup'!$G$4),CHAR(10),REPT(" ",100)),((SEARCH(CHAR(10)&amp;I692&amp;CHAR(10),H692)-LEN(SUBSTITUTE(LEFT(H692,SEARCH(CHAR(10)&amp;I692&amp;CHAR(10),H692)),CHAR(10),"")))-1)*100+1,100))),""))</f>
        <v/>
      </c>
      <c r="K692" s="80" t="str">
        <f t="array" ref="K692">IF(A692="","",IF(ISNUMBER(SEARCH("Land",LEFT(IFERROR(INDEX('Deck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92" s="80" t="str">
        <f t="shared" si="3"/>
        <v/>
      </c>
      <c r="M692" s="80" t="str">
        <f>IF(A692="","",IF(AND(E692="Y",B692='Use at Shop'!$B$4),K692*10000000000+(MAX(0,MIN(26,CODE(MID(UPPER(A692)&amp;"    ",1,1))-64))*19683+MAX(0,MIN(26,CODE(MID(UPPER(A692)&amp;"    ",2,1))-64))*729+MAX(0,MIN(26,CODE(MID(UPPER(A692)&amp;"    ",3,1))-64))*27+MAX(0,MIN(26,CODE(MID(UPPER(A692)&amp;"    ",4,1))-64))*1)*10000+ROW(),""))</f>
        <v/>
      </c>
      <c r="N692" s="80" t="str">
        <f t="shared" si="6"/>
        <v/>
      </c>
      <c r="O692" s="80" t="str">
        <f t="array" ref="O692">IF(A692="","",IFERROR(INDEX('Deck 2'!$A:$Z,ROW()-500,'List Setup'!$J$4)&amp;"",""))</f>
        <v/>
      </c>
      <c r="P692" s="2"/>
      <c r="Q692" s="80" t="str">
        <f>IF(A692="","",'List Setup'!$A$4)</f>
        <v/>
      </c>
      <c r="R692" s="80" t="str">
        <f t="array" ref="R692">IF(A692="","",IFERROR(OR(INDEX(Binders!$J$6:$J$30,MATCH(Q692,Binders!$I$6:$I$30,0))=TRUE(),UPPER(INDEX(Binders!$J$6:$J$30,MATCH(Q692,Binders!$I$6:$I$30,0))&amp;"")="TRUE"),FALSE()))</f>
        <v/>
      </c>
    </row>
    <row r="693" ht="15.75" customHeight="1">
      <c r="A693" s="80" t="str">
        <f t="array" ref="A693">IF(INDEX('Deck 2'!$A:$Z,ROW()-500,'List Setup'!$D$4)="","",INDEX('Deck 2'!$A:$Z,ROW()-500,'List Setup'!$D$4))</f>
        <v/>
      </c>
      <c r="B693" s="80" t="str">
        <f t="array" ref="B693">IF(A693="","",IFERROR(INDEX('Binder Setup'!$B$2:$B$401,MIN(IF(ISNUMBER(SEARCH(CHAR(10)&amp;'Binder Setup'!$B$2:$B$401&amp;CHAR(10),$H693)),'List Setup'!$Q$2:$Q$401,999),IF(ISNUMBER(SEARCH(CHAR(10)&amp;'Set Aliases'!$A$2:$A$501&amp;CHAR(10),$H693)),'Set Aliases'!$C$2:$C$501,999))),"(none)"))</f>
        <v/>
      </c>
      <c r="C693" s="80" t="str">
        <f t="shared" si="1"/>
        <v/>
      </c>
      <c r="D693" s="80" t="str">
        <f t="array" ref="D693">IF(A693="","",IF(ISLOGICAL(INDEX('Deck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93" s="80" t="str">
        <f t="shared" si="2"/>
        <v/>
      </c>
      <c r="F693" s="80" t="str">
        <f t="array" ref="F693">IF(A693="","",IF(ISNUMBER(J693),J693,IF(ISNUMBER(INDEX('Deck 2'!$A:$Z,ROW()-500,'List Setup'!$F$4)),INDEX('Deck 2'!$A:$Z,ROW()-500,'List Setup'!$F$4),0)))</f>
        <v/>
      </c>
      <c r="G693" s="80" t="str">
        <f t="array" ref="G693">IF(A693="","",A693&amp;IF(N(INDEX('Deck 2'!$A:$Z,ROW()-500,'List Setup'!$C$4))&gt;1," (x"&amp;INDEX('Deck 2'!$A:$Z,ROW()-500,'List Setup'!$C$4)&amp;")","")&amp;IF(COUNTIF(Binders!$J$6:$J$30,TRUE())&gt;1," ["&amp;Q693&amp;"]",""))</f>
        <v/>
      </c>
      <c r="H693" s="80" t="str">
        <f t="array" ref="H693">IF(A693="","",CHAR(10)&amp;INDEX('Deck 2'!$A:$Z,ROW()-500,'List Setup'!$E$4)&amp;CHAR(10))</f>
        <v/>
      </c>
      <c r="I693" s="80" t="str">
        <f t="array" ref="I693">IF(OR(B693="",B693="(none)"),"",IF(ISNUMBER(SEARCH(CHAR(10)&amp;B693&amp;CHAR(10),H693)),B693,IFERROR(INDEX('Set Aliases'!$A$2:$A$501,MATCH(1,('Set Aliases'!$B$2:$B$501=B693)*ISNUMBER(SEARCH(CHAR(10)&amp;'Set Aliases'!$A$2:$A$501&amp;CHAR(10),H693)),0)),"")))</f>
        <v/>
      </c>
      <c r="J693" s="80" t="str">
        <f t="array" ref="J693">IF(I693="","",IFERROR(VALUE(TRIM(MID(SUBSTITUTE(INDEX('Deck 2'!$A:$Z,ROW()-500,'List Setup'!$G$4),CHAR(10),REPT(" ",100)),((SEARCH(CHAR(10)&amp;I693&amp;CHAR(10),H693)-LEN(SUBSTITUTE(LEFT(H693,SEARCH(CHAR(10)&amp;I693&amp;CHAR(10),H693)),CHAR(10),"")))-1)*100+1,100))),""))</f>
        <v/>
      </c>
      <c r="K693" s="80" t="str">
        <f t="array" ref="K693">IF(A693="","",IF(ISNUMBER(SEARCH("Land",LEFT(IFERROR(INDEX('Deck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93" s="80" t="str">
        <f t="shared" si="3"/>
        <v/>
      </c>
      <c r="M693" s="80" t="str">
        <f>IF(A693="","",IF(AND(E693="Y",B693='Use at Shop'!$B$4),K693*10000000000+(MAX(0,MIN(26,CODE(MID(UPPER(A693)&amp;"    ",1,1))-64))*19683+MAX(0,MIN(26,CODE(MID(UPPER(A693)&amp;"    ",2,1))-64))*729+MAX(0,MIN(26,CODE(MID(UPPER(A693)&amp;"    ",3,1))-64))*27+MAX(0,MIN(26,CODE(MID(UPPER(A693)&amp;"    ",4,1))-64))*1)*10000+ROW(),""))</f>
        <v/>
      </c>
      <c r="N693" s="80" t="str">
        <f t="shared" si="6"/>
        <v/>
      </c>
      <c r="O693" s="80" t="str">
        <f t="array" ref="O693">IF(A693="","",IFERROR(INDEX('Deck 2'!$A:$Z,ROW()-500,'List Setup'!$J$4)&amp;"",""))</f>
        <v/>
      </c>
      <c r="P693" s="2"/>
      <c r="Q693" s="80" t="str">
        <f>IF(A693="","",'List Setup'!$A$4)</f>
        <v/>
      </c>
      <c r="R693" s="80" t="str">
        <f t="array" ref="R693">IF(A693="","",IFERROR(OR(INDEX(Binders!$J$6:$J$30,MATCH(Q693,Binders!$I$6:$I$30,0))=TRUE(),UPPER(INDEX(Binders!$J$6:$J$30,MATCH(Q693,Binders!$I$6:$I$30,0))&amp;"")="TRUE"),FALSE()))</f>
        <v/>
      </c>
    </row>
    <row r="694" ht="15.75" customHeight="1">
      <c r="A694" s="80" t="str">
        <f t="array" ref="A694">IF(INDEX('Deck 2'!$A:$Z,ROW()-500,'List Setup'!$D$4)="","",INDEX('Deck 2'!$A:$Z,ROW()-500,'List Setup'!$D$4))</f>
        <v/>
      </c>
      <c r="B694" s="80" t="str">
        <f t="array" ref="B694">IF(A694="","",IFERROR(INDEX('Binder Setup'!$B$2:$B$401,MIN(IF(ISNUMBER(SEARCH(CHAR(10)&amp;'Binder Setup'!$B$2:$B$401&amp;CHAR(10),$H694)),'List Setup'!$Q$2:$Q$401,999),IF(ISNUMBER(SEARCH(CHAR(10)&amp;'Set Aliases'!$A$2:$A$501&amp;CHAR(10),$H694)),'Set Aliases'!$C$2:$C$501,999))),"(none)"))</f>
        <v/>
      </c>
      <c r="C694" s="80" t="str">
        <f t="shared" si="1"/>
        <v/>
      </c>
      <c r="D694" s="80" t="str">
        <f t="array" ref="D694">IF(A694="","",IF(ISLOGICAL(INDEX('Deck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94" s="80" t="str">
        <f t="shared" si="2"/>
        <v/>
      </c>
      <c r="F694" s="80" t="str">
        <f t="array" ref="F694">IF(A694="","",IF(ISNUMBER(J694),J694,IF(ISNUMBER(INDEX('Deck 2'!$A:$Z,ROW()-500,'List Setup'!$F$4)),INDEX('Deck 2'!$A:$Z,ROW()-500,'List Setup'!$F$4),0)))</f>
        <v/>
      </c>
      <c r="G694" s="80" t="str">
        <f t="array" ref="G694">IF(A694="","",A694&amp;IF(N(INDEX('Deck 2'!$A:$Z,ROW()-500,'List Setup'!$C$4))&gt;1," (x"&amp;INDEX('Deck 2'!$A:$Z,ROW()-500,'List Setup'!$C$4)&amp;")","")&amp;IF(COUNTIF(Binders!$J$6:$J$30,TRUE())&gt;1," ["&amp;Q694&amp;"]",""))</f>
        <v/>
      </c>
      <c r="H694" s="80" t="str">
        <f t="array" ref="H694">IF(A694="","",CHAR(10)&amp;INDEX('Deck 2'!$A:$Z,ROW()-500,'List Setup'!$E$4)&amp;CHAR(10))</f>
        <v/>
      </c>
      <c r="I694" s="80" t="str">
        <f t="array" ref="I694">IF(OR(B694="",B694="(none)"),"",IF(ISNUMBER(SEARCH(CHAR(10)&amp;B694&amp;CHAR(10),H694)),B694,IFERROR(INDEX('Set Aliases'!$A$2:$A$501,MATCH(1,('Set Aliases'!$B$2:$B$501=B694)*ISNUMBER(SEARCH(CHAR(10)&amp;'Set Aliases'!$A$2:$A$501&amp;CHAR(10),H694)),0)),"")))</f>
        <v/>
      </c>
      <c r="J694" s="80" t="str">
        <f t="array" ref="J694">IF(I694="","",IFERROR(VALUE(TRIM(MID(SUBSTITUTE(INDEX('Deck 2'!$A:$Z,ROW()-500,'List Setup'!$G$4),CHAR(10),REPT(" ",100)),((SEARCH(CHAR(10)&amp;I694&amp;CHAR(10),H694)-LEN(SUBSTITUTE(LEFT(H694,SEARCH(CHAR(10)&amp;I694&amp;CHAR(10),H694)),CHAR(10),"")))-1)*100+1,100))),""))</f>
        <v/>
      </c>
      <c r="K694" s="80" t="str">
        <f t="array" ref="K694">IF(A694="","",IF(ISNUMBER(SEARCH("Land",LEFT(IFERROR(INDEX('Deck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94" s="80" t="str">
        <f t="shared" si="3"/>
        <v/>
      </c>
      <c r="M694" s="80" t="str">
        <f>IF(A694="","",IF(AND(E694="Y",B694='Use at Shop'!$B$4),K694*10000000000+(MAX(0,MIN(26,CODE(MID(UPPER(A694)&amp;"    ",1,1))-64))*19683+MAX(0,MIN(26,CODE(MID(UPPER(A694)&amp;"    ",2,1))-64))*729+MAX(0,MIN(26,CODE(MID(UPPER(A694)&amp;"    ",3,1))-64))*27+MAX(0,MIN(26,CODE(MID(UPPER(A694)&amp;"    ",4,1))-64))*1)*10000+ROW(),""))</f>
        <v/>
      </c>
      <c r="N694" s="80" t="str">
        <f t="shared" si="6"/>
        <v/>
      </c>
      <c r="O694" s="80" t="str">
        <f t="array" ref="O694">IF(A694="","",IFERROR(INDEX('Deck 2'!$A:$Z,ROW()-500,'List Setup'!$J$4)&amp;"",""))</f>
        <v/>
      </c>
      <c r="P694" s="2"/>
      <c r="Q694" s="80" t="str">
        <f>IF(A694="","",'List Setup'!$A$4)</f>
        <v/>
      </c>
      <c r="R694" s="80" t="str">
        <f t="array" ref="R694">IF(A694="","",IFERROR(OR(INDEX(Binders!$J$6:$J$30,MATCH(Q694,Binders!$I$6:$I$30,0))=TRUE(),UPPER(INDEX(Binders!$J$6:$J$30,MATCH(Q694,Binders!$I$6:$I$30,0))&amp;"")="TRUE"),FALSE()))</f>
        <v/>
      </c>
    </row>
    <row r="695" ht="15.75" customHeight="1">
      <c r="A695" s="80" t="str">
        <f t="array" ref="A695">IF(INDEX('Deck 2'!$A:$Z,ROW()-500,'List Setup'!$D$4)="","",INDEX('Deck 2'!$A:$Z,ROW()-500,'List Setup'!$D$4))</f>
        <v/>
      </c>
      <c r="B695" s="80" t="str">
        <f t="array" ref="B695">IF(A695="","",IFERROR(INDEX('Binder Setup'!$B$2:$B$401,MIN(IF(ISNUMBER(SEARCH(CHAR(10)&amp;'Binder Setup'!$B$2:$B$401&amp;CHAR(10),$H695)),'List Setup'!$Q$2:$Q$401,999),IF(ISNUMBER(SEARCH(CHAR(10)&amp;'Set Aliases'!$A$2:$A$501&amp;CHAR(10),$H695)),'Set Aliases'!$C$2:$C$501,999))),"(none)"))</f>
        <v/>
      </c>
      <c r="C695" s="80" t="str">
        <f t="shared" si="1"/>
        <v/>
      </c>
      <c r="D695" s="80" t="str">
        <f t="array" ref="D695">IF(A695="","",IF(ISLOGICAL(INDEX('Deck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95" s="80" t="str">
        <f t="shared" si="2"/>
        <v/>
      </c>
      <c r="F695" s="80" t="str">
        <f t="array" ref="F695">IF(A695="","",IF(ISNUMBER(J695),J695,IF(ISNUMBER(INDEX('Deck 2'!$A:$Z,ROW()-500,'List Setup'!$F$4)),INDEX('Deck 2'!$A:$Z,ROW()-500,'List Setup'!$F$4),0)))</f>
        <v/>
      </c>
      <c r="G695" s="80" t="str">
        <f t="array" ref="G695">IF(A695="","",A695&amp;IF(N(INDEX('Deck 2'!$A:$Z,ROW()-500,'List Setup'!$C$4))&gt;1," (x"&amp;INDEX('Deck 2'!$A:$Z,ROW()-500,'List Setup'!$C$4)&amp;")","")&amp;IF(COUNTIF(Binders!$J$6:$J$30,TRUE())&gt;1," ["&amp;Q695&amp;"]",""))</f>
        <v/>
      </c>
      <c r="H695" s="80" t="str">
        <f t="array" ref="H695">IF(A695="","",CHAR(10)&amp;INDEX('Deck 2'!$A:$Z,ROW()-500,'List Setup'!$E$4)&amp;CHAR(10))</f>
        <v/>
      </c>
      <c r="I695" s="80" t="str">
        <f t="array" ref="I695">IF(OR(B695="",B695="(none)"),"",IF(ISNUMBER(SEARCH(CHAR(10)&amp;B695&amp;CHAR(10),H695)),B695,IFERROR(INDEX('Set Aliases'!$A$2:$A$501,MATCH(1,('Set Aliases'!$B$2:$B$501=B695)*ISNUMBER(SEARCH(CHAR(10)&amp;'Set Aliases'!$A$2:$A$501&amp;CHAR(10),H695)),0)),"")))</f>
        <v/>
      </c>
      <c r="J695" s="80" t="str">
        <f t="array" ref="J695">IF(I695="","",IFERROR(VALUE(TRIM(MID(SUBSTITUTE(INDEX('Deck 2'!$A:$Z,ROW()-500,'List Setup'!$G$4),CHAR(10),REPT(" ",100)),((SEARCH(CHAR(10)&amp;I695&amp;CHAR(10),H695)-LEN(SUBSTITUTE(LEFT(H695,SEARCH(CHAR(10)&amp;I695&amp;CHAR(10),H695)),CHAR(10),"")))-1)*100+1,100))),""))</f>
        <v/>
      </c>
      <c r="K695" s="80" t="str">
        <f t="array" ref="K695">IF(A695="","",IF(ISNUMBER(SEARCH("Land",LEFT(IFERROR(INDEX('Deck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95" s="80" t="str">
        <f t="shared" si="3"/>
        <v/>
      </c>
      <c r="M695" s="80" t="str">
        <f>IF(A695="","",IF(AND(E695="Y",B695='Use at Shop'!$B$4),K695*10000000000+(MAX(0,MIN(26,CODE(MID(UPPER(A695)&amp;"    ",1,1))-64))*19683+MAX(0,MIN(26,CODE(MID(UPPER(A695)&amp;"    ",2,1))-64))*729+MAX(0,MIN(26,CODE(MID(UPPER(A695)&amp;"    ",3,1))-64))*27+MAX(0,MIN(26,CODE(MID(UPPER(A695)&amp;"    ",4,1))-64))*1)*10000+ROW(),""))</f>
        <v/>
      </c>
      <c r="N695" s="80" t="str">
        <f t="shared" si="6"/>
        <v/>
      </c>
      <c r="O695" s="80" t="str">
        <f t="array" ref="O695">IF(A695="","",IFERROR(INDEX('Deck 2'!$A:$Z,ROW()-500,'List Setup'!$J$4)&amp;"",""))</f>
        <v/>
      </c>
      <c r="P695" s="2"/>
      <c r="Q695" s="80" t="str">
        <f>IF(A695="","",'List Setup'!$A$4)</f>
        <v/>
      </c>
      <c r="R695" s="80" t="str">
        <f t="array" ref="R695">IF(A695="","",IFERROR(OR(INDEX(Binders!$J$6:$J$30,MATCH(Q695,Binders!$I$6:$I$30,0))=TRUE(),UPPER(INDEX(Binders!$J$6:$J$30,MATCH(Q695,Binders!$I$6:$I$30,0))&amp;"")="TRUE"),FALSE()))</f>
        <v/>
      </c>
    </row>
    <row r="696" ht="15.75" customHeight="1">
      <c r="A696" s="80" t="str">
        <f t="array" ref="A696">IF(INDEX('Deck 2'!$A:$Z,ROW()-500,'List Setup'!$D$4)="","",INDEX('Deck 2'!$A:$Z,ROW()-500,'List Setup'!$D$4))</f>
        <v/>
      </c>
      <c r="B696" s="80" t="str">
        <f t="array" ref="B696">IF(A696="","",IFERROR(INDEX('Binder Setup'!$B$2:$B$401,MIN(IF(ISNUMBER(SEARCH(CHAR(10)&amp;'Binder Setup'!$B$2:$B$401&amp;CHAR(10),$H696)),'List Setup'!$Q$2:$Q$401,999),IF(ISNUMBER(SEARCH(CHAR(10)&amp;'Set Aliases'!$A$2:$A$501&amp;CHAR(10),$H696)),'Set Aliases'!$C$2:$C$501,999))),"(none)"))</f>
        <v/>
      </c>
      <c r="C696" s="80" t="str">
        <f t="shared" si="1"/>
        <v/>
      </c>
      <c r="D696" s="80" t="str">
        <f t="array" ref="D696">IF(A696="","",IF(ISLOGICAL(INDEX('Deck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96" s="80" t="str">
        <f t="shared" si="2"/>
        <v/>
      </c>
      <c r="F696" s="80" t="str">
        <f t="array" ref="F696">IF(A696="","",IF(ISNUMBER(J696),J696,IF(ISNUMBER(INDEX('Deck 2'!$A:$Z,ROW()-500,'List Setup'!$F$4)),INDEX('Deck 2'!$A:$Z,ROW()-500,'List Setup'!$F$4),0)))</f>
        <v/>
      </c>
      <c r="G696" s="80" t="str">
        <f t="array" ref="G696">IF(A696="","",A696&amp;IF(N(INDEX('Deck 2'!$A:$Z,ROW()-500,'List Setup'!$C$4))&gt;1," (x"&amp;INDEX('Deck 2'!$A:$Z,ROW()-500,'List Setup'!$C$4)&amp;")","")&amp;IF(COUNTIF(Binders!$J$6:$J$30,TRUE())&gt;1," ["&amp;Q696&amp;"]",""))</f>
        <v/>
      </c>
      <c r="H696" s="80" t="str">
        <f t="array" ref="H696">IF(A696="","",CHAR(10)&amp;INDEX('Deck 2'!$A:$Z,ROW()-500,'List Setup'!$E$4)&amp;CHAR(10))</f>
        <v/>
      </c>
      <c r="I696" s="80" t="str">
        <f t="array" ref="I696">IF(OR(B696="",B696="(none)"),"",IF(ISNUMBER(SEARCH(CHAR(10)&amp;B696&amp;CHAR(10),H696)),B696,IFERROR(INDEX('Set Aliases'!$A$2:$A$501,MATCH(1,('Set Aliases'!$B$2:$B$501=B696)*ISNUMBER(SEARCH(CHAR(10)&amp;'Set Aliases'!$A$2:$A$501&amp;CHAR(10),H696)),0)),"")))</f>
        <v/>
      </c>
      <c r="J696" s="80" t="str">
        <f t="array" ref="J696">IF(I696="","",IFERROR(VALUE(TRIM(MID(SUBSTITUTE(INDEX('Deck 2'!$A:$Z,ROW()-500,'List Setup'!$G$4),CHAR(10),REPT(" ",100)),((SEARCH(CHAR(10)&amp;I696&amp;CHAR(10),H696)-LEN(SUBSTITUTE(LEFT(H696,SEARCH(CHAR(10)&amp;I696&amp;CHAR(10),H696)),CHAR(10),"")))-1)*100+1,100))),""))</f>
        <v/>
      </c>
      <c r="K696" s="80" t="str">
        <f t="array" ref="K696">IF(A696="","",IF(ISNUMBER(SEARCH("Land",LEFT(IFERROR(INDEX('Deck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96" s="80" t="str">
        <f t="shared" si="3"/>
        <v/>
      </c>
      <c r="M696" s="80" t="str">
        <f>IF(A696="","",IF(AND(E696="Y",B696='Use at Shop'!$B$4),K696*10000000000+(MAX(0,MIN(26,CODE(MID(UPPER(A696)&amp;"    ",1,1))-64))*19683+MAX(0,MIN(26,CODE(MID(UPPER(A696)&amp;"    ",2,1))-64))*729+MAX(0,MIN(26,CODE(MID(UPPER(A696)&amp;"    ",3,1))-64))*27+MAX(0,MIN(26,CODE(MID(UPPER(A696)&amp;"    ",4,1))-64))*1)*10000+ROW(),""))</f>
        <v/>
      </c>
      <c r="N696" s="80" t="str">
        <f t="shared" si="6"/>
        <v/>
      </c>
      <c r="O696" s="80" t="str">
        <f t="array" ref="O696">IF(A696="","",IFERROR(INDEX('Deck 2'!$A:$Z,ROW()-500,'List Setup'!$J$4)&amp;"",""))</f>
        <v/>
      </c>
      <c r="P696" s="2"/>
      <c r="Q696" s="80" t="str">
        <f>IF(A696="","",'List Setup'!$A$4)</f>
        <v/>
      </c>
      <c r="R696" s="80" t="str">
        <f t="array" ref="R696">IF(A696="","",IFERROR(OR(INDEX(Binders!$J$6:$J$30,MATCH(Q696,Binders!$I$6:$I$30,0))=TRUE(),UPPER(INDEX(Binders!$J$6:$J$30,MATCH(Q696,Binders!$I$6:$I$30,0))&amp;"")="TRUE"),FALSE()))</f>
        <v/>
      </c>
    </row>
    <row r="697" ht="15.75" customHeight="1">
      <c r="A697" s="80" t="str">
        <f t="array" ref="A697">IF(INDEX('Deck 2'!$A:$Z,ROW()-500,'List Setup'!$D$4)="","",INDEX('Deck 2'!$A:$Z,ROW()-500,'List Setup'!$D$4))</f>
        <v/>
      </c>
      <c r="B697" s="80" t="str">
        <f t="array" ref="B697">IF(A697="","",IFERROR(INDEX('Binder Setup'!$B$2:$B$401,MIN(IF(ISNUMBER(SEARCH(CHAR(10)&amp;'Binder Setup'!$B$2:$B$401&amp;CHAR(10),$H697)),'List Setup'!$Q$2:$Q$401,999),IF(ISNUMBER(SEARCH(CHAR(10)&amp;'Set Aliases'!$A$2:$A$501&amp;CHAR(10),$H697)),'Set Aliases'!$C$2:$C$501,999))),"(none)"))</f>
        <v/>
      </c>
      <c r="C697" s="80" t="str">
        <f t="shared" si="1"/>
        <v/>
      </c>
      <c r="D697" s="80" t="str">
        <f t="array" ref="D697">IF(A697="","",IF(ISLOGICAL(INDEX('Deck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97" s="80" t="str">
        <f t="shared" si="2"/>
        <v/>
      </c>
      <c r="F697" s="80" t="str">
        <f t="array" ref="F697">IF(A697="","",IF(ISNUMBER(J697),J697,IF(ISNUMBER(INDEX('Deck 2'!$A:$Z,ROW()-500,'List Setup'!$F$4)),INDEX('Deck 2'!$A:$Z,ROW()-500,'List Setup'!$F$4),0)))</f>
        <v/>
      </c>
      <c r="G697" s="80" t="str">
        <f t="array" ref="G697">IF(A697="","",A697&amp;IF(N(INDEX('Deck 2'!$A:$Z,ROW()-500,'List Setup'!$C$4))&gt;1," (x"&amp;INDEX('Deck 2'!$A:$Z,ROW()-500,'List Setup'!$C$4)&amp;")","")&amp;IF(COUNTIF(Binders!$J$6:$J$30,TRUE())&gt;1," ["&amp;Q697&amp;"]",""))</f>
        <v/>
      </c>
      <c r="H697" s="80" t="str">
        <f t="array" ref="H697">IF(A697="","",CHAR(10)&amp;INDEX('Deck 2'!$A:$Z,ROW()-500,'List Setup'!$E$4)&amp;CHAR(10))</f>
        <v/>
      </c>
      <c r="I697" s="80" t="str">
        <f t="array" ref="I697">IF(OR(B697="",B697="(none)"),"",IF(ISNUMBER(SEARCH(CHAR(10)&amp;B697&amp;CHAR(10),H697)),B697,IFERROR(INDEX('Set Aliases'!$A$2:$A$501,MATCH(1,('Set Aliases'!$B$2:$B$501=B697)*ISNUMBER(SEARCH(CHAR(10)&amp;'Set Aliases'!$A$2:$A$501&amp;CHAR(10),H697)),0)),"")))</f>
        <v/>
      </c>
      <c r="J697" s="80" t="str">
        <f t="array" ref="J697">IF(I697="","",IFERROR(VALUE(TRIM(MID(SUBSTITUTE(INDEX('Deck 2'!$A:$Z,ROW()-500,'List Setup'!$G$4),CHAR(10),REPT(" ",100)),((SEARCH(CHAR(10)&amp;I697&amp;CHAR(10),H697)-LEN(SUBSTITUTE(LEFT(H697,SEARCH(CHAR(10)&amp;I697&amp;CHAR(10),H697)),CHAR(10),"")))-1)*100+1,100))),""))</f>
        <v/>
      </c>
      <c r="K697" s="80" t="str">
        <f t="array" ref="K697">IF(A697="","",IF(ISNUMBER(SEARCH("Land",LEFT(IFERROR(INDEX('Deck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97" s="80" t="str">
        <f t="shared" si="3"/>
        <v/>
      </c>
      <c r="M697" s="80" t="str">
        <f>IF(A697="","",IF(AND(E697="Y",B697='Use at Shop'!$B$4),K697*10000000000+(MAX(0,MIN(26,CODE(MID(UPPER(A697)&amp;"    ",1,1))-64))*19683+MAX(0,MIN(26,CODE(MID(UPPER(A697)&amp;"    ",2,1))-64))*729+MAX(0,MIN(26,CODE(MID(UPPER(A697)&amp;"    ",3,1))-64))*27+MAX(0,MIN(26,CODE(MID(UPPER(A697)&amp;"    ",4,1))-64))*1)*10000+ROW(),""))</f>
        <v/>
      </c>
      <c r="N697" s="80" t="str">
        <f t="shared" si="6"/>
        <v/>
      </c>
      <c r="O697" s="80" t="str">
        <f t="array" ref="O697">IF(A697="","",IFERROR(INDEX('Deck 2'!$A:$Z,ROW()-500,'List Setup'!$J$4)&amp;"",""))</f>
        <v/>
      </c>
      <c r="P697" s="2"/>
      <c r="Q697" s="80" t="str">
        <f>IF(A697="","",'List Setup'!$A$4)</f>
        <v/>
      </c>
      <c r="R697" s="80" t="str">
        <f t="array" ref="R697">IF(A697="","",IFERROR(OR(INDEX(Binders!$J$6:$J$30,MATCH(Q697,Binders!$I$6:$I$30,0))=TRUE(),UPPER(INDEX(Binders!$J$6:$J$30,MATCH(Q697,Binders!$I$6:$I$30,0))&amp;"")="TRUE"),FALSE()))</f>
        <v/>
      </c>
    </row>
    <row r="698" ht="15.75" customHeight="1">
      <c r="A698" s="80" t="str">
        <f t="array" ref="A698">IF(INDEX('Deck 2'!$A:$Z,ROW()-500,'List Setup'!$D$4)="","",INDEX('Deck 2'!$A:$Z,ROW()-500,'List Setup'!$D$4))</f>
        <v/>
      </c>
      <c r="B698" s="80" t="str">
        <f t="array" ref="B698">IF(A698="","",IFERROR(INDEX('Binder Setup'!$B$2:$B$401,MIN(IF(ISNUMBER(SEARCH(CHAR(10)&amp;'Binder Setup'!$B$2:$B$401&amp;CHAR(10),$H698)),'List Setup'!$Q$2:$Q$401,999),IF(ISNUMBER(SEARCH(CHAR(10)&amp;'Set Aliases'!$A$2:$A$501&amp;CHAR(10),$H698)),'Set Aliases'!$C$2:$C$501,999))),"(none)"))</f>
        <v/>
      </c>
      <c r="C698" s="80" t="str">
        <f t="shared" si="1"/>
        <v/>
      </c>
      <c r="D698" s="80" t="str">
        <f t="array" ref="D698">IF(A698="","",IF(ISLOGICAL(INDEX('Deck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98" s="80" t="str">
        <f t="shared" si="2"/>
        <v/>
      </c>
      <c r="F698" s="80" t="str">
        <f t="array" ref="F698">IF(A698="","",IF(ISNUMBER(J698),J698,IF(ISNUMBER(INDEX('Deck 2'!$A:$Z,ROW()-500,'List Setup'!$F$4)),INDEX('Deck 2'!$A:$Z,ROW()-500,'List Setup'!$F$4),0)))</f>
        <v/>
      </c>
      <c r="G698" s="80" t="str">
        <f t="array" ref="G698">IF(A698="","",A698&amp;IF(N(INDEX('Deck 2'!$A:$Z,ROW()-500,'List Setup'!$C$4))&gt;1," (x"&amp;INDEX('Deck 2'!$A:$Z,ROW()-500,'List Setup'!$C$4)&amp;")","")&amp;IF(COUNTIF(Binders!$J$6:$J$30,TRUE())&gt;1," ["&amp;Q698&amp;"]",""))</f>
        <v/>
      </c>
      <c r="H698" s="80" t="str">
        <f t="array" ref="H698">IF(A698="","",CHAR(10)&amp;INDEX('Deck 2'!$A:$Z,ROW()-500,'List Setup'!$E$4)&amp;CHAR(10))</f>
        <v/>
      </c>
      <c r="I698" s="80" t="str">
        <f t="array" ref="I698">IF(OR(B698="",B698="(none)"),"",IF(ISNUMBER(SEARCH(CHAR(10)&amp;B698&amp;CHAR(10),H698)),B698,IFERROR(INDEX('Set Aliases'!$A$2:$A$501,MATCH(1,('Set Aliases'!$B$2:$B$501=B698)*ISNUMBER(SEARCH(CHAR(10)&amp;'Set Aliases'!$A$2:$A$501&amp;CHAR(10),H698)),0)),"")))</f>
        <v/>
      </c>
      <c r="J698" s="80" t="str">
        <f t="array" ref="J698">IF(I698="","",IFERROR(VALUE(TRIM(MID(SUBSTITUTE(INDEX('Deck 2'!$A:$Z,ROW()-500,'List Setup'!$G$4),CHAR(10),REPT(" ",100)),((SEARCH(CHAR(10)&amp;I698&amp;CHAR(10),H698)-LEN(SUBSTITUTE(LEFT(H698,SEARCH(CHAR(10)&amp;I698&amp;CHAR(10),H698)),CHAR(10),"")))-1)*100+1,100))),""))</f>
        <v/>
      </c>
      <c r="K698" s="80" t="str">
        <f t="array" ref="K698">IF(A698="","",IF(ISNUMBER(SEARCH("Land",LEFT(IFERROR(INDEX('Deck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98" s="80" t="str">
        <f t="shared" si="3"/>
        <v/>
      </c>
      <c r="M698" s="80" t="str">
        <f>IF(A698="","",IF(AND(E698="Y",B698='Use at Shop'!$B$4),K698*10000000000+(MAX(0,MIN(26,CODE(MID(UPPER(A698)&amp;"    ",1,1))-64))*19683+MAX(0,MIN(26,CODE(MID(UPPER(A698)&amp;"    ",2,1))-64))*729+MAX(0,MIN(26,CODE(MID(UPPER(A698)&amp;"    ",3,1))-64))*27+MAX(0,MIN(26,CODE(MID(UPPER(A698)&amp;"    ",4,1))-64))*1)*10000+ROW(),""))</f>
        <v/>
      </c>
      <c r="N698" s="80" t="str">
        <f t="shared" si="6"/>
        <v/>
      </c>
      <c r="O698" s="80" t="str">
        <f t="array" ref="O698">IF(A698="","",IFERROR(INDEX('Deck 2'!$A:$Z,ROW()-500,'List Setup'!$J$4)&amp;"",""))</f>
        <v/>
      </c>
      <c r="P698" s="2"/>
      <c r="Q698" s="80" t="str">
        <f>IF(A698="","",'List Setup'!$A$4)</f>
        <v/>
      </c>
      <c r="R698" s="80" t="str">
        <f t="array" ref="R698">IF(A698="","",IFERROR(OR(INDEX(Binders!$J$6:$J$30,MATCH(Q698,Binders!$I$6:$I$30,0))=TRUE(),UPPER(INDEX(Binders!$J$6:$J$30,MATCH(Q698,Binders!$I$6:$I$30,0))&amp;"")="TRUE"),FALSE()))</f>
        <v/>
      </c>
    </row>
    <row r="699" ht="15.75" customHeight="1">
      <c r="A699" s="80" t="str">
        <f t="array" ref="A699">IF(INDEX('Deck 2'!$A:$Z,ROW()-500,'List Setup'!$D$4)="","",INDEX('Deck 2'!$A:$Z,ROW()-500,'List Setup'!$D$4))</f>
        <v/>
      </c>
      <c r="B699" s="80" t="str">
        <f t="array" ref="B699">IF(A699="","",IFERROR(INDEX('Binder Setup'!$B$2:$B$401,MIN(IF(ISNUMBER(SEARCH(CHAR(10)&amp;'Binder Setup'!$B$2:$B$401&amp;CHAR(10),$H699)),'List Setup'!$Q$2:$Q$401,999),IF(ISNUMBER(SEARCH(CHAR(10)&amp;'Set Aliases'!$A$2:$A$501&amp;CHAR(10),$H699)),'Set Aliases'!$C$2:$C$501,999))),"(none)"))</f>
        <v/>
      </c>
      <c r="C699" s="80" t="str">
        <f t="shared" si="1"/>
        <v/>
      </c>
      <c r="D699" s="80" t="str">
        <f t="array" ref="D699">IF(A699="","",IF(ISLOGICAL(INDEX('Deck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699" s="80" t="str">
        <f t="shared" si="2"/>
        <v/>
      </c>
      <c r="F699" s="80" t="str">
        <f t="array" ref="F699">IF(A699="","",IF(ISNUMBER(J699),J699,IF(ISNUMBER(INDEX('Deck 2'!$A:$Z,ROW()-500,'List Setup'!$F$4)),INDEX('Deck 2'!$A:$Z,ROW()-500,'List Setup'!$F$4),0)))</f>
        <v/>
      </c>
      <c r="G699" s="80" t="str">
        <f t="array" ref="G699">IF(A699="","",A699&amp;IF(N(INDEX('Deck 2'!$A:$Z,ROW()-500,'List Setup'!$C$4))&gt;1," (x"&amp;INDEX('Deck 2'!$A:$Z,ROW()-500,'List Setup'!$C$4)&amp;")","")&amp;IF(COUNTIF(Binders!$J$6:$J$30,TRUE())&gt;1," ["&amp;Q699&amp;"]",""))</f>
        <v/>
      </c>
      <c r="H699" s="80" t="str">
        <f t="array" ref="H699">IF(A699="","",CHAR(10)&amp;INDEX('Deck 2'!$A:$Z,ROW()-500,'List Setup'!$E$4)&amp;CHAR(10))</f>
        <v/>
      </c>
      <c r="I699" s="80" t="str">
        <f t="array" ref="I699">IF(OR(B699="",B699="(none)"),"",IF(ISNUMBER(SEARCH(CHAR(10)&amp;B699&amp;CHAR(10),H699)),B699,IFERROR(INDEX('Set Aliases'!$A$2:$A$501,MATCH(1,('Set Aliases'!$B$2:$B$501=B699)*ISNUMBER(SEARCH(CHAR(10)&amp;'Set Aliases'!$A$2:$A$501&amp;CHAR(10),H699)),0)),"")))</f>
        <v/>
      </c>
      <c r="J699" s="80" t="str">
        <f t="array" ref="J699">IF(I699="","",IFERROR(VALUE(TRIM(MID(SUBSTITUTE(INDEX('Deck 2'!$A:$Z,ROW()-500,'List Setup'!$G$4),CHAR(10),REPT(" ",100)),((SEARCH(CHAR(10)&amp;I699&amp;CHAR(10),H699)-LEN(SUBSTITUTE(LEFT(H699,SEARCH(CHAR(10)&amp;I699&amp;CHAR(10),H699)),CHAR(10),"")))-1)*100+1,100))),""))</f>
        <v/>
      </c>
      <c r="K699" s="80" t="str">
        <f t="array" ref="K699">IF(A699="","",IF(ISNUMBER(SEARCH("Land",LEFT(IFERROR(INDEX('Deck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699" s="80" t="str">
        <f t="shared" si="3"/>
        <v/>
      </c>
      <c r="M699" s="80" t="str">
        <f>IF(A699="","",IF(AND(E699="Y",B699='Use at Shop'!$B$4),K699*10000000000+(MAX(0,MIN(26,CODE(MID(UPPER(A699)&amp;"    ",1,1))-64))*19683+MAX(0,MIN(26,CODE(MID(UPPER(A699)&amp;"    ",2,1))-64))*729+MAX(0,MIN(26,CODE(MID(UPPER(A699)&amp;"    ",3,1))-64))*27+MAX(0,MIN(26,CODE(MID(UPPER(A699)&amp;"    ",4,1))-64))*1)*10000+ROW(),""))</f>
        <v/>
      </c>
      <c r="N699" s="80" t="str">
        <f t="shared" si="6"/>
        <v/>
      </c>
      <c r="O699" s="80" t="str">
        <f t="array" ref="O699">IF(A699="","",IFERROR(INDEX('Deck 2'!$A:$Z,ROW()-500,'List Setup'!$J$4)&amp;"",""))</f>
        <v/>
      </c>
      <c r="P699" s="2"/>
      <c r="Q699" s="80" t="str">
        <f>IF(A699="","",'List Setup'!$A$4)</f>
        <v/>
      </c>
      <c r="R699" s="80" t="str">
        <f t="array" ref="R699">IF(A699="","",IFERROR(OR(INDEX(Binders!$J$6:$J$30,MATCH(Q699,Binders!$I$6:$I$30,0))=TRUE(),UPPER(INDEX(Binders!$J$6:$J$30,MATCH(Q699,Binders!$I$6:$I$30,0))&amp;"")="TRUE"),FALSE()))</f>
        <v/>
      </c>
    </row>
    <row r="700" ht="15.75" customHeight="1">
      <c r="A700" s="80" t="str">
        <f t="array" ref="A700">IF(INDEX('Deck 2'!$A:$Z,ROW()-500,'List Setup'!$D$4)="","",INDEX('Deck 2'!$A:$Z,ROW()-500,'List Setup'!$D$4))</f>
        <v/>
      </c>
      <c r="B700" s="80" t="str">
        <f t="array" ref="B700">IF(A700="","",IFERROR(INDEX('Binder Setup'!$B$2:$B$401,MIN(IF(ISNUMBER(SEARCH(CHAR(10)&amp;'Binder Setup'!$B$2:$B$401&amp;CHAR(10),$H700)),'List Setup'!$Q$2:$Q$401,999),IF(ISNUMBER(SEARCH(CHAR(10)&amp;'Set Aliases'!$A$2:$A$501&amp;CHAR(10),$H700)),'Set Aliases'!$C$2:$C$501,999))),"(none)"))</f>
        <v/>
      </c>
      <c r="C700" s="80" t="str">
        <f t="shared" si="1"/>
        <v/>
      </c>
      <c r="D700" s="80" t="str">
        <f t="array" ref="D700">IF(A700="","",IF(ISLOGICAL(INDEX('Deck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00" s="80" t="str">
        <f t="shared" si="2"/>
        <v/>
      </c>
      <c r="F700" s="80" t="str">
        <f t="array" ref="F700">IF(A700="","",IF(ISNUMBER(J700),J700,IF(ISNUMBER(INDEX('Deck 2'!$A:$Z,ROW()-500,'List Setup'!$F$4)),INDEX('Deck 2'!$A:$Z,ROW()-500,'List Setup'!$F$4),0)))</f>
        <v/>
      </c>
      <c r="G700" s="80" t="str">
        <f t="array" ref="G700">IF(A700="","",A700&amp;IF(N(INDEX('Deck 2'!$A:$Z,ROW()-500,'List Setup'!$C$4))&gt;1," (x"&amp;INDEX('Deck 2'!$A:$Z,ROW()-500,'List Setup'!$C$4)&amp;")","")&amp;IF(COUNTIF(Binders!$J$6:$J$30,TRUE())&gt;1," ["&amp;Q700&amp;"]",""))</f>
        <v/>
      </c>
      <c r="H700" s="80" t="str">
        <f t="array" ref="H700">IF(A700="","",CHAR(10)&amp;INDEX('Deck 2'!$A:$Z,ROW()-500,'List Setup'!$E$4)&amp;CHAR(10))</f>
        <v/>
      </c>
      <c r="I700" s="80" t="str">
        <f t="array" ref="I700">IF(OR(B700="",B700="(none)"),"",IF(ISNUMBER(SEARCH(CHAR(10)&amp;B700&amp;CHAR(10),H700)),B700,IFERROR(INDEX('Set Aliases'!$A$2:$A$501,MATCH(1,('Set Aliases'!$B$2:$B$501=B700)*ISNUMBER(SEARCH(CHAR(10)&amp;'Set Aliases'!$A$2:$A$501&amp;CHAR(10),H700)),0)),"")))</f>
        <v/>
      </c>
      <c r="J700" s="80" t="str">
        <f t="array" ref="J700">IF(I700="","",IFERROR(VALUE(TRIM(MID(SUBSTITUTE(INDEX('Deck 2'!$A:$Z,ROW()-500,'List Setup'!$G$4),CHAR(10),REPT(" ",100)),((SEARCH(CHAR(10)&amp;I700&amp;CHAR(10),H700)-LEN(SUBSTITUTE(LEFT(H700,SEARCH(CHAR(10)&amp;I700&amp;CHAR(10),H700)),CHAR(10),"")))-1)*100+1,100))),""))</f>
        <v/>
      </c>
      <c r="K700" s="80" t="str">
        <f t="array" ref="K700">IF(A700="","",IF(ISNUMBER(SEARCH("Land",LEFT(IFERROR(INDEX('Deck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00" s="80" t="str">
        <f t="shared" si="3"/>
        <v/>
      </c>
      <c r="M700" s="80" t="str">
        <f>IF(A700="","",IF(AND(E700="Y",B700='Use at Shop'!$B$4),K700*10000000000+(MAX(0,MIN(26,CODE(MID(UPPER(A700)&amp;"    ",1,1))-64))*19683+MAX(0,MIN(26,CODE(MID(UPPER(A700)&amp;"    ",2,1))-64))*729+MAX(0,MIN(26,CODE(MID(UPPER(A700)&amp;"    ",3,1))-64))*27+MAX(0,MIN(26,CODE(MID(UPPER(A700)&amp;"    ",4,1))-64))*1)*10000+ROW(),""))</f>
        <v/>
      </c>
      <c r="N700" s="80" t="str">
        <f t="shared" si="6"/>
        <v/>
      </c>
      <c r="O700" s="80" t="str">
        <f t="array" ref="O700">IF(A700="","",IFERROR(INDEX('Deck 2'!$A:$Z,ROW()-500,'List Setup'!$J$4)&amp;"",""))</f>
        <v/>
      </c>
      <c r="P700" s="2"/>
      <c r="Q700" s="80" t="str">
        <f>IF(A700="","",'List Setup'!$A$4)</f>
        <v/>
      </c>
      <c r="R700" s="80" t="str">
        <f t="array" ref="R700">IF(A700="","",IFERROR(OR(INDEX(Binders!$J$6:$J$30,MATCH(Q700,Binders!$I$6:$I$30,0))=TRUE(),UPPER(INDEX(Binders!$J$6:$J$30,MATCH(Q700,Binders!$I$6:$I$30,0))&amp;"")="TRUE"),FALSE()))</f>
        <v/>
      </c>
    </row>
    <row r="701" ht="15.75" customHeight="1">
      <c r="A701" s="80" t="str">
        <f t="array" ref="A701">IF(INDEX('Deck 2'!$A:$Z,ROW()-500,'List Setup'!$D$4)="","",INDEX('Deck 2'!$A:$Z,ROW()-500,'List Setup'!$D$4))</f>
        <v/>
      </c>
      <c r="B701" s="80" t="str">
        <f t="array" ref="B701">IF(A701="","",IFERROR(INDEX('Binder Setup'!$B$2:$B$401,MIN(IF(ISNUMBER(SEARCH(CHAR(10)&amp;'Binder Setup'!$B$2:$B$401&amp;CHAR(10),$H701)),'List Setup'!$Q$2:$Q$401,999),IF(ISNUMBER(SEARCH(CHAR(10)&amp;'Set Aliases'!$A$2:$A$501&amp;CHAR(10),$H701)),'Set Aliases'!$C$2:$C$501,999))),"(none)"))</f>
        <v/>
      </c>
      <c r="C701" s="80" t="str">
        <f t="shared" si="1"/>
        <v/>
      </c>
      <c r="D701" s="80" t="str">
        <f t="array" ref="D701">IF(A701="","",IF(ISLOGICAL(INDEX('Deck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01" s="80" t="str">
        <f t="shared" si="2"/>
        <v/>
      </c>
      <c r="F701" s="80" t="str">
        <f t="array" ref="F701">IF(A701="","",IF(ISNUMBER(J701),J701,IF(ISNUMBER(INDEX('Deck 2'!$A:$Z,ROW()-500,'List Setup'!$F$4)),INDEX('Deck 2'!$A:$Z,ROW()-500,'List Setup'!$F$4),0)))</f>
        <v/>
      </c>
      <c r="G701" s="80" t="str">
        <f t="array" ref="G701">IF(A701="","",A701&amp;IF(N(INDEX('Deck 2'!$A:$Z,ROW()-500,'List Setup'!$C$4))&gt;1," (x"&amp;INDEX('Deck 2'!$A:$Z,ROW()-500,'List Setup'!$C$4)&amp;")","")&amp;IF(COUNTIF(Binders!$J$6:$J$30,TRUE())&gt;1," ["&amp;Q701&amp;"]",""))</f>
        <v/>
      </c>
      <c r="H701" s="80" t="str">
        <f t="array" ref="H701">IF(A701="","",CHAR(10)&amp;INDEX('Deck 2'!$A:$Z,ROW()-500,'List Setup'!$E$4)&amp;CHAR(10))</f>
        <v/>
      </c>
      <c r="I701" s="80" t="str">
        <f t="array" ref="I701">IF(OR(B701="",B701="(none)"),"",IF(ISNUMBER(SEARCH(CHAR(10)&amp;B701&amp;CHAR(10),H701)),B701,IFERROR(INDEX('Set Aliases'!$A$2:$A$501,MATCH(1,('Set Aliases'!$B$2:$B$501=B701)*ISNUMBER(SEARCH(CHAR(10)&amp;'Set Aliases'!$A$2:$A$501&amp;CHAR(10),H701)),0)),"")))</f>
        <v/>
      </c>
      <c r="J701" s="80" t="str">
        <f t="array" ref="J701">IF(I701="","",IFERROR(VALUE(TRIM(MID(SUBSTITUTE(INDEX('Deck 2'!$A:$Z,ROW()-500,'List Setup'!$G$4),CHAR(10),REPT(" ",100)),((SEARCH(CHAR(10)&amp;I701&amp;CHAR(10),H701)-LEN(SUBSTITUTE(LEFT(H701,SEARCH(CHAR(10)&amp;I701&amp;CHAR(10),H701)),CHAR(10),"")))-1)*100+1,100))),""))</f>
        <v/>
      </c>
      <c r="K701" s="80" t="str">
        <f t="array" ref="K701">IF(A701="","",IF(ISNUMBER(SEARCH("Land",LEFT(IFERROR(INDEX('Deck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01" s="80" t="str">
        <f t="shared" si="3"/>
        <v/>
      </c>
      <c r="M701" s="80" t="str">
        <f>IF(A701="","",IF(AND(E701="Y",B701='Use at Shop'!$B$4),K701*10000000000+(MAX(0,MIN(26,CODE(MID(UPPER(A701)&amp;"    ",1,1))-64))*19683+MAX(0,MIN(26,CODE(MID(UPPER(A701)&amp;"    ",2,1))-64))*729+MAX(0,MIN(26,CODE(MID(UPPER(A701)&amp;"    ",3,1))-64))*27+MAX(0,MIN(26,CODE(MID(UPPER(A701)&amp;"    ",4,1))-64))*1)*10000+ROW(),""))</f>
        <v/>
      </c>
      <c r="N701" s="80" t="str">
        <f t="shared" si="6"/>
        <v/>
      </c>
      <c r="O701" s="80" t="str">
        <f t="array" ref="O701">IF(A701="","",IFERROR(INDEX('Deck 2'!$A:$Z,ROW()-500,'List Setup'!$J$4)&amp;"",""))</f>
        <v/>
      </c>
      <c r="P701" s="2"/>
      <c r="Q701" s="80" t="str">
        <f>IF(A701="","",'List Setup'!$A$4)</f>
        <v/>
      </c>
      <c r="R701" s="80" t="str">
        <f t="array" ref="R701">IF(A701="","",IFERROR(OR(INDEX(Binders!$J$6:$J$30,MATCH(Q701,Binders!$I$6:$I$30,0))=TRUE(),UPPER(INDEX(Binders!$J$6:$J$30,MATCH(Q701,Binders!$I$6:$I$30,0))&amp;"")="TRUE"),FALSE()))</f>
        <v/>
      </c>
    </row>
    <row r="702" ht="15.75" customHeight="1">
      <c r="A702" s="80" t="str">
        <f t="array" ref="A702">IF(INDEX('Deck 2'!$A:$Z,ROW()-500,'List Setup'!$D$4)="","",INDEX('Deck 2'!$A:$Z,ROW()-500,'List Setup'!$D$4))</f>
        <v/>
      </c>
      <c r="B702" s="80" t="str">
        <f t="array" ref="B702">IF(A702="","",IFERROR(INDEX('Binder Setup'!$B$2:$B$401,MIN(IF(ISNUMBER(SEARCH(CHAR(10)&amp;'Binder Setup'!$B$2:$B$401&amp;CHAR(10),$H702)),'List Setup'!$Q$2:$Q$401,999),IF(ISNUMBER(SEARCH(CHAR(10)&amp;'Set Aliases'!$A$2:$A$501&amp;CHAR(10),$H702)),'Set Aliases'!$C$2:$C$501,999))),"(none)"))</f>
        <v/>
      </c>
      <c r="C702" s="80" t="str">
        <f t="shared" si="1"/>
        <v/>
      </c>
      <c r="D702" s="80" t="str">
        <f t="array" ref="D702">IF(A702="","",IF(ISLOGICAL(INDEX('Deck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02" s="80" t="str">
        <f t="shared" si="2"/>
        <v/>
      </c>
      <c r="F702" s="80" t="str">
        <f t="array" ref="F702">IF(A702="","",IF(ISNUMBER(J702),J702,IF(ISNUMBER(INDEX('Deck 2'!$A:$Z,ROW()-500,'List Setup'!$F$4)),INDEX('Deck 2'!$A:$Z,ROW()-500,'List Setup'!$F$4),0)))</f>
        <v/>
      </c>
      <c r="G702" s="80" t="str">
        <f t="array" ref="G702">IF(A702="","",A702&amp;IF(N(INDEX('Deck 2'!$A:$Z,ROW()-500,'List Setup'!$C$4))&gt;1," (x"&amp;INDEX('Deck 2'!$A:$Z,ROW()-500,'List Setup'!$C$4)&amp;")","")&amp;IF(COUNTIF(Binders!$J$6:$J$30,TRUE())&gt;1," ["&amp;Q702&amp;"]",""))</f>
        <v/>
      </c>
      <c r="H702" s="80" t="str">
        <f t="array" ref="H702">IF(A702="","",CHAR(10)&amp;INDEX('Deck 2'!$A:$Z,ROW()-500,'List Setup'!$E$4)&amp;CHAR(10))</f>
        <v/>
      </c>
      <c r="I702" s="80" t="str">
        <f t="array" ref="I702">IF(OR(B702="",B702="(none)"),"",IF(ISNUMBER(SEARCH(CHAR(10)&amp;B702&amp;CHAR(10),H702)),B702,IFERROR(INDEX('Set Aliases'!$A$2:$A$501,MATCH(1,('Set Aliases'!$B$2:$B$501=B702)*ISNUMBER(SEARCH(CHAR(10)&amp;'Set Aliases'!$A$2:$A$501&amp;CHAR(10),H702)),0)),"")))</f>
        <v/>
      </c>
      <c r="J702" s="80" t="str">
        <f t="array" ref="J702">IF(I702="","",IFERROR(VALUE(TRIM(MID(SUBSTITUTE(INDEX('Deck 2'!$A:$Z,ROW()-500,'List Setup'!$G$4),CHAR(10),REPT(" ",100)),((SEARCH(CHAR(10)&amp;I702&amp;CHAR(10),H702)-LEN(SUBSTITUTE(LEFT(H702,SEARCH(CHAR(10)&amp;I702&amp;CHAR(10),H702)),CHAR(10),"")))-1)*100+1,100))),""))</f>
        <v/>
      </c>
      <c r="K702" s="80" t="str">
        <f t="array" ref="K702">IF(A702="","",IF(ISNUMBER(SEARCH("Land",LEFT(IFERROR(INDEX('Deck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02" s="80" t="str">
        <f t="shared" si="3"/>
        <v/>
      </c>
      <c r="M702" s="80" t="str">
        <f>IF(A702="","",IF(AND(E702="Y",B702='Use at Shop'!$B$4),K702*10000000000+(MAX(0,MIN(26,CODE(MID(UPPER(A702)&amp;"    ",1,1))-64))*19683+MAX(0,MIN(26,CODE(MID(UPPER(A702)&amp;"    ",2,1))-64))*729+MAX(0,MIN(26,CODE(MID(UPPER(A702)&amp;"    ",3,1))-64))*27+MAX(0,MIN(26,CODE(MID(UPPER(A702)&amp;"    ",4,1))-64))*1)*10000+ROW(),""))</f>
        <v/>
      </c>
      <c r="N702" s="80" t="str">
        <f t="shared" si="6"/>
        <v/>
      </c>
      <c r="O702" s="80" t="str">
        <f t="array" ref="O702">IF(A702="","",IFERROR(INDEX('Deck 2'!$A:$Z,ROW()-500,'List Setup'!$J$4)&amp;"",""))</f>
        <v/>
      </c>
      <c r="P702" s="2"/>
      <c r="Q702" s="80" t="str">
        <f>IF(A702="","",'List Setup'!$A$4)</f>
        <v/>
      </c>
      <c r="R702" s="80" t="str">
        <f t="array" ref="R702">IF(A702="","",IFERROR(OR(INDEX(Binders!$J$6:$J$30,MATCH(Q702,Binders!$I$6:$I$30,0))=TRUE(),UPPER(INDEX(Binders!$J$6:$J$30,MATCH(Q702,Binders!$I$6:$I$30,0))&amp;"")="TRUE"),FALSE()))</f>
        <v/>
      </c>
    </row>
    <row r="703" ht="15.75" customHeight="1">
      <c r="A703" s="80" t="str">
        <f t="array" ref="A703">IF(INDEX('Deck 2'!$A:$Z,ROW()-500,'List Setup'!$D$4)="","",INDEX('Deck 2'!$A:$Z,ROW()-500,'List Setup'!$D$4))</f>
        <v/>
      </c>
      <c r="B703" s="80" t="str">
        <f t="array" ref="B703">IF(A703="","",IFERROR(INDEX('Binder Setup'!$B$2:$B$401,MIN(IF(ISNUMBER(SEARCH(CHAR(10)&amp;'Binder Setup'!$B$2:$B$401&amp;CHAR(10),$H703)),'List Setup'!$Q$2:$Q$401,999),IF(ISNUMBER(SEARCH(CHAR(10)&amp;'Set Aliases'!$A$2:$A$501&amp;CHAR(10),$H703)),'Set Aliases'!$C$2:$C$501,999))),"(none)"))</f>
        <v/>
      </c>
      <c r="C703" s="80" t="str">
        <f t="shared" si="1"/>
        <v/>
      </c>
      <c r="D703" s="80" t="str">
        <f t="array" ref="D703">IF(A703="","",IF(ISLOGICAL(INDEX('Deck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03" s="80" t="str">
        <f t="shared" si="2"/>
        <v/>
      </c>
      <c r="F703" s="80" t="str">
        <f t="array" ref="F703">IF(A703="","",IF(ISNUMBER(J703),J703,IF(ISNUMBER(INDEX('Deck 2'!$A:$Z,ROW()-500,'List Setup'!$F$4)),INDEX('Deck 2'!$A:$Z,ROW()-500,'List Setup'!$F$4),0)))</f>
        <v/>
      </c>
      <c r="G703" s="80" t="str">
        <f t="array" ref="G703">IF(A703="","",A703&amp;IF(N(INDEX('Deck 2'!$A:$Z,ROW()-500,'List Setup'!$C$4))&gt;1," (x"&amp;INDEX('Deck 2'!$A:$Z,ROW()-500,'List Setup'!$C$4)&amp;")","")&amp;IF(COUNTIF(Binders!$J$6:$J$30,TRUE())&gt;1," ["&amp;Q703&amp;"]",""))</f>
        <v/>
      </c>
      <c r="H703" s="80" t="str">
        <f t="array" ref="H703">IF(A703="","",CHAR(10)&amp;INDEX('Deck 2'!$A:$Z,ROW()-500,'List Setup'!$E$4)&amp;CHAR(10))</f>
        <v/>
      </c>
      <c r="I703" s="80" t="str">
        <f t="array" ref="I703">IF(OR(B703="",B703="(none)"),"",IF(ISNUMBER(SEARCH(CHAR(10)&amp;B703&amp;CHAR(10),H703)),B703,IFERROR(INDEX('Set Aliases'!$A$2:$A$501,MATCH(1,('Set Aliases'!$B$2:$B$501=B703)*ISNUMBER(SEARCH(CHAR(10)&amp;'Set Aliases'!$A$2:$A$501&amp;CHAR(10),H703)),0)),"")))</f>
        <v/>
      </c>
      <c r="J703" s="80" t="str">
        <f t="array" ref="J703">IF(I703="","",IFERROR(VALUE(TRIM(MID(SUBSTITUTE(INDEX('Deck 2'!$A:$Z,ROW()-500,'List Setup'!$G$4),CHAR(10),REPT(" ",100)),((SEARCH(CHAR(10)&amp;I703&amp;CHAR(10),H703)-LEN(SUBSTITUTE(LEFT(H703,SEARCH(CHAR(10)&amp;I703&amp;CHAR(10),H703)),CHAR(10),"")))-1)*100+1,100))),""))</f>
        <v/>
      </c>
      <c r="K703" s="80" t="str">
        <f t="array" ref="K703">IF(A703="","",IF(ISNUMBER(SEARCH("Land",LEFT(IFERROR(INDEX('Deck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03" s="80" t="str">
        <f t="shared" si="3"/>
        <v/>
      </c>
      <c r="M703" s="80" t="str">
        <f>IF(A703="","",IF(AND(E703="Y",B703='Use at Shop'!$B$4),K703*10000000000+(MAX(0,MIN(26,CODE(MID(UPPER(A703)&amp;"    ",1,1))-64))*19683+MAX(0,MIN(26,CODE(MID(UPPER(A703)&amp;"    ",2,1))-64))*729+MAX(0,MIN(26,CODE(MID(UPPER(A703)&amp;"    ",3,1))-64))*27+MAX(0,MIN(26,CODE(MID(UPPER(A703)&amp;"    ",4,1))-64))*1)*10000+ROW(),""))</f>
        <v/>
      </c>
      <c r="N703" s="80" t="str">
        <f t="shared" si="6"/>
        <v/>
      </c>
      <c r="O703" s="80" t="str">
        <f t="array" ref="O703">IF(A703="","",IFERROR(INDEX('Deck 2'!$A:$Z,ROW()-500,'List Setup'!$J$4)&amp;"",""))</f>
        <v/>
      </c>
      <c r="P703" s="2"/>
      <c r="Q703" s="80" t="str">
        <f>IF(A703="","",'List Setup'!$A$4)</f>
        <v/>
      </c>
      <c r="R703" s="80" t="str">
        <f t="array" ref="R703">IF(A703="","",IFERROR(OR(INDEX(Binders!$J$6:$J$30,MATCH(Q703,Binders!$I$6:$I$30,0))=TRUE(),UPPER(INDEX(Binders!$J$6:$J$30,MATCH(Q703,Binders!$I$6:$I$30,0))&amp;"")="TRUE"),FALSE()))</f>
        <v/>
      </c>
    </row>
    <row r="704" ht="15.75" customHeight="1">
      <c r="A704" s="80" t="str">
        <f t="array" ref="A704">IF(INDEX('Deck 2'!$A:$Z,ROW()-500,'List Setup'!$D$4)="","",INDEX('Deck 2'!$A:$Z,ROW()-500,'List Setup'!$D$4))</f>
        <v/>
      </c>
      <c r="B704" s="80" t="str">
        <f t="array" ref="B704">IF(A704="","",IFERROR(INDEX('Binder Setup'!$B$2:$B$401,MIN(IF(ISNUMBER(SEARCH(CHAR(10)&amp;'Binder Setup'!$B$2:$B$401&amp;CHAR(10),$H704)),'List Setup'!$Q$2:$Q$401,999),IF(ISNUMBER(SEARCH(CHAR(10)&amp;'Set Aliases'!$A$2:$A$501&amp;CHAR(10),$H704)),'Set Aliases'!$C$2:$C$501,999))),"(none)"))</f>
        <v/>
      </c>
      <c r="C704" s="80" t="str">
        <f t="shared" si="1"/>
        <v/>
      </c>
      <c r="D704" s="80" t="str">
        <f t="array" ref="D704">IF(A704="","",IF(ISLOGICAL(INDEX('Deck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04" s="80" t="str">
        <f t="shared" si="2"/>
        <v/>
      </c>
      <c r="F704" s="80" t="str">
        <f t="array" ref="F704">IF(A704="","",IF(ISNUMBER(J704),J704,IF(ISNUMBER(INDEX('Deck 2'!$A:$Z,ROW()-500,'List Setup'!$F$4)),INDEX('Deck 2'!$A:$Z,ROW()-500,'List Setup'!$F$4),0)))</f>
        <v/>
      </c>
      <c r="G704" s="80" t="str">
        <f t="array" ref="G704">IF(A704="","",A704&amp;IF(N(INDEX('Deck 2'!$A:$Z,ROW()-500,'List Setup'!$C$4))&gt;1," (x"&amp;INDEX('Deck 2'!$A:$Z,ROW()-500,'List Setup'!$C$4)&amp;")","")&amp;IF(COUNTIF(Binders!$J$6:$J$30,TRUE())&gt;1," ["&amp;Q704&amp;"]",""))</f>
        <v/>
      </c>
      <c r="H704" s="80" t="str">
        <f t="array" ref="H704">IF(A704="","",CHAR(10)&amp;INDEX('Deck 2'!$A:$Z,ROW()-500,'List Setup'!$E$4)&amp;CHAR(10))</f>
        <v/>
      </c>
      <c r="I704" s="80" t="str">
        <f t="array" ref="I704">IF(OR(B704="",B704="(none)"),"",IF(ISNUMBER(SEARCH(CHAR(10)&amp;B704&amp;CHAR(10),H704)),B704,IFERROR(INDEX('Set Aliases'!$A$2:$A$501,MATCH(1,('Set Aliases'!$B$2:$B$501=B704)*ISNUMBER(SEARCH(CHAR(10)&amp;'Set Aliases'!$A$2:$A$501&amp;CHAR(10),H704)),0)),"")))</f>
        <v/>
      </c>
      <c r="J704" s="80" t="str">
        <f t="array" ref="J704">IF(I704="","",IFERROR(VALUE(TRIM(MID(SUBSTITUTE(INDEX('Deck 2'!$A:$Z,ROW()-500,'List Setup'!$G$4),CHAR(10),REPT(" ",100)),((SEARCH(CHAR(10)&amp;I704&amp;CHAR(10),H704)-LEN(SUBSTITUTE(LEFT(H704,SEARCH(CHAR(10)&amp;I704&amp;CHAR(10),H704)),CHAR(10),"")))-1)*100+1,100))),""))</f>
        <v/>
      </c>
      <c r="K704" s="80" t="str">
        <f t="array" ref="K704">IF(A704="","",IF(ISNUMBER(SEARCH("Land",LEFT(IFERROR(INDEX('Deck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04" s="80" t="str">
        <f t="shared" si="3"/>
        <v/>
      </c>
      <c r="M704" s="80" t="str">
        <f>IF(A704="","",IF(AND(E704="Y",B704='Use at Shop'!$B$4),K704*10000000000+(MAX(0,MIN(26,CODE(MID(UPPER(A704)&amp;"    ",1,1))-64))*19683+MAX(0,MIN(26,CODE(MID(UPPER(A704)&amp;"    ",2,1))-64))*729+MAX(0,MIN(26,CODE(MID(UPPER(A704)&amp;"    ",3,1))-64))*27+MAX(0,MIN(26,CODE(MID(UPPER(A704)&amp;"    ",4,1))-64))*1)*10000+ROW(),""))</f>
        <v/>
      </c>
      <c r="N704" s="80" t="str">
        <f t="shared" si="6"/>
        <v/>
      </c>
      <c r="O704" s="80" t="str">
        <f t="array" ref="O704">IF(A704="","",IFERROR(INDEX('Deck 2'!$A:$Z,ROW()-500,'List Setup'!$J$4)&amp;"",""))</f>
        <v/>
      </c>
      <c r="P704" s="2"/>
      <c r="Q704" s="80" t="str">
        <f>IF(A704="","",'List Setup'!$A$4)</f>
        <v/>
      </c>
      <c r="R704" s="80" t="str">
        <f t="array" ref="R704">IF(A704="","",IFERROR(OR(INDEX(Binders!$J$6:$J$30,MATCH(Q704,Binders!$I$6:$I$30,0))=TRUE(),UPPER(INDEX(Binders!$J$6:$J$30,MATCH(Q704,Binders!$I$6:$I$30,0))&amp;"")="TRUE"),FALSE()))</f>
        <v/>
      </c>
    </row>
    <row r="705" ht="15.75" customHeight="1">
      <c r="A705" s="80" t="str">
        <f t="array" ref="A705">IF(INDEX('Deck 2'!$A:$Z,ROW()-500,'List Setup'!$D$4)="","",INDEX('Deck 2'!$A:$Z,ROW()-500,'List Setup'!$D$4))</f>
        <v/>
      </c>
      <c r="B705" s="80" t="str">
        <f t="array" ref="B705">IF(A705="","",IFERROR(INDEX('Binder Setup'!$B$2:$B$401,MIN(IF(ISNUMBER(SEARCH(CHAR(10)&amp;'Binder Setup'!$B$2:$B$401&amp;CHAR(10),$H705)),'List Setup'!$Q$2:$Q$401,999),IF(ISNUMBER(SEARCH(CHAR(10)&amp;'Set Aliases'!$A$2:$A$501&amp;CHAR(10),$H705)),'Set Aliases'!$C$2:$C$501,999))),"(none)"))</f>
        <v/>
      </c>
      <c r="C705" s="80" t="str">
        <f t="shared" si="1"/>
        <v/>
      </c>
      <c r="D705" s="80" t="str">
        <f t="array" ref="D705">IF(A705="","",IF(ISLOGICAL(INDEX('Deck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05" s="80" t="str">
        <f t="shared" si="2"/>
        <v/>
      </c>
      <c r="F705" s="80" t="str">
        <f t="array" ref="F705">IF(A705="","",IF(ISNUMBER(J705),J705,IF(ISNUMBER(INDEX('Deck 2'!$A:$Z,ROW()-500,'List Setup'!$F$4)),INDEX('Deck 2'!$A:$Z,ROW()-500,'List Setup'!$F$4),0)))</f>
        <v/>
      </c>
      <c r="G705" s="80" t="str">
        <f t="array" ref="G705">IF(A705="","",A705&amp;IF(N(INDEX('Deck 2'!$A:$Z,ROW()-500,'List Setup'!$C$4))&gt;1," (x"&amp;INDEX('Deck 2'!$A:$Z,ROW()-500,'List Setup'!$C$4)&amp;")","")&amp;IF(COUNTIF(Binders!$J$6:$J$30,TRUE())&gt;1," ["&amp;Q705&amp;"]",""))</f>
        <v/>
      </c>
      <c r="H705" s="80" t="str">
        <f t="array" ref="H705">IF(A705="","",CHAR(10)&amp;INDEX('Deck 2'!$A:$Z,ROW()-500,'List Setup'!$E$4)&amp;CHAR(10))</f>
        <v/>
      </c>
      <c r="I705" s="80" t="str">
        <f t="array" ref="I705">IF(OR(B705="",B705="(none)"),"",IF(ISNUMBER(SEARCH(CHAR(10)&amp;B705&amp;CHAR(10),H705)),B705,IFERROR(INDEX('Set Aliases'!$A$2:$A$501,MATCH(1,('Set Aliases'!$B$2:$B$501=B705)*ISNUMBER(SEARCH(CHAR(10)&amp;'Set Aliases'!$A$2:$A$501&amp;CHAR(10),H705)),0)),"")))</f>
        <v/>
      </c>
      <c r="J705" s="80" t="str">
        <f t="array" ref="J705">IF(I705="","",IFERROR(VALUE(TRIM(MID(SUBSTITUTE(INDEX('Deck 2'!$A:$Z,ROW()-500,'List Setup'!$G$4),CHAR(10),REPT(" ",100)),((SEARCH(CHAR(10)&amp;I705&amp;CHAR(10),H705)-LEN(SUBSTITUTE(LEFT(H705,SEARCH(CHAR(10)&amp;I705&amp;CHAR(10),H705)),CHAR(10),"")))-1)*100+1,100))),""))</f>
        <v/>
      </c>
      <c r="K705" s="80" t="str">
        <f t="array" ref="K705">IF(A705="","",IF(ISNUMBER(SEARCH("Land",LEFT(IFERROR(INDEX('Deck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05" s="80" t="str">
        <f t="shared" si="3"/>
        <v/>
      </c>
      <c r="M705" s="80" t="str">
        <f>IF(A705="","",IF(AND(E705="Y",B705='Use at Shop'!$B$4),K705*10000000000+(MAX(0,MIN(26,CODE(MID(UPPER(A705)&amp;"    ",1,1))-64))*19683+MAX(0,MIN(26,CODE(MID(UPPER(A705)&amp;"    ",2,1))-64))*729+MAX(0,MIN(26,CODE(MID(UPPER(A705)&amp;"    ",3,1))-64))*27+MAX(0,MIN(26,CODE(MID(UPPER(A705)&amp;"    ",4,1))-64))*1)*10000+ROW(),""))</f>
        <v/>
      </c>
      <c r="N705" s="80" t="str">
        <f t="shared" si="6"/>
        <v/>
      </c>
      <c r="O705" s="80" t="str">
        <f t="array" ref="O705">IF(A705="","",IFERROR(INDEX('Deck 2'!$A:$Z,ROW()-500,'List Setup'!$J$4)&amp;"",""))</f>
        <v/>
      </c>
      <c r="P705" s="2"/>
      <c r="Q705" s="80" t="str">
        <f>IF(A705="","",'List Setup'!$A$4)</f>
        <v/>
      </c>
      <c r="R705" s="80" t="str">
        <f t="array" ref="R705">IF(A705="","",IFERROR(OR(INDEX(Binders!$J$6:$J$30,MATCH(Q705,Binders!$I$6:$I$30,0))=TRUE(),UPPER(INDEX(Binders!$J$6:$J$30,MATCH(Q705,Binders!$I$6:$I$30,0))&amp;"")="TRUE"),FALSE()))</f>
        <v/>
      </c>
    </row>
    <row r="706" ht="15.75" customHeight="1">
      <c r="A706" s="80" t="str">
        <f t="array" ref="A706">IF(INDEX('Deck 2'!$A:$Z,ROW()-500,'List Setup'!$D$4)="","",INDEX('Deck 2'!$A:$Z,ROW()-500,'List Setup'!$D$4))</f>
        <v/>
      </c>
      <c r="B706" s="80" t="str">
        <f t="array" ref="B706">IF(A706="","",IFERROR(INDEX('Binder Setup'!$B$2:$B$401,MIN(IF(ISNUMBER(SEARCH(CHAR(10)&amp;'Binder Setup'!$B$2:$B$401&amp;CHAR(10),$H706)),'List Setup'!$Q$2:$Q$401,999),IF(ISNUMBER(SEARCH(CHAR(10)&amp;'Set Aliases'!$A$2:$A$501&amp;CHAR(10),$H706)),'Set Aliases'!$C$2:$C$501,999))),"(none)"))</f>
        <v/>
      </c>
      <c r="C706" s="80" t="str">
        <f t="shared" si="1"/>
        <v/>
      </c>
      <c r="D706" s="80" t="str">
        <f t="array" ref="D706">IF(A706="","",IF(ISLOGICAL(INDEX('Deck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06" s="80" t="str">
        <f t="shared" si="2"/>
        <v/>
      </c>
      <c r="F706" s="80" t="str">
        <f t="array" ref="F706">IF(A706="","",IF(ISNUMBER(J706),J706,IF(ISNUMBER(INDEX('Deck 2'!$A:$Z,ROW()-500,'List Setup'!$F$4)),INDEX('Deck 2'!$A:$Z,ROW()-500,'List Setup'!$F$4),0)))</f>
        <v/>
      </c>
      <c r="G706" s="80" t="str">
        <f t="array" ref="G706">IF(A706="","",A706&amp;IF(N(INDEX('Deck 2'!$A:$Z,ROW()-500,'List Setup'!$C$4))&gt;1," (x"&amp;INDEX('Deck 2'!$A:$Z,ROW()-500,'List Setup'!$C$4)&amp;")","")&amp;IF(COUNTIF(Binders!$J$6:$J$30,TRUE())&gt;1," ["&amp;Q706&amp;"]",""))</f>
        <v/>
      </c>
      <c r="H706" s="80" t="str">
        <f t="array" ref="H706">IF(A706="","",CHAR(10)&amp;INDEX('Deck 2'!$A:$Z,ROW()-500,'List Setup'!$E$4)&amp;CHAR(10))</f>
        <v/>
      </c>
      <c r="I706" s="80" t="str">
        <f t="array" ref="I706">IF(OR(B706="",B706="(none)"),"",IF(ISNUMBER(SEARCH(CHAR(10)&amp;B706&amp;CHAR(10),H706)),B706,IFERROR(INDEX('Set Aliases'!$A$2:$A$501,MATCH(1,('Set Aliases'!$B$2:$B$501=B706)*ISNUMBER(SEARCH(CHAR(10)&amp;'Set Aliases'!$A$2:$A$501&amp;CHAR(10),H706)),0)),"")))</f>
        <v/>
      </c>
      <c r="J706" s="80" t="str">
        <f t="array" ref="J706">IF(I706="","",IFERROR(VALUE(TRIM(MID(SUBSTITUTE(INDEX('Deck 2'!$A:$Z,ROW()-500,'List Setup'!$G$4),CHAR(10),REPT(" ",100)),((SEARCH(CHAR(10)&amp;I706&amp;CHAR(10),H706)-LEN(SUBSTITUTE(LEFT(H706,SEARCH(CHAR(10)&amp;I706&amp;CHAR(10),H706)),CHAR(10),"")))-1)*100+1,100))),""))</f>
        <v/>
      </c>
      <c r="K706" s="80" t="str">
        <f t="array" ref="K706">IF(A706="","",IF(ISNUMBER(SEARCH("Land",LEFT(IFERROR(INDEX('Deck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06" s="80" t="str">
        <f t="shared" si="3"/>
        <v/>
      </c>
      <c r="M706" s="80" t="str">
        <f>IF(A706="","",IF(AND(E706="Y",B706='Use at Shop'!$B$4),K706*10000000000+(MAX(0,MIN(26,CODE(MID(UPPER(A706)&amp;"    ",1,1))-64))*19683+MAX(0,MIN(26,CODE(MID(UPPER(A706)&amp;"    ",2,1))-64))*729+MAX(0,MIN(26,CODE(MID(UPPER(A706)&amp;"    ",3,1))-64))*27+MAX(0,MIN(26,CODE(MID(UPPER(A706)&amp;"    ",4,1))-64))*1)*10000+ROW(),""))</f>
        <v/>
      </c>
      <c r="N706" s="80" t="str">
        <f t="shared" si="6"/>
        <v/>
      </c>
      <c r="O706" s="80" t="str">
        <f t="array" ref="O706">IF(A706="","",IFERROR(INDEX('Deck 2'!$A:$Z,ROW()-500,'List Setup'!$J$4)&amp;"",""))</f>
        <v/>
      </c>
      <c r="P706" s="2"/>
      <c r="Q706" s="80" t="str">
        <f>IF(A706="","",'List Setup'!$A$4)</f>
        <v/>
      </c>
      <c r="R706" s="80" t="str">
        <f t="array" ref="R706">IF(A706="","",IFERROR(OR(INDEX(Binders!$J$6:$J$30,MATCH(Q706,Binders!$I$6:$I$30,0))=TRUE(),UPPER(INDEX(Binders!$J$6:$J$30,MATCH(Q706,Binders!$I$6:$I$30,0))&amp;"")="TRUE"),FALSE()))</f>
        <v/>
      </c>
    </row>
    <row r="707" ht="15.75" customHeight="1">
      <c r="A707" s="80" t="str">
        <f t="array" ref="A707">IF(INDEX('Deck 2'!$A:$Z,ROW()-500,'List Setup'!$D$4)="","",INDEX('Deck 2'!$A:$Z,ROW()-500,'List Setup'!$D$4))</f>
        <v/>
      </c>
      <c r="B707" s="80" t="str">
        <f t="array" ref="B707">IF(A707="","",IFERROR(INDEX('Binder Setup'!$B$2:$B$401,MIN(IF(ISNUMBER(SEARCH(CHAR(10)&amp;'Binder Setup'!$B$2:$B$401&amp;CHAR(10),$H707)),'List Setup'!$Q$2:$Q$401,999),IF(ISNUMBER(SEARCH(CHAR(10)&amp;'Set Aliases'!$A$2:$A$501&amp;CHAR(10),$H707)),'Set Aliases'!$C$2:$C$501,999))),"(none)"))</f>
        <v/>
      </c>
      <c r="C707" s="80" t="str">
        <f t="shared" si="1"/>
        <v/>
      </c>
      <c r="D707" s="80" t="str">
        <f t="array" ref="D707">IF(A707="","",IF(ISLOGICAL(INDEX('Deck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07" s="80" t="str">
        <f t="shared" si="2"/>
        <v/>
      </c>
      <c r="F707" s="80" t="str">
        <f t="array" ref="F707">IF(A707="","",IF(ISNUMBER(J707),J707,IF(ISNUMBER(INDEX('Deck 2'!$A:$Z,ROW()-500,'List Setup'!$F$4)),INDEX('Deck 2'!$A:$Z,ROW()-500,'List Setup'!$F$4),0)))</f>
        <v/>
      </c>
      <c r="G707" s="80" t="str">
        <f t="array" ref="G707">IF(A707="","",A707&amp;IF(N(INDEX('Deck 2'!$A:$Z,ROW()-500,'List Setup'!$C$4))&gt;1," (x"&amp;INDEX('Deck 2'!$A:$Z,ROW()-500,'List Setup'!$C$4)&amp;")","")&amp;IF(COUNTIF(Binders!$J$6:$J$30,TRUE())&gt;1," ["&amp;Q707&amp;"]",""))</f>
        <v/>
      </c>
      <c r="H707" s="80" t="str">
        <f t="array" ref="H707">IF(A707="","",CHAR(10)&amp;INDEX('Deck 2'!$A:$Z,ROW()-500,'List Setup'!$E$4)&amp;CHAR(10))</f>
        <v/>
      </c>
      <c r="I707" s="80" t="str">
        <f t="array" ref="I707">IF(OR(B707="",B707="(none)"),"",IF(ISNUMBER(SEARCH(CHAR(10)&amp;B707&amp;CHAR(10),H707)),B707,IFERROR(INDEX('Set Aliases'!$A$2:$A$501,MATCH(1,('Set Aliases'!$B$2:$B$501=B707)*ISNUMBER(SEARCH(CHAR(10)&amp;'Set Aliases'!$A$2:$A$501&amp;CHAR(10),H707)),0)),"")))</f>
        <v/>
      </c>
      <c r="J707" s="80" t="str">
        <f t="array" ref="J707">IF(I707="","",IFERROR(VALUE(TRIM(MID(SUBSTITUTE(INDEX('Deck 2'!$A:$Z,ROW()-500,'List Setup'!$G$4),CHAR(10),REPT(" ",100)),((SEARCH(CHAR(10)&amp;I707&amp;CHAR(10),H707)-LEN(SUBSTITUTE(LEFT(H707,SEARCH(CHAR(10)&amp;I707&amp;CHAR(10),H707)),CHAR(10),"")))-1)*100+1,100))),""))</f>
        <v/>
      </c>
      <c r="K707" s="80" t="str">
        <f t="array" ref="K707">IF(A707="","",IF(ISNUMBER(SEARCH("Land",LEFT(IFERROR(INDEX('Deck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07" s="80" t="str">
        <f t="shared" si="3"/>
        <v/>
      </c>
      <c r="M707" s="80" t="str">
        <f>IF(A707="","",IF(AND(E707="Y",B707='Use at Shop'!$B$4),K707*10000000000+(MAX(0,MIN(26,CODE(MID(UPPER(A707)&amp;"    ",1,1))-64))*19683+MAX(0,MIN(26,CODE(MID(UPPER(A707)&amp;"    ",2,1))-64))*729+MAX(0,MIN(26,CODE(MID(UPPER(A707)&amp;"    ",3,1))-64))*27+MAX(0,MIN(26,CODE(MID(UPPER(A707)&amp;"    ",4,1))-64))*1)*10000+ROW(),""))</f>
        <v/>
      </c>
      <c r="N707" s="80" t="str">
        <f t="shared" si="6"/>
        <v/>
      </c>
      <c r="O707" s="80" t="str">
        <f t="array" ref="O707">IF(A707="","",IFERROR(INDEX('Deck 2'!$A:$Z,ROW()-500,'List Setup'!$J$4)&amp;"",""))</f>
        <v/>
      </c>
      <c r="P707" s="2"/>
      <c r="Q707" s="80" t="str">
        <f>IF(A707="","",'List Setup'!$A$4)</f>
        <v/>
      </c>
      <c r="R707" s="80" t="str">
        <f t="array" ref="R707">IF(A707="","",IFERROR(OR(INDEX(Binders!$J$6:$J$30,MATCH(Q707,Binders!$I$6:$I$30,0))=TRUE(),UPPER(INDEX(Binders!$J$6:$J$30,MATCH(Q707,Binders!$I$6:$I$30,0))&amp;"")="TRUE"),FALSE()))</f>
        <v/>
      </c>
    </row>
    <row r="708" ht="15.75" customHeight="1">
      <c r="A708" s="80" t="str">
        <f t="array" ref="A708">IF(INDEX('Deck 2'!$A:$Z,ROW()-500,'List Setup'!$D$4)="","",INDEX('Deck 2'!$A:$Z,ROW()-500,'List Setup'!$D$4))</f>
        <v/>
      </c>
      <c r="B708" s="80" t="str">
        <f t="array" ref="B708">IF(A708="","",IFERROR(INDEX('Binder Setup'!$B$2:$B$401,MIN(IF(ISNUMBER(SEARCH(CHAR(10)&amp;'Binder Setup'!$B$2:$B$401&amp;CHAR(10),$H708)),'List Setup'!$Q$2:$Q$401,999),IF(ISNUMBER(SEARCH(CHAR(10)&amp;'Set Aliases'!$A$2:$A$501&amp;CHAR(10),$H708)),'Set Aliases'!$C$2:$C$501,999))),"(none)"))</f>
        <v/>
      </c>
      <c r="C708" s="80" t="str">
        <f t="shared" si="1"/>
        <v/>
      </c>
      <c r="D708" s="80" t="str">
        <f t="array" ref="D708">IF(A708="","",IF(ISLOGICAL(INDEX('Deck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08" s="80" t="str">
        <f t="shared" si="2"/>
        <v/>
      </c>
      <c r="F708" s="80" t="str">
        <f t="array" ref="F708">IF(A708="","",IF(ISNUMBER(J708),J708,IF(ISNUMBER(INDEX('Deck 2'!$A:$Z,ROW()-500,'List Setup'!$F$4)),INDEX('Deck 2'!$A:$Z,ROW()-500,'List Setup'!$F$4),0)))</f>
        <v/>
      </c>
      <c r="G708" s="80" t="str">
        <f t="array" ref="G708">IF(A708="","",A708&amp;IF(N(INDEX('Deck 2'!$A:$Z,ROW()-500,'List Setup'!$C$4))&gt;1," (x"&amp;INDEX('Deck 2'!$A:$Z,ROW()-500,'List Setup'!$C$4)&amp;")","")&amp;IF(COUNTIF(Binders!$J$6:$J$30,TRUE())&gt;1," ["&amp;Q708&amp;"]",""))</f>
        <v/>
      </c>
      <c r="H708" s="80" t="str">
        <f t="array" ref="H708">IF(A708="","",CHAR(10)&amp;INDEX('Deck 2'!$A:$Z,ROW()-500,'List Setup'!$E$4)&amp;CHAR(10))</f>
        <v/>
      </c>
      <c r="I708" s="80" t="str">
        <f t="array" ref="I708">IF(OR(B708="",B708="(none)"),"",IF(ISNUMBER(SEARCH(CHAR(10)&amp;B708&amp;CHAR(10),H708)),B708,IFERROR(INDEX('Set Aliases'!$A$2:$A$501,MATCH(1,('Set Aliases'!$B$2:$B$501=B708)*ISNUMBER(SEARCH(CHAR(10)&amp;'Set Aliases'!$A$2:$A$501&amp;CHAR(10),H708)),0)),"")))</f>
        <v/>
      </c>
      <c r="J708" s="80" t="str">
        <f t="array" ref="J708">IF(I708="","",IFERROR(VALUE(TRIM(MID(SUBSTITUTE(INDEX('Deck 2'!$A:$Z,ROW()-500,'List Setup'!$G$4),CHAR(10),REPT(" ",100)),((SEARCH(CHAR(10)&amp;I708&amp;CHAR(10),H708)-LEN(SUBSTITUTE(LEFT(H708,SEARCH(CHAR(10)&amp;I708&amp;CHAR(10),H708)),CHAR(10),"")))-1)*100+1,100))),""))</f>
        <v/>
      </c>
      <c r="K708" s="80" t="str">
        <f t="array" ref="K708">IF(A708="","",IF(ISNUMBER(SEARCH("Land",LEFT(IFERROR(INDEX('Deck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08" s="80" t="str">
        <f t="shared" si="3"/>
        <v/>
      </c>
      <c r="M708" s="80" t="str">
        <f>IF(A708="","",IF(AND(E708="Y",B708='Use at Shop'!$B$4),K708*10000000000+(MAX(0,MIN(26,CODE(MID(UPPER(A708)&amp;"    ",1,1))-64))*19683+MAX(0,MIN(26,CODE(MID(UPPER(A708)&amp;"    ",2,1))-64))*729+MAX(0,MIN(26,CODE(MID(UPPER(A708)&amp;"    ",3,1))-64))*27+MAX(0,MIN(26,CODE(MID(UPPER(A708)&amp;"    ",4,1))-64))*1)*10000+ROW(),""))</f>
        <v/>
      </c>
      <c r="N708" s="80" t="str">
        <f t="shared" si="6"/>
        <v/>
      </c>
      <c r="O708" s="80" t="str">
        <f t="array" ref="O708">IF(A708="","",IFERROR(INDEX('Deck 2'!$A:$Z,ROW()-500,'List Setup'!$J$4)&amp;"",""))</f>
        <v/>
      </c>
      <c r="P708" s="2"/>
      <c r="Q708" s="80" t="str">
        <f>IF(A708="","",'List Setup'!$A$4)</f>
        <v/>
      </c>
      <c r="R708" s="80" t="str">
        <f t="array" ref="R708">IF(A708="","",IFERROR(OR(INDEX(Binders!$J$6:$J$30,MATCH(Q708,Binders!$I$6:$I$30,0))=TRUE(),UPPER(INDEX(Binders!$J$6:$J$30,MATCH(Q708,Binders!$I$6:$I$30,0))&amp;"")="TRUE"),FALSE()))</f>
        <v/>
      </c>
    </row>
    <row r="709" ht="15.75" customHeight="1">
      <c r="A709" s="80" t="str">
        <f t="array" ref="A709">IF(INDEX('Deck 2'!$A:$Z,ROW()-500,'List Setup'!$D$4)="","",INDEX('Deck 2'!$A:$Z,ROW()-500,'List Setup'!$D$4))</f>
        <v/>
      </c>
      <c r="B709" s="80" t="str">
        <f t="array" ref="B709">IF(A709="","",IFERROR(INDEX('Binder Setup'!$B$2:$B$401,MIN(IF(ISNUMBER(SEARCH(CHAR(10)&amp;'Binder Setup'!$B$2:$B$401&amp;CHAR(10),$H709)),'List Setup'!$Q$2:$Q$401,999),IF(ISNUMBER(SEARCH(CHAR(10)&amp;'Set Aliases'!$A$2:$A$501&amp;CHAR(10),$H709)),'Set Aliases'!$C$2:$C$501,999))),"(none)"))</f>
        <v/>
      </c>
      <c r="C709" s="80" t="str">
        <f t="shared" si="1"/>
        <v/>
      </c>
      <c r="D709" s="80" t="str">
        <f t="array" ref="D709">IF(A709="","",IF(ISLOGICAL(INDEX('Deck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09" s="80" t="str">
        <f t="shared" si="2"/>
        <v/>
      </c>
      <c r="F709" s="80" t="str">
        <f t="array" ref="F709">IF(A709="","",IF(ISNUMBER(J709),J709,IF(ISNUMBER(INDEX('Deck 2'!$A:$Z,ROW()-500,'List Setup'!$F$4)),INDEX('Deck 2'!$A:$Z,ROW()-500,'List Setup'!$F$4),0)))</f>
        <v/>
      </c>
      <c r="G709" s="80" t="str">
        <f t="array" ref="G709">IF(A709="","",A709&amp;IF(N(INDEX('Deck 2'!$A:$Z,ROW()-500,'List Setup'!$C$4))&gt;1," (x"&amp;INDEX('Deck 2'!$A:$Z,ROW()-500,'List Setup'!$C$4)&amp;")","")&amp;IF(COUNTIF(Binders!$J$6:$J$30,TRUE())&gt;1," ["&amp;Q709&amp;"]",""))</f>
        <v/>
      </c>
      <c r="H709" s="80" t="str">
        <f t="array" ref="H709">IF(A709="","",CHAR(10)&amp;INDEX('Deck 2'!$A:$Z,ROW()-500,'List Setup'!$E$4)&amp;CHAR(10))</f>
        <v/>
      </c>
      <c r="I709" s="80" t="str">
        <f t="array" ref="I709">IF(OR(B709="",B709="(none)"),"",IF(ISNUMBER(SEARCH(CHAR(10)&amp;B709&amp;CHAR(10),H709)),B709,IFERROR(INDEX('Set Aliases'!$A$2:$A$501,MATCH(1,('Set Aliases'!$B$2:$B$501=B709)*ISNUMBER(SEARCH(CHAR(10)&amp;'Set Aliases'!$A$2:$A$501&amp;CHAR(10),H709)),0)),"")))</f>
        <v/>
      </c>
      <c r="J709" s="80" t="str">
        <f t="array" ref="J709">IF(I709="","",IFERROR(VALUE(TRIM(MID(SUBSTITUTE(INDEX('Deck 2'!$A:$Z,ROW()-500,'List Setup'!$G$4),CHAR(10),REPT(" ",100)),((SEARCH(CHAR(10)&amp;I709&amp;CHAR(10),H709)-LEN(SUBSTITUTE(LEFT(H709,SEARCH(CHAR(10)&amp;I709&amp;CHAR(10),H709)),CHAR(10),"")))-1)*100+1,100))),""))</f>
        <v/>
      </c>
      <c r="K709" s="80" t="str">
        <f t="array" ref="K709">IF(A709="","",IF(ISNUMBER(SEARCH("Land",LEFT(IFERROR(INDEX('Deck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09" s="80" t="str">
        <f t="shared" si="3"/>
        <v/>
      </c>
      <c r="M709" s="80" t="str">
        <f>IF(A709="","",IF(AND(E709="Y",B709='Use at Shop'!$B$4),K709*10000000000+(MAX(0,MIN(26,CODE(MID(UPPER(A709)&amp;"    ",1,1))-64))*19683+MAX(0,MIN(26,CODE(MID(UPPER(A709)&amp;"    ",2,1))-64))*729+MAX(0,MIN(26,CODE(MID(UPPER(A709)&amp;"    ",3,1))-64))*27+MAX(0,MIN(26,CODE(MID(UPPER(A709)&amp;"    ",4,1))-64))*1)*10000+ROW(),""))</f>
        <v/>
      </c>
      <c r="N709" s="80" t="str">
        <f t="shared" si="6"/>
        <v/>
      </c>
      <c r="O709" s="80" t="str">
        <f t="array" ref="O709">IF(A709="","",IFERROR(INDEX('Deck 2'!$A:$Z,ROW()-500,'List Setup'!$J$4)&amp;"",""))</f>
        <v/>
      </c>
      <c r="P709" s="2"/>
      <c r="Q709" s="80" t="str">
        <f>IF(A709="","",'List Setup'!$A$4)</f>
        <v/>
      </c>
      <c r="R709" s="80" t="str">
        <f t="array" ref="R709">IF(A709="","",IFERROR(OR(INDEX(Binders!$J$6:$J$30,MATCH(Q709,Binders!$I$6:$I$30,0))=TRUE(),UPPER(INDEX(Binders!$J$6:$J$30,MATCH(Q709,Binders!$I$6:$I$30,0))&amp;"")="TRUE"),FALSE()))</f>
        <v/>
      </c>
    </row>
    <row r="710" ht="15.75" customHeight="1">
      <c r="A710" s="80" t="str">
        <f t="array" ref="A710">IF(INDEX('Deck 2'!$A:$Z,ROW()-500,'List Setup'!$D$4)="","",INDEX('Deck 2'!$A:$Z,ROW()-500,'List Setup'!$D$4))</f>
        <v/>
      </c>
      <c r="B710" s="80" t="str">
        <f t="array" ref="B710">IF(A710="","",IFERROR(INDEX('Binder Setup'!$B$2:$B$401,MIN(IF(ISNUMBER(SEARCH(CHAR(10)&amp;'Binder Setup'!$B$2:$B$401&amp;CHAR(10),$H710)),'List Setup'!$Q$2:$Q$401,999),IF(ISNUMBER(SEARCH(CHAR(10)&amp;'Set Aliases'!$A$2:$A$501&amp;CHAR(10),$H710)),'Set Aliases'!$C$2:$C$501,999))),"(none)"))</f>
        <v/>
      </c>
      <c r="C710" s="80" t="str">
        <f t="shared" si="1"/>
        <v/>
      </c>
      <c r="D710" s="80" t="str">
        <f t="array" ref="D710">IF(A710="","",IF(ISLOGICAL(INDEX('Deck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10" s="80" t="str">
        <f t="shared" si="2"/>
        <v/>
      </c>
      <c r="F710" s="80" t="str">
        <f t="array" ref="F710">IF(A710="","",IF(ISNUMBER(J710),J710,IF(ISNUMBER(INDEX('Deck 2'!$A:$Z,ROW()-500,'List Setup'!$F$4)),INDEX('Deck 2'!$A:$Z,ROW()-500,'List Setup'!$F$4),0)))</f>
        <v/>
      </c>
      <c r="G710" s="80" t="str">
        <f t="array" ref="G710">IF(A710="","",A710&amp;IF(N(INDEX('Deck 2'!$A:$Z,ROW()-500,'List Setup'!$C$4))&gt;1," (x"&amp;INDEX('Deck 2'!$A:$Z,ROW()-500,'List Setup'!$C$4)&amp;")","")&amp;IF(COUNTIF(Binders!$J$6:$J$30,TRUE())&gt;1," ["&amp;Q710&amp;"]",""))</f>
        <v/>
      </c>
      <c r="H710" s="80" t="str">
        <f t="array" ref="H710">IF(A710="","",CHAR(10)&amp;INDEX('Deck 2'!$A:$Z,ROW()-500,'List Setup'!$E$4)&amp;CHAR(10))</f>
        <v/>
      </c>
      <c r="I710" s="80" t="str">
        <f t="array" ref="I710">IF(OR(B710="",B710="(none)"),"",IF(ISNUMBER(SEARCH(CHAR(10)&amp;B710&amp;CHAR(10),H710)),B710,IFERROR(INDEX('Set Aliases'!$A$2:$A$501,MATCH(1,('Set Aliases'!$B$2:$B$501=B710)*ISNUMBER(SEARCH(CHAR(10)&amp;'Set Aliases'!$A$2:$A$501&amp;CHAR(10),H710)),0)),"")))</f>
        <v/>
      </c>
      <c r="J710" s="80" t="str">
        <f t="array" ref="J710">IF(I710="","",IFERROR(VALUE(TRIM(MID(SUBSTITUTE(INDEX('Deck 2'!$A:$Z,ROW()-500,'List Setup'!$G$4),CHAR(10),REPT(" ",100)),((SEARCH(CHAR(10)&amp;I710&amp;CHAR(10),H710)-LEN(SUBSTITUTE(LEFT(H710,SEARCH(CHAR(10)&amp;I710&amp;CHAR(10),H710)),CHAR(10),"")))-1)*100+1,100))),""))</f>
        <v/>
      </c>
      <c r="K710" s="80" t="str">
        <f t="array" ref="K710">IF(A710="","",IF(ISNUMBER(SEARCH("Land",LEFT(IFERROR(INDEX('Deck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10" s="80" t="str">
        <f t="shared" si="3"/>
        <v/>
      </c>
      <c r="M710" s="80" t="str">
        <f>IF(A710="","",IF(AND(E710="Y",B710='Use at Shop'!$B$4),K710*10000000000+(MAX(0,MIN(26,CODE(MID(UPPER(A710)&amp;"    ",1,1))-64))*19683+MAX(0,MIN(26,CODE(MID(UPPER(A710)&amp;"    ",2,1))-64))*729+MAX(0,MIN(26,CODE(MID(UPPER(A710)&amp;"    ",3,1))-64))*27+MAX(0,MIN(26,CODE(MID(UPPER(A710)&amp;"    ",4,1))-64))*1)*10000+ROW(),""))</f>
        <v/>
      </c>
      <c r="N710" s="80" t="str">
        <f t="shared" si="6"/>
        <v/>
      </c>
      <c r="O710" s="80" t="str">
        <f t="array" ref="O710">IF(A710="","",IFERROR(INDEX('Deck 2'!$A:$Z,ROW()-500,'List Setup'!$J$4)&amp;"",""))</f>
        <v/>
      </c>
      <c r="P710" s="2"/>
      <c r="Q710" s="80" t="str">
        <f>IF(A710="","",'List Setup'!$A$4)</f>
        <v/>
      </c>
      <c r="R710" s="80" t="str">
        <f t="array" ref="R710">IF(A710="","",IFERROR(OR(INDEX(Binders!$J$6:$J$30,MATCH(Q710,Binders!$I$6:$I$30,0))=TRUE(),UPPER(INDEX(Binders!$J$6:$J$30,MATCH(Q710,Binders!$I$6:$I$30,0))&amp;"")="TRUE"),FALSE()))</f>
        <v/>
      </c>
    </row>
    <row r="711" ht="15.75" customHeight="1">
      <c r="A711" s="80" t="str">
        <f t="array" ref="A711">IF(INDEX('Deck 2'!$A:$Z,ROW()-500,'List Setup'!$D$4)="","",INDEX('Deck 2'!$A:$Z,ROW()-500,'List Setup'!$D$4))</f>
        <v/>
      </c>
      <c r="B711" s="80" t="str">
        <f t="array" ref="B711">IF(A711="","",IFERROR(INDEX('Binder Setup'!$B$2:$B$401,MIN(IF(ISNUMBER(SEARCH(CHAR(10)&amp;'Binder Setup'!$B$2:$B$401&amp;CHAR(10),$H711)),'List Setup'!$Q$2:$Q$401,999),IF(ISNUMBER(SEARCH(CHAR(10)&amp;'Set Aliases'!$A$2:$A$501&amp;CHAR(10),$H711)),'Set Aliases'!$C$2:$C$501,999))),"(none)"))</f>
        <v/>
      </c>
      <c r="C711" s="80" t="str">
        <f t="shared" si="1"/>
        <v/>
      </c>
      <c r="D711" s="80" t="str">
        <f t="array" ref="D711">IF(A711="","",IF(ISLOGICAL(INDEX('Deck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11" s="80" t="str">
        <f t="shared" si="2"/>
        <v/>
      </c>
      <c r="F711" s="80" t="str">
        <f t="array" ref="F711">IF(A711="","",IF(ISNUMBER(J711),J711,IF(ISNUMBER(INDEX('Deck 2'!$A:$Z,ROW()-500,'List Setup'!$F$4)),INDEX('Deck 2'!$A:$Z,ROW()-500,'List Setup'!$F$4),0)))</f>
        <v/>
      </c>
      <c r="G711" s="80" t="str">
        <f t="array" ref="G711">IF(A711="","",A711&amp;IF(N(INDEX('Deck 2'!$A:$Z,ROW()-500,'List Setup'!$C$4))&gt;1," (x"&amp;INDEX('Deck 2'!$A:$Z,ROW()-500,'List Setup'!$C$4)&amp;")","")&amp;IF(COUNTIF(Binders!$J$6:$J$30,TRUE())&gt;1," ["&amp;Q711&amp;"]",""))</f>
        <v/>
      </c>
      <c r="H711" s="80" t="str">
        <f t="array" ref="H711">IF(A711="","",CHAR(10)&amp;INDEX('Deck 2'!$A:$Z,ROW()-500,'List Setup'!$E$4)&amp;CHAR(10))</f>
        <v/>
      </c>
      <c r="I711" s="80" t="str">
        <f t="array" ref="I711">IF(OR(B711="",B711="(none)"),"",IF(ISNUMBER(SEARCH(CHAR(10)&amp;B711&amp;CHAR(10),H711)),B711,IFERROR(INDEX('Set Aliases'!$A$2:$A$501,MATCH(1,('Set Aliases'!$B$2:$B$501=B711)*ISNUMBER(SEARCH(CHAR(10)&amp;'Set Aliases'!$A$2:$A$501&amp;CHAR(10),H711)),0)),"")))</f>
        <v/>
      </c>
      <c r="J711" s="80" t="str">
        <f t="array" ref="J711">IF(I711="","",IFERROR(VALUE(TRIM(MID(SUBSTITUTE(INDEX('Deck 2'!$A:$Z,ROW()-500,'List Setup'!$G$4),CHAR(10),REPT(" ",100)),((SEARCH(CHAR(10)&amp;I711&amp;CHAR(10),H711)-LEN(SUBSTITUTE(LEFT(H711,SEARCH(CHAR(10)&amp;I711&amp;CHAR(10),H711)),CHAR(10),"")))-1)*100+1,100))),""))</f>
        <v/>
      </c>
      <c r="K711" s="80" t="str">
        <f t="array" ref="K711">IF(A711="","",IF(ISNUMBER(SEARCH("Land",LEFT(IFERROR(INDEX('Deck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11" s="80" t="str">
        <f t="shared" si="3"/>
        <v/>
      </c>
      <c r="M711" s="80" t="str">
        <f>IF(A711="","",IF(AND(E711="Y",B711='Use at Shop'!$B$4),K711*10000000000+(MAX(0,MIN(26,CODE(MID(UPPER(A711)&amp;"    ",1,1))-64))*19683+MAX(0,MIN(26,CODE(MID(UPPER(A711)&amp;"    ",2,1))-64))*729+MAX(0,MIN(26,CODE(MID(UPPER(A711)&amp;"    ",3,1))-64))*27+MAX(0,MIN(26,CODE(MID(UPPER(A711)&amp;"    ",4,1))-64))*1)*10000+ROW(),""))</f>
        <v/>
      </c>
      <c r="N711" s="80" t="str">
        <f t="shared" si="6"/>
        <v/>
      </c>
      <c r="O711" s="80" t="str">
        <f t="array" ref="O711">IF(A711="","",IFERROR(INDEX('Deck 2'!$A:$Z,ROW()-500,'List Setup'!$J$4)&amp;"",""))</f>
        <v/>
      </c>
      <c r="P711" s="2"/>
      <c r="Q711" s="80" t="str">
        <f>IF(A711="","",'List Setup'!$A$4)</f>
        <v/>
      </c>
      <c r="R711" s="80" t="str">
        <f t="array" ref="R711">IF(A711="","",IFERROR(OR(INDEX(Binders!$J$6:$J$30,MATCH(Q711,Binders!$I$6:$I$30,0))=TRUE(),UPPER(INDEX(Binders!$J$6:$J$30,MATCH(Q711,Binders!$I$6:$I$30,0))&amp;"")="TRUE"),FALSE()))</f>
        <v/>
      </c>
    </row>
    <row r="712" ht="15.75" customHeight="1">
      <c r="A712" s="80" t="str">
        <f t="array" ref="A712">IF(INDEX('Deck 2'!$A:$Z,ROW()-500,'List Setup'!$D$4)="","",INDEX('Deck 2'!$A:$Z,ROW()-500,'List Setup'!$D$4))</f>
        <v/>
      </c>
      <c r="B712" s="80" t="str">
        <f t="array" ref="B712">IF(A712="","",IFERROR(INDEX('Binder Setup'!$B$2:$B$401,MIN(IF(ISNUMBER(SEARCH(CHAR(10)&amp;'Binder Setup'!$B$2:$B$401&amp;CHAR(10),$H712)),'List Setup'!$Q$2:$Q$401,999),IF(ISNUMBER(SEARCH(CHAR(10)&amp;'Set Aliases'!$A$2:$A$501&amp;CHAR(10),$H712)),'Set Aliases'!$C$2:$C$501,999))),"(none)"))</f>
        <v/>
      </c>
      <c r="C712" s="80" t="str">
        <f t="shared" si="1"/>
        <v/>
      </c>
      <c r="D712" s="80" t="str">
        <f t="array" ref="D712">IF(A712="","",IF(ISLOGICAL(INDEX('Deck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12" s="80" t="str">
        <f t="shared" si="2"/>
        <v/>
      </c>
      <c r="F712" s="80" t="str">
        <f t="array" ref="F712">IF(A712="","",IF(ISNUMBER(J712),J712,IF(ISNUMBER(INDEX('Deck 2'!$A:$Z,ROW()-500,'List Setup'!$F$4)),INDEX('Deck 2'!$A:$Z,ROW()-500,'List Setup'!$F$4),0)))</f>
        <v/>
      </c>
      <c r="G712" s="80" t="str">
        <f t="array" ref="G712">IF(A712="","",A712&amp;IF(N(INDEX('Deck 2'!$A:$Z,ROW()-500,'List Setup'!$C$4))&gt;1," (x"&amp;INDEX('Deck 2'!$A:$Z,ROW()-500,'List Setup'!$C$4)&amp;")","")&amp;IF(COUNTIF(Binders!$J$6:$J$30,TRUE())&gt;1," ["&amp;Q712&amp;"]",""))</f>
        <v/>
      </c>
      <c r="H712" s="80" t="str">
        <f t="array" ref="H712">IF(A712="","",CHAR(10)&amp;INDEX('Deck 2'!$A:$Z,ROW()-500,'List Setup'!$E$4)&amp;CHAR(10))</f>
        <v/>
      </c>
      <c r="I712" s="80" t="str">
        <f t="array" ref="I712">IF(OR(B712="",B712="(none)"),"",IF(ISNUMBER(SEARCH(CHAR(10)&amp;B712&amp;CHAR(10),H712)),B712,IFERROR(INDEX('Set Aliases'!$A$2:$A$501,MATCH(1,('Set Aliases'!$B$2:$B$501=B712)*ISNUMBER(SEARCH(CHAR(10)&amp;'Set Aliases'!$A$2:$A$501&amp;CHAR(10),H712)),0)),"")))</f>
        <v/>
      </c>
      <c r="J712" s="80" t="str">
        <f t="array" ref="J712">IF(I712="","",IFERROR(VALUE(TRIM(MID(SUBSTITUTE(INDEX('Deck 2'!$A:$Z,ROW()-500,'List Setup'!$G$4),CHAR(10),REPT(" ",100)),((SEARCH(CHAR(10)&amp;I712&amp;CHAR(10),H712)-LEN(SUBSTITUTE(LEFT(H712,SEARCH(CHAR(10)&amp;I712&amp;CHAR(10),H712)),CHAR(10),"")))-1)*100+1,100))),""))</f>
        <v/>
      </c>
      <c r="K712" s="80" t="str">
        <f t="array" ref="K712">IF(A712="","",IF(ISNUMBER(SEARCH("Land",LEFT(IFERROR(INDEX('Deck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12" s="80" t="str">
        <f t="shared" si="3"/>
        <v/>
      </c>
      <c r="M712" s="80" t="str">
        <f>IF(A712="","",IF(AND(E712="Y",B712='Use at Shop'!$B$4),K712*10000000000+(MAX(0,MIN(26,CODE(MID(UPPER(A712)&amp;"    ",1,1))-64))*19683+MAX(0,MIN(26,CODE(MID(UPPER(A712)&amp;"    ",2,1))-64))*729+MAX(0,MIN(26,CODE(MID(UPPER(A712)&amp;"    ",3,1))-64))*27+MAX(0,MIN(26,CODE(MID(UPPER(A712)&amp;"    ",4,1))-64))*1)*10000+ROW(),""))</f>
        <v/>
      </c>
      <c r="N712" s="80" t="str">
        <f t="shared" si="6"/>
        <v/>
      </c>
      <c r="O712" s="80" t="str">
        <f t="array" ref="O712">IF(A712="","",IFERROR(INDEX('Deck 2'!$A:$Z,ROW()-500,'List Setup'!$J$4)&amp;"",""))</f>
        <v/>
      </c>
      <c r="P712" s="2"/>
      <c r="Q712" s="80" t="str">
        <f>IF(A712="","",'List Setup'!$A$4)</f>
        <v/>
      </c>
      <c r="R712" s="80" t="str">
        <f t="array" ref="R712">IF(A712="","",IFERROR(OR(INDEX(Binders!$J$6:$J$30,MATCH(Q712,Binders!$I$6:$I$30,0))=TRUE(),UPPER(INDEX(Binders!$J$6:$J$30,MATCH(Q712,Binders!$I$6:$I$30,0))&amp;"")="TRUE"),FALSE()))</f>
        <v/>
      </c>
    </row>
    <row r="713" ht="15.75" customHeight="1">
      <c r="A713" s="80" t="str">
        <f t="array" ref="A713">IF(INDEX('Deck 2'!$A:$Z,ROW()-500,'List Setup'!$D$4)="","",INDEX('Deck 2'!$A:$Z,ROW()-500,'List Setup'!$D$4))</f>
        <v/>
      </c>
      <c r="B713" s="80" t="str">
        <f t="array" ref="B713">IF(A713="","",IFERROR(INDEX('Binder Setup'!$B$2:$B$401,MIN(IF(ISNUMBER(SEARCH(CHAR(10)&amp;'Binder Setup'!$B$2:$B$401&amp;CHAR(10),$H713)),'List Setup'!$Q$2:$Q$401,999),IF(ISNUMBER(SEARCH(CHAR(10)&amp;'Set Aliases'!$A$2:$A$501&amp;CHAR(10),$H713)),'Set Aliases'!$C$2:$C$501,999))),"(none)"))</f>
        <v/>
      </c>
      <c r="C713" s="80" t="str">
        <f t="shared" si="1"/>
        <v/>
      </c>
      <c r="D713" s="80" t="str">
        <f t="array" ref="D713">IF(A713="","",IF(ISLOGICAL(INDEX('Deck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13" s="80" t="str">
        <f t="shared" si="2"/>
        <v/>
      </c>
      <c r="F713" s="80" t="str">
        <f t="array" ref="F713">IF(A713="","",IF(ISNUMBER(J713),J713,IF(ISNUMBER(INDEX('Deck 2'!$A:$Z,ROW()-500,'List Setup'!$F$4)),INDEX('Deck 2'!$A:$Z,ROW()-500,'List Setup'!$F$4),0)))</f>
        <v/>
      </c>
      <c r="G713" s="80" t="str">
        <f t="array" ref="G713">IF(A713="","",A713&amp;IF(N(INDEX('Deck 2'!$A:$Z,ROW()-500,'List Setup'!$C$4))&gt;1," (x"&amp;INDEX('Deck 2'!$A:$Z,ROW()-500,'List Setup'!$C$4)&amp;")","")&amp;IF(COUNTIF(Binders!$J$6:$J$30,TRUE())&gt;1," ["&amp;Q713&amp;"]",""))</f>
        <v/>
      </c>
      <c r="H713" s="80" t="str">
        <f t="array" ref="H713">IF(A713="","",CHAR(10)&amp;INDEX('Deck 2'!$A:$Z,ROW()-500,'List Setup'!$E$4)&amp;CHAR(10))</f>
        <v/>
      </c>
      <c r="I713" s="80" t="str">
        <f t="array" ref="I713">IF(OR(B713="",B713="(none)"),"",IF(ISNUMBER(SEARCH(CHAR(10)&amp;B713&amp;CHAR(10),H713)),B713,IFERROR(INDEX('Set Aliases'!$A$2:$A$501,MATCH(1,('Set Aliases'!$B$2:$B$501=B713)*ISNUMBER(SEARCH(CHAR(10)&amp;'Set Aliases'!$A$2:$A$501&amp;CHAR(10),H713)),0)),"")))</f>
        <v/>
      </c>
      <c r="J713" s="80" t="str">
        <f t="array" ref="J713">IF(I713="","",IFERROR(VALUE(TRIM(MID(SUBSTITUTE(INDEX('Deck 2'!$A:$Z,ROW()-500,'List Setup'!$G$4),CHAR(10),REPT(" ",100)),((SEARCH(CHAR(10)&amp;I713&amp;CHAR(10),H713)-LEN(SUBSTITUTE(LEFT(H713,SEARCH(CHAR(10)&amp;I713&amp;CHAR(10),H713)),CHAR(10),"")))-1)*100+1,100))),""))</f>
        <v/>
      </c>
      <c r="K713" s="80" t="str">
        <f t="array" ref="K713">IF(A713="","",IF(ISNUMBER(SEARCH("Land",LEFT(IFERROR(INDEX('Deck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13" s="80" t="str">
        <f t="shared" si="3"/>
        <v/>
      </c>
      <c r="M713" s="80" t="str">
        <f>IF(A713="","",IF(AND(E713="Y",B713='Use at Shop'!$B$4),K713*10000000000+(MAX(0,MIN(26,CODE(MID(UPPER(A713)&amp;"    ",1,1))-64))*19683+MAX(0,MIN(26,CODE(MID(UPPER(A713)&amp;"    ",2,1))-64))*729+MAX(0,MIN(26,CODE(MID(UPPER(A713)&amp;"    ",3,1))-64))*27+MAX(0,MIN(26,CODE(MID(UPPER(A713)&amp;"    ",4,1))-64))*1)*10000+ROW(),""))</f>
        <v/>
      </c>
      <c r="N713" s="80" t="str">
        <f t="shared" si="6"/>
        <v/>
      </c>
      <c r="O713" s="80" t="str">
        <f t="array" ref="O713">IF(A713="","",IFERROR(INDEX('Deck 2'!$A:$Z,ROW()-500,'List Setup'!$J$4)&amp;"",""))</f>
        <v/>
      </c>
      <c r="P713" s="2"/>
      <c r="Q713" s="80" t="str">
        <f>IF(A713="","",'List Setup'!$A$4)</f>
        <v/>
      </c>
      <c r="R713" s="80" t="str">
        <f t="array" ref="R713">IF(A713="","",IFERROR(OR(INDEX(Binders!$J$6:$J$30,MATCH(Q713,Binders!$I$6:$I$30,0))=TRUE(),UPPER(INDEX(Binders!$J$6:$J$30,MATCH(Q713,Binders!$I$6:$I$30,0))&amp;"")="TRUE"),FALSE()))</f>
        <v/>
      </c>
    </row>
    <row r="714" ht="15.75" customHeight="1">
      <c r="A714" s="80" t="str">
        <f t="array" ref="A714">IF(INDEX('Deck 2'!$A:$Z,ROW()-500,'List Setup'!$D$4)="","",INDEX('Deck 2'!$A:$Z,ROW()-500,'List Setup'!$D$4))</f>
        <v/>
      </c>
      <c r="B714" s="80" t="str">
        <f t="array" ref="B714">IF(A714="","",IFERROR(INDEX('Binder Setup'!$B$2:$B$401,MIN(IF(ISNUMBER(SEARCH(CHAR(10)&amp;'Binder Setup'!$B$2:$B$401&amp;CHAR(10),$H714)),'List Setup'!$Q$2:$Q$401,999),IF(ISNUMBER(SEARCH(CHAR(10)&amp;'Set Aliases'!$A$2:$A$501&amp;CHAR(10),$H714)),'Set Aliases'!$C$2:$C$501,999))),"(none)"))</f>
        <v/>
      </c>
      <c r="C714" s="80" t="str">
        <f t="shared" si="1"/>
        <v/>
      </c>
      <c r="D714" s="80" t="str">
        <f t="array" ref="D714">IF(A714="","",IF(ISLOGICAL(INDEX('Deck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14" s="80" t="str">
        <f t="shared" si="2"/>
        <v/>
      </c>
      <c r="F714" s="80" t="str">
        <f t="array" ref="F714">IF(A714="","",IF(ISNUMBER(J714),J714,IF(ISNUMBER(INDEX('Deck 2'!$A:$Z,ROW()-500,'List Setup'!$F$4)),INDEX('Deck 2'!$A:$Z,ROW()-500,'List Setup'!$F$4),0)))</f>
        <v/>
      </c>
      <c r="G714" s="80" t="str">
        <f t="array" ref="G714">IF(A714="","",A714&amp;IF(N(INDEX('Deck 2'!$A:$Z,ROW()-500,'List Setup'!$C$4))&gt;1," (x"&amp;INDEX('Deck 2'!$A:$Z,ROW()-500,'List Setup'!$C$4)&amp;")","")&amp;IF(COUNTIF(Binders!$J$6:$J$30,TRUE())&gt;1," ["&amp;Q714&amp;"]",""))</f>
        <v/>
      </c>
      <c r="H714" s="80" t="str">
        <f t="array" ref="H714">IF(A714="","",CHAR(10)&amp;INDEX('Deck 2'!$A:$Z,ROW()-500,'List Setup'!$E$4)&amp;CHAR(10))</f>
        <v/>
      </c>
      <c r="I714" s="80" t="str">
        <f t="array" ref="I714">IF(OR(B714="",B714="(none)"),"",IF(ISNUMBER(SEARCH(CHAR(10)&amp;B714&amp;CHAR(10),H714)),B714,IFERROR(INDEX('Set Aliases'!$A$2:$A$501,MATCH(1,('Set Aliases'!$B$2:$B$501=B714)*ISNUMBER(SEARCH(CHAR(10)&amp;'Set Aliases'!$A$2:$A$501&amp;CHAR(10),H714)),0)),"")))</f>
        <v/>
      </c>
      <c r="J714" s="80" t="str">
        <f t="array" ref="J714">IF(I714="","",IFERROR(VALUE(TRIM(MID(SUBSTITUTE(INDEX('Deck 2'!$A:$Z,ROW()-500,'List Setup'!$G$4),CHAR(10),REPT(" ",100)),((SEARCH(CHAR(10)&amp;I714&amp;CHAR(10),H714)-LEN(SUBSTITUTE(LEFT(H714,SEARCH(CHAR(10)&amp;I714&amp;CHAR(10),H714)),CHAR(10),"")))-1)*100+1,100))),""))</f>
        <v/>
      </c>
      <c r="K714" s="80" t="str">
        <f t="array" ref="K714">IF(A714="","",IF(ISNUMBER(SEARCH("Land",LEFT(IFERROR(INDEX('Deck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14" s="80" t="str">
        <f t="shared" si="3"/>
        <v/>
      </c>
      <c r="M714" s="80" t="str">
        <f>IF(A714="","",IF(AND(E714="Y",B714='Use at Shop'!$B$4),K714*10000000000+(MAX(0,MIN(26,CODE(MID(UPPER(A714)&amp;"    ",1,1))-64))*19683+MAX(0,MIN(26,CODE(MID(UPPER(A714)&amp;"    ",2,1))-64))*729+MAX(0,MIN(26,CODE(MID(UPPER(A714)&amp;"    ",3,1))-64))*27+MAX(0,MIN(26,CODE(MID(UPPER(A714)&amp;"    ",4,1))-64))*1)*10000+ROW(),""))</f>
        <v/>
      </c>
      <c r="N714" s="80" t="str">
        <f t="shared" si="6"/>
        <v/>
      </c>
      <c r="O714" s="80" t="str">
        <f t="array" ref="O714">IF(A714="","",IFERROR(INDEX('Deck 2'!$A:$Z,ROW()-500,'List Setup'!$J$4)&amp;"",""))</f>
        <v/>
      </c>
      <c r="P714" s="2"/>
      <c r="Q714" s="80" t="str">
        <f>IF(A714="","",'List Setup'!$A$4)</f>
        <v/>
      </c>
      <c r="R714" s="80" t="str">
        <f t="array" ref="R714">IF(A714="","",IFERROR(OR(INDEX(Binders!$J$6:$J$30,MATCH(Q714,Binders!$I$6:$I$30,0))=TRUE(),UPPER(INDEX(Binders!$J$6:$J$30,MATCH(Q714,Binders!$I$6:$I$30,0))&amp;"")="TRUE"),FALSE()))</f>
        <v/>
      </c>
    </row>
    <row r="715" ht="15.75" customHeight="1">
      <c r="A715" s="80" t="str">
        <f t="array" ref="A715">IF(INDEX('Deck 2'!$A:$Z,ROW()-500,'List Setup'!$D$4)="","",INDEX('Deck 2'!$A:$Z,ROW()-500,'List Setup'!$D$4))</f>
        <v/>
      </c>
      <c r="B715" s="80" t="str">
        <f t="array" ref="B715">IF(A715="","",IFERROR(INDEX('Binder Setup'!$B$2:$B$401,MIN(IF(ISNUMBER(SEARCH(CHAR(10)&amp;'Binder Setup'!$B$2:$B$401&amp;CHAR(10),$H715)),'List Setup'!$Q$2:$Q$401,999),IF(ISNUMBER(SEARCH(CHAR(10)&amp;'Set Aliases'!$A$2:$A$501&amp;CHAR(10),$H715)),'Set Aliases'!$C$2:$C$501,999))),"(none)"))</f>
        <v/>
      </c>
      <c r="C715" s="80" t="str">
        <f t="shared" si="1"/>
        <v/>
      </c>
      <c r="D715" s="80" t="str">
        <f t="array" ref="D715">IF(A715="","",IF(ISLOGICAL(INDEX('Deck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15" s="80" t="str">
        <f t="shared" si="2"/>
        <v/>
      </c>
      <c r="F715" s="80" t="str">
        <f t="array" ref="F715">IF(A715="","",IF(ISNUMBER(J715),J715,IF(ISNUMBER(INDEX('Deck 2'!$A:$Z,ROW()-500,'List Setup'!$F$4)),INDEX('Deck 2'!$A:$Z,ROW()-500,'List Setup'!$F$4),0)))</f>
        <v/>
      </c>
      <c r="G715" s="80" t="str">
        <f t="array" ref="G715">IF(A715="","",A715&amp;IF(N(INDEX('Deck 2'!$A:$Z,ROW()-500,'List Setup'!$C$4))&gt;1," (x"&amp;INDEX('Deck 2'!$A:$Z,ROW()-500,'List Setup'!$C$4)&amp;")","")&amp;IF(COUNTIF(Binders!$J$6:$J$30,TRUE())&gt;1," ["&amp;Q715&amp;"]",""))</f>
        <v/>
      </c>
      <c r="H715" s="80" t="str">
        <f t="array" ref="H715">IF(A715="","",CHAR(10)&amp;INDEX('Deck 2'!$A:$Z,ROW()-500,'List Setup'!$E$4)&amp;CHAR(10))</f>
        <v/>
      </c>
      <c r="I715" s="80" t="str">
        <f t="array" ref="I715">IF(OR(B715="",B715="(none)"),"",IF(ISNUMBER(SEARCH(CHAR(10)&amp;B715&amp;CHAR(10),H715)),B715,IFERROR(INDEX('Set Aliases'!$A$2:$A$501,MATCH(1,('Set Aliases'!$B$2:$B$501=B715)*ISNUMBER(SEARCH(CHAR(10)&amp;'Set Aliases'!$A$2:$A$501&amp;CHAR(10),H715)),0)),"")))</f>
        <v/>
      </c>
      <c r="J715" s="80" t="str">
        <f t="array" ref="J715">IF(I715="","",IFERROR(VALUE(TRIM(MID(SUBSTITUTE(INDEX('Deck 2'!$A:$Z,ROW()-500,'List Setup'!$G$4),CHAR(10),REPT(" ",100)),((SEARCH(CHAR(10)&amp;I715&amp;CHAR(10),H715)-LEN(SUBSTITUTE(LEFT(H715,SEARCH(CHAR(10)&amp;I715&amp;CHAR(10),H715)),CHAR(10),"")))-1)*100+1,100))),""))</f>
        <v/>
      </c>
      <c r="K715" s="80" t="str">
        <f t="array" ref="K715">IF(A715="","",IF(ISNUMBER(SEARCH("Land",LEFT(IFERROR(INDEX('Deck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15" s="80" t="str">
        <f t="shared" si="3"/>
        <v/>
      </c>
      <c r="M715" s="80" t="str">
        <f>IF(A715="","",IF(AND(E715="Y",B715='Use at Shop'!$B$4),K715*10000000000+(MAX(0,MIN(26,CODE(MID(UPPER(A715)&amp;"    ",1,1))-64))*19683+MAX(0,MIN(26,CODE(MID(UPPER(A715)&amp;"    ",2,1))-64))*729+MAX(0,MIN(26,CODE(MID(UPPER(A715)&amp;"    ",3,1))-64))*27+MAX(0,MIN(26,CODE(MID(UPPER(A715)&amp;"    ",4,1))-64))*1)*10000+ROW(),""))</f>
        <v/>
      </c>
      <c r="N715" s="80" t="str">
        <f t="shared" si="6"/>
        <v/>
      </c>
      <c r="O715" s="80" t="str">
        <f t="array" ref="O715">IF(A715="","",IFERROR(INDEX('Deck 2'!$A:$Z,ROW()-500,'List Setup'!$J$4)&amp;"",""))</f>
        <v/>
      </c>
      <c r="P715" s="2"/>
      <c r="Q715" s="80" t="str">
        <f>IF(A715="","",'List Setup'!$A$4)</f>
        <v/>
      </c>
      <c r="R715" s="80" t="str">
        <f t="array" ref="R715">IF(A715="","",IFERROR(OR(INDEX(Binders!$J$6:$J$30,MATCH(Q715,Binders!$I$6:$I$30,0))=TRUE(),UPPER(INDEX(Binders!$J$6:$J$30,MATCH(Q715,Binders!$I$6:$I$30,0))&amp;"")="TRUE"),FALSE()))</f>
        <v/>
      </c>
    </row>
    <row r="716" ht="15.75" customHeight="1">
      <c r="A716" s="80" t="str">
        <f t="array" ref="A716">IF(INDEX('Deck 2'!$A:$Z,ROW()-500,'List Setup'!$D$4)="","",INDEX('Deck 2'!$A:$Z,ROW()-500,'List Setup'!$D$4))</f>
        <v/>
      </c>
      <c r="B716" s="80" t="str">
        <f t="array" ref="B716">IF(A716="","",IFERROR(INDEX('Binder Setup'!$B$2:$B$401,MIN(IF(ISNUMBER(SEARCH(CHAR(10)&amp;'Binder Setup'!$B$2:$B$401&amp;CHAR(10),$H716)),'List Setup'!$Q$2:$Q$401,999),IF(ISNUMBER(SEARCH(CHAR(10)&amp;'Set Aliases'!$A$2:$A$501&amp;CHAR(10),$H716)),'Set Aliases'!$C$2:$C$501,999))),"(none)"))</f>
        <v/>
      </c>
      <c r="C716" s="80" t="str">
        <f t="shared" si="1"/>
        <v/>
      </c>
      <c r="D716" s="80" t="str">
        <f t="array" ref="D716">IF(A716="","",IF(ISLOGICAL(INDEX('Deck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16" s="80" t="str">
        <f t="shared" si="2"/>
        <v/>
      </c>
      <c r="F716" s="80" t="str">
        <f t="array" ref="F716">IF(A716="","",IF(ISNUMBER(J716),J716,IF(ISNUMBER(INDEX('Deck 2'!$A:$Z,ROW()-500,'List Setup'!$F$4)),INDEX('Deck 2'!$A:$Z,ROW()-500,'List Setup'!$F$4),0)))</f>
        <v/>
      </c>
      <c r="G716" s="80" t="str">
        <f t="array" ref="G716">IF(A716="","",A716&amp;IF(N(INDEX('Deck 2'!$A:$Z,ROW()-500,'List Setup'!$C$4))&gt;1," (x"&amp;INDEX('Deck 2'!$A:$Z,ROW()-500,'List Setup'!$C$4)&amp;")","")&amp;IF(COUNTIF(Binders!$J$6:$J$30,TRUE())&gt;1," ["&amp;Q716&amp;"]",""))</f>
        <v/>
      </c>
      <c r="H716" s="80" t="str">
        <f t="array" ref="H716">IF(A716="","",CHAR(10)&amp;INDEX('Deck 2'!$A:$Z,ROW()-500,'List Setup'!$E$4)&amp;CHAR(10))</f>
        <v/>
      </c>
      <c r="I716" s="80" t="str">
        <f t="array" ref="I716">IF(OR(B716="",B716="(none)"),"",IF(ISNUMBER(SEARCH(CHAR(10)&amp;B716&amp;CHAR(10),H716)),B716,IFERROR(INDEX('Set Aliases'!$A$2:$A$501,MATCH(1,('Set Aliases'!$B$2:$B$501=B716)*ISNUMBER(SEARCH(CHAR(10)&amp;'Set Aliases'!$A$2:$A$501&amp;CHAR(10),H716)),0)),"")))</f>
        <v/>
      </c>
      <c r="J716" s="80" t="str">
        <f t="array" ref="J716">IF(I716="","",IFERROR(VALUE(TRIM(MID(SUBSTITUTE(INDEX('Deck 2'!$A:$Z,ROW()-500,'List Setup'!$G$4),CHAR(10),REPT(" ",100)),((SEARCH(CHAR(10)&amp;I716&amp;CHAR(10),H716)-LEN(SUBSTITUTE(LEFT(H716,SEARCH(CHAR(10)&amp;I716&amp;CHAR(10),H716)),CHAR(10),"")))-1)*100+1,100))),""))</f>
        <v/>
      </c>
      <c r="K716" s="80" t="str">
        <f t="array" ref="K716">IF(A716="","",IF(ISNUMBER(SEARCH("Land",LEFT(IFERROR(INDEX('Deck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16" s="80" t="str">
        <f t="shared" si="3"/>
        <v/>
      </c>
      <c r="M716" s="80" t="str">
        <f>IF(A716="","",IF(AND(E716="Y",B716='Use at Shop'!$B$4),K716*10000000000+(MAX(0,MIN(26,CODE(MID(UPPER(A716)&amp;"    ",1,1))-64))*19683+MAX(0,MIN(26,CODE(MID(UPPER(A716)&amp;"    ",2,1))-64))*729+MAX(0,MIN(26,CODE(MID(UPPER(A716)&amp;"    ",3,1))-64))*27+MAX(0,MIN(26,CODE(MID(UPPER(A716)&amp;"    ",4,1))-64))*1)*10000+ROW(),""))</f>
        <v/>
      </c>
      <c r="N716" s="80" t="str">
        <f t="shared" si="6"/>
        <v/>
      </c>
      <c r="O716" s="80" t="str">
        <f t="array" ref="O716">IF(A716="","",IFERROR(INDEX('Deck 2'!$A:$Z,ROW()-500,'List Setup'!$J$4)&amp;"",""))</f>
        <v/>
      </c>
      <c r="P716" s="2"/>
      <c r="Q716" s="80" t="str">
        <f>IF(A716="","",'List Setup'!$A$4)</f>
        <v/>
      </c>
      <c r="R716" s="80" t="str">
        <f t="array" ref="R716">IF(A716="","",IFERROR(OR(INDEX(Binders!$J$6:$J$30,MATCH(Q716,Binders!$I$6:$I$30,0))=TRUE(),UPPER(INDEX(Binders!$J$6:$J$30,MATCH(Q716,Binders!$I$6:$I$30,0))&amp;"")="TRUE"),FALSE()))</f>
        <v/>
      </c>
    </row>
    <row r="717" ht="15.75" customHeight="1">
      <c r="A717" s="80" t="str">
        <f t="array" ref="A717">IF(INDEX('Deck 2'!$A:$Z,ROW()-500,'List Setup'!$D$4)="","",INDEX('Deck 2'!$A:$Z,ROW()-500,'List Setup'!$D$4))</f>
        <v/>
      </c>
      <c r="B717" s="80" t="str">
        <f t="array" ref="B717">IF(A717="","",IFERROR(INDEX('Binder Setup'!$B$2:$B$401,MIN(IF(ISNUMBER(SEARCH(CHAR(10)&amp;'Binder Setup'!$B$2:$B$401&amp;CHAR(10),$H717)),'List Setup'!$Q$2:$Q$401,999),IF(ISNUMBER(SEARCH(CHAR(10)&amp;'Set Aliases'!$A$2:$A$501&amp;CHAR(10),$H717)),'Set Aliases'!$C$2:$C$501,999))),"(none)"))</f>
        <v/>
      </c>
      <c r="C717" s="80" t="str">
        <f t="shared" si="1"/>
        <v/>
      </c>
      <c r="D717" s="80" t="str">
        <f t="array" ref="D717">IF(A717="","",IF(ISLOGICAL(INDEX('Deck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17" s="80" t="str">
        <f t="shared" si="2"/>
        <v/>
      </c>
      <c r="F717" s="80" t="str">
        <f t="array" ref="F717">IF(A717="","",IF(ISNUMBER(J717),J717,IF(ISNUMBER(INDEX('Deck 2'!$A:$Z,ROW()-500,'List Setup'!$F$4)),INDEX('Deck 2'!$A:$Z,ROW()-500,'List Setup'!$F$4),0)))</f>
        <v/>
      </c>
      <c r="G717" s="80" t="str">
        <f t="array" ref="G717">IF(A717="","",A717&amp;IF(N(INDEX('Deck 2'!$A:$Z,ROW()-500,'List Setup'!$C$4))&gt;1," (x"&amp;INDEX('Deck 2'!$A:$Z,ROW()-500,'List Setup'!$C$4)&amp;")","")&amp;IF(COUNTIF(Binders!$J$6:$J$30,TRUE())&gt;1," ["&amp;Q717&amp;"]",""))</f>
        <v/>
      </c>
      <c r="H717" s="80" t="str">
        <f t="array" ref="H717">IF(A717="","",CHAR(10)&amp;INDEX('Deck 2'!$A:$Z,ROW()-500,'List Setup'!$E$4)&amp;CHAR(10))</f>
        <v/>
      </c>
      <c r="I717" s="80" t="str">
        <f t="array" ref="I717">IF(OR(B717="",B717="(none)"),"",IF(ISNUMBER(SEARCH(CHAR(10)&amp;B717&amp;CHAR(10),H717)),B717,IFERROR(INDEX('Set Aliases'!$A$2:$A$501,MATCH(1,('Set Aliases'!$B$2:$B$501=B717)*ISNUMBER(SEARCH(CHAR(10)&amp;'Set Aliases'!$A$2:$A$501&amp;CHAR(10),H717)),0)),"")))</f>
        <v/>
      </c>
      <c r="J717" s="80" t="str">
        <f t="array" ref="J717">IF(I717="","",IFERROR(VALUE(TRIM(MID(SUBSTITUTE(INDEX('Deck 2'!$A:$Z,ROW()-500,'List Setup'!$G$4),CHAR(10),REPT(" ",100)),((SEARCH(CHAR(10)&amp;I717&amp;CHAR(10),H717)-LEN(SUBSTITUTE(LEFT(H717,SEARCH(CHAR(10)&amp;I717&amp;CHAR(10),H717)),CHAR(10),"")))-1)*100+1,100))),""))</f>
        <v/>
      </c>
      <c r="K717" s="80" t="str">
        <f t="array" ref="K717">IF(A717="","",IF(ISNUMBER(SEARCH("Land",LEFT(IFERROR(INDEX('Deck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17" s="80" t="str">
        <f t="shared" si="3"/>
        <v/>
      </c>
      <c r="M717" s="80" t="str">
        <f>IF(A717="","",IF(AND(E717="Y",B717='Use at Shop'!$B$4),K717*10000000000+(MAX(0,MIN(26,CODE(MID(UPPER(A717)&amp;"    ",1,1))-64))*19683+MAX(0,MIN(26,CODE(MID(UPPER(A717)&amp;"    ",2,1))-64))*729+MAX(0,MIN(26,CODE(MID(UPPER(A717)&amp;"    ",3,1))-64))*27+MAX(0,MIN(26,CODE(MID(UPPER(A717)&amp;"    ",4,1))-64))*1)*10000+ROW(),""))</f>
        <v/>
      </c>
      <c r="N717" s="80" t="str">
        <f t="shared" si="6"/>
        <v/>
      </c>
      <c r="O717" s="80" t="str">
        <f t="array" ref="O717">IF(A717="","",IFERROR(INDEX('Deck 2'!$A:$Z,ROW()-500,'List Setup'!$J$4)&amp;"",""))</f>
        <v/>
      </c>
      <c r="P717" s="2"/>
      <c r="Q717" s="80" t="str">
        <f>IF(A717="","",'List Setup'!$A$4)</f>
        <v/>
      </c>
      <c r="R717" s="80" t="str">
        <f t="array" ref="R717">IF(A717="","",IFERROR(OR(INDEX(Binders!$J$6:$J$30,MATCH(Q717,Binders!$I$6:$I$30,0))=TRUE(),UPPER(INDEX(Binders!$J$6:$J$30,MATCH(Q717,Binders!$I$6:$I$30,0))&amp;"")="TRUE"),FALSE()))</f>
        <v/>
      </c>
    </row>
    <row r="718" ht="15.75" customHeight="1">
      <c r="A718" s="80" t="str">
        <f t="array" ref="A718">IF(INDEX('Deck 2'!$A:$Z,ROW()-500,'List Setup'!$D$4)="","",INDEX('Deck 2'!$A:$Z,ROW()-500,'List Setup'!$D$4))</f>
        <v/>
      </c>
      <c r="B718" s="80" t="str">
        <f t="array" ref="B718">IF(A718="","",IFERROR(INDEX('Binder Setup'!$B$2:$B$401,MIN(IF(ISNUMBER(SEARCH(CHAR(10)&amp;'Binder Setup'!$B$2:$B$401&amp;CHAR(10),$H718)),'List Setup'!$Q$2:$Q$401,999),IF(ISNUMBER(SEARCH(CHAR(10)&amp;'Set Aliases'!$A$2:$A$501&amp;CHAR(10),$H718)),'Set Aliases'!$C$2:$C$501,999))),"(none)"))</f>
        <v/>
      </c>
      <c r="C718" s="80" t="str">
        <f t="shared" si="1"/>
        <v/>
      </c>
      <c r="D718" s="80" t="str">
        <f t="array" ref="D718">IF(A718="","",IF(ISLOGICAL(INDEX('Deck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18" s="80" t="str">
        <f t="shared" si="2"/>
        <v/>
      </c>
      <c r="F718" s="80" t="str">
        <f t="array" ref="F718">IF(A718="","",IF(ISNUMBER(J718),J718,IF(ISNUMBER(INDEX('Deck 2'!$A:$Z,ROW()-500,'List Setup'!$F$4)),INDEX('Deck 2'!$A:$Z,ROW()-500,'List Setup'!$F$4),0)))</f>
        <v/>
      </c>
      <c r="G718" s="80" t="str">
        <f t="array" ref="G718">IF(A718="","",A718&amp;IF(N(INDEX('Deck 2'!$A:$Z,ROW()-500,'List Setup'!$C$4))&gt;1," (x"&amp;INDEX('Deck 2'!$A:$Z,ROW()-500,'List Setup'!$C$4)&amp;")","")&amp;IF(COUNTIF(Binders!$J$6:$J$30,TRUE())&gt;1," ["&amp;Q718&amp;"]",""))</f>
        <v/>
      </c>
      <c r="H718" s="80" t="str">
        <f t="array" ref="H718">IF(A718="","",CHAR(10)&amp;INDEX('Deck 2'!$A:$Z,ROW()-500,'List Setup'!$E$4)&amp;CHAR(10))</f>
        <v/>
      </c>
      <c r="I718" s="80" t="str">
        <f t="array" ref="I718">IF(OR(B718="",B718="(none)"),"",IF(ISNUMBER(SEARCH(CHAR(10)&amp;B718&amp;CHAR(10),H718)),B718,IFERROR(INDEX('Set Aliases'!$A$2:$A$501,MATCH(1,('Set Aliases'!$B$2:$B$501=B718)*ISNUMBER(SEARCH(CHAR(10)&amp;'Set Aliases'!$A$2:$A$501&amp;CHAR(10),H718)),0)),"")))</f>
        <v/>
      </c>
      <c r="J718" s="80" t="str">
        <f t="array" ref="J718">IF(I718="","",IFERROR(VALUE(TRIM(MID(SUBSTITUTE(INDEX('Deck 2'!$A:$Z,ROW()-500,'List Setup'!$G$4),CHAR(10),REPT(" ",100)),((SEARCH(CHAR(10)&amp;I718&amp;CHAR(10),H718)-LEN(SUBSTITUTE(LEFT(H718,SEARCH(CHAR(10)&amp;I718&amp;CHAR(10),H718)),CHAR(10),"")))-1)*100+1,100))),""))</f>
        <v/>
      </c>
      <c r="K718" s="80" t="str">
        <f t="array" ref="K718">IF(A718="","",IF(ISNUMBER(SEARCH("Land",LEFT(IFERROR(INDEX('Deck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18" s="80" t="str">
        <f t="shared" si="3"/>
        <v/>
      </c>
      <c r="M718" s="80" t="str">
        <f>IF(A718="","",IF(AND(E718="Y",B718='Use at Shop'!$B$4),K718*10000000000+(MAX(0,MIN(26,CODE(MID(UPPER(A718)&amp;"    ",1,1))-64))*19683+MAX(0,MIN(26,CODE(MID(UPPER(A718)&amp;"    ",2,1))-64))*729+MAX(0,MIN(26,CODE(MID(UPPER(A718)&amp;"    ",3,1))-64))*27+MAX(0,MIN(26,CODE(MID(UPPER(A718)&amp;"    ",4,1))-64))*1)*10000+ROW(),""))</f>
        <v/>
      </c>
      <c r="N718" s="80" t="str">
        <f t="shared" si="6"/>
        <v/>
      </c>
      <c r="O718" s="80" t="str">
        <f t="array" ref="O718">IF(A718="","",IFERROR(INDEX('Deck 2'!$A:$Z,ROW()-500,'List Setup'!$J$4)&amp;"",""))</f>
        <v/>
      </c>
      <c r="P718" s="2"/>
      <c r="Q718" s="80" t="str">
        <f>IF(A718="","",'List Setup'!$A$4)</f>
        <v/>
      </c>
      <c r="R718" s="80" t="str">
        <f t="array" ref="R718">IF(A718="","",IFERROR(OR(INDEX(Binders!$J$6:$J$30,MATCH(Q718,Binders!$I$6:$I$30,0))=TRUE(),UPPER(INDEX(Binders!$J$6:$J$30,MATCH(Q718,Binders!$I$6:$I$30,0))&amp;"")="TRUE"),FALSE()))</f>
        <v/>
      </c>
    </row>
    <row r="719" ht="15.75" customHeight="1">
      <c r="A719" s="80" t="str">
        <f t="array" ref="A719">IF(INDEX('Deck 2'!$A:$Z,ROW()-500,'List Setup'!$D$4)="","",INDEX('Deck 2'!$A:$Z,ROW()-500,'List Setup'!$D$4))</f>
        <v/>
      </c>
      <c r="B719" s="80" t="str">
        <f t="array" ref="B719">IF(A719="","",IFERROR(INDEX('Binder Setup'!$B$2:$B$401,MIN(IF(ISNUMBER(SEARCH(CHAR(10)&amp;'Binder Setup'!$B$2:$B$401&amp;CHAR(10),$H719)),'List Setup'!$Q$2:$Q$401,999),IF(ISNUMBER(SEARCH(CHAR(10)&amp;'Set Aliases'!$A$2:$A$501&amp;CHAR(10),$H719)),'Set Aliases'!$C$2:$C$501,999))),"(none)"))</f>
        <v/>
      </c>
      <c r="C719" s="80" t="str">
        <f t="shared" si="1"/>
        <v/>
      </c>
      <c r="D719" s="80" t="str">
        <f t="array" ref="D719">IF(A719="","",IF(ISLOGICAL(INDEX('Deck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19" s="80" t="str">
        <f t="shared" si="2"/>
        <v/>
      </c>
      <c r="F719" s="80" t="str">
        <f t="array" ref="F719">IF(A719="","",IF(ISNUMBER(J719),J719,IF(ISNUMBER(INDEX('Deck 2'!$A:$Z,ROW()-500,'List Setup'!$F$4)),INDEX('Deck 2'!$A:$Z,ROW()-500,'List Setup'!$F$4),0)))</f>
        <v/>
      </c>
      <c r="G719" s="80" t="str">
        <f t="array" ref="G719">IF(A719="","",A719&amp;IF(N(INDEX('Deck 2'!$A:$Z,ROW()-500,'List Setup'!$C$4))&gt;1," (x"&amp;INDEX('Deck 2'!$A:$Z,ROW()-500,'List Setup'!$C$4)&amp;")","")&amp;IF(COUNTIF(Binders!$J$6:$J$30,TRUE())&gt;1," ["&amp;Q719&amp;"]",""))</f>
        <v/>
      </c>
      <c r="H719" s="80" t="str">
        <f t="array" ref="H719">IF(A719="","",CHAR(10)&amp;INDEX('Deck 2'!$A:$Z,ROW()-500,'List Setup'!$E$4)&amp;CHAR(10))</f>
        <v/>
      </c>
      <c r="I719" s="80" t="str">
        <f t="array" ref="I719">IF(OR(B719="",B719="(none)"),"",IF(ISNUMBER(SEARCH(CHAR(10)&amp;B719&amp;CHAR(10),H719)),B719,IFERROR(INDEX('Set Aliases'!$A$2:$A$501,MATCH(1,('Set Aliases'!$B$2:$B$501=B719)*ISNUMBER(SEARCH(CHAR(10)&amp;'Set Aliases'!$A$2:$A$501&amp;CHAR(10),H719)),0)),"")))</f>
        <v/>
      </c>
      <c r="J719" s="80" t="str">
        <f t="array" ref="J719">IF(I719="","",IFERROR(VALUE(TRIM(MID(SUBSTITUTE(INDEX('Deck 2'!$A:$Z,ROW()-500,'List Setup'!$G$4),CHAR(10),REPT(" ",100)),((SEARCH(CHAR(10)&amp;I719&amp;CHAR(10),H719)-LEN(SUBSTITUTE(LEFT(H719,SEARCH(CHAR(10)&amp;I719&amp;CHAR(10),H719)),CHAR(10),"")))-1)*100+1,100))),""))</f>
        <v/>
      </c>
      <c r="K719" s="80" t="str">
        <f t="array" ref="K719">IF(A719="","",IF(ISNUMBER(SEARCH("Land",LEFT(IFERROR(INDEX('Deck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19" s="80" t="str">
        <f t="shared" si="3"/>
        <v/>
      </c>
      <c r="M719" s="80" t="str">
        <f>IF(A719="","",IF(AND(E719="Y",B719='Use at Shop'!$B$4),K719*10000000000+(MAX(0,MIN(26,CODE(MID(UPPER(A719)&amp;"    ",1,1))-64))*19683+MAX(0,MIN(26,CODE(MID(UPPER(A719)&amp;"    ",2,1))-64))*729+MAX(0,MIN(26,CODE(MID(UPPER(A719)&amp;"    ",3,1))-64))*27+MAX(0,MIN(26,CODE(MID(UPPER(A719)&amp;"    ",4,1))-64))*1)*10000+ROW(),""))</f>
        <v/>
      </c>
      <c r="N719" s="80" t="str">
        <f t="shared" si="6"/>
        <v/>
      </c>
      <c r="O719" s="80" t="str">
        <f t="array" ref="O719">IF(A719="","",IFERROR(INDEX('Deck 2'!$A:$Z,ROW()-500,'List Setup'!$J$4)&amp;"",""))</f>
        <v/>
      </c>
      <c r="P719" s="2"/>
      <c r="Q719" s="80" t="str">
        <f>IF(A719="","",'List Setup'!$A$4)</f>
        <v/>
      </c>
      <c r="R719" s="80" t="str">
        <f t="array" ref="R719">IF(A719="","",IFERROR(OR(INDEX(Binders!$J$6:$J$30,MATCH(Q719,Binders!$I$6:$I$30,0))=TRUE(),UPPER(INDEX(Binders!$J$6:$J$30,MATCH(Q719,Binders!$I$6:$I$30,0))&amp;"")="TRUE"),FALSE()))</f>
        <v/>
      </c>
    </row>
    <row r="720" ht="15.75" customHeight="1">
      <c r="A720" s="80" t="str">
        <f t="array" ref="A720">IF(INDEX('Deck 2'!$A:$Z,ROW()-500,'List Setup'!$D$4)="","",INDEX('Deck 2'!$A:$Z,ROW()-500,'List Setup'!$D$4))</f>
        <v/>
      </c>
      <c r="B720" s="80" t="str">
        <f t="array" ref="B720">IF(A720="","",IFERROR(INDEX('Binder Setup'!$B$2:$B$401,MIN(IF(ISNUMBER(SEARCH(CHAR(10)&amp;'Binder Setup'!$B$2:$B$401&amp;CHAR(10),$H720)),'List Setup'!$Q$2:$Q$401,999),IF(ISNUMBER(SEARCH(CHAR(10)&amp;'Set Aliases'!$A$2:$A$501&amp;CHAR(10),$H720)),'Set Aliases'!$C$2:$C$501,999))),"(none)"))</f>
        <v/>
      </c>
      <c r="C720" s="80" t="str">
        <f t="shared" si="1"/>
        <v/>
      </c>
      <c r="D720" s="80" t="str">
        <f t="array" ref="D720">IF(A720="","",IF(ISLOGICAL(INDEX('Deck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20" s="80" t="str">
        <f t="shared" si="2"/>
        <v/>
      </c>
      <c r="F720" s="80" t="str">
        <f t="array" ref="F720">IF(A720="","",IF(ISNUMBER(J720),J720,IF(ISNUMBER(INDEX('Deck 2'!$A:$Z,ROW()-500,'List Setup'!$F$4)),INDEX('Deck 2'!$A:$Z,ROW()-500,'List Setup'!$F$4),0)))</f>
        <v/>
      </c>
      <c r="G720" s="80" t="str">
        <f t="array" ref="G720">IF(A720="","",A720&amp;IF(N(INDEX('Deck 2'!$A:$Z,ROW()-500,'List Setup'!$C$4))&gt;1," (x"&amp;INDEX('Deck 2'!$A:$Z,ROW()-500,'List Setup'!$C$4)&amp;")","")&amp;IF(COUNTIF(Binders!$J$6:$J$30,TRUE())&gt;1," ["&amp;Q720&amp;"]",""))</f>
        <v/>
      </c>
      <c r="H720" s="80" t="str">
        <f t="array" ref="H720">IF(A720="","",CHAR(10)&amp;INDEX('Deck 2'!$A:$Z,ROW()-500,'List Setup'!$E$4)&amp;CHAR(10))</f>
        <v/>
      </c>
      <c r="I720" s="80" t="str">
        <f t="array" ref="I720">IF(OR(B720="",B720="(none)"),"",IF(ISNUMBER(SEARCH(CHAR(10)&amp;B720&amp;CHAR(10),H720)),B720,IFERROR(INDEX('Set Aliases'!$A$2:$A$501,MATCH(1,('Set Aliases'!$B$2:$B$501=B720)*ISNUMBER(SEARCH(CHAR(10)&amp;'Set Aliases'!$A$2:$A$501&amp;CHAR(10),H720)),0)),"")))</f>
        <v/>
      </c>
      <c r="J720" s="80" t="str">
        <f t="array" ref="J720">IF(I720="","",IFERROR(VALUE(TRIM(MID(SUBSTITUTE(INDEX('Deck 2'!$A:$Z,ROW()-500,'List Setup'!$G$4),CHAR(10),REPT(" ",100)),((SEARCH(CHAR(10)&amp;I720&amp;CHAR(10),H720)-LEN(SUBSTITUTE(LEFT(H720,SEARCH(CHAR(10)&amp;I720&amp;CHAR(10),H720)),CHAR(10),"")))-1)*100+1,100))),""))</f>
        <v/>
      </c>
      <c r="K720" s="80" t="str">
        <f t="array" ref="K720">IF(A720="","",IF(ISNUMBER(SEARCH("Land",LEFT(IFERROR(INDEX('Deck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20" s="80" t="str">
        <f t="shared" si="3"/>
        <v/>
      </c>
      <c r="M720" s="80" t="str">
        <f>IF(A720="","",IF(AND(E720="Y",B720='Use at Shop'!$B$4),K720*10000000000+(MAX(0,MIN(26,CODE(MID(UPPER(A720)&amp;"    ",1,1))-64))*19683+MAX(0,MIN(26,CODE(MID(UPPER(A720)&amp;"    ",2,1))-64))*729+MAX(0,MIN(26,CODE(MID(UPPER(A720)&amp;"    ",3,1))-64))*27+MAX(0,MIN(26,CODE(MID(UPPER(A720)&amp;"    ",4,1))-64))*1)*10000+ROW(),""))</f>
        <v/>
      </c>
      <c r="N720" s="80" t="str">
        <f t="shared" si="6"/>
        <v/>
      </c>
      <c r="O720" s="80" t="str">
        <f t="array" ref="O720">IF(A720="","",IFERROR(INDEX('Deck 2'!$A:$Z,ROW()-500,'List Setup'!$J$4)&amp;"",""))</f>
        <v/>
      </c>
      <c r="P720" s="2"/>
      <c r="Q720" s="80" t="str">
        <f>IF(A720="","",'List Setup'!$A$4)</f>
        <v/>
      </c>
      <c r="R720" s="80" t="str">
        <f t="array" ref="R720">IF(A720="","",IFERROR(OR(INDEX(Binders!$J$6:$J$30,MATCH(Q720,Binders!$I$6:$I$30,0))=TRUE(),UPPER(INDEX(Binders!$J$6:$J$30,MATCH(Q720,Binders!$I$6:$I$30,0))&amp;"")="TRUE"),FALSE()))</f>
        <v/>
      </c>
    </row>
    <row r="721" ht="15.75" customHeight="1">
      <c r="A721" s="80" t="str">
        <f t="array" ref="A721">IF(INDEX('Deck 2'!$A:$Z,ROW()-500,'List Setup'!$D$4)="","",INDEX('Deck 2'!$A:$Z,ROW()-500,'List Setup'!$D$4))</f>
        <v/>
      </c>
      <c r="B721" s="80" t="str">
        <f t="array" ref="B721">IF(A721="","",IFERROR(INDEX('Binder Setup'!$B$2:$B$401,MIN(IF(ISNUMBER(SEARCH(CHAR(10)&amp;'Binder Setup'!$B$2:$B$401&amp;CHAR(10),$H721)),'List Setup'!$Q$2:$Q$401,999),IF(ISNUMBER(SEARCH(CHAR(10)&amp;'Set Aliases'!$A$2:$A$501&amp;CHAR(10),$H721)),'Set Aliases'!$C$2:$C$501,999))),"(none)"))</f>
        <v/>
      </c>
      <c r="C721" s="80" t="str">
        <f t="shared" si="1"/>
        <v/>
      </c>
      <c r="D721" s="80" t="str">
        <f t="array" ref="D721">IF(A721="","",IF(ISLOGICAL(INDEX('Deck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21" s="80" t="str">
        <f t="shared" si="2"/>
        <v/>
      </c>
      <c r="F721" s="80" t="str">
        <f t="array" ref="F721">IF(A721="","",IF(ISNUMBER(J721),J721,IF(ISNUMBER(INDEX('Deck 2'!$A:$Z,ROW()-500,'List Setup'!$F$4)),INDEX('Deck 2'!$A:$Z,ROW()-500,'List Setup'!$F$4),0)))</f>
        <v/>
      </c>
      <c r="G721" s="80" t="str">
        <f t="array" ref="G721">IF(A721="","",A721&amp;IF(N(INDEX('Deck 2'!$A:$Z,ROW()-500,'List Setup'!$C$4))&gt;1," (x"&amp;INDEX('Deck 2'!$A:$Z,ROW()-500,'List Setup'!$C$4)&amp;")","")&amp;IF(COUNTIF(Binders!$J$6:$J$30,TRUE())&gt;1," ["&amp;Q721&amp;"]",""))</f>
        <v/>
      </c>
      <c r="H721" s="80" t="str">
        <f t="array" ref="H721">IF(A721="","",CHAR(10)&amp;INDEX('Deck 2'!$A:$Z,ROW()-500,'List Setup'!$E$4)&amp;CHAR(10))</f>
        <v/>
      </c>
      <c r="I721" s="80" t="str">
        <f t="array" ref="I721">IF(OR(B721="",B721="(none)"),"",IF(ISNUMBER(SEARCH(CHAR(10)&amp;B721&amp;CHAR(10),H721)),B721,IFERROR(INDEX('Set Aliases'!$A$2:$A$501,MATCH(1,('Set Aliases'!$B$2:$B$501=B721)*ISNUMBER(SEARCH(CHAR(10)&amp;'Set Aliases'!$A$2:$A$501&amp;CHAR(10),H721)),0)),"")))</f>
        <v/>
      </c>
      <c r="J721" s="80" t="str">
        <f t="array" ref="J721">IF(I721="","",IFERROR(VALUE(TRIM(MID(SUBSTITUTE(INDEX('Deck 2'!$A:$Z,ROW()-500,'List Setup'!$G$4),CHAR(10),REPT(" ",100)),((SEARCH(CHAR(10)&amp;I721&amp;CHAR(10),H721)-LEN(SUBSTITUTE(LEFT(H721,SEARCH(CHAR(10)&amp;I721&amp;CHAR(10),H721)),CHAR(10),"")))-1)*100+1,100))),""))</f>
        <v/>
      </c>
      <c r="K721" s="80" t="str">
        <f t="array" ref="K721">IF(A721="","",IF(ISNUMBER(SEARCH("Land",LEFT(IFERROR(INDEX('Deck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21" s="80" t="str">
        <f t="shared" si="3"/>
        <v/>
      </c>
      <c r="M721" s="80" t="str">
        <f>IF(A721="","",IF(AND(E721="Y",B721='Use at Shop'!$B$4),K721*10000000000+(MAX(0,MIN(26,CODE(MID(UPPER(A721)&amp;"    ",1,1))-64))*19683+MAX(0,MIN(26,CODE(MID(UPPER(A721)&amp;"    ",2,1))-64))*729+MAX(0,MIN(26,CODE(MID(UPPER(A721)&amp;"    ",3,1))-64))*27+MAX(0,MIN(26,CODE(MID(UPPER(A721)&amp;"    ",4,1))-64))*1)*10000+ROW(),""))</f>
        <v/>
      </c>
      <c r="N721" s="80" t="str">
        <f t="shared" si="6"/>
        <v/>
      </c>
      <c r="O721" s="80" t="str">
        <f t="array" ref="O721">IF(A721="","",IFERROR(INDEX('Deck 2'!$A:$Z,ROW()-500,'List Setup'!$J$4)&amp;"",""))</f>
        <v/>
      </c>
      <c r="P721" s="2"/>
      <c r="Q721" s="80" t="str">
        <f>IF(A721="","",'List Setup'!$A$4)</f>
        <v/>
      </c>
      <c r="R721" s="80" t="str">
        <f t="array" ref="R721">IF(A721="","",IFERROR(OR(INDEX(Binders!$J$6:$J$30,MATCH(Q721,Binders!$I$6:$I$30,0))=TRUE(),UPPER(INDEX(Binders!$J$6:$J$30,MATCH(Q721,Binders!$I$6:$I$30,0))&amp;"")="TRUE"),FALSE()))</f>
        <v/>
      </c>
    </row>
    <row r="722" ht="15.75" customHeight="1">
      <c r="A722" s="80" t="str">
        <f t="array" ref="A722">IF(INDEX('Deck 2'!$A:$Z,ROW()-500,'List Setup'!$D$4)="","",INDEX('Deck 2'!$A:$Z,ROW()-500,'List Setup'!$D$4))</f>
        <v/>
      </c>
      <c r="B722" s="80" t="str">
        <f t="array" ref="B722">IF(A722="","",IFERROR(INDEX('Binder Setup'!$B$2:$B$401,MIN(IF(ISNUMBER(SEARCH(CHAR(10)&amp;'Binder Setup'!$B$2:$B$401&amp;CHAR(10),$H722)),'List Setup'!$Q$2:$Q$401,999),IF(ISNUMBER(SEARCH(CHAR(10)&amp;'Set Aliases'!$A$2:$A$501&amp;CHAR(10),$H722)),'Set Aliases'!$C$2:$C$501,999))),"(none)"))</f>
        <v/>
      </c>
      <c r="C722" s="80" t="str">
        <f t="shared" si="1"/>
        <v/>
      </c>
      <c r="D722" s="80" t="str">
        <f t="array" ref="D722">IF(A722="","",IF(ISLOGICAL(INDEX('Deck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22" s="80" t="str">
        <f t="shared" si="2"/>
        <v/>
      </c>
      <c r="F722" s="80" t="str">
        <f t="array" ref="F722">IF(A722="","",IF(ISNUMBER(J722),J722,IF(ISNUMBER(INDEX('Deck 2'!$A:$Z,ROW()-500,'List Setup'!$F$4)),INDEX('Deck 2'!$A:$Z,ROW()-500,'List Setup'!$F$4),0)))</f>
        <v/>
      </c>
      <c r="G722" s="80" t="str">
        <f t="array" ref="G722">IF(A722="","",A722&amp;IF(N(INDEX('Deck 2'!$A:$Z,ROW()-500,'List Setup'!$C$4))&gt;1," (x"&amp;INDEX('Deck 2'!$A:$Z,ROW()-500,'List Setup'!$C$4)&amp;")","")&amp;IF(COUNTIF(Binders!$J$6:$J$30,TRUE())&gt;1," ["&amp;Q722&amp;"]",""))</f>
        <v/>
      </c>
      <c r="H722" s="80" t="str">
        <f t="array" ref="H722">IF(A722="","",CHAR(10)&amp;INDEX('Deck 2'!$A:$Z,ROW()-500,'List Setup'!$E$4)&amp;CHAR(10))</f>
        <v/>
      </c>
      <c r="I722" s="80" t="str">
        <f t="array" ref="I722">IF(OR(B722="",B722="(none)"),"",IF(ISNUMBER(SEARCH(CHAR(10)&amp;B722&amp;CHAR(10),H722)),B722,IFERROR(INDEX('Set Aliases'!$A$2:$A$501,MATCH(1,('Set Aliases'!$B$2:$B$501=B722)*ISNUMBER(SEARCH(CHAR(10)&amp;'Set Aliases'!$A$2:$A$501&amp;CHAR(10),H722)),0)),"")))</f>
        <v/>
      </c>
      <c r="J722" s="80" t="str">
        <f t="array" ref="J722">IF(I722="","",IFERROR(VALUE(TRIM(MID(SUBSTITUTE(INDEX('Deck 2'!$A:$Z,ROW()-500,'List Setup'!$G$4),CHAR(10),REPT(" ",100)),((SEARCH(CHAR(10)&amp;I722&amp;CHAR(10),H722)-LEN(SUBSTITUTE(LEFT(H722,SEARCH(CHAR(10)&amp;I722&amp;CHAR(10),H722)),CHAR(10),"")))-1)*100+1,100))),""))</f>
        <v/>
      </c>
      <c r="K722" s="80" t="str">
        <f t="array" ref="K722">IF(A722="","",IF(ISNUMBER(SEARCH("Land",LEFT(IFERROR(INDEX('Deck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22" s="80" t="str">
        <f t="shared" si="3"/>
        <v/>
      </c>
      <c r="M722" s="80" t="str">
        <f>IF(A722="","",IF(AND(E722="Y",B722='Use at Shop'!$B$4),K722*10000000000+(MAX(0,MIN(26,CODE(MID(UPPER(A722)&amp;"    ",1,1))-64))*19683+MAX(0,MIN(26,CODE(MID(UPPER(A722)&amp;"    ",2,1))-64))*729+MAX(0,MIN(26,CODE(MID(UPPER(A722)&amp;"    ",3,1))-64))*27+MAX(0,MIN(26,CODE(MID(UPPER(A722)&amp;"    ",4,1))-64))*1)*10000+ROW(),""))</f>
        <v/>
      </c>
      <c r="N722" s="80" t="str">
        <f t="shared" si="6"/>
        <v/>
      </c>
      <c r="O722" s="80" t="str">
        <f t="array" ref="O722">IF(A722="","",IFERROR(INDEX('Deck 2'!$A:$Z,ROW()-500,'List Setup'!$J$4)&amp;"",""))</f>
        <v/>
      </c>
      <c r="P722" s="2"/>
      <c r="Q722" s="80" t="str">
        <f>IF(A722="","",'List Setup'!$A$4)</f>
        <v/>
      </c>
      <c r="R722" s="80" t="str">
        <f t="array" ref="R722">IF(A722="","",IFERROR(OR(INDEX(Binders!$J$6:$J$30,MATCH(Q722,Binders!$I$6:$I$30,0))=TRUE(),UPPER(INDEX(Binders!$J$6:$J$30,MATCH(Q722,Binders!$I$6:$I$30,0))&amp;"")="TRUE"),FALSE()))</f>
        <v/>
      </c>
    </row>
    <row r="723" ht="15.75" customHeight="1">
      <c r="A723" s="80" t="str">
        <f t="array" ref="A723">IF(INDEX('Deck 2'!$A:$Z,ROW()-500,'List Setup'!$D$4)="","",INDEX('Deck 2'!$A:$Z,ROW()-500,'List Setup'!$D$4))</f>
        <v/>
      </c>
      <c r="B723" s="80" t="str">
        <f t="array" ref="B723">IF(A723="","",IFERROR(INDEX('Binder Setup'!$B$2:$B$401,MIN(IF(ISNUMBER(SEARCH(CHAR(10)&amp;'Binder Setup'!$B$2:$B$401&amp;CHAR(10),$H723)),'List Setup'!$Q$2:$Q$401,999),IF(ISNUMBER(SEARCH(CHAR(10)&amp;'Set Aliases'!$A$2:$A$501&amp;CHAR(10),$H723)),'Set Aliases'!$C$2:$C$501,999))),"(none)"))</f>
        <v/>
      </c>
      <c r="C723" s="80" t="str">
        <f t="shared" si="1"/>
        <v/>
      </c>
      <c r="D723" s="80" t="str">
        <f t="array" ref="D723">IF(A723="","",IF(ISLOGICAL(INDEX('Deck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23" s="80" t="str">
        <f t="shared" si="2"/>
        <v/>
      </c>
      <c r="F723" s="80" t="str">
        <f t="array" ref="F723">IF(A723="","",IF(ISNUMBER(J723),J723,IF(ISNUMBER(INDEX('Deck 2'!$A:$Z,ROW()-500,'List Setup'!$F$4)),INDEX('Deck 2'!$A:$Z,ROW()-500,'List Setup'!$F$4),0)))</f>
        <v/>
      </c>
      <c r="G723" s="80" t="str">
        <f t="array" ref="G723">IF(A723="","",A723&amp;IF(N(INDEX('Deck 2'!$A:$Z,ROW()-500,'List Setup'!$C$4))&gt;1," (x"&amp;INDEX('Deck 2'!$A:$Z,ROW()-500,'List Setup'!$C$4)&amp;")","")&amp;IF(COUNTIF(Binders!$J$6:$J$30,TRUE())&gt;1," ["&amp;Q723&amp;"]",""))</f>
        <v/>
      </c>
      <c r="H723" s="80" t="str">
        <f t="array" ref="H723">IF(A723="","",CHAR(10)&amp;INDEX('Deck 2'!$A:$Z,ROW()-500,'List Setup'!$E$4)&amp;CHAR(10))</f>
        <v/>
      </c>
      <c r="I723" s="80" t="str">
        <f t="array" ref="I723">IF(OR(B723="",B723="(none)"),"",IF(ISNUMBER(SEARCH(CHAR(10)&amp;B723&amp;CHAR(10),H723)),B723,IFERROR(INDEX('Set Aliases'!$A$2:$A$501,MATCH(1,('Set Aliases'!$B$2:$B$501=B723)*ISNUMBER(SEARCH(CHAR(10)&amp;'Set Aliases'!$A$2:$A$501&amp;CHAR(10),H723)),0)),"")))</f>
        <v/>
      </c>
      <c r="J723" s="80" t="str">
        <f t="array" ref="J723">IF(I723="","",IFERROR(VALUE(TRIM(MID(SUBSTITUTE(INDEX('Deck 2'!$A:$Z,ROW()-500,'List Setup'!$G$4),CHAR(10),REPT(" ",100)),((SEARCH(CHAR(10)&amp;I723&amp;CHAR(10),H723)-LEN(SUBSTITUTE(LEFT(H723,SEARCH(CHAR(10)&amp;I723&amp;CHAR(10),H723)),CHAR(10),"")))-1)*100+1,100))),""))</f>
        <v/>
      </c>
      <c r="K723" s="80" t="str">
        <f t="array" ref="K723">IF(A723="","",IF(ISNUMBER(SEARCH("Land",LEFT(IFERROR(INDEX('Deck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23" s="80" t="str">
        <f t="shared" si="3"/>
        <v/>
      </c>
      <c r="M723" s="80" t="str">
        <f>IF(A723="","",IF(AND(E723="Y",B723='Use at Shop'!$B$4),K723*10000000000+(MAX(0,MIN(26,CODE(MID(UPPER(A723)&amp;"    ",1,1))-64))*19683+MAX(0,MIN(26,CODE(MID(UPPER(A723)&amp;"    ",2,1))-64))*729+MAX(0,MIN(26,CODE(MID(UPPER(A723)&amp;"    ",3,1))-64))*27+MAX(0,MIN(26,CODE(MID(UPPER(A723)&amp;"    ",4,1))-64))*1)*10000+ROW(),""))</f>
        <v/>
      </c>
      <c r="N723" s="80" t="str">
        <f t="shared" si="6"/>
        <v/>
      </c>
      <c r="O723" s="80" t="str">
        <f t="array" ref="O723">IF(A723="","",IFERROR(INDEX('Deck 2'!$A:$Z,ROW()-500,'List Setup'!$J$4)&amp;"",""))</f>
        <v/>
      </c>
      <c r="P723" s="2"/>
      <c r="Q723" s="80" t="str">
        <f>IF(A723="","",'List Setup'!$A$4)</f>
        <v/>
      </c>
      <c r="R723" s="80" t="str">
        <f t="array" ref="R723">IF(A723="","",IFERROR(OR(INDEX(Binders!$J$6:$J$30,MATCH(Q723,Binders!$I$6:$I$30,0))=TRUE(),UPPER(INDEX(Binders!$J$6:$J$30,MATCH(Q723,Binders!$I$6:$I$30,0))&amp;"")="TRUE"),FALSE()))</f>
        <v/>
      </c>
    </row>
    <row r="724" ht="15.75" customHeight="1">
      <c r="A724" s="80" t="str">
        <f t="array" ref="A724">IF(INDEX('Deck 2'!$A:$Z,ROW()-500,'List Setup'!$D$4)="","",INDEX('Deck 2'!$A:$Z,ROW()-500,'List Setup'!$D$4))</f>
        <v/>
      </c>
      <c r="B724" s="80" t="str">
        <f t="array" ref="B724">IF(A724="","",IFERROR(INDEX('Binder Setup'!$B$2:$B$401,MIN(IF(ISNUMBER(SEARCH(CHAR(10)&amp;'Binder Setup'!$B$2:$B$401&amp;CHAR(10),$H724)),'List Setup'!$Q$2:$Q$401,999),IF(ISNUMBER(SEARCH(CHAR(10)&amp;'Set Aliases'!$A$2:$A$501&amp;CHAR(10),$H724)),'Set Aliases'!$C$2:$C$501,999))),"(none)"))</f>
        <v/>
      </c>
      <c r="C724" s="80" t="str">
        <f t="shared" si="1"/>
        <v/>
      </c>
      <c r="D724" s="80" t="str">
        <f t="array" ref="D724">IF(A724="","",IF(ISLOGICAL(INDEX('Deck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24" s="80" t="str">
        <f t="shared" si="2"/>
        <v/>
      </c>
      <c r="F724" s="80" t="str">
        <f t="array" ref="F724">IF(A724="","",IF(ISNUMBER(J724),J724,IF(ISNUMBER(INDEX('Deck 2'!$A:$Z,ROW()-500,'List Setup'!$F$4)),INDEX('Deck 2'!$A:$Z,ROW()-500,'List Setup'!$F$4),0)))</f>
        <v/>
      </c>
      <c r="G724" s="80" t="str">
        <f t="array" ref="G724">IF(A724="","",A724&amp;IF(N(INDEX('Deck 2'!$A:$Z,ROW()-500,'List Setup'!$C$4))&gt;1," (x"&amp;INDEX('Deck 2'!$A:$Z,ROW()-500,'List Setup'!$C$4)&amp;")","")&amp;IF(COUNTIF(Binders!$J$6:$J$30,TRUE())&gt;1," ["&amp;Q724&amp;"]",""))</f>
        <v/>
      </c>
      <c r="H724" s="80" t="str">
        <f t="array" ref="H724">IF(A724="","",CHAR(10)&amp;INDEX('Deck 2'!$A:$Z,ROW()-500,'List Setup'!$E$4)&amp;CHAR(10))</f>
        <v/>
      </c>
      <c r="I724" s="80" t="str">
        <f t="array" ref="I724">IF(OR(B724="",B724="(none)"),"",IF(ISNUMBER(SEARCH(CHAR(10)&amp;B724&amp;CHAR(10),H724)),B724,IFERROR(INDEX('Set Aliases'!$A$2:$A$501,MATCH(1,('Set Aliases'!$B$2:$B$501=B724)*ISNUMBER(SEARCH(CHAR(10)&amp;'Set Aliases'!$A$2:$A$501&amp;CHAR(10),H724)),0)),"")))</f>
        <v/>
      </c>
      <c r="J724" s="80" t="str">
        <f t="array" ref="J724">IF(I724="","",IFERROR(VALUE(TRIM(MID(SUBSTITUTE(INDEX('Deck 2'!$A:$Z,ROW()-500,'List Setup'!$G$4),CHAR(10),REPT(" ",100)),((SEARCH(CHAR(10)&amp;I724&amp;CHAR(10),H724)-LEN(SUBSTITUTE(LEFT(H724,SEARCH(CHAR(10)&amp;I724&amp;CHAR(10),H724)),CHAR(10),"")))-1)*100+1,100))),""))</f>
        <v/>
      </c>
      <c r="K724" s="80" t="str">
        <f t="array" ref="K724">IF(A724="","",IF(ISNUMBER(SEARCH("Land",LEFT(IFERROR(INDEX('Deck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24" s="80" t="str">
        <f t="shared" si="3"/>
        <v/>
      </c>
      <c r="M724" s="80" t="str">
        <f>IF(A724="","",IF(AND(E724="Y",B724='Use at Shop'!$B$4),K724*10000000000+(MAX(0,MIN(26,CODE(MID(UPPER(A724)&amp;"    ",1,1))-64))*19683+MAX(0,MIN(26,CODE(MID(UPPER(A724)&amp;"    ",2,1))-64))*729+MAX(0,MIN(26,CODE(MID(UPPER(A724)&amp;"    ",3,1))-64))*27+MAX(0,MIN(26,CODE(MID(UPPER(A724)&amp;"    ",4,1))-64))*1)*10000+ROW(),""))</f>
        <v/>
      </c>
      <c r="N724" s="80" t="str">
        <f t="shared" si="6"/>
        <v/>
      </c>
      <c r="O724" s="80" t="str">
        <f t="array" ref="O724">IF(A724="","",IFERROR(INDEX('Deck 2'!$A:$Z,ROW()-500,'List Setup'!$J$4)&amp;"",""))</f>
        <v/>
      </c>
      <c r="P724" s="2"/>
      <c r="Q724" s="80" t="str">
        <f>IF(A724="","",'List Setup'!$A$4)</f>
        <v/>
      </c>
      <c r="R724" s="80" t="str">
        <f t="array" ref="R724">IF(A724="","",IFERROR(OR(INDEX(Binders!$J$6:$J$30,MATCH(Q724,Binders!$I$6:$I$30,0))=TRUE(),UPPER(INDEX(Binders!$J$6:$J$30,MATCH(Q724,Binders!$I$6:$I$30,0))&amp;"")="TRUE"),FALSE()))</f>
        <v/>
      </c>
    </row>
    <row r="725" ht="15.75" customHeight="1">
      <c r="A725" s="80" t="str">
        <f t="array" ref="A725">IF(INDEX('Deck 2'!$A:$Z,ROW()-500,'List Setup'!$D$4)="","",INDEX('Deck 2'!$A:$Z,ROW()-500,'List Setup'!$D$4))</f>
        <v/>
      </c>
      <c r="B725" s="80" t="str">
        <f t="array" ref="B725">IF(A725="","",IFERROR(INDEX('Binder Setup'!$B$2:$B$401,MIN(IF(ISNUMBER(SEARCH(CHAR(10)&amp;'Binder Setup'!$B$2:$B$401&amp;CHAR(10),$H725)),'List Setup'!$Q$2:$Q$401,999),IF(ISNUMBER(SEARCH(CHAR(10)&amp;'Set Aliases'!$A$2:$A$501&amp;CHAR(10),$H725)),'Set Aliases'!$C$2:$C$501,999))),"(none)"))</f>
        <v/>
      </c>
      <c r="C725" s="80" t="str">
        <f t="shared" si="1"/>
        <v/>
      </c>
      <c r="D725" s="80" t="str">
        <f t="array" ref="D725">IF(A725="","",IF(ISLOGICAL(INDEX('Deck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25" s="80" t="str">
        <f t="shared" si="2"/>
        <v/>
      </c>
      <c r="F725" s="80" t="str">
        <f t="array" ref="F725">IF(A725="","",IF(ISNUMBER(J725),J725,IF(ISNUMBER(INDEX('Deck 2'!$A:$Z,ROW()-500,'List Setup'!$F$4)),INDEX('Deck 2'!$A:$Z,ROW()-500,'List Setup'!$F$4),0)))</f>
        <v/>
      </c>
      <c r="G725" s="80" t="str">
        <f t="array" ref="G725">IF(A725="","",A725&amp;IF(N(INDEX('Deck 2'!$A:$Z,ROW()-500,'List Setup'!$C$4))&gt;1," (x"&amp;INDEX('Deck 2'!$A:$Z,ROW()-500,'List Setup'!$C$4)&amp;")","")&amp;IF(COUNTIF(Binders!$J$6:$J$30,TRUE())&gt;1," ["&amp;Q725&amp;"]",""))</f>
        <v/>
      </c>
      <c r="H725" s="80" t="str">
        <f t="array" ref="H725">IF(A725="","",CHAR(10)&amp;INDEX('Deck 2'!$A:$Z,ROW()-500,'List Setup'!$E$4)&amp;CHAR(10))</f>
        <v/>
      </c>
      <c r="I725" s="80" t="str">
        <f t="array" ref="I725">IF(OR(B725="",B725="(none)"),"",IF(ISNUMBER(SEARCH(CHAR(10)&amp;B725&amp;CHAR(10),H725)),B725,IFERROR(INDEX('Set Aliases'!$A$2:$A$501,MATCH(1,('Set Aliases'!$B$2:$B$501=B725)*ISNUMBER(SEARCH(CHAR(10)&amp;'Set Aliases'!$A$2:$A$501&amp;CHAR(10),H725)),0)),"")))</f>
        <v/>
      </c>
      <c r="J725" s="80" t="str">
        <f t="array" ref="J725">IF(I725="","",IFERROR(VALUE(TRIM(MID(SUBSTITUTE(INDEX('Deck 2'!$A:$Z,ROW()-500,'List Setup'!$G$4),CHAR(10),REPT(" ",100)),((SEARCH(CHAR(10)&amp;I725&amp;CHAR(10),H725)-LEN(SUBSTITUTE(LEFT(H725,SEARCH(CHAR(10)&amp;I725&amp;CHAR(10),H725)),CHAR(10),"")))-1)*100+1,100))),""))</f>
        <v/>
      </c>
      <c r="K725" s="80" t="str">
        <f t="array" ref="K725">IF(A725="","",IF(ISNUMBER(SEARCH("Land",LEFT(IFERROR(INDEX('Deck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25" s="80" t="str">
        <f t="shared" si="3"/>
        <v/>
      </c>
      <c r="M725" s="80" t="str">
        <f>IF(A725="","",IF(AND(E725="Y",B725='Use at Shop'!$B$4),K725*10000000000+(MAX(0,MIN(26,CODE(MID(UPPER(A725)&amp;"    ",1,1))-64))*19683+MAX(0,MIN(26,CODE(MID(UPPER(A725)&amp;"    ",2,1))-64))*729+MAX(0,MIN(26,CODE(MID(UPPER(A725)&amp;"    ",3,1))-64))*27+MAX(0,MIN(26,CODE(MID(UPPER(A725)&amp;"    ",4,1))-64))*1)*10000+ROW(),""))</f>
        <v/>
      </c>
      <c r="N725" s="80" t="str">
        <f t="shared" si="6"/>
        <v/>
      </c>
      <c r="O725" s="80" t="str">
        <f t="array" ref="O725">IF(A725="","",IFERROR(INDEX('Deck 2'!$A:$Z,ROW()-500,'List Setup'!$J$4)&amp;"",""))</f>
        <v/>
      </c>
      <c r="P725" s="2"/>
      <c r="Q725" s="80" t="str">
        <f>IF(A725="","",'List Setup'!$A$4)</f>
        <v/>
      </c>
      <c r="R725" s="80" t="str">
        <f t="array" ref="R725">IF(A725="","",IFERROR(OR(INDEX(Binders!$J$6:$J$30,MATCH(Q725,Binders!$I$6:$I$30,0))=TRUE(),UPPER(INDEX(Binders!$J$6:$J$30,MATCH(Q725,Binders!$I$6:$I$30,0))&amp;"")="TRUE"),FALSE()))</f>
        <v/>
      </c>
    </row>
    <row r="726" ht="15.75" customHeight="1">
      <c r="A726" s="80" t="str">
        <f t="array" ref="A726">IF(INDEX('Deck 2'!$A:$Z,ROW()-500,'List Setup'!$D$4)="","",INDEX('Deck 2'!$A:$Z,ROW()-500,'List Setup'!$D$4))</f>
        <v/>
      </c>
      <c r="B726" s="80" t="str">
        <f t="array" ref="B726">IF(A726="","",IFERROR(INDEX('Binder Setup'!$B$2:$B$401,MIN(IF(ISNUMBER(SEARCH(CHAR(10)&amp;'Binder Setup'!$B$2:$B$401&amp;CHAR(10),$H726)),'List Setup'!$Q$2:$Q$401,999),IF(ISNUMBER(SEARCH(CHAR(10)&amp;'Set Aliases'!$A$2:$A$501&amp;CHAR(10),$H726)),'Set Aliases'!$C$2:$C$501,999))),"(none)"))</f>
        <v/>
      </c>
      <c r="C726" s="80" t="str">
        <f t="shared" si="1"/>
        <v/>
      </c>
      <c r="D726" s="80" t="str">
        <f t="array" ref="D726">IF(A726="","",IF(ISLOGICAL(INDEX('Deck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26" s="80" t="str">
        <f t="shared" si="2"/>
        <v/>
      </c>
      <c r="F726" s="80" t="str">
        <f t="array" ref="F726">IF(A726="","",IF(ISNUMBER(J726),J726,IF(ISNUMBER(INDEX('Deck 2'!$A:$Z,ROW()-500,'List Setup'!$F$4)),INDEX('Deck 2'!$A:$Z,ROW()-500,'List Setup'!$F$4),0)))</f>
        <v/>
      </c>
      <c r="G726" s="80" t="str">
        <f t="array" ref="G726">IF(A726="","",A726&amp;IF(N(INDEX('Deck 2'!$A:$Z,ROW()-500,'List Setup'!$C$4))&gt;1," (x"&amp;INDEX('Deck 2'!$A:$Z,ROW()-500,'List Setup'!$C$4)&amp;")","")&amp;IF(COUNTIF(Binders!$J$6:$J$30,TRUE())&gt;1," ["&amp;Q726&amp;"]",""))</f>
        <v/>
      </c>
      <c r="H726" s="80" t="str">
        <f t="array" ref="H726">IF(A726="","",CHAR(10)&amp;INDEX('Deck 2'!$A:$Z,ROW()-500,'List Setup'!$E$4)&amp;CHAR(10))</f>
        <v/>
      </c>
      <c r="I726" s="80" t="str">
        <f t="array" ref="I726">IF(OR(B726="",B726="(none)"),"",IF(ISNUMBER(SEARCH(CHAR(10)&amp;B726&amp;CHAR(10),H726)),B726,IFERROR(INDEX('Set Aliases'!$A$2:$A$501,MATCH(1,('Set Aliases'!$B$2:$B$501=B726)*ISNUMBER(SEARCH(CHAR(10)&amp;'Set Aliases'!$A$2:$A$501&amp;CHAR(10),H726)),0)),"")))</f>
        <v/>
      </c>
      <c r="J726" s="80" t="str">
        <f t="array" ref="J726">IF(I726="","",IFERROR(VALUE(TRIM(MID(SUBSTITUTE(INDEX('Deck 2'!$A:$Z,ROW()-500,'List Setup'!$G$4),CHAR(10),REPT(" ",100)),((SEARCH(CHAR(10)&amp;I726&amp;CHAR(10),H726)-LEN(SUBSTITUTE(LEFT(H726,SEARCH(CHAR(10)&amp;I726&amp;CHAR(10),H726)),CHAR(10),"")))-1)*100+1,100))),""))</f>
        <v/>
      </c>
      <c r="K726" s="80" t="str">
        <f t="array" ref="K726">IF(A726="","",IF(ISNUMBER(SEARCH("Land",LEFT(IFERROR(INDEX('Deck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26" s="80" t="str">
        <f t="shared" si="3"/>
        <v/>
      </c>
      <c r="M726" s="80" t="str">
        <f>IF(A726="","",IF(AND(E726="Y",B726='Use at Shop'!$B$4),K726*10000000000+(MAX(0,MIN(26,CODE(MID(UPPER(A726)&amp;"    ",1,1))-64))*19683+MAX(0,MIN(26,CODE(MID(UPPER(A726)&amp;"    ",2,1))-64))*729+MAX(0,MIN(26,CODE(MID(UPPER(A726)&amp;"    ",3,1))-64))*27+MAX(0,MIN(26,CODE(MID(UPPER(A726)&amp;"    ",4,1))-64))*1)*10000+ROW(),""))</f>
        <v/>
      </c>
      <c r="N726" s="80" t="str">
        <f t="shared" si="6"/>
        <v/>
      </c>
      <c r="O726" s="80" t="str">
        <f t="array" ref="O726">IF(A726="","",IFERROR(INDEX('Deck 2'!$A:$Z,ROW()-500,'List Setup'!$J$4)&amp;"",""))</f>
        <v/>
      </c>
      <c r="P726" s="2"/>
      <c r="Q726" s="80" t="str">
        <f>IF(A726="","",'List Setup'!$A$4)</f>
        <v/>
      </c>
      <c r="R726" s="80" t="str">
        <f t="array" ref="R726">IF(A726="","",IFERROR(OR(INDEX(Binders!$J$6:$J$30,MATCH(Q726,Binders!$I$6:$I$30,0))=TRUE(),UPPER(INDEX(Binders!$J$6:$J$30,MATCH(Q726,Binders!$I$6:$I$30,0))&amp;"")="TRUE"),FALSE()))</f>
        <v/>
      </c>
    </row>
    <row r="727" ht="15.75" customHeight="1">
      <c r="A727" s="80" t="str">
        <f t="array" ref="A727">IF(INDEX('Deck 2'!$A:$Z,ROW()-500,'List Setup'!$D$4)="","",INDEX('Deck 2'!$A:$Z,ROW()-500,'List Setup'!$D$4))</f>
        <v/>
      </c>
      <c r="B727" s="80" t="str">
        <f t="array" ref="B727">IF(A727="","",IFERROR(INDEX('Binder Setup'!$B$2:$B$401,MIN(IF(ISNUMBER(SEARCH(CHAR(10)&amp;'Binder Setup'!$B$2:$B$401&amp;CHAR(10),$H727)),'List Setup'!$Q$2:$Q$401,999),IF(ISNUMBER(SEARCH(CHAR(10)&amp;'Set Aliases'!$A$2:$A$501&amp;CHAR(10),$H727)),'Set Aliases'!$C$2:$C$501,999))),"(none)"))</f>
        <v/>
      </c>
      <c r="C727" s="80" t="str">
        <f t="shared" si="1"/>
        <v/>
      </c>
      <c r="D727" s="80" t="str">
        <f t="array" ref="D727">IF(A727="","",IF(ISLOGICAL(INDEX('Deck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27" s="80" t="str">
        <f t="shared" si="2"/>
        <v/>
      </c>
      <c r="F727" s="80" t="str">
        <f t="array" ref="F727">IF(A727="","",IF(ISNUMBER(J727),J727,IF(ISNUMBER(INDEX('Deck 2'!$A:$Z,ROW()-500,'List Setup'!$F$4)),INDEX('Deck 2'!$A:$Z,ROW()-500,'List Setup'!$F$4),0)))</f>
        <v/>
      </c>
      <c r="G727" s="80" t="str">
        <f t="array" ref="G727">IF(A727="","",A727&amp;IF(N(INDEX('Deck 2'!$A:$Z,ROW()-500,'List Setup'!$C$4))&gt;1," (x"&amp;INDEX('Deck 2'!$A:$Z,ROW()-500,'List Setup'!$C$4)&amp;")","")&amp;IF(COUNTIF(Binders!$J$6:$J$30,TRUE())&gt;1," ["&amp;Q727&amp;"]",""))</f>
        <v/>
      </c>
      <c r="H727" s="80" t="str">
        <f t="array" ref="H727">IF(A727="","",CHAR(10)&amp;INDEX('Deck 2'!$A:$Z,ROW()-500,'List Setup'!$E$4)&amp;CHAR(10))</f>
        <v/>
      </c>
      <c r="I727" s="80" t="str">
        <f t="array" ref="I727">IF(OR(B727="",B727="(none)"),"",IF(ISNUMBER(SEARCH(CHAR(10)&amp;B727&amp;CHAR(10),H727)),B727,IFERROR(INDEX('Set Aliases'!$A$2:$A$501,MATCH(1,('Set Aliases'!$B$2:$B$501=B727)*ISNUMBER(SEARCH(CHAR(10)&amp;'Set Aliases'!$A$2:$A$501&amp;CHAR(10),H727)),0)),"")))</f>
        <v/>
      </c>
      <c r="J727" s="80" t="str">
        <f t="array" ref="J727">IF(I727="","",IFERROR(VALUE(TRIM(MID(SUBSTITUTE(INDEX('Deck 2'!$A:$Z,ROW()-500,'List Setup'!$G$4),CHAR(10),REPT(" ",100)),((SEARCH(CHAR(10)&amp;I727&amp;CHAR(10),H727)-LEN(SUBSTITUTE(LEFT(H727,SEARCH(CHAR(10)&amp;I727&amp;CHAR(10),H727)),CHAR(10),"")))-1)*100+1,100))),""))</f>
        <v/>
      </c>
      <c r="K727" s="80" t="str">
        <f t="array" ref="K727">IF(A727="","",IF(ISNUMBER(SEARCH("Land",LEFT(IFERROR(INDEX('Deck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27" s="80" t="str">
        <f t="shared" si="3"/>
        <v/>
      </c>
      <c r="M727" s="80" t="str">
        <f>IF(A727="","",IF(AND(E727="Y",B727='Use at Shop'!$B$4),K727*10000000000+(MAX(0,MIN(26,CODE(MID(UPPER(A727)&amp;"    ",1,1))-64))*19683+MAX(0,MIN(26,CODE(MID(UPPER(A727)&amp;"    ",2,1))-64))*729+MAX(0,MIN(26,CODE(MID(UPPER(A727)&amp;"    ",3,1))-64))*27+MAX(0,MIN(26,CODE(MID(UPPER(A727)&amp;"    ",4,1))-64))*1)*10000+ROW(),""))</f>
        <v/>
      </c>
      <c r="N727" s="80" t="str">
        <f t="shared" si="6"/>
        <v/>
      </c>
      <c r="O727" s="80" t="str">
        <f t="array" ref="O727">IF(A727="","",IFERROR(INDEX('Deck 2'!$A:$Z,ROW()-500,'List Setup'!$J$4)&amp;"",""))</f>
        <v/>
      </c>
      <c r="P727" s="2"/>
      <c r="Q727" s="80" t="str">
        <f>IF(A727="","",'List Setup'!$A$4)</f>
        <v/>
      </c>
      <c r="R727" s="80" t="str">
        <f t="array" ref="R727">IF(A727="","",IFERROR(OR(INDEX(Binders!$J$6:$J$30,MATCH(Q727,Binders!$I$6:$I$30,0))=TRUE(),UPPER(INDEX(Binders!$J$6:$J$30,MATCH(Q727,Binders!$I$6:$I$30,0))&amp;"")="TRUE"),FALSE()))</f>
        <v/>
      </c>
    </row>
    <row r="728" ht="15.75" customHeight="1">
      <c r="A728" s="80" t="str">
        <f t="array" ref="A728">IF(INDEX('Deck 2'!$A:$Z,ROW()-500,'List Setup'!$D$4)="","",INDEX('Deck 2'!$A:$Z,ROW()-500,'List Setup'!$D$4))</f>
        <v/>
      </c>
      <c r="B728" s="80" t="str">
        <f t="array" ref="B728">IF(A728="","",IFERROR(INDEX('Binder Setup'!$B$2:$B$401,MIN(IF(ISNUMBER(SEARCH(CHAR(10)&amp;'Binder Setup'!$B$2:$B$401&amp;CHAR(10),$H728)),'List Setup'!$Q$2:$Q$401,999),IF(ISNUMBER(SEARCH(CHAR(10)&amp;'Set Aliases'!$A$2:$A$501&amp;CHAR(10),$H728)),'Set Aliases'!$C$2:$C$501,999))),"(none)"))</f>
        <v/>
      </c>
      <c r="C728" s="80" t="str">
        <f t="shared" si="1"/>
        <v/>
      </c>
      <c r="D728" s="80" t="str">
        <f t="array" ref="D728">IF(A728="","",IF(ISLOGICAL(INDEX('Deck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28" s="80" t="str">
        <f t="shared" si="2"/>
        <v/>
      </c>
      <c r="F728" s="80" t="str">
        <f t="array" ref="F728">IF(A728="","",IF(ISNUMBER(J728),J728,IF(ISNUMBER(INDEX('Deck 2'!$A:$Z,ROW()-500,'List Setup'!$F$4)),INDEX('Deck 2'!$A:$Z,ROW()-500,'List Setup'!$F$4),0)))</f>
        <v/>
      </c>
      <c r="G728" s="80" t="str">
        <f t="array" ref="G728">IF(A728="","",A728&amp;IF(N(INDEX('Deck 2'!$A:$Z,ROW()-500,'List Setup'!$C$4))&gt;1," (x"&amp;INDEX('Deck 2'!$A:$Z,ROW()-500,'List Setup'!$C$4)&amp;")","")&amp;IF(COUNTIF(Binders!$J$6:$J$30,TRUE())&gt;1," ["&amp;Q728&amp;"]",""))</f>
        <v/>
      </c>
      <c r="H728" s="80" t="str">
        <f t="array" ref="H728">IF(A728="","",CHAR(10)&amp;INDEX('Deck 2'!$A:$Z,ROW()-500,'List Setup'!$E$4)&amp;CHAR(10))</f>
        <v/>
      </c>
      <c r="I728" s="80" t="str">
        <f t="array" ref="I728">IF(OR(B728="",B728="(none)"),"",IF(ISNUMBER(SEARCH(CHAR(10)&amp;B728&amp;CHAR(10),H728)),B728,IFERROR(INDEX('Set Aliases'!$A$2:$A$501,MATCH(1,('Set Aliases'!$B$2:$B$501=B728)*ISNUMBER(SEARCH(CHAR(10)&amp;'Set Aliases'!$A$2:$A$501&amp;CHAR(10),H728)),0)),"")))</f>
        <v/>
      </c>
      <c r="J728" s="80" t="str">
        <f t="array" ref="J728">IF(I728="","",IFERROR(VALUE(TRIM(MID(SUBSTITUTE(INDEX('Deck 2'!$A:$Z,ROW()-500,'List Setup'!$G$4),CHAR(10),REPT(" ",100)),((SEARCH(CHAR(10)&amp;I728&amp;CHAR(10),H728)-LEN(SUBSTITUTE(LEFT(H728,SEARCH(CHAR(10)&amp;I728&amp;CHAR(10),H728)),CHAR(10),"")))-1)*100+1,100))),""))</f>
        <v/>
      </c>
      <c r="K728" s="80" t="str">
        <f t="array" ref="K728">IF(A728="","",IF(ISNUMBER(SEARCH("Land",LEFT(IFERROR(INDEX('Deck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28" s="80" t="str">
        <f t="shared" si="3"/>
        <v/>
      </c>
      <c r="M728" s="80" t="str">
        <f>IF(A728="","",IF(AND(E728="Y",B728='Use at Shop'!$B$4),K728*10000000000+(MAX(0,MIN(26,CODE(MID(UPPER(A728)&amp;"    ",1,1))-64))*19683+MAX(0,MIN(26,CODE(MID(UPPER(A728)&amp;"    ",2,1))-64))*729+MAX(0,MIN(26,CODE(MID(UPPER(A728)&amp;"    ",3,1))-64))*27+MAX(0,MIN(26,CODE(MID(UPPER(A728)&amp;"    ",4,1))-64))*1)*10000+ROW(),""))</f>
        <v/>
      </c>
      <c r="N728" s="80" t="str">
        <f t="shared" si="6"/>
        <v/>
      </c>
      <c r="O728" s="80" t="str">
        <f t="array" ref="O728">IF(A728="","",IFERROR(INDEX('Deck 2'!$A:$Z,ROW()-500,'List Setup'!$J$4)&amp;"",""))</f>
        <v/>
      </c>
      <c r="P728" s="2"/>
      <c r="Q728" s="80" t="str">
        <f>IF(A728="","",'List Setup'!$A$4)</f>
        <v/>
      </c>
      <c r="R728" s="80" t="str">
        <f t="array" ref="R728">IF(A728="","",IFERROR(OR(INDEX(Binders!$J$6:$J$30,MATCH(Q728,Binders!$I$6:$I$30,0))=TRUE(),UPPER(INDEX(Binders!$J$6:$J$30,MATCH(Q728,Binders!$I$6:$I$30,0))&amp;"")="TRUE"),FALSE()))</f>
        <v/>
      </c>
    </row>
    <row r="729" ht="15.75" customHeight="1">
      <c r="A729" s="80" t="str">
        <f t="array" ref="A729">IF(INDEX('Deck 2'!$A:$Z,ROW()-500,'List Setup'!$D$4)="","",INDEX('Deck 2'!$A:$Z,ROW()-500,'List Setup'!$D$4))</f>
        <v/>
      </c>
      <c r="B729" s="80" t="str">
        <f t="array" ref="B729">IF(A729="","",IFERROR(INDEX('Binder Setup'!$B$2:$B$401,MIN(IF(ISNUMBER(SEARCH(CHAR(10)&amp;'Binder Setup'!$B$2:$B$401&amp;CHAR(10),$H729)),'List Setup'!$Q$2:$Q$401,999),IF(ISNUMBER(SEARCH(CHAR(10)&amp;'Set Aliases'!$A$2:$A$501&amp;CHAR(10),$H729)),'Set Aliases'!$C$2:$C$501,999))),"(none)"))</f>
        <v/>
      </c>
      <c r="C729" s="80" t="str">
        <f t="shared" si="1"/>
        <v/>
      </c>
      <c r="D729" s="80" t="str">
        <f t="array" ref="D729">IF(A729="","",IF(ISLOGICAL(INDEX('Deck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29" s="80" t="str">
        <f t="shared" si="2"/>
        <v/>
      </c>
      <c r="F729" s="80" t="str">
        <f t="array" ref="F729">IF(A729="","",IF(ISNUMBER(J729),J729,IF(ISNUMBER(INDEX('Deck 2'!$A:$Z,ROW()-500,'List Setup'!$F$4)),INDEX('Deck 2'!$A:$Z,ROW()-500,'List Setup'!$F$4),0)))</f>
        <v/>
      </c>
      <c r="G729" s="80" t="str">
        <f t="array" ref="G729">IF(A729="","",A729&amp;IF(N(INDEX('Deck 2'!$A:$Z,ROW()-500,'List Setup'!$C$4))&gt;1," (x"&amp;INDEX('Deck 2'!$A:$Z,ROW()-500,'List Setup'!$C$4)&amp;")","")&amp;IF(COUNTIF(Binders!$J$6:$J$30,TRUE())&gt;1," ["&amp;Q729&amp;"]",""))</f>
        <v/>
      </c>
      <c r="H729" s="80" t="str">
        <f t="array" ref="H729">IF(A729="","",CHAR(10)&amp;INDEX('Deck 2'!$A:$Z,ROW()-500,'List Setup'!$E$4)&amp;CHAR(10))</f>
        <v/>
      </c>
      <c r="I729" s="80" t="str">
        <f t="array" ref="I729">IF(OR(B729="",B729="(none)"),"",IF(ISNUMBER(SEARCH(CHAR(10)&amp;B729&amp;CHAR(10),H729)),B729,IFERROR(INDEX('Set Aliases'!$A$2:$A$501,MATCH(1,('Set Aliases'!$B$2:$B$501=B729)*ISNUMBER(SEARCH(CHAR(10)&amp;'Set Aliases'!$A$2:$A$501&amp;CHAR(10),H729)),0)),"")))</f>
        <v/>
      </c>
      <c r="J729" s="80" t="str">
        <f t="array" ref="J729">IF(I729="","",IFERROR(VALUE(TRIM(MID(SUBSTITUTE(INDEX('Deck 2'!$A:$Z,ROW()-500,'List Setup'!$G$4),CHAR(10),REPT(" ",100)),((SEARCH(CHAR(10)&amp;I729&amp;CHAR(10),H729)-LEN(SUBSTITUTE(LEFT(H729,SEARCH(CHAR(10)&amp;I729&amp;CHAR(10),H729)),CHAR(10),"")))-1)*100+1,100))),""))</f>
        <v/>
      </c>
      <c r="K729" s="80" t="str">
        <f t="array" ref="K729">IF(A729="","",IF(ISNUMBER(SEARCH("Land",LEFT(IFERROR(INDEX('Deck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29" s="80" t="str">
        <f t="shared" si="3"/>
        <v/>
      </c>
      <c r="M729" s="80" t="str">
        <f>IF(A729="","",IF(AND(E729="Y",B729='Use at Shop'!$B$4),K729*10000000000+(MAX(0,MIN(26,CODE(MID(UPPER(A729)&amp;"    ",1,1))-64))*19683+MAX(0,MIN(26,CODE(MID(UPPER(A729)&amp;"    ",2,1))-64))*729+MAX(0,MIN(26,CODE(MID(UPPER(A729)&amp;"    ",3,1))-64))*27+MAX(0,MIN(26,CODE(MID(UPPER(A729)&amp;"    ",4,1))-64))*1)*10000+ROW(),""))</f>
        <v/>
      </c>
      <c r="N729" s="80" t="str">
        <f t="shared" si="6"/>
        <v/>
      </c>
      <c r="O729" s="80" t="str">
        <f t="array" ref="O729">IF(A729="","",IFERROR(INDEX('Deck 2'!$A:$Z,ROW()-500,'List Setup'!$J$4)&amp;"",""))</f>
        <v/>
      </c>
      <c r="P729" s="2"/>
      <c r="Q729" s="80" t="str">
        <f>IF(A729="","",'List Setup'!$A$4)</f>
        <v/>
      </c>
      <c r="R729" s="80" t="str">
        <f t="array" ref="R729">IF(A729="","",IFERROR(OR(INDEX(Binders!$J$6:$J$30,MATCH(Q729,Binders!$I$6:$I$30,0))=TRUE(),UPPER(INDEX(Binders!$J$6:$J$30,MATCH(Q729,Binders!$I$6:$I$30,0))&amp;"")="TRUE"),FALSE()))</f>
        <v/>
      </c>
    </row>
    <row r="730" ht="15.75" customHeight="1">
      <c r="A730" s="80" t="str">
        <f t="array" ref="A730">IF(INDEX('Deck 2'!$A:$Z,ROW()-500,'List Setup'!$D$4)="","",INDEX('Deck 2'!$A:$Z,ROW()-500,'List Setup'!$D$4))</f>
        <v/>
      </c>
      <c r="B730" s="80" t="str">
        <f t="array" ref="B730">IF(A730="","",IFERROR(INDEX('Binder Setup'!$B$2:$B$401,MIN(IF(ISNUMBER(SEARCH(CHAR(10)&amp;'Binder Setup'!$B$2:$B$401&amp;CHAR(10),$H730)),'List Setup'!$Q$2:$Q$401,999),IF(ISNUMBER(SEARCH(CHAR(10)&amp;'Set Aliases'!$A$2:$A$501&amp;CHAR(10),$H730)),'Set Aliases'!$C$2:$C$501,999))),"(none)"))</f>
        <v/>
      </c>
      <c r="C730" s="80" t="str">
        <f t="shared" si="1"/>
        <v/>
      </c>
      <c r="D730" s="80" t="str">
        <f t="array" ref="D730">IF(A730="","",IF(ISLOGICAL(INDEX('Deck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30" s="80" t="str">
        <f t="shared" si="2"/>
        <v/>
      </c>
      <c r="F730" s="80" t="str">
        <f t="array" ref="F730">IF(A730="","",IF(ISNUMBER(J730),J730,IF(ISNUMBER(INDEX('Deck 2'!$A:$Z,ROW()-500,'List Setup'!$F$4)),INDEX('Deck 2'!$A:$Z,ROW()-500,'List Setup'!$F$4),0)))</f>
        <v/>
      </c>
      <c r="G730" s="80" t="str">
        <f t="array" ref="G730">IF(A730="","",A730&amp;IF(N(INDEX('Deck 2'!$A:$Z,ROW()-500,'List Setup'!$C$4))&gt;1," (x"&amp;INDEX('Deck 2'!$A:$Z,ROW()-500,'List Setup'!$C$4)&amp;")","")&amp;IF(COUNTIF(Binders!$J$6:$J$30,TRUE())&gt;1," ["&amp;Q730&amp;"]",""))</f>
        <v/>
      </c>
      <c r="H730" s="80" t="str">
        <f t="array" ref="H730">IF(A730="","",CHAR(10)&amp;INDEX('Deck 2'!$A:$Z,ROW()-500,'List Setup'!$E$4)&amp;CHAR(10))</f>
        <v/>
      </c>
      <c r="I730" s="80" t="str">
        <f t="array" ref="I730">IF(OR(B730="",B730="(none)"),"",IF(ISNUMBER(SEARCH(CHAR(10)&amp;B730&amp;CHAR(10),H730)),B730,IFERROR(INDEX('Set Aliases'!$A$2:$A$501,MATCH(1,('Set Aliases'!$B$2:$B$501=B730)*ISNUMBER(SEARCH(CHAR(10)&amp;'Set Aliases'!$A$2:$A$501&amp;CHAR(10),H730)),0)),"")))</f>
        <v/>
      </c>
      <c r="J730" s="80" t="str">
        <f t="array" ref="J730">IF(I730="","",IFERROR(VALUE(TRIM(MID(SUBSTITUTE(INDEX('Deck 2'!$A:$Z,ROW()-500,'List Setup'!$G$4),CHAR(10),REPT(" ",100)),((SEARCH(CHAR(10)&amp;I730&amp;CHAR(10),H730)-LEN(SUBSTITUTE(LEFT(H730,SEARCH(CHAR(10)&amp;I730&amp;CHAR(10),H730)),CHAR(10),"")))-1)*100+1,100))),""))</f>
        <v/>
      </c>
      <c r="K730" s="80" t="str">
        <f t="array" ref="K730">IF(A730="","",IF(ISNUMBER(SEARCH("Land",LEFT(IFERROR(INDEX('Deck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30" s="80" t="str">
        <f t="shared" si="3"/>
        <v/>
      </c>
      <c r="M730" s="80" t="str">
        <f>IF(A730="","",IF(AND(E730="Y",B730='Use at Shop'!$B$4),K730*10000000000+(MAX(0,MIN(26,CODE(MID(UPPER(A730)&amp;"    ",1,1))-64))*19683+MAX(0,MIN(26,CODE(MID(UPPER(A730)&amp;"    ",2,1))-64))*729+MAX(0,MIN(26,CODE(MID(UPPER(A730)&amp;"    ",3,1))-64))*27+MAX(0,MIN(26,CODE(MID(UPPER(A730)&amp;"    ",4,1))-64))*1)*10000+ROW(),""))</f>
        <v/>
      </c>
      <c r="N730" s="80" t="str">
        <f t="shared" si="6"/>
        <v/>
      </c>
      <c r="O730" s="80" t="str">
        <f t="array" ref="O730">IF(A730="","",IFERROR(INDEX('Deck 2'!$A:$Z,ROW()-500,'List Setup'!$J$4)&amp;"",""))</f>
        <v/>
      </c>
      <c r="P730" s="2"/>
      <c r="Q730" s="80" t="str">
        <f>IF(A730="","",'List Setup'!$A$4)</f>
        <v/>
      </c>
      <c r="R730" s="80" t="str">
        <f t="array" ref="R730">IF(A730="","",IFERROR(OR(INDEX(Binders!$J$6:$J$30,MATCH(Q730,Binders!$I$6:$I$30,0))=TRUE(),UPPER(INDEX(Binders!$J$6:$J$30,MATCH(Q730,Binders!$I$6:$I$30,0))&amp;"")="TRUE"),FALSE()))</f>
        <v/>
      </c>
    </row>
    <row r="731" ht="15.75" customHeight="1">
      <c r="A731" s="80" t="str">
        <f t="array" ref="A731">IF(INDEX('Deck 2'!$A:$Z,ROW()-500,'List Setup'!$D$4)="","",INDEX('Deck 2'!$A:$Z,ROW()-500,'List Setup'!$D$4))</f>
        <v/>
      </c>
      <c r="B731" s="80" t="str">
        <f t="array" ref="B731">IF(A731="","",IFERROR(INDEX('Binder Setup'!$B$2:$B$401,MIN(IF(ISNUMBER(SEARCH(CHAR(10)&amp;'Binder Setup'!$B$2:$B$401&amp;CHAR(10),$H731)),'List Setup'!$Q$2:$Q$401,999),IF(ISNUMBER(SEARCH(CHAR(10)&amp;'Set Aliases'!$A$2:$A$501&amp;CHAR(10),$H731)),'Set Aliases'!$C$2:$C$501,999))),"(none)"))</f>
        <v/>
      </c>
      <c r="C731" s="80" t="str">
        <f t="shared" si="1"/>
        <v/>
      </c>
      <c r="D731" s="80" t="str">
        <f t="array" ref="D731">IF(A731="","",IF(ISLOGICAL(INDEX('Deck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31" s="80" t="str">
        <f t="shared" si="2"/>
        <v/>
      </c>
      <c r="F731" s="80" t="str">
        <f t="array" ref="F731">IF(A731="","",IF(ISNUMBER(J731),J731,IF(ISNUMBER(INDEX('Deck 2'!$A:$Z,ROW()-500,'List Setup'!$F$4)),INDEX('Deck 2'!$A:$Z,ROW()-500,'List Setup'!$F$4),0)))</f>
        <v/>
      </c>
      <c r="G731" s="80" t="str">
        <f t="array" ref="G731">IF(A731="","",A731&amp;IF(N(INDEX('Deck 2'!$A:$Z,ROW()-500,'List Setup'!$C$4))&gt;1," (x"&amp;INDEX('Deck 2'!$A:$Z,ROW()-500,'List Setup'!$C$4)&amp;")","")&amp;IF(COUNTIF(Binders!$J$6:$J$30,TRUE())&gt;1," ["&amp;Q731&amp;"]",""))</f>
        <v/>
      </c>
      <c r="H731" s="80" t="str">
        <f t="array" ref="H731">IF(A731="","",CHAR(10)&amp;INDEX('Deck 2'!$A:$Z,ROW()-500,'List Setup'!$E$4)&amp;CHAR(10))</f>
        <v/>
      </c>
      <c r="I731" s="80" t="str">
        <f t="array" ref="I731">IF(OR(B731="",B731="(none)"),"",IF(ISNUMBER(SEARCH(CHAR(10)&amp;B731&amp;CHAR(10),H731)),B731,IFERROR(INDEX('Set Aliases'!$A$2:$A$501,MATCH(1,('Set Aliases'!$B$2:$B$501=B731)*ISNUMBER(SEARCH(CHAR(10)&amp;'Set Aliases'!$A$2:$A$501&amp;CHAR(10),H731)),0)),"")))</f>
        <v/>
      </c>
      <c r="J731" s="80" t="str">
        <f t="array" ref="J731">IF(I731="","",IFERROR(VALUE(TRIM(MID(SUBSTITUTE(INDEX('Deck 2'!$A:$Z,ROW()-500,'List Setup'!$G$4),CHAR(10),REPT(" ",100)),((SEARCH(CHAR(10)&amp;I731&amp;CHAR(10),H731)-LEN(SUBSTITUTE(LEFT(H731,SEARCH(CHAR(10)&amp;I731&amp;CHAR(10),H731)),CHAR(10),"")))-1)*100+1,100))),""))</f>
        <v/>
      </c>
      <c r="K731" s="80" t="str">
        <f t="array" ref="K731">IF(A731="","",IF(ISNUMBER(SEARCH("Land",LEFT(IFERROR(INDEX('Deck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31" s="80" t="str">
        <f t="shared" si="3"/>
        <v/>
      </c>
      <c r="M731" s="80" t="str">
        <f>IF(A731="","",IF(AND(E731="Y",B731='Use at Shop'!$B$4),K731*10000000000+(MAX(0,MIN(26,CODE(MID(UPPER(A731)&amp;"    ",1,1))-64))*19683+MAX(0,MIN(26,CODE(MID(UPPER(A731)&amp;"    ",2,1))-64))*729+MAX(0,MIN(26,CODE(MID(UPPER(A731)&amp;"    ",3,1))-64))*27+MAX(0,MIN(26,CODE(MID(UPPER(A731)&amp;"    ",4,1))-64))*1)*10000+ROW(),""))</f>
        <v/>
      </c>
      <c r="N731" s="80" t="str">
        <f t="shared" si="6"/>
        <v/>
      </c>
      <c r="O731" s="80" t="str">
        <f t="array" ref="O731">IF(A731="","",IFERROR(INDEX('Deck 2'!$A:$Z,ROW()-500,'List Setup'!$J$4)&amp;"",""))</f>
        <v/>
      </c>
      <c r="P731" s="2"/>
      <c r="Q731" s="80" t="str">
        <f>IF(A731="","",'List Setup'!$A$4)</f>
        <v/>
      </c>
      <c r="R731" s="80" t="str">
        <f t="array" ref="R731">IF(A731="","",IFERROR(OR(INDEX(Binders!$J$6:$J$30,MATCH(Q731,Binders!$I$6:$I$30,0))=TRUE(),UPPER(INDEX(Binders!$J$6:$J$30,MATCH(Q731,Binders!$I$6:$I$30,0))&amp;"")="TRUE"),FALSE()))</f>
        <v/>
      </c>
    </row>
    <row r="732" ht="15.75" customHeight="1">
      <c r="A732" s="80" t="str">
        <f t="array" ref="A732">IF(INDEX('Deck 2'!$A:$Z,ROW()-500,'List Setup'!$D$4)="","",INDEX('Deck 2'!$A:$Z,ROW()-500,'List Setup'!$D$4))</f>
        <v/>
      </c>
      <c r="B732" s="80" t="str">
        <f t="array" ref="B732">IF(A732="","",IFERROR(INDEX('Binder Setup'!$B$2:$B$401,MIN(IF(ISNUMBER(SEARCH(CHAR(10)&amp;'Binder Setup'!$B$2:$B$401&amp;CHAR(10),$H732)),'List Setup'!$Q$2:$Q$401,999),IF(ISNUMBER(SEARCH(CHAR(10)&amp;'Set Aliases'!$A$2:$A$501&amp;CHAR(10),$H732)),'Set Aliases'!$C$2:$C$501,999))),"(none)"))</f>
        <v/>
      </c>
      <c r="C732" s="80" t="str">
        <f t="shared" si="1"/>
        <v/>
      </c>
      <c r="D732" s="80" t="str">
        <f t="array" ref="D732">IF(A732="","",IF(ISLOGICAL(INDEX('Deck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32" s="80" t="str">
        <f t="shared" si="2"/>
        <v/>
      </c>
      <c r="F732" s="80" t="str">
        <f t="array" ref="F732">IF(A732="","",IF(ISNUMBER(J732),J732,IF(ISNUMBER(INDEX('Deck 2'!$A:$Z,ROW()-500,'List Setup'!$F$4)),INDEX('Deck 2'!$A:$Z,ROW()-500,'List Setup'!$F$4),0)))</f>
        <v/>
      </c>
      <c r="G732" s="80" t="str">
        <f t="array" ref="G732">IF(A732="","",A732&amp;IF(N(INDEX('Deck 2'!$A:$Z,ROW()-500,'List Setup'!$C$4))&gt;1," (x"&amp;INDEX('Deck 2'!$A:$Z,ROW()-500,'List Setup'!$C$4)&amp;")","")&amp;IF(COUNTIF(Binders!$J$6:$J$30,TRUE())&gt;1," ["&amp;Q732&amp;"]",""))</f>
        <v/>
      </c>
      <c r="H732" s="80" t="str">
        <f t="array" ref="H732">IF(A732="","",CHAR(10)&amp;INDEX('Deck 2'!$A:$Z,ROW()-500,'List Setup'!$E$4)&amp;CHAR(10))</f>
        <v/>
      </c>
      <c r="I732" s="80" t="str">
        <f t="array" ref="I732">IF(OR(B732="",B732="(none)"),"",IF(ISNUMBER(SEARCH(CHAR(10)&amp;B732&amp;CHAR(10),H732)),B732,IFERROR(INDEX('Set Aliases'!$A$2:$A$501,MATCH(1,('Set Aliases'!$B$2:$B$501=B732)*ISNUMBER(SEARCH(CHAR(10)&amp;'Set Aliases'!$A$2:$A$501&amp;CHAR(10),H732)),0)),"")))</f>
        <v/>
      </c>
      <c r="J732" s="80" t="str">
        <f t="array" ref="J732">IF(I732="","",IFERROR(VALUE(TRIM(MID(SUBSTITUTE(INDEX('Deck 2'!$A:$Z,ROW()-500,'List Setup'!$G$4),CHAR(10),REPT(" ",100)),((SEARCH(CHAR(10)&amp;I732&amp;CHAR(10),H732)-LEN(SUBSTITUTE(LEFT(H732,SEARCH(CHAR(10)&amp;I732&amp;CHAR(10),H732)),CHAR(10),"")))-1)*100+1,100))),""))</f>
        <v/>
      </c>
      <c r="K732" s="80" t="str">
        <f t="array" ref="K732">IF(A732="","",IF(ISNUMBER(SEARCH("Land",LEFT(IFERROR(INDEX('Deck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32" s="80" t="str">
        <f t="shared" si="3"/>
        <v/>
      </c>
      <c r="M732" s="80" t="str">
        <f>IF(A732="","",IF(AND(E732="Y",B732='Use at Shop'!$B$4),K732*10000000000+(MAX(0,MIN(26,CODE(MID(UPPER(A732)&amp;"    ",1,1))-64))*19683+MAX(0,MIN(26,CODE(MID(UPPER(A732)&amp;"    ",2,1))-64))*729+MAX(0,MIN(26,CODE(MID(UPPER(A732)&amp;"    ",3,1))-64))*27+MAX(0,MIN(26,CODE(MID(UPPER(A732)&amp;"    ",4,1))-64))*1)*10000+ROW(),""))</f>
        <v/>
      </c>
      <c r="N732" s="80" t="str">
        <f t="shared" si="6"/>
        <v/>
      </c>
      <c r="O732" s="80" t="str">
        <f t="array" ref="O732">IF(A732="","",IFERROR(INDEX('Deck 2'!$A:$Z,ROW()-500,'List Setup'!$J$4)&amp;"",""))</f>
        <v/>
      </c>
      <c r="P732" s="2"/>
      <c r="Q732" s="80" t="str">
        <f>IF(A732="","",'List Setup'!$A$4)</f>
        <v/>
      </c>
      <c r="R732" s="80" t="str">
        <f t="array" ref="R732">IF(A732="","",IFERROR(OR(INDEX(Binders!$J$6:$J$30,MATCH(Q732,Binders!$I$6:$I$30,0))=TRUE(),UPPER(INDEX(Binders!$J$6:$J$30,MATCH(Q732,Binders!$I$6:$I$30,0))&amp;"")="TRUE"),FALSE()))</f>
        <v/>
      </c>
    </row>
    <row r="733" ht="15.75" customHeight="1">
      <c r="A733" s="80" t="str">
        <f t="array" ref="A733">IF(INDEX('Deck 2'!$A:$Z,ROW()-500,'List Setup'!$D$4)="","",INDEX('Deck 2'!$A:$Z,ROW()-500,'List Setup'!$D$4))</f>
        <v/>
      </c>
      <c r="B733" s="80" t="str">
        <f t="array" ref="B733">IF(A733="","",IFERROR(INDEX('Binder Setup'!$B$2:$B$401,MIN(IF(ISNUMBER(SEARCH(CHAR(10)&amp;'Binder Setup'!$B$2:$B$401&amp;CHAR(10),$H733)),'List Setup'!$Q$2:$Q$401,999),IF(ISNUMBER(SEARCH(CHAR(10)&amp;'Set Aliases'!$A$2:$A$501&amp;CHAR(10),$H733)),'Set Aliases'!$C$2:$C$501,999))),"(none)"))</f>
        <v/>
      </c>
      <c r="C733" s="80" t="str">
        <f t="shared" si="1"/>
        <v/>
      </c>
      <c r="D733" s="80" t="str">
        <f t="array" ref="D733">IF(A733="","",IF(ISLOGICAL(INDEX('Deck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33" s="80" t="str">
        <f t="shared" si="2"/>
        <v/>
      </c>
      <c r="F733" s="80" t="str">
        <f t="array" ref="F733">IF(A733="","",IF(ISNUMBER(J733),J733,IF(ISNUMBER(INDEX('Deck 2'!$A:$Z,ROW()-500,'List Setup'!$F$4)),INDEX('Deck 2'!$A:$Z,ROW()-500,'List Setup'!$F$4),0)))</f>
        <v/>
      </c>
      <c r="G733" s="80" t="str">
        <f t="array" ref="G733">IF(A733="","",A733&amp;IF(N(INDEX('Deck 2'!$A:$Z,ROW()-500,'List Setup'!$C$4))&gt;1," (x"&amp;INDEX('Deck 2'!$A:$Z,ROW()-500,'List Setup'!$C$4)&amp;")","")&amp;IF(COUNTIF(Binders!$J$6:$J$30,TRUE())&gt;1," ["&amp;Q733&amp;"]",""))</f>
        <v/>
      </c>
      <c r="H733" s="80" t="str">
        <f t="array" ref="H733">IF(A733="","",CHAR(10)&amp;INDEX('Deck 2'!$A:$Z,ROW()-500,'List Setup'!$E$4)&amp;CHAR(10))</f>
        <v/>
      </c>
      <c r="I733" s="80" t="str">
        <f t="array" ref="I733">IF(OR(B733="",B733="(none)"),"",IF(ISNUMBER(SEARCH(CHAR(10)&amp;B733&amp;CHAR(10),H733)),B733,IFERROR(INDEX('Set Aliases'!$A$2:$A$501,MATCH(1,('Set Aliases'!$B$2:$B$501=B733)*ISNUMBER(SEARCH(CHAR(10)&amp;'Set Aliases'!$A$2:$A$501&amp;CHAR(10),H733)),0)),"")))</f>
        <v/>
      </c>
      <c r="J733" s="80" t="str">
        <f t="array" ref="J733">IF(I733="","",IFERROR(VALUE(TRIM(MID(SUBSTITUTE(INDEX('Deck 2'!$A:$Z,ROW()-500,'List Setup'!$G$4),CHAR(10),REPT(" ",100)),((SEARCH(CHAR(10)&amp;I733&amp;CHAR(10),H733)-LEN(SUBSTITUTE(LEFT(H733,SEARCH(CHAR(10)&amp;I733&amp;CHAR(10),H733)),CHAR(10),"")))-1)*100+1,100))),""))</f>
        <v/>
      </c>
      <c r="K733" s="80" t="str">
        <f t="array" ref="K733">IF(A733="","",IF(ISNUMBER(SEARCH("Land",LEFT(IFERROR(INDEX('Deck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33" s="80" t="str">
        <f t="shared" si="3"/>
        <v/>
      </c>
      <c r="M733" s="80" t="str">
        <f>IF(A733="","",IF(AND(E733="Y",B733='Use at Shop'!$B$4),K733*10000000000+(MAX(0,MIN(26,CODE(MID(UPPER(A733)&amp;"    ",1,1))-64))*19683+MAX(0,MIN(26,CODE(MID(UPPER(A733)&amp;"    ",2,1))-64))*729+MAX(0,MIN(26,CODE(MID(UPPER(A733)&amp;"    ",3,1))-64))*27+MAX(0,MIN(26,CODE(MID(UPPER(A733)&amp;"    ",4,1))-64))*1)*10000+ROW(),""))</f>
        <v/>
      </c>
      <c r="N733" s="80" t="str">
        <f t="shared" si="6"/>
        <v/>
      </c>
      <c r="O733" s="80" t="str">
        <f t="array" ref="O733">IF(A733="","",IFERROR(INDEX('Deck 2'!$A:$Z,ROW()-500,'List Setup'!$J$4)&amp;"",""))</f>
        <v/>
      </c>
      <c r="P733" s="2"/>
      <c r="Q733" s="80" t="str">
        <f>IF(A733="","",'List Setup'!$A$4)</f>
        <v/>
      </c>
      <c r="R733" s="80" t="str">
        <f t="array" ref="R733">IF(A733="","",IFERROR(OR(INDEX(Binders!$J$6:$J$30,MATCH(Q733,Binders!$I$6:$I$30,0))=TRUE(),UPPER(INDEX(Binders!$J$6:$J$30,MATCH(Q733,Binders!$I$6:$I$30,0))&amp;"")="TRUE"),FALSE()))</f>
        <v/>
      </c>
    </row>
    <row r="734" ht="15.75" customHeight="1">
      <c r="A734" s="80" t="str">
        <f t="array" ref="A734">IF(INDEX('Deck 2'!$A:$Z,ROW()-500,'List Setup'!$D$4)="","",INDEX('Deck 2'!$A:$Z,ROW()-500,'List Setup'!$D$4))</f>
        <v/>
      </c>
      <c r="B734" s="80" t="str">
        <f t="array" ref="B734">IF(A734="","",IFERROR(INDEX('Binder Setup'!$B$2:$B$401,MIN(IF(ISNUMBER(SEARCH(CHAR(10)&amp;'Binder Setup'!$B$2:$B$401&amp;CHAR(10),$H734)),'List Setup'!$Q$2:$Q$401,999),IF(ISNUMBER(SEARCH(CHAR(10)&amp;'Set Aliases'!$A$2:$A$501&amp;CHAR(10),$H734)),'Set Aliases'!$C$2:$C$501,999))),"(none)"))</f>
        <v/>
      </c>
      <c r="C734" s="80" t="str">
        <f t="shared" si="1"/>
        <v/>
      </c>
      <c r="D734" s="80" t="str">
        <f t="array" ref="D734">IF(A734="","",IF(ISLOGICAL(INDEX('Deck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34" s="80" t="str">
        <f t="shared" si="2"/>
        <v/>
      </c>
      <c r="F734" s="80" t="str">
        <f t="array" ref="F734">IF(A734="","",IF(ISNUMBER(J734),J734,IF(ISNUMBER(INDEX('Deck 2'!$A:$Z,ROW()-500,'List Setup'!$F$4)),INDEX('Deck 2'!$A:$Z,ROW()-500,'List Setup'!$F$4),0)))</f>
        <v/>
      </c>
      <c r="G734" s="80" t="str">
        <f t="array" ref="G734">IF(A734="","",A734&amp;IF(N(INDEX('Deck 2'!$A:$Z,ROW()-500,'List Setup'!$C$4))&gt;1," (x"&amp;INDEX('Deck 2'!$A:$Z,ROW()-500,'List Setup'!$C$4)&amp;")","")&amp;IF(COUNTIF(Binders!$J$6:$J$30,TRUE())&gt;1," ["&amp;Q734&amp;"]",""))</f>
        <v/>
      </c>
      <c r="H734" s="80" t="str">
        <f t="array" ref="H734">IF(A734="","",CHAR(10)&amp;INDEX('Deck 2'!$A:$Z,ROW()-500,'List Setup'!$E$4)&amp;CHAR(10))</f>
        <v/>
      </c>
      <c r="I734" s="80" t="str">
        <f t="array" ref="I734">IF(OR(B734="",B734="(none)"),"",IF(ISNUMBER(SEARCH(CHAR(10)&amp;B734&amp;CHAR(10),H734)),B734,IFERROR(INDEX('Set Aliases'!$A$2:$A$501,MATCH(1,('Set Aliases'!$B$2:$B$501=B734)*ISNUMBER(SEARCH(CHAR(10)&amp;'Set Aliases'!$A$2:$A$501&amp;CHAR(10),H734)),0)),"")))</f>
        <v/>
      </c>
      <c r="J734" s="80" t="str">
        <f t="array" ref="J734">IF(I734="","",IFERROR(VALUE(TRIM(MID(SUBSTITUTE(INDEX('Deck 2'!$A:$Z,ROW()-500,'List Setup'!$G$4),CHAR(10),REPT(" ",100)),((SEARCH(CHAR(10)&amp;I734&amp;CHAR(10),H734)-LEN(SUBSTITUTE(LEFT(H734,SEARCH(CHAR(10)&amp;I734&amp;CHAR(10),H734)),CHAR(10),"")))-1)*100+1,100))),""))</f>
        <v/>
      </c>
      <c r="K734" s="80" t="str">
        <f t="array" ref="K734">IF(A734="","",IF(ISNUMBER(SEARCH("Land",LEFT(IFERROR(INDEX('Deck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34" s="80" t="str">
        <f t="shared" si="3"/>
        <v/>
      </c>
      <c r="M734" s="80" t="str">
        <f>IF(A734="","",IF(AND(E734="Y",B734='Use at Shop'!$B$4),K734*10000000000+(MAX(0,MIN(26,CODE(MID(UPPER(A734)&amp;"    ",1,1))-64))*19683+MAX(0,MIN(26,CODE(MID(UPPER(A734)&amp;"    ",2,1))-64))*729+MAX(0,MIN(26,CODE(MID(UPPER(A734)&amp;"    ",3,1))-64))*27+MAX(0,MIN(26,CODE(MID(UPPER(A734)&amp;"    ",4,1))-64))*1)*10000+ROW(),""))</f>
        <v/>
      </c>
      <c r="N734" s="80" t="str">
        <f t="shared" si="6"/>
        <v/>
      </c>
      <c r="O734" s="80" t="str">
        <f t="array" ref="O734">IF(A734="","",IFERROR(INDEX('Deck 2'!$A:$Z,ROW()-500,'List Setup'!$J$4)&amp;"",""))</f>
        <v/>
      </c>
      <c r="P734" s="2"/>
      <c r="Q734" s="80" t="str">
        <f>IF(A734="","",'List Setup'!$A$4)</f>
        <v/>
      </c>
      <c r="R734" s="80" t="str">
        <f t="array" ref="R734">IF(A734="","",IFERROR(OR(INDEX(Binders!$J$6:$J$30,MATCH(Q734,Binders!$I$6:$I$30,0))=TRUE(),UPPER(INDEX(Binders!$J$6:$J$30,MATCH(Q734,Binders!$I$6:$I$30,0))&amp;"")="TRUE"),FALSE()))</f>
        <v/>
      </c>
    </row>
    <row r="735" ht="15.75" customHeight="1">
      <c r="A735" s="80" t="str">
        <f t="array" ref="A735">IF(INDEX('Deck 2'!$A:$Z,ROW()-500,'List Setup'!$D$4)="","",INDEX('Deck 2'!$A:$Z,ROW()-500,'List Setup'!$D$4))</f>
        <v/>
      </c>
      <c r="B735" s="80" t="str">
        <f t="array" ref="B735">IF(A735="","",IFERROR(INDEX('Binder Setup'!$B$2:$B$401,MIN(IF(ISNUMBER(SEARCH(CHAR(10)&amp;'Binder Setup'!$B$2:$B$401&amp;CHAR(10),$H735)),'List Setup'!$Q$2:$Q$401,999),IF(ISNUMBER(SEARCH(CHAR(10)&amp;'Set Aliases'!$A$2:$A$501&amp;CHAR(10),$H735)),'Set Aliases'!$C$2:$C$501,999))),"(none)"))</f>
        <v/>
      </c>
      <c r="C735" s="80" t="str">
        <f t="shared" si="1"/>
        <v/>
      </c>
      <c r="D735" s="80" t="str">
        <f t="array" ref="D735">IF(A735="","",IF(ISLOGICAL(INDEX('Deck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35" s="80" t="str">
        <f t="shared" si="2"/>
        <v/>
      </c>
      <c r="F735" s="80" t="str">
        <f t="array" ref="F735">IF(A735="","",IF(ISNUMBER(J735),J735,IF(ISNUMBER(INDEX('Deck 2'!$A:$Z,ROW()-500,'List Setup'!$F$4)),INDEX('Deck 2'!$A:$Z,ROW()-500,'List Setup'!$F$4),0)))</f>
        <v/>
      </c>
      <c r="G735" s="80" t="str">
        <f t="array" ref="G735">IF(A735="","",A735&amp;IF(N(INDEX('Deck 2'!$A:$Z,ROW()-500,'List Setup'!$C$4))&gt;1," (x"&amp;INDEX('Deck 2'!$A:$Z,ROW()-500,'List Setup'!$C$4)&amp;")","")&amp;IF(COUNTIF(Binders!$J$6:$J$30,TRUE())&gt;1," ["&amp;Q735&amp;"]",""))</f>
        <v/>
      </c>
      <c r="H735" s="80" t="str">
        <f t="array" ref="H735">IF(A735="","",CHAR(10)&amp;INDEX('Deck 2'!$A:$Z,ROW()-500,'List Setup'!$E$4)&amp;CHAR(10))</f>
        <v/>
      </c>
      <c r="I735" s="80" t="str">
        <f t="array" ref="I735">IF(OR(B735="",B735="(none)"),"",IF(ISNUMBER(SEARCH(CHAR(10)&amp;B735&amp;CHAR(10),H735)),B735,IFERROR(INDEX('Set Aliases'!$A$2:$A$501,MATCH(1,('Set Aliases'!$B$2:$B$501=B735)*ISNUMBER(SEARCH(CHAR(10)&amp;'Set Aliases'!$A$2:$A$501&amp;CHAR(10),H735)),0)),"")))</f>
        <v/>
      </c>
      <c r="J735" s="80" t="str">
        <f t="array" ref="J735">IF(I735="","",IFERROR(VALUE(TRIM(MID(SUBSTITUTE(INDEX('Deck 2'!$A:$Z,ROW()-500,'List Setup'!$G$4),CHAR(10),REPT(" ",100)),((SEARCH(CHAR(10)&amp;I735&amp;CHAR(10),H735)-LEN(SUBSTITUTE(LEFT(H735,SEARCH(CHAR(10)&amp;I735&amp;CHAR(10),H735)),CHAR(10),"")))-1)*100+1,100))),""))</f>
        <v/>
      </c>
      <c r="K735" s="80" t="str">
        <f t="array" ref="K735">IF(A735="","",IF(ISNUMBER(SEARCH("Land",LEFT(IFERROR(INDEX('Deck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35" s="80" t="str">
        <f t="shared" si="3"/>
        <v/>
      </c>
      <c r="M735" s="80" t="str">
        <f>IF(A735="","",IF(AND(E735="Y",B735='Use at Shop'!$B$4),K735*10000000000+(MAX(0,MIN(26,CODE(MID(UPPER(A735)&amp;"    ",1,1))-64))*19683+MAX(0,MIN(26,CODE(MID(UPPER(A735)&amp;"    ",2,1))-64))*729+MAX(0,MIN(26,CODE(MID(UPPER(A735)&amp;"    ",3,1))-64))*27+MAX(0,MIN(26,CODE(MID(UPPER(A735)&amp;"    ",4,1))-64))*1)*10000+ROW(),""))</f>
        <v/>
      </c>
      <c r="N735" s="80" t="str">
        <f t="shared" si="6"/>
        <v/>
      </c>
      <c r="O735" s="80" t="str">
        <f t="array" ref="O735">IF(A735="","",IFERROR(INDEX('Deck 2'!$A:$Z,ROW()-500,'List Setup'!$J$4)&amp;"",""))</f>
        <v/>
      </c>
      <c r="P735" s="2"/>
      <c r="Q735" s="80" t="str">
        <f>IF(A735="","",'List Setup'!$A$4)</f>
        <v/>
      </c>
      <c r="R735" s="80" t="str">
        <f t="array" ref="R735">IF(A735="","",IFERROR(OR(INDEX(Binders!$J$6:$J$30,MATCH(Q735,Binders!$I$6:$I$30,0))=TRUE(),UPPER(INDEX(Binders!$J$6:$J$30,MATCH(Q735,Binders!$I$6:$I$30,0))&amp;"")="TRUE"),FALSE()))</f>
        <v/>
      </c>
    </row>
    <row r="736" ht="15.75" customHeight="1">
      <c r="A736" s="80" t="str">
        <f t="array" ref="A736">IF(INDEX('Deck 2'!$A:$Z,ROW()-500,'List Setup'!$D$4)="","",INDEX('Deck 2'!$A:$Z,ROW()-500,'List Setup'!$D$4))</f>
        <v/>
      </c>
      <c r="B736" s="80" t="str">
        <f t="array" ref="B736">IF(A736="","",IFERROR(INDEX('Binder Setup'!$B$2:$B$401,MIN(IF(ISNUMBER(SEARCH(CHAR(10)&amp;'Binder Setup'!$B$2:$B$401&amp;CHAR(10),$H736)),'List Setup'!$Q$2:$Q$401,999),IF(ISNUMBER(SEARCH(CHAR(10)&amp;'Set Aliases'!$A$2:$A$501&amp;CHAR(10),$H736)),'Set Aliases'!$C$2:$C$501,999))),"(none)"))</f>
        <v/>
      </c>
      <c r="C736" s="80" t="str">
        <f t="shared" si="1"/>
        <v/>
      </c>
      <c r="D736" s="80" t="str">
        <f t="array" ref="D736">IF(A736="","",IF(ISLOGICAL(INDEX('Deck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36" s="80" t="str">
        <f t="shared" si="2"/>
        <v/>
      </c>
      <c r="F736" s="80" t="str">
        <f t="array" ref="F736">IF(A736="","",IF(ISNUMBER(J736),J736,IF(ISNUMBER(INDEX('Deck 2'!$A:$Z,ROW()-500,'List Setup'!$F$4)),INDEX('Deck 2'!$A:$Z,ROW()-500,'List Setup'!$F$4),0)))</f>
        <v/>
      </c>
      <c r="G736" s="80" t="str">
        <f t="array" ref="G736">IF(A736="","",A736&amp;IF(N(INDEX('Deck 2'!$A:$Z,ROW()-500,'List Setup'!$C$4))&gt;1," (x"&amp;INDEX('Deck 2'!$A:$Z,ROW()-500,'List Setup'!$C$4)&amp;")","")&amp;IF(COUNTIF(Binders!$J$6:$J$30,TRUE())&gt;1," ["&amp;Q736&amp;"]",""))</f>
        <v/>
      </c>
      <c r="H736" s="80" t="str">
        <f t="array" ref="H736">IF(A736="","",CHAR(10)&amp;INDEX('Deck 2'!$A:$Z,ROW()-500,'List Setup'!$E$4)&amp;CHAR(10))</f>
        <v/>
      </c>
      <c r="I736" s="80" t="str">
        <f t="array" ref="I736">IF(OR(B736="",B736="(none)"),"",IF(ISNUMBER(SEARCH(CHAR(10)&amp;B736&amp;CHAR(10),H736)),B736,IFERROR(INDEX('Set Aliases'!$A$2:$A$501,MATCH(1,('Set Aliases'!$B$2:$B$501=B736)*ISNUMBER(SEARCH(CHAR(10)&amp;'Set Aliases'!$A$2:$A$501&amp;CHAR(10),H736)),0)),"")))</f>
        <v/>
      </c>
      <c r="J736" s="80" t="str">
        <f t="array" ref="J736">IF(I736="","",IFERROR(VALUE(TRIM(MID(SUBSTITUTE(INDEX('Deck 2'!$A:$Z,ROW()-500,'List Setup'!$G$4),CHAR(10),REPT(" ",100)),((SEARCH(CHAR(10)&amp;I736&amp;CHAR(10),H736)-LEN(SUBSTITUTE(LEFT(H736,SEARCH(CHAR(10)&amp;I736&amp;CHAR(10),H736)),CHAR(10),"")))-1)*100+1,100))),""))</f>
        <v/>
      </c>
      <c r="K736" s="80" t="str">
        <f t="array" ref="K736">IF(A736="","",IF(ISNUMBER(SEARCH("Land",LEFT(IFERROR(INDEX('Deck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36" s="80" t="str">
        <f t="shared" si="3"/>
        <v/>
      </c>
      <c r="M736" s="80" t="str">
        <f>IF(A736="","",IF(AND(E736="Y",B736='Use at Shop'!$B$4),K736*10000000000+(MAX(0,MIN(26,CODE(MID(UPPER(A736)&amp;"    ",1,1))-64))*19683+MAX(0,MIN(26,CODE(MID(UPPER(A736)&amp;"    ",2,1))-64))*729+MAX(0,MIN(26,CODE(MID(UPPER(A736)&amp;"    ",3,1))-64))*27+MAX(0,MIN(26,CODE(MID(UPPER(A736)&amp;"    ",4,1))-64))*1)*10000+ROW(),""))</f>
        <v/>
      </c>
      <c r="N736" s="80" t="str">
        <f t="shared" si="6"/>
        <v/>
      </c>
      <c r="O736" s="80" t="str">
        <f t="array" ref="O736">IF(A736="","",IFERROR(INDEX('Deck 2'!$A:$Z,ROW()-500,'List Setup'!$J$4)&amp;"",""))</f>
        <v/>
      </c>
      <c r="P736" s="2"/>
      <c r="Q736" s="80" t="str">
        <f>IF(A736="","",'List Setup'!$A$4)</f>
        <v/>
      </c>
      <c r="R736" s="80" t="str">
        <f t="array" ref="R736">IF(A736="","",IFERROR(OR(INDEX(Binders!$J$6:$J$30,MATCH(Q736,Binders!$I$6:$I$30,0))=TRUE(),UPPER(INDEX(Binders!$J$6:$J$30,MATCH(Q736,Binders!$I$6:$I$30,0))&amp;"")="TRUE"),FALSE()))</f>
        <v/>
      </c>
    </row>
    <row r="737" ht="15.75" customHeight="1">
      <c r="A737" s="80" t="str">
        <f t="array" ref="A737">IF(INDEX('Deck 2'!$A:$Z,ROW()-500,'List Setup'!$D$4)="","",INDEX('Deck 2'!$A:$Z,ROW()-500,'List Setup'!$D$4))</f>
        <v/>
      </c>
      <c r="B737" s="80" t="str">
        <f t="array" ref="B737">IF(A737="","",IFERROR(INDEX('Binder Setup'!$B$2:$B$401,MIN(IF(ISNUMBER(SEARCH(CHAR(10)&amp;'Binder Setup'!$B$2:$B$401&amp;CHAR(10),$H737)),'List Setup'!$Q$2:$Q$401,999),IF(ISNUMBER(SEARCH(CHAR(10)&amp;'Set Aliases'!$A$2:$A$501&amp;CHAR(10),$H737)),'Set Aliases'!$C$2:$C$501,999))),"(none)"))</f>
        <v/>
      </c>
      <c r="C737" s="80" t="str">
        <f t="shared" si="1"/>
        <v/>
      </c>
      <c r="D737" s="80" t="str">
        <f t="array" ref="D737">IF(A737="","",IF(ISLOGICAL(INDEX('Deck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37" s="80" t="str">
        <f t="shared" si="2"/>
        <v/>
      </c>
      <c r="F737" s="80" t="str">
        <f t="array" ref="F737">IF(A737="","",IF(ISNUMBER(J737),J737,IF(ISNUMBER(INDEX('Deck 2'!$A:$Z,ROW()-500,'List Setup'!$F$4)),INDEX('Deck 2'!$A:$Z,ROW()-500,'List Setup'!$F$4),0)))</f>
        <v/>
      </c>
      <c r="G737" s="80" t="str">
        <f t="array" ref="G737">IF(A737="","",A737&amp;IF(N(INDEX('Deck 2'!$A:$Z,ROW()-500,'List Setup'!$C$4))&gt;1," (x"&amp;INDEX('Deck 2'!$A:$Z,ROW()-500,'List Setup'!$C$4)&amp;")","")&amp;IF(COUNTIF(Binders!$J$6:$J$30,TRUE())&gt;1," ["&amp;Q737&amp;"]",""))</f>
        <v/>
      </c>
      <c r="H737" s="80" t="str">
        <f t="array" ref="H737">IF(A737="","",CHAR(10)&amp;INDEX('Deck 2'!$A:$Z,ROW()-500,'List Setup'!$E$4)&amp;CHAR(10))</f>
        <v/>
      </c>
      <c r="I737" s="80" t="str">
        <f t="array" ref="I737">IF(OR(B737="",B737="(none)"),"",IF(ISNUMBER(SEARCH(CHAR(10)&amp;B737&amp;CHAR(10),H737)),B737,IFERROR(INDEX('Set Aliases'!$A$2:$A$501,MATCH(1,('Set Aliases'!$B$2:$B$501=B737)*ISNUMBER(SEARCH(CHAR(10)&amp;'Set Aliases'!$A$2:$A$501&amp;CHAR(10),H737)),0)),"")))</f>
        <v/>
      </c>
      <c r="J737" s="80" t="str">
        <f t="array" ref="J737">IF(I737="","",IFERROR(VALUE(TRIM(MID(SUBSTITUTE(INDEX('Deck 2'!$A:$Z,ROW()-500,'List Setup'!$G$4),CHAR(10),REPT(" ",100)),((SEARCH(CHAR(10)&amp;I737&amp;CHAR(10),H737)-LEN(SUBSTITUTE(LEFT(H737,SEARCH(CHAR(10)&amp;I737&amp;CHAR(10),H737)),CHAR(10),"")))-1)*100+1,100))),""))</f>
        <v/>
      </c>
      <c r="K737" s="80" t="str">
        <f t="array" ref="K737">IF(A737="","",IF(ISNUMBER(SEARCH("Land",LEFT(IFERROR(INDEX('Deck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37" s="80" t="str">
        <f t="shared" si="3"/>
        <v/>
      </c>
      <c r="M737" s="80" t="str">
        <f>IF(A737="","",IF(AND(E737="Y",B737='Use at Shop'!$B$4),K737*10000000000+(MAX(0,MIN(26,CODE(MID(UPPER(A737)&amp;"    ",1,1))-64))*19683+MAX(0,MIN(26,CODE(MID(UPPER(A737)&amp;"    ",2,1))-64))*729+MAX(0,MIN(26,CODE(MID(UPPER(A737)&amp;"    ",3,1))-64))*27+MAX(0,MIN(26,CODE(MID(UPPER(A737)&amp;"    ",4,1))-64))*1)*10000+ROW(),""))</f>
        <v/>
      </c>
      <c r="N737" s="80" t="str">
        <f t="shared" si="6"/>
        <v/>
      </c>
      <c r="O737" s="80" t="str">
        <f t="array" ref="O737">IF(A737="","",IFERROR(INDEX('Deck 2'!$A:$Z,ROW()-500,'List Setup'!$J$4)&amp;"",""))</f>
        <v/>
      </c>
      <c r="P737" s="2"/>
      <c r="Q737" s="80" t="str">
        <f>IF(A737="","",'List Setup'!$A$4)</f>
        <v/>
      </c>
      <c r="R737" s="80" t="str">
        <f t="array" ref="R737">IF(A737="","",IFERROR(OR(INDEX(Binders!$J$6:$J$30,MATCH(Q737,Binders!$I$6:$I$30,0))=TRUE(),UPPER(INDEX(Binders!$J$6:$J$30,MATCH(Q737,Binders!$I$6:$I$30,0))&amp;"")="TRUE"),FALSE()))</f>
        <v/>
      </c>
    </row>
    <row r="738" ht="15.75" customHeight="1">
      <c r="A738" s="80" t="str">
        <f t="array" ref="A738">IF(INDEX('Deck 2'!$A:$Z,ROW()-500,'List Setup'!$D$4)="","",INDEX('Deck 2'!$A:$Z,ROW()-500,'List Setup'!$D$4))</f>
        <v/>
      </c>
      <c r="B738" s="80" t="str">
        <f t="array" ref="B738">IF(A738="","",IFERROR(INDEX('Binder Setup'!$B$2:$B$401,MIN(IF(ISNUMBER(SEARCH(CHAR(10)&amp;'Binder Setup'!$B$2:$B$401&amp;CHAR(10),$H738)),'List Setup'!$Q$2:$Q$401,999),IF(ISNUMBER(SEARCH(CHAR(10)&amp;'Set Aliases'!$A$2:$A$501&amp;CHAR(10),$H738)),'Set Aliases'!$C$2:$C$501,999))),"(none)"))</f>
        <v/>
      </c>
      <c r="C738" s="80" t="str">
        <f t="shared" si="1"/>
        <v/>
      </c>
      <c r="D738" s="80" t="str">
        <f t="array" ref="D738">IF(A738="","",IF(ISLOGICAL(INDEX('Deck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38" s="80" t="str">
        <f t="shared" si="2"/>
        <v/>
      </c>
      <c r="F738" s="80" t="str">
        <f t="array" ref="F738">IF(A738="","",IF(ISNUMBER(J738),J738,IF(ISNUMBER(INDEX('Deck 2'!$A:$Z,ROW()-500,'List Setup'!$F$4)),INDEX('Deck 2'!$A:$Z,ROW()-500,'List Setup'!$F$4),0)))</f>
        <v/>
      </c>
      <c r="G738" s="80" t="str">
        <f t="array" ref="G738">IF(A738="","",A738&amp;IF(N(INDEX('Deck 2'!$A:$Z,ROW()-500,'List Setup'!$C$4))&gt;1," (x"&amp;INDEX('Deck 2'!$A:$Z,ROW()-500,'List Setup'!$C$4)&amp;")","")&amp;IF(COUNTIF(Binders!$J$6:$J$30,TRUE())&gt;1," ["&amp;Q738&amp;"]",""))</f>
        <v/>
      </c>
      <c r="H738" s="80" t="str">
        <f t="array" ref="H738">IF(A738="","",CHAR(10)&amp;INDEX('Deck 2'!$A:$Z,ROW()-500,'List Setup'!$E$4)&amp;CHAR(10))</f>
        <v/>
      </c>
      <c r="I738" s="80" t="str">
        <f t="array" ref="I738">IF(OR(B738="",B738="(none)"),"",IF(ISNUMBER(SEARCH(CHAR(10)&amp;B738&amp;CHAR(10),H738)),B738,IFERROR(INDEX('Set Aliases'!$A$2:$A$501,MATCH(1,('Set Aliases'!$B$2:$B$501=B738)*ISNUMBER(SEARCH(CHAR(10)&amp;'Set Aliases'!$A$2:$A$501&amp;CHAR(10),H738)),0)),"")))</f>
        <v/>
      </c>
      <c r="J738" s="80" t="str">
        <f t="array" ref="J738">IF(I738="","",IFERROR(VALUE(TRIM(MID(SUBSTITUTE(INDEX('Deck 2'!$A:$Z,ROW()-500,'List Setup'!$G$4),CHAR(10),REPT(" ",100)),((SEARCH(CHAR(10)&amp;I738&amp;CHAR(10),H738)-LEN(SUBSTITUTE(LEFT(H738,SEARCH(CHAR(10)&amp;I738&amp;CHAR(10),H738)),CHAR(10),"")))-1)*100+1,100))),""))</f>
        <v/>
      </c>
      <c r="K738" s="80" t="str">
        <f t="array" ref="K738">IF(A738="","",IF(ISNUMBER(SEARCH("Land",LEFT(IFERROR(INDEX('Deck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38" s="80" t="str">
        <f t="shared" si="3"/>
        <v/>
      </c>
      <c r="M738" s="80" t="str">
        <f>IF(A738="","",IF(AND(E738="Y",B738='Use at Shop'!$B$4),K738*10000000000+(MAX(0,MIN(26,CODE(MID(UPPER(A738)&amp;"    ",1,1))-64))*19683+MAX(0,MIN(26,CODE(MID(UPPER(A738)&amp;"    ",2,1))-64))*729+MAX(0,MIN(26,CODE(MID(UPPER(A738)&amp;"    ",3,1))-64))*27+MAX(0,MIN(26,CODE(MID(UPPER(A738)&amp;"    ",4,1))-64))*1)*10000+ROW(),""))</f>
        <v/>
      </c>
      <c r="N738" s="80" t="str">
        <f t="shared" si="6"/>
        <v/>
      </c>
      <c r="O738" s="80" t="str">
        <f t="array" ref="O738">IF(A738="","",IFERROR(INDEX('Deck 2'!$A:$Z,ROW()-500,'List Setup'!$J$4)&amp;"",""))</f>
        <v/>
      </c>
      <c r="P738" s="2"/>
      <c r="Q738" s="80" t="str">
        <f>IF(A738="","",'List Setup'!$A$4)</f>
        <v/>
      </c>
      <c r="R738" s="80" t="str">
        <f t="array" ref="R738">IF(A738="","",IFERROR(OR(INDEX(Binders!$J$6:$J$30,MATCH(Q738,Binders!$I$6:$I$30,0))=TRUE(),UPPER(INDEX(Binders!$J$6:$J$30,MATCH(Q738,Binders!$I$6:$I$30,0))&amp;"")="TRUE"),FALSE()))</f>
        <v/>
      </c>
    </row>
    <row r="739" ht="15.75" customHeight="1">
      <c r="A739" s="80" t="str">
        <f t="array" ref="A739">IF(INDEX('Deck 2'!$A:$Z,ROW()-500,'List Setup'!$D$4)="","",INDEX('Deck 2'!$A:$Z,ROW()-500,'List Setup'!$D$4))</f>
        <v/>
      </c>
      <c r="B739" s="80" t="str">
        <f t="array" ref="B739">IF(A739="","",IFERROR(INDEX('Binder Setup'!$B$2:$B$401,MIN(IF(ISNUMBER(SEARCH(CHAR(10)&amp;'Binder Setup'!$B$2:$B$401&amp;CHAR(10),$H739)),'List Setup'!$Q$2:$Q$401,999),IF(ISNUMBER(SEARCH(CHAR(10)&amp;'Set Aliases'!$A$2:$A$501&amp;CHAR(10),$H739)),'Set Aliases'!$C$2:$C$501,999))),"(none)"))</f>
        <v/>
      </c>
      <c r="C739" s="80" t="str">
        <f t="shared" si="1"/>
        <v/>
      </c>
      <c r="D739" s="80" t="str">
        <f t="array" ref="D739">IF(A739="","",IF(ISLOGICAL(INDEX('Deck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39" s="80" t="str">
        <f t="shared" si="2"/>
        <v/>
      </c>
      <c r="F739" s="80" t="str">
        <f t="array" ref="F739">IF(A739="","",IF(ISNUMBER(J739),J739,IF(ISNUMBER(INDEX('Deck 2'!$A:$Z,ROW()-500,'List Setup'!$F$4)),INDEX('Deck 2'!$A:$Z,ROW()-500,'List Setup'!$F$4),0)))</f>
        <v/>
      </c>
      <c r="G739" s="80" t="str">
        <f t="array" ref="G739">IF(A739="","",A739&amp;IF(N(INDEX('Deck 2'!$A:$Z,ROW()-500,'List Setup'!$C$4))&gt;1," (x"&amp;INDEX('Deck 2'!$A:$Z,ROW()-500,'List Setup'!$C$4)&amp;")","")&amp;IF(COUNTIF(Binders!$J$6:$J$30,TRUE())&gt;1," ["&amp;Q739&amp;"]",""))</f>
        <v/>
      </c>
      <c r="H739" s="80" t="str">
        <f t="array" ref="H739">IF(A739="","",CHAR(10)&amp;INDEX('Deck 2'!$A:$Z,ROW()-500,'List Setup'!$E$4)&amp;CHAR(10))</f>
        <v/>
      </c>
      <c r="I739" s="80" t="str">
        <f t="array" ref="I739">IF(OR(B739="",B739="(none)"),"",IF(ISNUMBER(SEARCH(CHAR(10)&amp;B739&amp;CHAR(10),H739)),B739,IFERROR(INDEX('Set Aliases'!$A$2:$A$501,MATCH(1,('Set Aliases'!$B$2:$B$501=B739)*ISNUMBER(SEARCH(CHAR(10)&amp;'Set Aliases'!$A$2:$A$501&amp;CHAR(10),H739)),0)),"")))</f>
        <v/>
      </c>
      <c r="J739" s="80" t="str">
        <f t="array" ref="J739">IF(I739="","",IFERROR(VALUE(TRIM(MID(SUBSTITUTE(INDEX('Deck 2'!$A:$Z,ROW()-500,'List Setup'!$G$4),CHAR(10),REPT(" ",100)),((SEARCH(CHAR(10)&amp;I739&amp;CHAR(10),H739)-LEN(SUBSTITUTE(LEFT(H739,SEARCH(CHAR(10)&amp;I739&amp;CHAR(10),H739)),CHAR(10),"")))-1)*100+1,100))),""))</f>
        <v/>
      </c>
      <c r="K739" s="80" t="str">
        <f t="array" ref="K739">IF(A739="","",IF(ISNUMBER(SEARCH("Land",LEFT(IFERROR(INDEX('Deck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39" s="80" t="str">
        <f t="shared" si="3"/>
        <v/>
      </c>
      <c r="M739" s="80" t="str">
        <f>IF(A739="","",IF(AND(E739="Y",B739='Use at Shop'!$B$4),K739*10000000000+(MAX(0,MIN(26,CODE(MID(UPPER(A739)&amp;"    ",1,1))-64))*19683+MAX(0,MIN(26,CODE(MID(UPPER(A739)&amp;"    ",2,1))-64))*729+MAX(0,MIN(26,CODE(MID(UPPER(A739)&amp;"    ",3,1))-64))*27+MAX(0,MIN(26,CODE(MID(UPPER(A739)&amp;"    ",4,1))-64))*1)*10000+ROW(),""))</f>
        <v/>
      </c>
      <c r="N739" s="80" t="str">
        <f t="shared" si="6"/>
        <v/>
      </c>
      <c r="O739" s="80" t="str">
        <f t="array" ref="O739">IF(A739="","",IFERROR(INDEX('Deck 2'!$A:$Z,ROW()-500,'List Setup'!$J$4)&amp;"",""))</f>
        <v/>
      </c>
      <c r="P739" s="2"/>
      <c r="Q739" s="80" t="str">
        <f>IF(A739="","",'List Setup'!$A$4)</f>
        <v/>
      </c>
      <c r="R739" s="80" t="str">
        <f t="array" ref="R739">IF(A739="","",IFERROR(OR(INDEX(Binders!$J$6:$J$30,MATCH(Q739,Binders!$I$6:$I$30,0))=TRUE(),UPPER(INDEX(Binders!$J$6:$J$30,MATCH(Q739,Binders!$I$6:$I$30,0))&amp;"")="TRUE"),FALSE()))</f>
        <v/>
      </c>
    </row>
    <row r="740" ht="15.75" customHeight="1">
      <c r="A740" s="80" t="str">
        <f t="array" ref="A740">IF(INDEX('Deck 2'!$A:$Z,ROW()-500,'List Setup'!$D$4)="","",INDEX('Deck 2'!$A:$Z,ROW()-500,'List Setup'!$D$4))</f>
        <v/>
      </c>
      <c r="B740" s="80" t="str">
        <f t="array" ref="B740">IF(A740="","",IFERROR(INDEX('Binder Setup'!$B$2:$B$401,MIN(IF(ISNUMBER(SEARCH(CHAR(10)&amp;'Binder Setup'!$B$2:$B$401&amp;CHAR(10),$H740)),'List Setup'!$Q$2:$Q$401,999),IF(ISNUMBER(SEARCH(CHAR(10)&amp;'Set Aliases'!$A$2:$A$501&amp;CHAR(10),$H740)),'Set Aliases'!$C$2:$C$501,999))),"(none)"))</f>
        <v/>
      </c>
      <c r="C740" s="80" t="str">
        <f t="shared" si="1"/>
        <v/>
      </c>
      <c r="D740" s="80" t="str">
        <f t="array" ref="D740">IF(A740="","",IF(ISLOGICAL(INDEX('Deck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40" s="80" t="str">
        <f t="shared" si="2"/>
        <v/>
      </c>
      <c r="F740" s="80" t="str">
        <f t="array" ref="F740">IF(A740="","",IF(ISNUMBER(J740),J740,IF(ISNUMBER(INDEX('Deck 2'!$A:$Z,ROW()-500,'List Setup'!$F$4)),INDEX('Deck 2'!$A:$Z,ROW()-500,'List Setup'!$F$4),0)))</f>
        <v/>
      </c>
      <c r="G740" s="80" t="str">
        <f t="array" ref="G740">IF(A740="","",A740&amp;IF(N(INDEX('Deck 2'!$A:$Z,ROW()-500,'List Setup'!$C$4))&gt;1," (x"&amp;INDEX('Deck 2'!$A:$Z,ROW()-500,'List Setup'!$C$4)&amp;")","")&amp;IF(COUNTIF(Binders!$J$6:$J$30,TRUE())&gt;1," ["&amp;Q740&amp;"]",""))</f>
        <v/>
      </c>
      <c r="H740" s="80" t="str">
        <f t="array" ref="H740">IF(A740="","",CHAR(10)&amp;INDEX('Deck 2'!$A:$Z,ROW()-500,'List Setup'!$E$4)&amp;CHAR(10))</f>
        <v/>
      </c>
      <c r="I740" s="80" t="str">
        <f t="array" ref="I740">IF(OR(B740="",B740="(none)"),"",IF(ISNUMBER(SEARCH(CHAR(10)&amp;B740&amp;CHAR(10),H740)),B740,IFERROR(INDEX('Set Aliases'!$A$2:$A$501,MATCH(1,('Set Aliases'!$B$2:$B$501=B740)*ISNUMBER(SEARCH(CHAR(10)&amp;'Set Aliases'!$A$2:$A$501&amp;CHAR(10),H740)),0)),"")))</f>
        <v/>
      </c>
      <c r="J740" s="80" t="str">
        <f t="array" ref="J740">IF(I740="","",IFERROR(VALUE(TRIM(MID(SUBSTITUTE(INDEX('Deck 2'!$A:$Z,ROW()-500,'List Setup'!$G$4),CHAR(10),REPT(" ",100)),((SEARCH(CHAR(10)&amp;I740&amp;CHAR(10),H740)-LEN(SUBSTITUTE(LEFT(H740,SEARCH(CHAR(10)&amp;I740&amp;CHAR(10),H740)),CHAR(10),"")))-1)*100+1,100))),""))</f>
        <v/>
      </c>
      <c r="K740" s="80" t="str">
        <f t="array" ref="K740">IF(A740="","",IF(ISNUMBER(SEARCH("Land",LEFT(IFERROR(INDEX('Deck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40" s="80" t="str">
        <f t="shared" si="3"/>
        <v/>
      </c>
      <c r="M740" s="80" t="str">
        <f>IF(A740="","",IF(AND(E740="Y",B740='Use at Shop'!$B$4),K740*10000000000+(MAX(0,MIN(26,CODE(MID(UPPER(A740)&amp;"    ",1,1))-64))*19683+MAX(0,MIN(26,CODE(MID(UPPER(A740)&amp;"    ",2,1))-64))*729+MAX(0,MIN(26,CODE(MID(UPPER(A740)&amp;"    ",3,1))-64))*27+MAX(0,MIN(26,CODE(MID(UPPER(A740)&amp;"    ",4,1))-64))*1)*10000+ROW(),""))</f>
        <v/>
      </c>
      <c r="N740" s="80" t="str">
        <f t="shared" si="6"/>
        <v/>
      </c>
      <c r="O740" s="80" t="str">
        <f t="array" ref="O740">IF(A740="","",IFERROR(INDEX('Deck 2'!$A:$Z,ROW()-500,'List Setup'!$J$4)&amp;"",""))</f>
        <v/>
      </c>
      <c r="P740" s="2"/>
      <c r="Q740" s="80" t="str">
        <f>IF(A740="","",'List Setup'!$A$4)</f>
        <v/>
      </c>
      <c r="R740" s="80" t="str">
        <f t="array" ref="R740">IF(A740="","",IFERROR(OR(INDEX(Binders!$J$6:$J$30,MATCH(Q740,Binders!$I$6:$I$30,0))=TRUE(),UPPER(INDEX(Binders!$J$6:$J$30,MATCH(Q740,Binders!$I$6:$I$30,0))&amp;"")="TRUE"),FALSE()))</f>
        <v/>
      </c>
    </row>
    <row r="741" ht="15.75" customHeight="1">
      <c r="A741" s="80" t="str">
        <f t="array" ref="A741">IF(INDEX('Deck 2'!$A:$Z,ROW()-500,'List Setup'!$D$4)="","",INDEX('Deck 2'!$A:$Z,ROW()-500,'List Setup'!$D$4))</f>
        <v/>
      </c>
      <c r="B741" s="80" t="str">
        <f t="array" ref="B741">IF(A741="","",IFERROR(INDEX('Binder Setup'!$B$2:$B$401,MIN(IF(ISNUMBER(SEARCH(CHAR(10)&amp;'Binder Setup'!$B$2:$B$401&amp;CHAR(10),$H741)),'List Setup'!$Q$2:$Q$401,999),IF(ISNUMBER(SEARCH(CHAR(10)&amp;'Set Aliases'!$A$2:$A$501&amp;CHAR(10),$H741)),'Set Aliases'!$C$2:$C$501,999))),"(none)"))</f>
        <v/>
      </c>
      <c r="C741" s="80" t="str">
        <f t="shared" si="1"/>
        <v/>
      </c>
      <c r="D741" s="80" t="str">
        <f t="array" ref="D741">IF(A741="","",IF(ISLOGICAL(INDEX('Deck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41" s="80" t="str">
        <f t="shared" si="2"/>
        <v/>
      </c>
      <c r="F741" s="80" t="str">
        <f t="array" ref="F741">IF(A741="","",IF(ISNUMBER(J741),J741,IF(ISNUMBER(INDEX('Deck 2'!$A:$Z,ROW()-500,'List Setup'!$F$4)),INDEX('Deck 2'!$A:$Z,ROW()-500,'List Setup'!$F$4),0)))</f>
        <v/>
      </c>
      <c r="G741" s="80" t="str">
        <f t="array" ref="G741">IF(A741="","",A741&amp;IF(N(INDEX('Deck 2'!$A:$Z,ROW()-500,'List Setup'!$C$4))&gt;1," (x"&amp;INDEX('Deck 2'!$A:$Z,ROW()-500,'List Setup'!$C$4)&amp;")","")&amp;IF(COUNTIF(Binders!$J$6:$J$30,TRUE())&gt;1," ["&amp;Q741&amp;"]",""))</f>
        <v/>
      </c>
      <c r="H741" s="80" t="str">
        <f t="array" ref="H741">IF(A741="","",CHAR(10)&amp;INDEX('Deck 2'!$A:$Z,ROW()-500,'List Setup'!$E$4)&amp;CHAR(10))</f>
        <v/>
      </c>
      <c r="I741" s="80" t="str">
        <f t="array" ref="I741">IF(OR(B741="",B741="(none)"),"",IF(ISNUMBER(SEARCH(CHAR(10)&amp;B741&amp;CHAR(10),H741)),B741,IFERROR(INDEX('Set Aliases'!$A$2:$A$501,MATCH(1,('Set Aliases'!$B$2:$B$501=B741)*ISNUMBER(SEARCH(CHAR(10)&amp;'Set Aliases'!$A$2:$A$501&amp;CHAR(10),H741)),0)),"")))</f>
        <v/>
      </c>
      <c r="J741" s="80" t="str">
        <f t="array" ref="J741">IF(I741="","",IFERROR(VALUE(TRIM(MID(SUBSTITUTE(INDEX('Deck 2'!$A:$Z,ROW()-500,'List Setup'!$G$4),CHAR(10),REPT(" ",100)),((SEARCH(CHAR(10)&amp;I741&amp;CHAR(10),H741)-LEN(SUBSTITUTE(LEFT(H741,SEARCH(CHAR(10)&amp;I741&amp;CHAR(10),H741)),CHAR(10),"")))-1)*100+1,100))),""))</f>
        <v/>
      </c>
      <c r="K741" s="80" t="str">
        <f t="array" ref="K741">IF(A741="","",IF(ISNUMBER(SEARCH("Land",LEFT(IFERROR(INDEX('Deck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41" s="80" t="str">
        <f t="shared" si="3"/>
        <v/>
      </c>
      <c r="M741" s="80" t="str">
        <f>IF(A741="","",IF(AND(E741="Y",B741='Use at Shop'!$B$4),K741*10000000000+(MAX(0,MIN(26,CODE(MID(UPPER(A741)&amp;"    ",1,1))-64))*19683+MAX(0,MIN(26,CODE(MID(UPPER(A741)&amp;"    ",2,1))-64))*729+MAX(0,MIN(26,CODE(MID(UPPER(A741)&amp;"    ",3,1))-64))*27+MAX(0,MIN(26,CODE(MID(UPPER(A741)&amp;"    ",4,1))-64))*1)*10000+ROW(),""))</f>
        <v/>
      </c>
      <c r="N741" s="80" t="str">
        <f t="shared" si="6"/>
        <v/>
      </c>
      <c r="O741" s="80" t="str">
        <f t="array" ref="O741">IF(A741="","",IFERROR(INDEX('Deck 2'!$A:$Z,ROW()-500,'List Setup'!$J$4)&amp;"",""))</f>
        <v/>
      </c>
      <c r="P741" s="2"/>
      <c r="Q741" s="80" t="str">
        <f>IF(A741="","",'List Setup'!$A$4)</f>
        <v/>
      </c>
      <c r="R741" s="80" t="str">
        <f t="array" ref="R741">IF(A741="","",IFERROR(OR(INDEX(Binders!$J$6:$J$30,MATCH(Q741,Binders!$I$6:$I$30,0))=TRUE(),UPPER(INDEX(Binders!$J$6:$J$30,MATCH(Q741,Binders!$I$6:$I$30,0))&amp;"")="TRUE"),FALSE()))</f>
        <v/>
      </c>
    </row>
    <row r="742" ht="15.75" customHeight="1">
      <c r="A742" s="80" t="str">
        <f t="array" ref="A742">IF(INDEX('Deck 2'!$A:$Z,ROW()-500,'List Setup'!$D$4)="","",INDEX('Deck 2'!$A:$Z,ROW()-500,'List Setup'!$D$4))</f>
        <v/>
      </c>
      <c r="B742" s="80" t="str">
        <f t="array" ref="B742">IF(A742="","",IFERROR(INDEX('Binder Setup'!$B$2:$B$401,MIN(IF(ISNUMBER(SEARCH(CHAR(10)&amp;'Binder Setup'!$B$2:$B$401&amp;CHAR(10),$H742)),'List Setup'!$Q$2:$Q$401,999),IF(ISNUMBER(SEARCH(CHAR(10)&amp;'Set Aliases'!$A$2:$A$501&amp;CHAR(10),$H742)),'Set Aliases'!$C$2:$C$501,999))),"(none)"))</f>
        <v/>
      </c>
      <c r="C742" s="80" t="str">
        <f t="shared" si="1"/>
        <v/>
      </c>
      <c r="D742" s="80" t="str">
        <f t="array" ref="D742">IF(A742="","",IF(ISLOGICAL(INDEX('Deck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42" s="80" t="str">
        <f t="shared" si="2"/>
        <v/>
      </c>
      <c r="F742" s="80" t="str">
        <f t="array" ref="F742">IF(A742="","",IF(ISNUMBER(J742),J742,IF(ISNUMBER(INDEX('Deck 2'!$A:$Z,ROW()-500,'List Setup'!$F$4)),INDEX('Deck 2'!$A:$Z,ROW()-500,'List Setup'!$F$4),0)))</f>
        <v/>
      </c>
      <c r="G742" s="80" t="str">
        <f t="array" ref="G742">IF(A742="","",A742&amp;IF(N(INDEX('Deck 2'!$A:$Z,ROW()-500,'List Setup'!$C$4))&gt;1," (x"&amp;INDEX('Deck 2'!$A:$Z,ROW()-500,'List Setup'!$C$4)&amp;")","")&amp;IF(COUNTIF(Binders!$J$6:$J$30,TRUE())&gt;1," ["&amp;Q742&amp;"]",""))</f>
        <v/>
      </c>
      <c r="H742" s="80" t="str">
        <f t="array" ref="H742">IF(A742="","",CHAR(10)&amp;INDEX('Deck 2'!$A:$Z,ROW()-500,'List Setup'!$E$4)&amp;CHAR(10))</f>
        <v/>
      </c>
      <c r="I742" s="80" t="str">
        <f t="array" ref="I742">IF(OR(B742="",B742="(none)"),"",IF(ISNUMBER(SEARCH(CHAR(10)&amp;B742&amp;CHAR(10),H742)),B742,IFERROR(INDEX('Set Aliases'!$A$2:$A$501,MATCH(1,('Set Aliases'!$B$2:$B$501=B742)*ISNUMBER(SEARCH(CHAR(10)&amp;'Set Aliases'!$A$2:$A$501&amp;CHAR(10),H742)),0)),"")))</f>
        <v/>
      </c>
      <c r="J742" s="80" t="str">
        <f t="array" ref="J742">IF(I742="","",IFERROR(VALUE(TRIM(MID(SUBSTITUTE(INDEX('Deck 2'!$A:$Z,ROW()-500,'List Setup'!$G$4),CHAR(10),REPT(" ",100)),((SEARCH(CHAR(10)&amp;I742&amp;CHAR(10),H742)-LEN(SUBSTITUTE(LEFT(H742,SEARCH(CHAR(10)&amp;I742&amp;CHAR(10),H742)),CHAR(10),"")))-1)*100+1,100))),""))</f>
        <v/>
      </c>
      <c r="K742" s="80" t="str">
        <f t="array" ref="K742">IF(A742="","",IF(ISNUMBER(SEARCH("Land",LEFT(IFERROR(INDEX('Deck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42" s="80" t="str">
        <f t="shared" si="3"/>
        <v/>
      </c>
      <c r="M742" s="80" t="str">
        <f>IF(A742="","",IF(AND(E742="Y",B742='Use at Shop'!$B$4),K742*10000000000+(MAX(0,MIN(26,CODE(MID(UPPER(A742)&amp;"    ",1,1))-64))*19683+MAX(0,MIN(26,CODE(MID(UPPER(A742)&amp;"    ",2,1))-64))*729+MAX(0,MIN(26,CODE(MID(UPPER(A742)&amp;"    ",3,1))-64))*27+MAX(0,MIN(26,CODE(MID(UPPER(A742)&amp;"    ",4,1))-64))*1)*10000+ROW(),""))</f>
        <v/>
      </c>
      <c r="N742" s="80" t="str">
        <f t="shared" si="6"/>
        <v/>
      </c>
      <c r="O742" s="80" t="str">
        <f t="array" ref="O742">IF(A742="","",IFERROR(INDEX('Deck 2'!$A:$Z,ROW()-500,'List Setup'!$J$4)&amp;"",""))</f>
        <v/>
      </c>
      <c r="P742" s="2"/>
      <c r="Q742" s="80" t="str">
        <f>IF(A742="","",'List Setup'!$A$4)</f>
        <v/>
      </c>
      <c r="R742" s="80" t="str">
        <f t="array" ref="R742">IF(A742="","",IFERROR(OR(INDEX(Binders!$J$6:$J$30,MATCH(Q742,Binders!$I$6:$I$30,0))=TRUE(),UPPER(INDEX(Binders!$J$6:$J$30,MATCH(Q742,Binders!$I$6:$I$30,0))&amp;"")="TRUE"),FALSE()))</f>
        <v/>
      </c>
    </row>
    <row r="743" ht="15.75" customHeight="1">
      <c r="A743" s="80" t="str">
        <f t="array" ref="A743">IF(INDEX('Deck 2'!$A:$Z,ROW()-500,'List Setup'!$D$4)="","",INDEX('Deck 2'!$A:$Z,ROW()-500,'List Setup'!$D$4))</f>
        <v/>
      </c>
      <c r="B743" s="80" t="str">
        <f t="array" ref="B743">IF(A743="","",IFERROR(INDEX('Binder Setup'!$B$2:$B$401,MIN(IF(ISNUMBER(SEARCH(CHAR(10)&amp;'Binder Setup'!$B$2:$B$401&amp;CHAR(10),$H743)),'List Setup'!$Q$2:$Q$401,999),IF(ISNUMBER(SEARCH(CHAR(10)&amp;'Set Aliases'!$A$2:$A$501&amp;CHAR(10),$H743)),'Set Aliases'!$C$2:$C$501,999))),"(none)"))</f>
        <v/>
      </c>
      <c r="C743" s="80" t="str">
        <f t="shared" si="1"/>
        <v/>
      </c>
      <c r="D743" s="80" t="str">
        <f t="array" ref="D743">IF(A743="","",IF(ISLOGICAL(INDEX('Deck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43" s="80" t="str">
        <f t="shared" si="2"/>
        <v/>
      </c>
      <c r="F743" s="80" t="str">
        <f t="array" ref="F743">IF(A743="","",IF(ISNUMBER(J743),J743,IF(ISNUMBER(INDEX('Deck 2'!$A:$Z,ROW()-500,'List Setup'!$F$4)),INDEX('Deck 2'!$A:$Z,ROW()-500,'List Setup'!$F$4),0)))</f>
        <v/>
      </c>
      <c r="G743" s="80" t="str">
        <f t="array" ref="G743">IF(A743="","",A743&amp;IF(N(INDEX('Deck 2'!$A:$Z,ROW()-500,'List Setup'!$C$4))&gt;1," (x"&amp;INDEX('Deck 2'!$A:$Z,ROW()-500,'List Setup'!$C$4)&amp;")","")&amp;IF(COUNTIF(Binders!$J$6:$J$30,TRUE())&gt;1," ["&amp;Q743&amp;"]",""))</f>
        <v/>
      </c>
      <c r="H743" s="80" t="str">
        <f t="array" ref="H743">IF(A743="","",CHAR(10)&amp;INDEX('Deck 2'!$A:$Z,ROW()-500,'List Setup'!$E$4)&amp;CHAR(10))</f>
        <v/>
      </c>
      <c r="I743" s="80" t="str">
        <f t="array" ref="I743">IF(OR(B743="",B743="(none)"),"",IF(ISNUMBER(SEARCH(CHAR(10)&amp;B743&amp;CHAR(10),H743)),B743,IFERROR(INDEX('Set Aliases'!$A$2:$A$501,MATCH(1,('Set Aliases'!$B$2:$B$501=B743)*ISNUMBER(SEARCH(CHAR(10)&amp;'Set Aliases'!$A$2:$A$501&amp;CHAR(10),H743)),0)),"")))</f>
        <v/>
      </c>
      <c r="J743" s="80" t="str">
        <f t="array" ref="J743">IF(I743="","",IFERROR(VALUE(TRIM(MID(SUBSTITUTE(INDEX('Deck 2'!$A:$Z,ROW()-500,'List Setup'!$G$4),CHAR(10),REPT(" ",100)),((SEARCH(CHAR(10)&amp;I743&amp;CHAR(10),H743)-LEN(SUBSTITUTE(LEFT(H743,SEARCH(CHAR(10)&amp;I743&amp;CHAR(10),H743)),CHAR(10),"")))-1)*100+1,100))),""))</f>
        <v/>
      </c>
      <c r="K743" s="80" t="str">
        <f t="array" ref="K743">IF(A743="","",IF(ISNUMBER(SEARCH("Land",LEFT(IFERROR(INDEX('Deck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43" s="80" t="str">
        <f t="shared" si="3"/>
        <v/>
      </c>
      <c r="M743" s="80" t="str">
        <f>IF(A743="","",IF(AND(E743="Y",B743='Use at Shop'!$B$4),K743*10000000000+(MAX(0,MIN(26,CODE(MID(UPPER(A743)&amp;"    ",1,1))-64))*19683+MAX(0,MIN(26,CODE(MID(UPPER(A743)&amp;"    ",2,1))-64))*729+MAX(0,MIN(26,CODE(MID(UPPER(A743)&amp;"    ",3,1))-64))*27+MAX(0,MIN(26,CODE(MID(UPPER(A743)&amp;"    ",4,1))-64))*1)*10000+ROW(),""))</f>
        <v/>
      </c>
      <c r="N743" s="80" t="str">
        <f t="shared" si="6"/>
        <v/>
      </c>
      <c r="O743" s="80" t="str">
        <f t="array" ref="O743">IF(A743="","",IFERROR(INDEX('Deck 2'!$A:$Z,ROW()-500,'List Setup'!$J$4)&amp;"",""))</f>
        <v/>
      </c>
      <c r="P743" s="2"/>
      <c r="Q743" s="80" t="str">
        <f>IF(A743="","",'List Setup'!$A$4)</f>
        <v/>
      </c>
      <c r="R743" s="80" t="str">
        <f t="array" ref="R743">IF(A743="","",IFERROR(OR(INDEX(Binders!$J$6:$J$30,MATCH(Q743,Binders!$I$6:$I$30,0))=TRUE(),UPPER(INDEX(Binders!$J$6:$J$30,MATCH(Q743,Binders!$I$6:$I$30,0))&amp;"")="TRUE"),FALSE()))</f>
        <v/>
      </c>
    </row>
    <row r="744" ht="15.75" customHeight="1">
      <c r="A744" s="80" t="str">
        <f t="array" ref="A744">IF(INDEX('Deck 2'!$A:$Z,ROW()-500,'List Setup'!$D$4)="","",INDEX('Deck 2'!$A:$Z,ROW()-500,'List Setup'!$D$4))</f>
        <v/>
      </c>
      <c r="B744" s="80" t="str">
        <f t="array" ref="B744">IF(A744="","",IFERROR(INDEX('Binder Setup'!$B$2:$B$401,MIN(IF(ISNUMBER(SEARCH(CHAR(10)&amp;'Binder Setup'!$B$2:$B$401&amp;CHAR(10),$H744)),'List Setup'!$Q$2:$Q$401,999),IF(ISNUMBER(SEARCH(CHAR(10)&amp;'Set Aliases'!$A$2:$A$501&amp;CHAR(10),$H744)),'Set Aliases'!$C$2:$C$501,999))),"(none)"))</f>
        <v/>
      </c>
      <c r="C744" s="80" t="str">
        <f t="shared" si="1"/>
        <v/>
      </c>
      <c r="D744" s="80" t="str">
        <f t="array" ref="D744">IF(A744="","",IF(ISLOGICAL(INDEX('Deck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44" s="80" t="str">
        <f t="shared" si="2"/>
        <v/>
      </c>
      <c r="F744" s="80" t="str">
        <f t="array" ref="F744">IF(A744="","",IF(ISNUMBER(J744),J744,IF(ISNUMBER(INDEX('Deck 2'!$A:$Z,ROW()-500,'List Setup'!$F$4)),INDEX('Deck 2'!$A:$Z,ROW()-500,'List Setup'!$F$4),0)))</f>
        <v/>
      </c>
      <c r="G744" s="80" t="str">
        <f t="array" ref="G744">IF(A744="","",A744&amp;IF(N(INDEX('Deck 2'!$A:$Z,ROW()-500,'List Setup'!$C$4))&gt;1," (x"&amp;INDEX('Deck 2'!$A:$Z,ROW()-500,'List Setup'!$C$4)&amp;")","")&amp;IF(COUNTIF(Binders!$J$6:$J$30,TRUE())&gt;1," ["&amp;Q744&amp;"]",""))</f>
        <v/>
      </c>
      <c r="H744" s="80" t="str">
        <f t="array" ref="H744">IF(A744="","",CHAR(10)&amp;INDEX('Deck 2'!$A:$Z,ROW()-500,'List Setup'!$E$4)&amp;CHAR(10))</f>
        <v/>
      </c>
      <c r="I744" s="80" t="str">
        <f t="array" ref="I744">IF(OR(B744="",B744="(none)"),"",IF(ISNUMBER(SEARCH(CHAR(10)&amp;B744&amp;CHAR(10),H744)),B744,IFERROR(INDEX('Set Aliases'!$A$2:$A$501,MATCH(1,('Set Aliases'!$B$2:$B$501=B744)*ISNUMBER(SEARCH(CHAR(10)&amp;'Set Aliases'!$A$2:$A$501&amp;CHAR(10),H744)),0)),"")))</f>
        <v/>
      </c>
      <c r="J744" s="80" t="str">
        <f t="array" ref="J744">IF(I744="","",IFERROR(VALUE(TRIM(MID(SUBSTITUTE(INDEX('Deck 2'!$A:$Z,ROW()-500,'List Setup'!$G$4),CHAR(10),REPT(" ",100)),((SEARCH(CHAR(10)&amp;I744&amp;CHAR(10),H744)-LEN(SUBSTITUTE(LEFT(H744,SEARCH(CHAR(10)&amp;I744&amp;CHAR(10),H744)),CHAR(10),"")))-1)*100+1,100))),""))</f>
        <v/>
      </c>
      <c r="K744" s="80" t="str">
        <f t="array" ref="K744">IF(A744="","",IF(ISNUMBER(SEARCH("Land",LEFT(IFERROR(INDEX('Deck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44" s="80" t="str">
        <f t="shared" si="3"/>
        <v/>
      </c>
      <c r="M744" s="80" t="str">
        <f>IF(A744="","",IF(AND(E744="Y",B744='Use at Shop'!$B$4),K744*10000000000+(MAX(0,MIN(26,CODE(MID(UPPER(A744)&amp;"    ",1,1))-64))*19683+MAX(0,MIN(26,CODE(MID(UPPER(A744)&amp;"    ",2,1))-64))*729+MAX(0,MIN(26,CODE(MID(UPPER(A744)&amp;"    ",3,1))-64))*27+MAX(0,MIN(26,CODE(MID(UPPER(A744)&amp;"    ",4,1))-64))*1)*10000+ROW(),""))</f>
        <v/>
      </c>
      <c r="N744" s="80" t="str">
        <f t="shared" si="6"/>
        <v/>
      </c>
      <c r="O744" s="80" t="str">
        <f t="array" ref="O744">IF(A744="","",IFERROR(INDEX('Deck 2'!$A:$Z,ROW()-500,'List Setup'!$J$4)&amp;"",""))</f>
        <v/>
      </c>
      <c r="P744" s="2"/>
      <c r="Q744" s="80" t="str">
        <f>IF(A744="","",'List Setup'!$A$4)</f>
        <v/>
      </c>
      <c r="R744" s="80" t="str">
        <f t="array" ref="R744">IF(A744="","",IFERROR(OR(INDEX(Binders!$J$6:$J$30,MATCH(Q744,Binders!$I$6:$I$30,0))=TRUE(),UPPER(INDEX(Binders!$J$6:$J$30,MATCH(Q744,Binders!$I$6:$I$30,0))&amp;"")="TRUE"),FALSE()))</f>
        <v/>
      </c>
    </row>
    <row r="745" ht="15.75" customHeight="1">
      <c r="A745" s="80" t="str">
        <f t="array" ref="A745">IF(INDEX('Deck 2'!$A:$Z,ROW()-500,'List Setup'!$D$4)="","",INDEX('Deck 2'!$A:$Z,ROW()-500,'List Setup'!$D$4))</f>
        <v/>
      </c>
      <c r="B745" s="80" t="str">
        <f t="array" ref="B745">IF(A745="","",IFERROR(INDEX('Binder Setup'!$B$2:$B$401,MIN(IF(ISNUMBER(SEARCH(CHAR(10)&amp;'Binder Setup'!$B$2:$B$401&amp;CHAR(10),$H745)),'List Setup'!$Q$2:$Q$401,999),IF(ISNUMBER(SEARCH(CHAR(10)&amp;'Set Aliases'!$A$2:$A$501&amp;CHAR(10),$H745)),'Set Aliases'!$C$2:$C$501,999))),"(none)"))</f>
        <v/>
      </c>
      <c r="C745" s="80" t="str">
        <f t="shared" si="1"/>
        <v/>
      </c>
      <c r="D745" s="80" t="str">
        <f t="array" ref="D745">IF(A745="","",IF(ISLOGICAL(INDEX('Deck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45" s="80" t="str">
        <f t="shared" si="2"/>
        <v/>
      </c>
      <c r="F745" s="80" t="str">
        <f t="array" ref="F745">IF(A745="","",IF(ISNUMBER(J745),J745,IF(ISNUMBER(INDEX('Deck 2'!$A:$Z,ROW()-500,'List Setup'!$F$4)),INDEX('Deck 2'!$A:$Z,ROW()-500,'List Setup'!$F$4),0)))</f>
        <v/>
      </c>
      <c r="G745" s="80" t="str">
        <f t="array" ref="G745">IF(A745="","",A745&amp;IF(N(INDEX('Deck 2'!$A:$Z,ROW()-500,'List Setup'!$C$4))&gt;1," (x"&amp;INDEX('Deck 2'!$A:$Z,ROW()-500,'List Setup'!$C$4)&amp;")","")&amp;IF(COUNTIF(Binders!$J$6:$J$30,TRUE())&gt;1," ["&amp;Q745&amp;"]",""))</f>
        <v/>
      </c>
      <c r="H745" s="80" t="str">
        <f t="array" ref="H745">IF(A745="","",CHAR(10)&amp;INDEX('Deck 2'!$A:$Z,ROW()-500,'List Setup'!$E$4)&amp;CHAR(10))</f>
        <v/>
      </c>
      <c r="I745" s="80" t="str">
        <f t="array" ref="I745">IF(OR(B745="",B745="(none)"),"",IF(ISNUMBER(SEARCH(CHAR(10)&amp;B745&amp;CHAR(10),H745)),B745,IFERROR(INDEX('Set Aliases'!$A$2:$A$501,MATCH(1,('Set Aliases'!$B$2:$B$501=B745)*ISNUMBER(SEARCH(CHAR(10)&amp;'Set Aliases'!$A$2:$A$501&amp;CHAR(10),H745)),0)),"")))</f>
        <v/>
      </c>
      <c r="J745" s="80" t="str">
        <f t="array" ref="J745">IF(I745="","",IFERROR(VALUE(TRIM(MID(SUBSTITUTE(INDEX('Deck 2'!$A:$Z,ROW()-500,'List Setup'!$G$4),CHAR(10),REPT(" ",100)),((SEARCH(CHAR(10)&amp;I745&amp;CHAR(10),H745)-LEN(SUBSTITUTE(LEFT(H745,SEARCH(CHAR(10)&amp;I745&amp;CHAR(10),H745)),CHAR(10),"")))-1)*100+1,100))),""))</f>
        <v/>
      </c>
      <c r="K745" s="80" t="str">
        <f t="array" ref="K745">IF(A745="","",IF(ISNUMBER(SEARCH("Land",LEFT(IFERROR(INDEX('Deck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45" s="80" t="str">
        <f t="shared" si="3"/>
        <v/>
      </c>
      <c r="M745" s="80" t="str">
        <f>IF(A745="","",IF(AND(E745="Y",B745='Use at Shop'!$B$4),K745*10000000000+(MAX(0,MIN(26,CODE(MID(UPPER(A745)&amp;"    ",1,1))-64))*19683+MAX(0,MIN(26,CODE(MID(UPPER(A745)&amp;"    ",2,1))-64))*729+MAX(0,MIN(26,CODE(MID(UPPER(A745)&amp;"    ",3,1))-64))*27+MAX(0,MIN(26,CODE(MID(UPPER(A745)&amp;"    ",4,1))-64))*1)*10000+ROW(),""))</f>
        <v/>
      </c>
      <c r="N745" s="80" t="str">
        <f t="shared" si="6"/>
        <v/>
      </c>
      <c r="O745" s="80" t="str">
        <f t="array" ref="O745">IF(A745="","",IFERROR(INDEX('Deck 2'!$A:$Z,ROW()-500,'List Setup'!$J$4)&amp;"",""))</f>
        <v/>
      </c>
      <c r="P745" s="2"/>
      <c r="Q745" s="80" t="str">
        <f>IF(A745="","",'List Setup'!$A$4)</f>
        <v/>
      </c>
      <c r="R745" s="80" t="str">
        <f t="array" ref="R745">IF(A745="","",IFERROR(OR(INDEX(Binders!$J$6:$J$30,MATCH(Q745,Binders!$I$6:$I$30,0))=TRUE(),UPPER(INDEX(Binders!$J$6:$J$30,MATCH(Q745,Binders!$I$6:$I$30,0))&amp;"")="TRUE"),FALSE()))</f>
        <v/>
      </c>
    </row>
    <row r="746" ht="15.75" customHeight="1">
      <c r="A746" s="80" t="str">
        <f t="array" ref="A746">IF(INDEX('Deck 2'!$A:$Z,ROW()-500,'List Setup'!$D$4)="","",INDEX('Deck 2'!$A:$Z,ROW()-500,'List Setup'!$D$4))</f>
        <v/>
      </c>
      <c r="B746" s="80" t="str">
        <f t="array" ref="B746">IF(A746="","",IFERROR(INDEX('Binder Setup'!$B$2:$B$401,MIN(IF(ISNUMBER(SEARCH(CHAR(10)&amp;'Binder Setup'!$B$2:$B$401&amp;CHAR(10),$H746)),'List Setup'!$Q$2:$Q$401,999),IF(ISNUMBER(SEARCH(CHAR(10)&amp;'Set Aliases'!$A$2:$A$501&amp;CHAR(10),$H746)),'Set Aliases'!$C$2:$C$501,999))),"(none)"))</f>
        <v/>
      </c>
      <c r="C746" s="80" t="str">
        <f t="shared" si="1"/>
        <v/>
      </c>
      <c r="D746" s="80" t="str">
        <f t="array" ref="D746">IF(A746="","",IF(ISLOGICAL(INDEX('Deck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46" s="80" t="str">
        <f t="shared" si="2"/>
        <v/>
      </c>
      <c r="F746" s="80" t="str">
        <f t="array" ref="F746">IF(A746="","",IF(ISNUMBER(J746),J746,IF(ISNUMBER(INDEX('Deck 2'!$A:$Z,ROW()-500,'List Setup'!$F$4)),INDEX('Deck 2'!$A:$Z,ROW()-500,'List Setup'!$F$4),0)))</f>
        <v/>
      </c>
      <c r="G746" s="80" t="str">
        <f t="array" ref="G746">IF(A746="","",A746&amp;IF(N(INDEX('Deck 2'!$A:$Z,ROW()-500,'List Setup'!$C$4))&gt;1," (x"&amp;INDEX('Deck 2'!$A:$Z,ROW()-500,'List Setup'!$C$4)&amp;")","")&amp;IF(COUNTIF(Binders!$J$6:$J$30,TRUE())&gt;1," ["&amp;Q746&amp;"]",""))</f>
        <v/>
      </c>
      <c r="H746" s="80" t="str">
        <f t="array" ref="H746">IF(A746="","",CHAR(10)&amp;INDEX('Deck 2'!$A:$Z,ROW()-500,'List Setup'!$E$4)&amp;CHAR(10))</f>
        <v/>
      </c>
      <c r="I746" s="80" t="str">
        <f t="array" ref="I746">IF(OR(B746="",B746="(none)"),"",IF(ISNUMBER(SEARCH(CHAR(10)&amp;B746&amp;CHAR(10),H746)),B746,IFERROR(INDEX('Set Aliases'!$A$2:$A$501,MATCH(1,('Set Aliases'!$B$2:$B$501=B746)*ISNUMBER(SEARCH(CHAR(10)&amp;'Set Aliases'!$A$2:$A$501&amp;CHAR(10),H746)),0)),"")))</f>
        <v/>
      </c>
      <c r="J746" s="80" t="str">
        <f t="array" ref="J746">IF(I746="","",IFERROR(VALUE(TRIM(MID(SUBSTITUTE(INDEX('Deck 2'!$A:$Z,ROW()-500,'List Setup'!$G$4),CHAR(10),REPT(" ",100)),((SEARCH(CHAR(10)&amp;I746&amp;CHAR(10),H746)-LEN(SUBSTITUTE(LEFT(H746,SEARCH(CHAR(10)&amp;I746&amp;CHAR(10),H746)),CHAR(10),"")))-1)*100+1,100))),""))</f>
        <v/>
      </c>
      <c r="K746" s="80" t="str">
        <f t="array" ref="K746">IF(A746="","",IF(ISNUMBER(SEARCH("Land",LEFT(IFERROR(INDEX('Deck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46" s="80" t="str">
        <f t="shared" si="3"/>
        <v/>
      </c>
      <c r="M746" s="80" t="str">
        <f>IF(A746="","",IF(AND(E746="Y",B746='Use at Shop'!$B$4),K746*10000000000+(MAX(0,MIN(26,CODE(MID(UPPER(A746)&amp;"    ",1,1))-64))*19683+MAX(0,MIN(26,CODE(MID(UPPER(A746)&amp;"    ",2,1))-64))*729+MAX(0,MIN(26,CODE(MID(UPPER(A746)&amp;"    ",3,1))-64))*27+MAX(0,MIN(26,CODE(MID(UPPER(A746)&amp;"    ",4,1))-64))*1)*10000+ROW(),""))</f>
        <v/>
      </c>
      <c r="N746" s="80" t="str">
        <f t="shared" si="6"/>
        <v/>
      </c>
      <c r="O746" s="80" t="str">
        <f t="array" ref="O746">IF(A746="","",IFERROR(INDEX('Deck 2'!$A:$Z,ROW()-500,'List Setup'!$J$4)&amp;"",""))</f>
        <v/>
      </c>
      <c r="P746" s="2"/>
      <c r="Q746" s="80" t="str">
        <f>IF(A746="","",'List Setup'!$A$4)</f>
        <v/>
      </c>
      <c r="R746" s="80" t="str">
        <f t="array" ref="R746">IF(A746="","",IFERROR(OR(INDEX(Binders!$J$6:$J$30,MATCH(Q746,Binders!$I$6:$I$30,0))=TRUE(),UPPER(INDEX(Binders!$J$6:$J$30,MATCH(Q746,Binders!$I$6:$I$30,0))&amp;"")="TRUE"),FALSE()))</f>
        <v/>
      </c>
    </row>
    <row r="747" ht="15.75" customHeight="1">
      <c r="A747" s="80" t="str">
        <f t="array" ref="A747">IF(INDEX('Deck 2'!$A:$Z,ROW()-500,'List Setup'!$D$4)="","",INDEX('Deck 2'!$A:$Z,ROW()-500,'List Setup'!$D$4))</f>
        <v/>
      </c>
      <c r="B747" s="80" t="str">
        <f t="array" ref="B747">IF(A747="","",IFERROR(INDEX('Binder Setup'!$B$2:$B$401,MIN(IF(ISNUMBER(SEARCH(CHAR(10)&amp;'Binder Setup'!$B$2:$B$401&amp;CHAR(10),$H747)),'List Setup'!$Q$2:$Q$401,999),IF(ISNUMBER(SEARCH(CHAR(10)&amp;'Set Aliases'!$A$2:$A$501&amp;CHAR(10),$H747)),'Set Aliases'!$C$2:$C$501,999))),"(none)"))</f>
        <v/>
      </c>
      <c r="C747" s="80" t="str">
        <f t="shared" si="1"/>
        <v/>
      </c>
      <c r="D747" s="80" t="str">
        <f t="array" ref="D747">IF(A747="","",IF(ISLOGICAL(INDEX('Deck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47" s="80" t="str">
        <f t="shared" si="2"/>
        <v/>
      </c>
      <c r="F747" s="80" t="str">
        <f t="array" ref="F747">IF(A747="","",IF(ISNUMBER(J747),J747,IF(ISNUMBER(INDEX('Deck 2'!$A:$Z,ROW()-500,'List Setup'!$F$4)),INDEX('Deck 2'!$A:$Z,ROW()-500,'List Setup'!$F$4),0)))</f>
        <v/>
      </c>
      <c r="G747" s="80" t="str">
        <f t="array" ref="G747">IF(A747="","",A747&amp;IF(N(INDEX('Deck 2'!$A:$Z,ROW()-500,'List Setup'!$C$4))&gt;1," (x"&amp;INDEX('Deck 2'!$A:$Z,ROW()-500,'List Setup'!$C$4)&amp;")","")&amp;IF(COUNTIF(Binders!$J$6:$J$30,TRUE())&gt;1," ["&amp;Q747&amp;"]",""))</f>
        <v/>
      </c>
      <c r="H747" s="80" t="str">
        <f t="array" ref="H747">IF(A747="","",CHAR(10)&amp;INDEX('Deck 2'!$A:$Z,ROW()-500,'List Setup'!$E$4)&amp;CHAR(10))</f>
        <v/>
      </c>
      <c r="I747" s="80" t="str">
        <f t="array" ref="I747">IF(OR(B747="",B747="(none)"),"",IF(ISNUMBER(SEARCH(CHAR(10)&amp;B747&amp;CHAR(10),H747)),B747,IFERROR(INDEX('Set Aliases'!$A$2:$A$501,MATCH(1,('Set Aliases'!$B$2:$B$501=B747)*ISNUMBER(SEARCH(CHAR(10)&amp;'Set Aliases'!$A$2:$A$501&amp;CHAR(10),H747)),0)),"")))</f>
        <v/>
      </c>
      <c r="J747" s="80" t="str">
        <f t="array" ref="J747">IF(I747="","",IFERROR(VALUE(TRIM(MID(SUBSTITUTE(INDEX('Deck 2'!$A:$Z,ROW()-500,'List Setup'!$G$4),CHAR(10),REPT(" ",100)),((SEARCH(CHAR(10)&amp;I747&amp;CHAR(10),H747)-LEN(SUBSTITUTE(LEFT(H747,SEARCH(CHAR(10)&amp;I747&amp;CHAR(10),H747)),CHAR(10),"")))-1)*100+1,100))),""))</f>
        <v/>
      </c>
      <c r="K747" s="80" t="str">
        <f t="array" ref="K747">IF(A747="","",IF(ISNUMBER(SEARCH("Land",LEFT(IFERROR(INDEX('Deck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47" s="80" t="str">
        <f t="shared" si="3"/>
        <v/>
      </c>
      <c r="M747" s="80" t="str">
        <f>IF(A747="","",IF(AND(E747="Y",B747='Use at Shop'!$B$4),K747*10000000000+(MAX(0,MIN(26,CODE(MID(UPPER(A747)&amp;"    ",1,1))-64))*19683+MAX(0,MIN(26,CODE(MID(UPPER(A747)&amp;"    ",2,1))-64))*729+MAX(0,MIN(26,CODE(MID(UPPER(A747)&amp;"    ",3,1))-64))*27+MAX(0,MIN(26,CODE(MID(UPPER(A747)&amp;"    ",4,1))-64))*1)*10000+ROW(),""))</f>
        <v/>
      </c>
      <c r="N747" s="80" t="str">
        <f t="shared" si="6"/>
        <v/>
      </c>
      <c r="O747" s="80" t="str">
        <f t="array" ref="O747">IF(A747="","",IFERROR(INDEX('Deck 2'!$A:$Z,ROW()-500,'List Setup'!$J$4)&amp;"",""))</f>
        <v/>
      </c>
      <c r="P747" s="2"/>
      <c r="Q747" s="80" t="str">
        <f>IF(A747="","",'List Setup'!$A$4)</f>
        <v/>
      </c>
      <c r="R747" s="80" t="str">
        <f t="array" ref="R747">IF(A747="","",IFERROR(OR(INDEX(Binders!$J$6:$J$30,MATCH(Q747,Binders!$I$6:$I$30,0))=TRUE(),UPPER(INDEX(Binders!$J$6:$J$30,MATCH(Q747,Binders!$I$6:$I$30,0))&amp;"")="TRUE"),FALSE()))</f>
        <v/>
      </c>
    </row>
    <row r="748" ht="15.75" customHeight="1">
      <c r="A748" s="80" t="str">
        <f t="array" ref="A748">IF(INDEX('Deck 2'!$A:$Z,ROW()-500,'List Setup'!$D$4)="","",INDEX('Deck 2'!$A:$Z,ROW()-500,'List Setup'!$D$4))</f>
        <v/>
      </c>
      <c r="B748" s="80" t="str">
        <f t="array" ref="B748">IF(A748="","",IFERROR(INDEX('Binder Setup'!$B$2:$B$401,MIN(IF(ISNUMBER(SEARCH(CHAR(10)&amp;'Binder Setup'!$B$2:$B$401&amp;CHAR(10),$H748)),'List Setup'!$Q$2:$Q$401,999),IF(ISNUMBER(SEARCH(CHAR(10)&amp;'Set Aliases'!$A$2:$A$501&amp;CHAR(10),$H748)),'Set Aliases'!$C$2:$C$501,999))),"(none)"))</f>
        <v/>
      </c>
      <c r="C748" s="80" t="str">
        <f t="shared" si="1"/>
        <v/>
      </c>
      <c r="D748" s="80" t="str">
        <f t="array" ref="D748">IF(A748="","",IF(ISLOGICAL(INDEX('Deck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48" s="80" t="str">
        <f t="shared" si="2"/>
        <v/>
      </c>
      <c r="F748" s="80" t="str">
        <f t="array" ref="F748">IF(A748="","",IF(ISNUMBER(J748),J748,IF(ISNUMBER(INDEX('Deck 2'!$A:$Z,ROW()-500,'List Setup'!$F$4)),INDEX('Deck 2'!$A:$Z,ROW()-500,'List Setup'!$F$4),0)))</f>
        <v/>
      </c>
      <c r="G748" s="80" t="str">
        <f t="array" ref="G748">IF(A748="","",A748&amp;IF(N(INDEX('Deck 2'!$A:$Z,ROW()-500,'List Setup'!$C$4))&gt;1," (x"&amp;INDEX('Deck 2'!$A:$Z,ROW()-500,'List Setup'!$C$4)&amp;")","")&amp;IF(COUNTIF(Binders!$J$6:$J$30,TRUE())&gt;1," ["&amp;Q748&amp;"]",""))</f>
        <v/>
      </c>
      <c r="H748" s="80" t="str">
        <f t="array" ref="H748">IF(A748="","",CHAR(10)&amp;INDEX('Deck 2'!$A:$Z,ROW()-500,'List Setup'!$E$4)&amp;CHAR(10))</f>
        <v/>
      </c>
      <c r="I748" s="80" t="str">
        <f t="array" ref="I748">IF(OR(B748="",B748="(none)"),"",IF(ISNUMBER(SEARCH(CHAR(10)&amp;B748&amp;CHAR(10),H748)),B748,IFERROR(INDEX('Set Aliases'!$A$2:$A$501,MATCH(1,('Set Aliases'!$B$2:$B$501=B748)*ISNUMBER(SEARCH(CHAR(10)&amp;'Set Aliases'!$A$2:$A$501&amp;CHAR(10),H748)),0)),"")))</f>
        <v/>
      </c>
      <c r="J748" s="80" t="str">
        <f t="array" ref="J748">IF(I748="","",IFERROR(VALUE(TRIM(MID(SUBSTITUTE(INDEX('Deck 2'!$A:$Z,ROW()-500,'List Setup'!$G$4),CHAR(10),REPT(" ",100)),((SEARCH(CHAR(10)&amp;I748&amp;CHAR(10),H748)-LEN(SUBSTITUTE(LEFT(H748,SEARCH(CHAR(10)&amp;I748&amp;CHAR(10),H748)),CHAR(10),"")))-1)*100+1,100))),""))</f>
        <v/>
      </c>
      <c r="K748" s="80" t="str">
        <f t="array" ref="K748">IF(A748="","",IF(ISNUMBER(SEARCH("Land",LEFT(IFERROR(INDEX('Deck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48" s="80" t="str">
        <f t="shared" si="3"/>
        <v/>
      </c>
      <c r="M748" s="80" t="str">
        <f>IF(A748="","",IF(AND(E748="Y",B748='Use at Shop'!$B$4),K748*10000000000+(MAX(0,MIN(26,CODE(MID(UPPER(A748)&amp;"    ",1,1))-64))*19683+MAX(0,MIN(26,CODE(MID(UPPER(A748)&amp;"    ",2,1))-64))*729+MAX(0,MIN(26,CODE(MID(UPPER(A748)&amp;"    ",3,1))-64))*27+MAX(0,MIN(26,CODE(MID(UPPER(A748)&amp;"    ",4,1))-64))*1)*10000+ROW(),""))</f>
        <v/>
      </c>
      <c r="N748" s="80" t="str">
        <f t="shared" si="6"/>
        <v/>
      </c>
      <c r="O748" s="80" t="str">
        <f t="array" ref="O748">IF(A748="","",IFERROR(INDEX('Deck 2'!$A:$Z,ROW()-500,'List Setup'!$J$4)&amp;"",""))</f>
        <v/>
      </c>
      <c r="P748" s="2"/>
      <c r="Q748" s="80" t="str">
        <f>IF(A748="","",'List Setup'!$A$4)</f>
        <v/>
      </c>
      <c r="R748" s="80" t="str">
        <f t="array" ref="R748">IF(A748="","",IFERROR(OR(INDEX(Binders!$J$6:$J$30,MATCH(Q748,Binders!$I$6:$I$30,0))=TRUE(),UPPER(INDEX(Binders!$J$6:$J$30,MATCH(Q748,Binders!$I$6:$I$30,0))&amp;"")="TRUE"),FALSE()))</f>
        <v/>
      </c>
    </row>
    <row r="749" ht="15.75" customHeight="1">
      <c r="A749" s="80" t="str">
        <f t="array" ref="A749">IF(INDEX('Deck 2'!$A:$Z,ROW()-500,'List Setup'!$D$4)="","",INDEX('Deck 2'!$A:$Z,ROW()-500,'List Setup'!$D$4))</f>
        <v/>
      </c>
      <c r="B749" s="80" t="str">
        <f t="array" ref="B749">IF(A749="","",IFERROR(INDEX('Binder Setup'!$B$2:$B$401,MIN(IF(ISNUMBER(SEARCH(CHAR(10)&amp;'Binder Setup'!$B$2:$B$401&amp;CHAR(10),$H749)),'List Setup'!$Q$2:$Q$401,999),IF(ISNUMBER(SEARCH(CHAR(10)&amp;'Set Aliases'!$A$2:$A$501&amp;CHAR(10),$H749)),'Set Aliases'!$C$2:$C$501,999))),"(none)"))</f>
        <v/>
      </c>
      <c r="C749" s="80" t="str">
        <f t="shared" si="1"/>
        <v/>
      </c>
      <c r="D749" s="80" t="str">
        <f t="array" ref="D749">IF(A749="","",IF(ISLOGICAL(INDEX('Deck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49" s="80" t="str">
        <f t="shared" si="2"/>
        <v/>
      </c>
      <c r="F749" s="80" t="str">
        <f t="array" ref="F749">IF(A749="","",IF(ISNUMBER(J749),J749,IF(ISNUMBER(INDEX('Deck 2'!$A:$Z,ROW()-500,'List Setup'!$F$4)),INDEX('Deck 2'!$A:$Z,ROW()-500,'List Setup'!$F$4),0)))</f>
        <v/>
      </c>
      <c r="G749" s="80" t="str">
        <f t="array" ref="G749">IF(A749="","",A749&amp;IF(N(INDEX('Deck 2'!$A:$Z,ROW()-500,'List Setup'!$C$4))&gt;1," (x"&amp;INDEX('Deck 2'!$A:$Z,ROW()-500,'List Setup'!$C$4)&amp;")","")&amp;IF(COUNTIF(Binders!$J$6:$J$30,TRUE())&gt;1," ["&amp;Q749&amp;"]",""))</f>
        <v/>
      </c>
      <c r="H749" s="80" t="str">
        <f t="array" ref="H749">IF(A749="","",CHAR(10)&amp;INDEX('Deck 2'!$A:$Z,ROW()-500,'List Setup'!$E$4)&amp;CHAR(10))</f>
        <v/>
      </c>
      <c r="I749" s="80" t="str">
        <f t="array" ref="I749">IF(OR(B749="",B749="(none)"),"",IF(ISNUMBER(SEARCH(CHAR(10)&amp;B749&amp;CHAR(10),H749)),B749,IFERROR(INDEX('Set Aliases'!$A$2:$A$501,MATCH(1,('Set Aliases'!$B$2:$B$501=B749)*ISNUMBER(SEARCH(CHAR(10)&amp;'Set Aliases'!$A$2:$A$501&amp;CHAR(10),H749)),0)),"")))</f>
        <v/>
      </c>
      <c r="J749" s="80" t="str">
        <f t="array" ref="J749">IF(I749="","",IFERROR(VALUE(TRIM(MID(SUBSTITUTE(INDEX('Deck 2'!$A:$Z,ROW()-500,'List Setup'!$G$4),CHAR(10),REPT(" ",100)),((SEARCH(CHAR(10)&amp;I749&amp;CHAR(10),H749)-LEN(SUBSTITUTE(LEFT(H749,SEARCH(CHAR(10)&amp;I749&amp;CHAR(10),H749)),CHAR(10),"")))-1)*100+1,100))),""))</f>
        <v/>
      </c>
      <c r="K749" s="80" t="str">
        <f t="array" ref="K749">IF(A749="","",IF(ISNUMBER(SEARCH("Land",LEFT(IFERROR(INDEX('Deck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49" s="80" t="str">
        <f t="shared" si="3"/>
        <v/>
      </c>
      <c r="M749" s="80" t="str">
        <f>IF(A749="","",IF(AND(E749="Y",B749='Use at Shop'!$B$4),K749*10000000000+(MAX(0,MIN(26,CODE(MID(UPPER(A749)&amp;"    ",1,1))-64))*19683+MAX(0,MIN(26,CODE(MID(UPPER(A749)&amp;"    ",2,1))-64))*729+MAX(0,MIN(26,CODE(MID(UPPER(A749)&amp;"    ",3,1))-64))*27+MAX(0,MIN(26,CODE(MID(UPPER(A749)&amp;"    ",4,1))-64))*1)*10000+ROW(),""))</f>
        <v/>
      </c>
      <c r="N749" s="80" t="str">
        <f t="shared" si="6"/>
        <v/>
      </c>
      <c r="O749" s="80" t="str">
        <f t="array" ref="O749">IF(A749="","",IFERROR(INDEX('Deck 2'!$A:$Z,ROW()-500,'List Setup'!$J$4)&amp;"",""))</f>
        <v/>
      </c>
      <c r="P749" s="2"/>
      <c r="Q749" s="80" t="str">
        <f>IF(A749="","",'List Setup'!$A$4)</f>
        <v/>
      </c>
      <c r="R749" s="80" t="str">
        <f t="array" ref="R749">IF(A749="","",IFERROR(OR(INDEX(Binders!$J$6:$J$30,MATCH(Q749,Binders!$I$6:$I$30,0))=TRUE(),UPPER(INDEX(Binders!$J$6:$J$30,MATCH(Q749,Binders!$I$6:$I$30,0))&amp;"")="TRUE"),FALSE()))</f>
        <v/>
      </c>
    </row>
    <row r="750" ht="15.75" customHeight="1">
      <c r="A750" s="80" t="str">
        <f t="array" ref="A750">IF(INDEX('Deck 2'!$A:$Z,ROW()-500,'List Setup'!$D$4)="","",INDEX('Deck 2'!$A:$Z,ROW()-500,'List Setup'!$D$4))</f>
        <v/>
      </c>
      <c r="B750" s="80" t="str">
        <f t="array" ref="B750">IF(A750="","",IFERROR(INDEX('Binder Setup'!$B$2:$B$401,MIN(IF(ISNUMBER(SEARCH(CHAR(10)&amp;'Binder Setup'!$B$2:$B$401&amp;CHAR(10),$H750)),'List Setup'!$Q$2:$Q$401,999),IF(ISNUMBER(SEARCH(CHAR(10)&amp;'Set Aliases'!$A$2:$A$501&amp;CHAR(10),$H750)),'Set Aliases'!$C$2:$C$501,999))),"(none)"))</f>
        <v/>
      </c>
      <c r="C750" s="80" t="str">
        <f t="shared" si="1"/>
        <v/>
      </c>
      <c r="D750" s="80" t="str">
        <f t="array" ref="D750">IF(A750="","",IF(ISLOGICAL(INDEX('Deck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50" s="80" t="str">
        <f t="shared" si="2"/>
        <v/>
      </c>
      <c r="F750" s="80" t="str">
        <f t="array" ref="F750">IF(A750="","",IF(ISNUMBER(J750),J750,IF(ISNUMBER(INDEX('Deck 2'!$A:$Z,ROW()-500,'List Setup'!$F$4)),INDEX('Deck 2'!$A:$Z,ROW()-500,'List Setup'!$F$4),0)))</f>
        <v/>
      </c>
      <c r="G750" s="80" t="str">
        <f t="array" ref="G750">IF(A750="","",A750&amp;IF(N(INDEX('Deck 2'!$A:$Z,ROW()-500,'List Setup'!$C$4))&gt;1," (x"&amp;INDEX('Deck 2'!$A:$Z,ROW()-500,'List Setup'!$C$4)&amp;")","")&amp;IF(COUNTIF(Binders!$J$6:$J$30,TRUE())&gt;1," ["&amp;Q750&amp;"]",""))</f>
        <v/>
      </c>
      <c r="H750" s="80" t="str">
        <f t="array" ref="H750">IF(A750="","",CHAR(10)&amp;INDEX('Deck 2'!$A:$Z,ROW()-500,'List Setup'!$E$4)&amp;CHAR(10))</f>
        <v/>
      </c>
      <c r="I750" s="80" t="str">
        <f t="array" ref="I750">IF(OR(B750="",B750="(none)"),"",IF(ISNUMBER(SEARCH(CHAR(10)&amp;B750&amp;CHAR(10),H750)),B750,IFERROR(INDEX('Set Aliases'!$A$2:$A$501,MATCH(1,('Set Aliases'!$B$2:$B$501=B750)*ISNUMBER(SEARCH(CHAR(10)&amp;'Set Aliases'!$A$2:$A$501&amp;CHAR(10),H750)),0)),"")))</f>
        <v/>
      </c>
      <c r="J750" s="80" t="str">
        <f t="array" ref="J750">IF(I750="","",IFERROR(VALUE(TRIM(MID(SUBSTITUTE(INDEX('Deck 2'!$A:$Z,ROW()-500,'List Setup'!$G$4),CHAR(10),REPT(" ",100)),((SEARCH(CHAR(10)&amp;I750&amp;CHAR(10),H750)-LEN(SUBSTITUTE(LEFT(H750,SEARCH(CHAR(10)&amp;I750&amp;CHAR(10),H750)),CHAR(10),"")))-1)*100+1,100))),""))</f>
        <v/>
      </c>
      <c r="K750" s="80" t="str">
        <f t="array" ref="K750">IF(A750="","",IF(ISNUMBER(SEARCH("Land",LEFT(IFERROR(INDEX('Deck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50" s="80" t="str">
        <f t="shared" si="3"/>
        <v/>
      </c>
      <c r="M750" s="80" t="str">
        <f>IF(A750="","",IF(AND(E750="Y",B750='Use at Shop'!$B$4),K750*10000000000+(MAX(0,MIN(26,CODE(MID(UPPER(A750)&amp;"    ",1,1))-64))*19683+MAX(0,MIN(26,CODE(MID(UPPER(A750)&amp;"    ",2,1))-64))*729+MAX(0,MIN(26,CODE(MID(UPPER(A750)&amp;"    ",3,1))-64))*27+MAX(0,MIN(26,CODE(MID(UPPER(A750)&amp;"    ",4,1))-64))*1)*10000+ROW(),""))</f>
        <v/>
      </c>
      <c r="N750" s="80" t="str">
        <f t="shared" si="6"/>
        <v/>
      </c>
      <c r="O750" s="80" t="str">
        <f t="array" ref="O750">IF(A750="","",IFERROR(INDEX('Deck 2'!$A:$Z,ROW()-500,'List Setup'!$J$4)&amp;"",""))</f>
        <v/>
      </c>
      <c r="P750" s="2"/>
      <c r="Q750" s="80" t="str">
        <f>IF(A750="","",'List Setup'!$A$4)</f>
        <v/>
      </c>
      <c r="R750" s="80" t="str">
        <f t="array" ref="R750">IF(A750="","",IFERROR(OR(INDEX(Binders!$J$6:$J$30,MATCH(Q750,Binders!$I$6:$I$30,0))=TRUE(),UPPER(INDEX(Binders!$J$6:$J$30,MATCH(Q750,Binders!$I$6:$I$30,0))&amp;"")="TRUE"),FALSE()))</f>
        <v/>
      </c>
    </row>
    <row r="751" ht="15.75" customHeight="1">
      <c r="A751" s="80" t="str">
        <f t="array" ref="A751">IF(INDEX('Deck 2'!$A:$Z,ROW()-500,'List Setup'!$D$4)="","",INDEX('Deck 2'!$A:$Z,ROW()-500,'List Setup'!$D$4))</f>
        <v/>
      </c>
      <c r="B751" s="80" t="str">
        <f t="array" ref="B751">IF(A751="","",IFERROR(INDEX('Binder Setup'!$B$2:$B$401,MIN(IF(ISNUMBER(SEARCH(CHAR(10)&amp;'Binder Setup'!$B$2:$B$401&amp;CHAR(10),$H751)),'List Setup'!$Q$2:$Q$401,999),IF(ISNUMBER(SEARCH(CHAR(10)&amp;'Set Aliases'!$A$2:$A$501&amp;CHAR(10),$H751)),'Set Aliases'!$C$2:$C$501,999))),"(none)"))</f>
        <v/>
      </c>
      <c r="C751" s="80" t="str">
        <f t="shared" si="1"/>
        <v/>
      </c>
      <c r="D751" s="80" t="str">
        <f t="array" ref="D751">IF(A751="","",IF(ISLOGICAL(INDEX('Deck 2'!$A:$Z,ROW()-500,'List Setup'!$B$4)),IF(INDEX('Deck 2'!$A:$Z,ROW()-500,'List Setup'!$B$4),"In collection","Needed"),IF(UPPER(TRIM(INDEX('Deck 2'!$A:$Z,ROW()-500,'List Setup'!$B$4)))="ORDERED","Ordered",IF(UPPER(TRIM(INDEX('Deck 2'!$A:$Z,ROW()-500,'List Setup'!$B$4)))="PROXY","Proxy",IF(UPPER(TRIM(INDEX('Deck 2'!$A:$Z,ROW()-500,'List Setup'!$B$4)))="OUT OF DECK","Out of deck",IF(UPPER(TRIM(INDEX('Deck 2'!$A:$Z,ROW()-500,'List Setup'!$B$4)))="TRUE","In collection","Needed"))))))</f>
        <v/>
      </c>
      <c r="E751" s="80" t="str">
        <f t="shared" si="2"/>
        <v/>
      </c>
      <c r="F751" s="80" t="str">
        <f t="array" ref="F751">IF(A751="","",IF(ISNUMBER(J751),J751,IF(ISNUMBER(INDEX('Deck 2'!$A:$Z,ROW()-500,'List Setup'!$F$4)),INDEX('Deck 2'!$A:$Z,ROW()-500,'List Setup'!$F$4),0)))</f>
        <v/>
      </c>
      <c r="G751" s="80" t="str">
        <f t="array" ref="G751">IF(A751="","",A751&amp;IF(N(INDEX('Deck 2'!$A:$Z,ROW()-500,'List Setup'!$C$4))&gt;1," (x"&amp;INDEX('Deck 2'!$A:$Z,ROW()-500,'List Setup'!$C$4)&amp;")","")&amp;IF(COUNTIF(Binders!$J$6:$J$30,TRUE())&gt;1," ["&amp;Q751&amp;"]",""))</f>
        <v/>
      </c>
      <c r="H751" s="80" t="str">
        <f t="array" ref="H751">IF(A751="","",CHAR(10)&amp;INDEX('Deck 2'!$A:$Z,ROW()-500,'List Setup'!$E$4)&amp;CHAR(10))</f>
        <v/>
      </c>
      <c r="I751" s="80" t="str">
        <f t="array" ref="I751">IF(OR(B751="",B751="(none)"),"",IF(ISNUMBER(SEARCH(CHAR(10)&amp;B751&amp;CHAR(10),H751)),B751,IFERROR(INDEX('Set Aliases'!$A$2:$A$501,MATCH(1,('Set Aliases'!$B$2:$B$501=B751)*ISNUMBER(SEARCH(CHAR(10)&amp;'Set Aliases'!$A$2:$A$501&amp;CHAR(10),H751)),0)),"")))</f>
        <v/>
      </c>
      <c r="J751" s="80" t="str">
        <f t="array" ref="J751">IF(I751="","",IFERROR(VALUE(TRIM(MID(SUBSTITUTE(INDEX('Deck 2'!$A:$Z,ROW()-500,'List Setup'!$G$4),CHAR(10),REPT(" ",100)),((SEARCH(CHAR(10)&amp;I751&amp;CHAR(10),H751)-LEN(SUBSTITUTE(LEFT(H751,SEARCH(CHAR(10)&amp;I751&amp;CHAR(10),H751)),CHAR(10),"")))-1)*100+1,100))),""))</f>
        <v/>
      </c>
      <c r="K751" s="80" t="str">
        <f t="array" ref="K751">IF(A751="","",IF(ISNUMBER(SEARCH("Land",LEFT(IFERROR(INDEX('Deck 2'!$A:$Z,ROW()-500,'List Setup'!$I$4)&amp;"",""),IFERROR(SEARCH(" // ",IFERROR(INDEX('Deck 2'!$A:$Z,ROW()-500,'List Setup'!$I$4)&amp;"",""))-1,LEN(IFERROR(INDEX('Deck 2'!$A:$Z,ROW()-500,'List Setup'!$I$4)&amp;"","")))))),8,IF(LEN(IFERROR(INDEX('Deck 2'!$A:$Z,ROW()-500,'List Setup'!$H$4)&amp;"",""))=0,7,IF(LEN(IFERROR(INDEX('Deck 2'!$A:$Z,ROW()-500,'List Setup'!$H$4)&amp;"",""))&gt;1,6,FIND(IFERROR(INDEX('Deck 2'!$A:$Z,ROW()-500,'List Setup'!$H$4)&amp;"",""),"WUBRG")))))</f>
        <v/>
      </c>
      <c r="L751" s="80" t="str">
        <f t="shared" si="3"/>
        <v/>
      </c>
      <c r="M751" s="80" t="str">
        <f>IF(A751="","",IF(AND(E751="Y",B751='Use at Shop'!$B$4),K751*10000000000+(MAX(0,MIN(26,CODE(MID(UPPER(A751)&amp;"    ",1,1))-64))*19683+MAX(0,MIN(26,CODE(MID(UPPER(A751)&amp;"    ",2,1))-64))*729+MAX(0,MIN(26,CODE(MID(UPPER(A751)&amp;"    ",3,1))-64))*27+MAX(0,MIN(26,CODE(MID(UPPER(A751)&amp;"    ",4,1))-64))*1)*10000+ROW(),""))</f>
        <v/>
      </c>
      <c r="N751" s="80" t="str">
        <f t="shared" si="6"/>
        <v/>
      </c>
      <c r="O751" s="80" t="str">
        <f t="array" ref="O751">IF(A751="","",IFERROR(INDEX('Deck 2'!$A:$Z,ROW()-500,'List Setup'!$J$4)&amp;"",""))</f>
        <v/>
      </c>
      <c r="P751" s="2"/>
      <c r="Q751" s="80" t="str">
        <f>IF(A751="","",'List Setup'!$A$4)</f>
        <v/>
      </c>
      <c r="R751" s="80" t="str">
        <f t="array" ref="R751">IF(A751="","",IFERROR(OR(INDEX(Binders!$J$6:$J$30,MATCH(Q751,Binders!$I$6:$I$30,0))=TRUE(),UPPER(INDEX(Binders!$J$6:$J$30,MATCH(Q751,Binders!$I$6:$I$30,0))&amp;"")="TRUE"),FALSE()))</f>
        <v/>
      </c>
    </row>
    <row r="752" ht="15.75" customHeight="1">
      <c r="A752" s="80" t="str">
        <f t="array" ref="A752">IF(INDEX('Deck 3'!$A:$Z,ROW()-750,'List Setup'!$D$5)="","",INDEX('Deck 3'!$A:$Z,ROW()-750,'List Setup'!$D$5))</f>
        <v/>
      </c>
      <c r="B752" s="80" t="str">
        <f t="array" ref="B752">IF(A752="","",IFERROR(INDEX('Binder Setup'!$B$2:$B$401,MIN(IF(ISNUMBER(SEARCH(CHAR(10)&amp;'Binder Setup'!$B$2:$B$401&amp;CHAR(10),$H752)),'List Setup'!$Q$2:$Q$401,999),IF(ISNUMBER(SEARCH(CHAR(10)&amp;'Set Aliases'!$A$2:$A$501&amp;CHAR(10),$H752)),'Set Aliases'!$C$2:$C$501,999))),"(none)"))</f>
        <v/>
      </c>
      <c r="C752" s="80" t="str">
        <f t="shared" si="1"/>
        <v/>
      </c>
      <c r="D752" s="80" t="str">
        <f t="array" ref="D752">IF(A752="","",IF(ISLOGICAL(INDEX('Deck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52" s="80" t="str">
        <f t="shared" si="2"/>
        <v/>
      </c>
      <c r="F752" s="80" t="str">
        <f t="array" ref="F752">IF(A752="","",IF(ISNUMBER(J752),J752,IF(ISNUMBER(INDEX('Deck 3'!$A:$Z,ROW()-750,'List Setup'!$F$5)),INDEX('Deck 3'!$A:$Z,ROW()-750,'List Setup'!$F$5),0)))</f>
        <v/>
      </c>
      <c r="G752" s="80" t="str">
        <f t="array" ref="G752">IF(A752="","",A752&amp;IF(N(INDEX('Deck 3'!$A:$Z,ROW()-750,'List Setup'!$C$5))&gt;1," (x"&amp;INDEX('Deck 3'!$A:$Z,ROW()-750,'List Setup'!$C$5)&amp;")","")&amp;IF(COUNTIF(Binders!$J$6:$J$30,TRUE())&gt;1," ["&amp;Q752&amp;"]",""))</f>
        <v/>
      </c>
      <c r="H752" s="80" t="str">
        <f t="array" ref="H752">IF(A752="","",CHAR(10)&amp;INDEX('Deck 3'!$A:$Z,ROW()-750,'List Setup'!$E$5)&amp;CHAR(10))</f>
        <v/>
      </c>
      <c r="I752" s="80" t="str">
        <f t="array" ref="I752">IF(OR(B752="",B752="(none)"),"",IF(ISNUMBER(SEARCH(CHAR(10)&amp;B752&amp;CHAR(10),H752)),B752,IFERROR(INDEX('Set Aliases'!$A$2:$A$501,MATCH(1,('Set Aliases'!$B$2:$B$501=B752)*ISNUMBER(SEARCH(CHAR(10)&amp;'Set Aliases'!$A$2:$A$501&amp;CHAR(10),H752)),0)),"")))</f>
        <v/>
      </c>
      <c r="J752" s="80" t="str">
        <f t="array" ref="J752">IF(I752="","",IFERROR(VALUE(TRIM(MID(SUBSTITUTE(INDEX('Deck 3'!$A:$Z,ROW()-750,'List Setup'!$G$5),CHAR(10),REPT(" ",100)),((SEARCH(CHAR(10)&amp;I752&amp;CHAR(10),H752)-LEN(SUBSTITUTE(LEFT(H752,SEARCH(CHAR(10)&amp;I752&amp;CHAR(10),H752)),CHAR(10),"")))-1)*100+1,100))),""))</f>
        <v/>
      </c>
      <c r="K752" s="80" t="str">
        <f t="array" ref="K752">IF(A752="","",IF(ISNUMBER(SEARCH("Land",LEFT(IFERROR(INDEX('Deck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52" s="80" t="str">
        <f t="shared" si="3"/>
        <v/>
      </c>
      <c r="M752" s="80" t="str">
        <f>IF(A752="","",IF(AND(E752="Y",B752='Use at Shop'!$B$4),K752*10000000000+(MAX(0,MIN(26,CODE(MID(UPPER(A752)&amp;"    ",1,1))-64))*19683+MAX(0,MIN(26,CODE(MID(UPPER(A752)&amp;"    ",2,1))-64))*729+MAX(0,MIN(26,CODE(MID(UPPER(A752)&amp;"    ",3,1))-64))*27+MAX(0,MIN(26,CODE(MID(UPPER(A752)&amp;"    ",4,1))-64))*1)*10000+ROW(),""))</f>
        <v/>
      </c>
      <c r="N752" s="80" t="str">
        <f t="shared" ref="N752:N1001" si="7">IF(A752="","",ROW()-750)</f>
        <v/>
      </c>
      <c r="O752" s="80" t="str">
        <f t="array" ref="O752">IF(A752="","",IFERROR(INDEX('Deck 3'!$A:$Z,ROW()-750,'List Setup'!$J$5)&amp;"",""))</f>
        <v/>
      </c>
      <c r="P752" s="2"/>
      <c r="Q752" s="80" t="str">
        <f>IF(A752="","",'List Setup'!$A$5)</f>
        <v/>
      </c>
      <c r="R752" s="80" t="str">
        <f t="array" ref="R752">IF(A752="","",IFERROR(OR(INDEX(Binders!$J$6:$J$30,MATCH(Q752,Binders!$I$6:$I$30,0))=TRUE(),UPPER(INDEX(Binders!$J$6:$J$30,MATCH(Q752,Binders!$I$6:$I$30,0))&amp;"")="TRUE"),FALSE()))</f>
        <v/>
      </c>
    </row>
    <row r="753" ht="15.75" customHeight="1">
      <c r="A753" s="80" t="str">
        <f t="array" ref="A753">IF(INDEX('Deck 3'!$A:$Z,ROW()-750,'List Setup'!$D$5)="","",INDEX('Deck 3'!$A:$Z,ROW()-750,'List Setup'!$D$5))</f>
        <v/>
      </c>
      <c r="B753" s="80" t="str">
        <f t="array" ref="B753">IF(A753="","",IFERROR(INDEX('Binder Setup'!$B$2:$B$401,MIN(IF(ISNUMBER(SEARCH(CHAR(10)&amp;'Binder Setup'!$B$2:$B$401&amp;CHAR(10),$H753)),'List Setup'!$Q$2:$Q$401,999),IF(ISNUMBER(SEARCH(CHAR(10)&amp;'Set Aliases'!$A$2:$A$501&amp;CHAR(10),$H753)),'Set Aliases'!$C$2:$C$501,999))),"(none)"))</f>
        <v/>
      </c>
      <c r="C753" s="80" t="str">
        <f t="shared" si="1"/>
        <v/>
      </c>
      <c r="D753" s="80" t="str">
        <f t="array" ref="D753">IF(A753="","",IF(ISLOGICAL(INDEX('Deck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53" s="80" t="str">
        <f t="shared" si="2"/>
        <v/>
      </c>
      <c r="F753" s="80" t="str">
        <f t="array" ref="F753">IF(A753="","",IF(ISNUMBER(J753),J753,IF(ISNUMBER(INDEX('Deck 3'!$A:$Z,ROW()-750,'List Setup'!$F$5)),INDEX('Deck 3'!$A:$Z,ROW()-750,'List Setup'!$F$5),0)))</f>
        <v/>
      </c>
      <c r="G753" s="80" t="str">
        <f t="array" ref="G753">IF(A753="","",A753&amp;IF(N(INDEX('Deck 3'!$A:$Z,ROW()-750,'List Setup'!$C$5))&gt;1," (x"&amp;INDEX('Deck 3'!$A:$Z,ROW()-750,'List Setup'!$C$5)&amp;")","")&amp;IF(COUNTIF(Binders!$J$6:$J$30,TRUE())&gt;1," ["&amp;Q753&amp;"]",""))</f>
        <v/>
      </c>
      <c r="H753" s="80" t="str">
        <f t="array" ref="H753">IF(A753="","",CHAR(10)&amp;INDEX('Deck 3'!$A:$Z,ROW()-750,'List Setup'!$E$5)&amp;CHAR(10))</f>
        <v/>
      </c>
      <c r="I753" s="80" t="str">
        <f t="array" ref="I753">IF(OR(B753="",B753="(none)"),"",IF(ISNUMBER(SEARCH(CHAR(10)&amp;B753&amp;CHAR(10),H753)),B753,IFERROR(INDEX('Set Aliases'!$A$2:$A$501,MATCH(1,('Set Aliases'!$B$2:$B$501=B753)*ISNUMBER(SEARCH(CHAR(10)&amp;'Set Aliases'!$A$2:$A$501&amp;CHAR(10),H753)),0)),"")))</f>
        <v/>
      </c>
      <c r="J753" s="80" t="str">
        <f t="array" ref="J753">IF(I753="","",IFERROR(VALUE(TRIM(MID(SUBSTITUTE(INDEX('Deck 3'!$A:$Z,ROW()-750,'List Setup'!$G$5),CHAR(10),REPT(" ",100)),((SEARCH(CHAR(10)&amp;I753&amp;CHAR(10),H753)-LEN(SUBSTITUTE(LEFT(H753,SEARCH(CHAR(10)&amp;I753&amp;CHAR(10),H753)),CHAR(10),"")))-1)*100+1,100))),""))</f>
        <v/>
      </c>
      <c r="K753" s="80" t="str">
        <f t="array" ref="K753">IF(A753="","",IF(ISNUMBER(SEARCH("Land",LEFT(IFERROR(INDEX('Deck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53" s="80" t="str">
        <f t="shared" si="3"/>
        <v/>
      </c>
      <c r="M753" s="80" t="str">
        <f>IF(A753="","",IF(AND(E753="Y",B753='Use at Shop'!$B$4),K753*10000000000+(MAX(0,MIN(26,CODE(MID(UPPER(A753)&amp;"    ",1,1))-64))*19683+MAX(0,MIN(26,CODE(MID(UPPER(A753)&amp;"    ",2,1))-64))*729+MAX(0,MIN(26,CODE(MID(UPPER(A753)&amp;"    ",3,1))-64))*27+MAX(0,MIN(26,CODE(MID(UPPER(A753)&amp;"    ",4,1))-64))*1)*10000+ROW(),""))</f>
        <v/>
      </c>
      <c r="N753" s="80" t="str">
        <f t="shared" si="7"/>
        <v/>
      </c>
      <c r="O753" s="80" t="str">
        <f t="array" ref="O753">IF(A753="","",IFERROR(INDEX('Deck 3'!$A:$Z,ROW()-750,'List Setup'!$J$5)&amp;"",""))</f>
        <v/>
      </c>
      <c r="P753" s="2"/>
      <c r="Q753" s="80" t="str">
        <f>IF(A753="","",'List Setup'!$A$5)</f>
        <v/>
      </c>
      <c r="R753" s="80" t="str">
        <f t="array" ref="R753">IF(A753="","",IFERROR(OR(INDEX(Binders!$J$6:$J$30,MATCH(Q753,Binders!$I$6:$I$30,0))=TRUE(),UPPER(INDEX(Binders!$J$6:$J$30,MATCH(Q753,Binders!$I$6:$I$30,0))&amp;"")="TRUE"),FALSE()))</f>
        <v/>
      </c>
    </row>
    <row r="754" ht="15.75" customHeight="1">
      <c r="A754" s="80" t="str">
        <f t="array" ref="A754">IF(INDEX('Deck 3'!$A:$Z,ROW()-750,'List Setup'!$D$5)="","",INDEX('Deck 3'!$A:$Z,ROW()-750,'List Setup'!$D$5))</f>
        <v/>
      </c>
      <c r="B754" s="80" t="str">
        <f t="array" ref="B754">IF(A754="","",IFERROR(INDEX('Binder Setup'!$B$2:$B$401,MIN(IF(ISNUMBER(SEARCH(CHAR(10)&amp;'Binder Setup'!$B$2:$B$401&amp;CHAR(10),$H754)),'List Setup'!$Q$2:$Q$401,999),IF(ISNUMBER(SEARCH(CHAR(10)&amp;'Set Aliases'!$A$2:$A$501&amp;CHAR(10),$H754)),'Set Aliases'!$C$2:$C$501,999))),"(none)"))</f>
        <v/>
      </c>
      <c r="C754" s="80" t="str">
        <f t="shared" si="1"/>
        <v/>
      </c>
      <c r="D754" s="80" t="str">
        <f t="array" ref="D754">IF(A754="","",IF(ISLOGICAL(INDEX('Deck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54" s="80" t="str">
        <f t="shared" si="2"/>
        <v/>
      </c>
      <c r="F754" s="80" t="str">
        <f t="array" ref="F754">IF(A754="","",IF(ISNUMBER(J754),J754,IF(ISNUMBER(INDEX('Deck 3'!$A:$Z,ROW()-750,'List Setup'!$F$5)),INDEX('Deck 3'!$A:$Z,ROW()-750,'List Setup'!$F$5),0)))</f>
        <v/>
      </c>
      <c r="G754" s="80" t="str">
        <f t="array" ref="G754">IF(A754="","",A754&amp;IF(N(INDEX('Deck 3'!$A:$Z,ROW()-750,'List Setup'!$C$5))&gt;1," (x"&amp;INDEX('Deck 3'!$A:$Z,ROW()-750,'List Setup'!$C$5)&amp;")","")&amp;IF(COUNTIF(Binders!$J$6:$J$30,TRUE())&gt;1," ["&amp;Q754&amp;"]",""))</f>
        <v/>
      </c>
      <c r="H754" s="80" t="str">
        <f t="array" ref="H754">IF(A754="","",CHAR(10)&amp;INDEX('Deck 3'!$A:$Z,ROW()-750,'List Setup'!$E$5)&amp;CHAR(10))</f>
        <v/>
      </c>
      <c r="I754" s="80" t="str">
        <f t="array" ref="I754">IF(OR(B754="",B754="(none)"),"",IF(ISNUMBER(SEARCH(CHAR(10)&amp;B754&amp;CHAR(10),H754)),B754,IFERROR(INDEX('Set Aliases'!$A$2:$A$501,MATCH(1,('Set Aliases'!$B$2:$B$501=B754)*ISNUMBER(SEARCH(CHAR(10)&amp;'Set Aliases'!$A$2:$A$501&amp;CHAR(10),H754)),0)),"")))</f>
        <v/>
      </c>
      <c r="J754" s="80" t="str">
        <f t="array" ref="J754">IF(I754="","",IFERROR(VALUE(TRIM(MID(SUBSTITUTE(INDEX('Deck 3'!$A:$Z,ROW()-750,'List Setup'!$G$5),CHAR(10),REPT(" ",100)),((SEARCH(CHAR(10)&amp;I754&amp;CHAR(10),H754)-LEN(SUBSTITUTE(LEFT(H754,SEARCH(CHAR(10)&amp;I754&amp;CHAR(10),H754)),CHAR(10),"")))-1)*100+1,100))),""))</f>
        <v/>
      </c>
      <c r="K754" s="80" t="str">
        <f t="array" ref="K754">IF(A754="","",IF(ISNUMBER(SEARCH("Land",LEFT(IFERROR(INDEX('Deck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54" s="80" t="str">
        <f t="shared" si="3"/>
        <v/>
      </c>
      <c r="M754" s="80" t="str">
        <f>IF(A754="","",IF(AND(E754="Y",B754='Use at Shop'!$B$4),K754*10000000000+(MAX(0,MIN(26,CODE(MID(UPPER(A754)&amp;"    ",1,1))-64))*19683+MAX(0,MIN(26,CODE(MID(UPPER(A754)&amp;"    ",2,1))-64))*729+MAX(0,MIN(26,CODE(MID(UPPER(A754)&amp;"    ",3,1))-64))*27+MAX(0,MIN(26,CODE(MID(UPPER(A754)&amp;"    ",4,1))-64))*1)*10000+ROW(),""))</f>
        <v/>
      </c>
      <c r="N754" s="80" t="str">
        <f t="shared" si="7"/>
        <v/>
      </c>
      <c r="O754" s="80" t="str">
        <f t="array" ref="O754">IF(A754="","",IFERROR(INDEX('Deck 3'!$A:$Z,ROW()-750,'List Setup'!$J$5)&amp;"",""))</f>
        <v/>
      </c>
      <c r="P754" s="2"/>
      <c r="Q754" s="80" t="str">
        <f>IF(A754="","",'List Setup'!$A$5)</f>
        <v/>
      </c>
      <c r="R754" s="80" t="str">
        <f t="array" ref="R754">IF(A754="","",IFERROR(OR(INDEX(Binders!$J$6:$J$30,MATCH(Q754,Binders!$I$6:$I$30,0))=TRUE(),UPPER(INDEX(Binders!$J$6:$J$30,MATCH(Q754,Binders!$I$6:$I$30,0))&amp;"")="TRUE"),FALSE()))</f>
        <v/>
      </c>
    </row>
    <row r="755" ht="15.75" customHeight="1">
      <c r="A755" s="80" t="str">
        <f t="array" ref="A755">IF(INDEX('Deck 3'!$A:$Z,ROW()-750,'List Setup'!$D$5)="","",INDEX('Deck 3'!$A:$Z,ROW()-750,'List Setup'!$D$5))</f>
        <v/>
      </c>
      <c r="B755" s="80" t="str">
        <f t="array" ref="B755">IF(A755="","",IFERROR(INDEX('Binder Setup'!$B$2:$B$401,MIN(IF(ISNUMBER(SEARCH(CHAR(10)&amp;'Binder Setup'!$B$2:$B$401&amp;CHAR(10),$H755)),'List Setup'!$Q$2:$Q$401,999),IF(ISNUMBER(SEARCH(CHAR(10)&amp;'Set Aliases'!$A$2:$A$501&amp;CHAR(10),$H755)),'Set Aliases'!$C$2:$C$501,999))),"(none)"))</f>
        <v/>
      </c>
      <c r="C755" s="80" t="str">
        <f t="shared" si="1"/>
        <v/>
      </c>
      <c r="D755" s="80" t="str">
        <f t="array" ref="D755">IF(A755="","",IF(ISLOGICAL(INDEX('Deck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55" s="80" t="str">
        <f t="shared" si="2"/>
        <v/>
      </c>
      <c r="F755" s="80" t="str">
        <f t="array" ref="F755">IF(A755="","",IF(ISNUMBER(J755),J755,IF(ISNUMBER(INDEX('Deck 3'!$A:$Z,ROW()-750,'List Setup'!$F$5)),INDEX('Deck 3'!$A:$Z,ROW()-750,'List Setup'!$F$5),0)))</f>
        <v/>
      </c>
      <c r="G755" s="80" t="str">
        <f t="array" ref="G755">IF(A755="","",A755&amp;IF(N(INDEX('Deck 3'!$A:$Z,ROW()-750,'List Setup'!$C$5))&gt;1," (x"&amp;INDEX('Deck 3'!$A:$Z,ROW()-750,'List Setup'!$C$5)&amp;")","")&amp;IF(COUNTIF(Binders!$J$6:$J$30,TRUE())&gt;1," ["&amp;Q755&amp;"]",""))</f>
        <v/>
      </c>
      <c r="H755" s="80" t="str">
        <f t="array" ref="H755">IF(A755="","",CHAR(10)&amp;INDEX('Deck 3'!$A:$Z,ROW()-750,'List Setup'!$E$5)&amp;CHAR(10))</f>
        <v/>
      </c>
      <c r="I755" s="80" t="str">
        <f t="array" ref="I755">IF(OR(B755="",B755="(none)"),"",IF(ISNUMBER(SEARCH(CHAR(10)&amp;B755&amp;CHAR(10),H755)),B755,IFERROR(INDEX('Set Aliases'!$A$2:$A$501,MATCH(1,('Set Aliases'!$B$2:$B$501=B755)*ISNUMBER(SEARCH(CHAR(10)&amp;'Set Aliases'!$A$2:$A$501&amp;CHAR(10),H755)),0)),"")))</f>
        <v/>
      </c>
      <c r="J755" s="80" t="str">
        <f t="array" ref="J755">IF(I755="","",IFERROR(VALUE(TRIM(MID(SUBSTITUTE(INDEX('Deck 3'!$A:$Z,ROW()-750,'List Setup'!$G$5),CHAR(10),REPT(" ",100)),((SEARCH(CHAR(10)&amp;I755&amp;CHAR(10),H755)-LEN(SUBSTITUTE(LEFT(H755,SEARCH(CHAR(10)&amp;I755&amp;CHAR(10),H755)),CHAR(10),"")))-1)*100+1,100))),""))</f>
        <v/>
      </c>
      <c r="K755" s="80" t="str">
        <f t="array" ref="K755">IF(A755="","",IF(ISNUMBER(SEARCH("Land",LEFT(IFERROR(INDEX('Deck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55" s="80" t="str">
        <f t="shared" si="3"/>
        <v/>
      </c>
      <c r="M755" s="80" t="str">
        <f>IF(A755="","",IF(AND(E755="Y",B755='Use at Shop'!$B$4),K755*10000000000+(MAX(0,MIN(26,CODE(MID(UPPER(A755)&amp;"    ",1,1))-64))*19683+MAX(0,MIN(26,CODE(MID(UPPER(A755)&amp;"    ",2,1))-64))*729+MAX(0,MIN(26,CODE(MID(UPPER(A755)&amp;"    ",3,1))-64))*27+MAX(0,MIN(26,CODE(MID(UPPER(A755)&amp;"    ",4,1))-64))*1)*10000+ROW(),""))</f>
        <v/>
      </c>
      <c r="N755" s="80" t="str">
        <f t="shared" si="7"/>
        <v/>
      </c>
      <c r="O755" s="80" t="str">
        <f t="array" ref="O755">IF(A755="","",IFERROR(INDEX('Deck 3'!$A:$Z,ROW()-750,'List Setup'!$J$5)&amp;"",""))</f>
        <v/>
      </c>
      <c r="P755" s="2"/>
      <c r="Q755" s="80" t="str">
        <f>IF(A755="","",'List Setup'!$A$5)</f>
        <v/>
      </c>
      <c r="R755" s="80" t="str">
        <f t="array" ref="R755">IF(A755="","",IFERROR(OR(INDEX(Binders!$J$6:$J$30,MATCH(Q755,Binders!$I$6:$I$30,0))=TRUE(),UPPER(INDEX(Binders!$J$6:$J$30,MATCH(Q755,Binders!$I$6:$I$30,0))&amp;"")="TRUE"),FALSE()))</f>
        <v/>
      </c>
    </row>
    <row r="756" ht="15.75" customHeight="1">
      <c r="A756" s="80" t="str">
        <f t="array" ref="A756">IF(INDEX('Deck 3'!$A:$Z,ROW()-750,'List Setup'!$D$5)="","",INDEX('Deck 3'!$A:$Z,ROW()-750,'List Setup'!$D$5))</f>
        <v/>
      </c>
      <c r="B756" s="80" t="str">
        <f t="array" ref="B756">IF(A756="","",IFERROR(INDEX('Binder Setup'!$B$2:$B$401,MIN(IF(ISNUMBER(SEARCH(CHAR(10)&amp;'Binder Setup'!$B$2:$B$401&amp;CHAR(10),$H756)),'List Setup'!$Q$2:$Q$401,999),IF(ISNUMBER(SEARCH(CHAR(10)&amp;'Set Aliases'!$A$2:$A$501&amp;CHAR(10),$H756)),'Set Aliases'!$C$2:$C$501,999))),"(none)"))</f>
        <v/>
      </c>
      <c r="C756" s="80" t="str">
        <f t="shared" si="1"/>
        <v/>
      </c>
      <c r="D756" s="80" t="str">
        <f t="array" ref="D756">IF(A756="","",IF(ISLOGICAL(INDEX('Deck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56" s="80" t="str">
        <f t="shared" si="2"/>
        <v/>
      </c>
      <c r="F756" s="80" t="str">
        <f t="array" ref="F756">IF(A756="","",IF(ISNUMBER(J756),J756,IF(ISNUMBER(INDEX('Deck 3'!$A:$Z,ROW()-750,'List Setup'!$F$5)),INDEX('Deck 3'!$A:$Z,ROW()-750,'List Setup'!$F$5),0)))</f>
        <v/>
      </c>
      <c r="G756" s="80" t="str">
        <f t="array" ref="G756">IF(A756="","",A756&amp;IF(N(INDEX('Deck 3'!$A:$Z,ROW()-750,'List Setup'!$C$5))&gt;1," (x"&amp;INDEX('Deck 3'!$A:$Z,ROW()-750,'List Setup'!$C$5)&amp;")","")&amp;IF(COUNTIF(Binders!$J$6:$J$30,TRUE())&gt;1," ["&amp;Q756&amp;"]",""))</f>
        <v/>
      </c>
      <c r="H756" s="80" t="str">
        <f t="array" ref="H756">IF(A756="","",CHAR(10)&amp;INDEX('Deck 3'!$A:$Z,ROW()-750,'List Setup'!$E$5)&amp;CHAR(10))</f>
        <v/>
      </c>
      <c r="I756" s="80" t="str">
        <f t="array" ref="I756">IF(OR(B756="",B756="(none)"),"",IF(ISNUMBER(SEARCH(CHAR(10)&amp;B756&amp;CHAR(10),H756)),B756,IFERROR(INDEX('Set Aliases'!$A$2:$A$501,MATCH(1,('Set Aliases'!$B$2:$B$501=B756)*ISNUMBER(SEARCH(CHAR(10)&amp;'Set Aliases'!$A$2:$A$501&amp;CHAR(10),H756)),0)),"")))</f>
        <v/>
      </c>
      <c r="J756" s="80" t="str">
        <f t="array" ref="J756">IF(I756="","",IFERROR(VALUE(TRIM(MID(SUBSTITUTE(INDEX('Deck 3'!$A:$Z,ROW()-750,'List Setup'!$G$5),CHAR(10),REPT(" ",100)),((SEARCH(CHAR(10)&amp;I756&amp;CHAR(10),H756)-LEN(SUBSTITUTE(LEFT(H756,SEARCH(CHAR(10)&amp;I756&amp;CHAR(10),H756)),CHAR(10),"")))-1)*100+1,100))),""))</f>
        <v/>
      </c>
      <c r="K756" s="80" t="str">
        <f t="array" ref="K756">IF(A756="","",IF(ISNUMBER(SEARCH("Land",LEFT(IFERROR(INDEX('Deck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56" s="80" t="str">
        <f t="shared" si="3"/>
        <v/>
      </c>
      <c r="M756" s="80" t="str">
        <f>IF(A756="","",IF(AND(E756="Y",B756='Use at Shop'!$B$4),K756*10000000000+(MAX(0,MIN(26,CODE(MID(UPPER(A756)&amp;"    ",1,1))-64))*19683+MAX(0,MIN(26,CODE(MID(UPPER(A756)&amp;"    ",2,1))-64))*729+MAX(0,MIN(26,CODE(MID(UPPER(A756)&amp;"    ",3,1))-64))*27+MAX(0,MIN(26,CODE(MID(UPPER(A756)&amp;"    ",4,1))-64))*1)*10000+ROW(),""))</f>
        <v/>
      </c>
      <c r="N756" s="80" t="str">
        <f t="shared" si="7"/>
        <v/>
      </c>
      <c r="O756" s="80" t="str">
        <f t="array" ref="O756">IF(A756="","",IFERROR(INDEX('Deck 3'!$A:$Z,ROW()-750,'List Setup'!$J$5)&amp;"",""))</f>
        <v/>
      </c>
      <c r="P756" s="2"/>
      <c r="Q756" s="80" t="str">
        <f>IF(A756="","",'List Setup'!$A$5)</f>
        <v/>
      </c>
      <c r="R756" s="80" t="str">
        <f t="array" ref="R756">IF(A756="","",IFERROR(OR(INDEX(Binders!$J$6:$J$30,MATCH(Q756,Binders!$I$6:$I$30,0))=TRUE(),UPPER(INDEX(Binders!$J$6:$J$30,MATCH(Q756,Binders!$I$6:$I$30,0))&amp;"")="TRUE"),FALSE()))</f>
        <v/>
      </c>
    </row>
    <row r="757" ht="15.75" customHeight="1">
      <c r="A757" s="80" t="str">
        <f t="array" ref="A757">IF(INDEX('Deck 3'!$A:$Z,ROW()-750,'List Setup'!$D$5)="","",INDEX('Deck 3'!$A:$Z,ROW()-750,'List Setup'!$D$5))</f>
        <v/>
      </c>
      <c r="B757" s="80" t="str">
        <f t="array" ref="B757">IF(A757="","",IFERROR(INDEX('Binder Setup'!$B$2:$B$401,MIN(IF(ISNUMBER(SEARCH(CHAR(10)&amp;'Binder Setup'!$B$2:$B$401&amp;CHAR(10),$H757)),'List Setup'!$Q$2:$Q$401,999),IF(ISNUMBER(SEARCH(CHAR(10)&amp;'Set Aliases'!$A$2:$A$501&amp;CHAR(10),$H757)),'Set Aliases'!$C$2:$C$501,999))),"(none)"))</f>
        <v/>
      </c>
      <c r="C757" s="80" t="str">
        <f t="shared" si="1"/>
        <v/>
      </c>
      <c r="D757" s="80" t="str">
        <f t="array" ref="D757">IF(A757="","",IF(ISLOGICAL(INDEX('Deck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57" s="80" t="str">
        <f t="shared" si="2"/>
        <v/>
      </c>
      <c r="F757" s="80" t="str">
        <f t="array" ref="F757">IF(A757="","",IF(ISNUMBER(J757),J757,IF(ISNUMBER(INDEX('Deck 3'!$A:$Z,ROW()-750,'List Setup'!$F$5)),INDEX('Deck 3'!$A:$Z,ROW()-750,'List Setup'!$F$5),0)))</f>
        <v/>
      </c>
      <c r="G757" s="80" t="str">
        <f t="array" ref="G757">IF(A757="","",A757&amp;IF(N(INDEX('Deck 3'!$A:$Z,ROW()-750,'List Setup'!$C$5))&gt;1," (x"&amp;INDEX('Deck 3'!$A:$Z,ROW()-750,'List Setup'!$C$5)&amp;")","")&amp;IF(COUNTIF(Binders!$J$6:$J$30,TRUE())&gt;1," ["&amp;Q757&amp;"]",""))</f>
        <v/>
      </c>
      <c r="H757" s="80" t="str">
        <f t="array" ref="H757">IF(A757="","",CHAR(10)&amp;INDEX('Deck 3'!$A:$Z,ROW()-750,'List Setup'!$E$5)&amp;CHAR(10))</f>
        <v/>
      </c>
      <c r="I757" s="80" t="str">
        <f t="array" ref="I757">IF(OR(B757="",B757="(none)"),"",IF(ISNUMBER(SEARCH(CHAR(10)&amp;B757&amp;CHAR(10),H757)),B757,IFERROR(INDEX('Set Aliases'!$A$2:$A$501,MATCH(1,('Set Aliases'!$B$2:$B$501=B757)*ISNUMBER(SEARCH(CHAR(10)&amp;'Set Aliases'!$A$2:$A$501&amp;CHAR(10),H757)),0)),"")))</f>
        <v/>
      </c>
      <c r="J757" s="80" t="str">
        <f t="array" ref="J757">IF(I757="","",IFERROR(VALUE(TRIM(MID(SUBSTITUTE(INDEX('Deck 3'!$A:$Z,ROW()-750,'List Setup'!$G$5),CHAR(10),REPT(" ",100)),((SEARCH(CHAR(10)&amp;I757&amp;CHAR(10),H757)-LEN(SUBSTITUTE(LEFT(H757,SEARCH(CHAR(10)&amp;I757&amp;CHAR(10),H757)),CHAR(10),"")))-1)*100+1,100))),""))</f>
        <v/>
      </c>
      <c r="K757" s="80" t="str">
        <f t="array" ref="K757">IF(A757="","",IF(ISNUMBER(SEARCH("Land",LEFT(IFERROR(INDEX('Deck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57" s="80" t="str">
        <f t="shared" si="3"/>
        <v/>
      </c>
      <c r="M757" s="80" t="str">
        <f>IF(A757="","",IF(AND(E757="Y",B757='Use at Shop'!$B$4),K757*10000000000+(MAX(0,MIN(26,CODE(MID(UPPER(A757)&amp;"    ",1,1))-64))*19683+MAX(0,MIN(26,CODE(MID(UPPER(A757)&amp;"    ",2,1))-64))*729+MAX(0,MIN(26,CODE(MID(UPPER(A757)&amp;"    ",3,1))-64))*27+MAX(0,MIN(26,CODE(MID(UPPER(A757)&amp;"    ",4,1))-64))*1)*10000+ROW(),""))</f>
        <v/>
      </c>
      <c r="N757" s="80" t="str">
        <f t="shared" si="7"/>
        <v/>
      </c>
      <c r="O757" s="80" t="str">
        <f t="array" ref="O757">IF(A757="","",IFERROR(INDEX('Deck 3'!$A:$Z,ROW()-750,'List Setup'!$J$5)&amp;"",""))</f>
        <v/>
      </c>
      <c r="P757" s="2"/>
      <c r="Q757" s="80" t="str">
        <f>IF(A757="","",'List Setup'!$A$5)</f>
        <v/>
      </c>
      <c r="R757" s="80" t="str">
        <f t="array" ref="R757">IF(A757="","",IFERROR(OR(INDEX(Binders!$J$6:$J$30,MATCH(Q757,Binders!$I$6:$I$30,0))=TRUE(),UPPER(INDEX(Binders!$J$6:$J$30,MATCH(Q757,Binders!$I$6:$I$30,0))&amp;"")="TRUE"),FALSE()))</f>
        <v/>
      </c>
    </row>
    <row r="758" ht="15.75" customHeight="1">
      <c r="A758" s="80" t="str">
        <f t="array" ref="A758">IF(INDEX('Deck 3'!$A:$Z,ROW()-750,'List Setup'!$D$5)="","",INDEX('Deck 3'!$A:$Z,ROW()-750,'List Setup'!$D$5))</f>
        <v/>
      </c>
      <c r="B758" s="80" t="str">
        <f t="array" ref="B758">IF(A758="","",IFERROR(INDEX('Binder Setup'!$B$2:$B$401,MIN(IF(ISNUMBER(SEARCH(CHAR(10)&amp;'Binder Setup'!$B$2:$B$401&amp;CHAR(10),$H758)),'List Setup'!$Q$2:$Q$401,999),IF(ISNUMBER(SEARCH(CHAR(10)&amp;'Set Aliases'!$A$2:$A$501&amp;CHAR(10),$H758)),'Set Aliases'!$C$2:$C$501,999))),"(none)"))</f>
        <v/>
      </c>
      <c r="C758" s="80" t="str">
        <f t="shared" si="1"/>
        <v/>
      </c>
      <c r="D758" s="80" t="str">
        <f t="array" ref="D758">IF(A758="","",IF(ISLOGICAL(INDEX('Deck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58" s="80" t="str">
        <f t="shared" si="2"/>
        <v/>
      </c>
      <c r="F758" s="80" t="str">
        <f t="array" ref="F758">IF(A758="","",IF(ISNUMBER(J758),J758,IF(ISNUMBER(INDEX('Deck 3'!$A:$Z,ROW()-750,'List Setup'!$F$5)),INDEX('Deck 3'!$A:$Z,ROW()-750,'List Setup'!$F$5),0)))</f>
        <v/>
      </c>
      <c r="G758" s="80" t="str">
        <f t="array" ref="G758">IF(A758="","",A758&amp;IF(N(INDEX('Deck 3'!$A:$Z,ROW()-750,'List Setup'!$C$5))&gt;1," (x"&amp;INDEX('Deck 3'!$A:$Z,ROW()-750,'List Setup'!$C$5)&amp;")","")&amp;IF(COUNTIF(Binders!$J$6:$J$30,TRUE())&gt;1," ["&amp;Q758&amp;"]",""))</f>
        <v/>
      </c>
      <c r="H758" s="80" t="str">
        <f t="array" ref="H758">IF(A758="","",CHAR(10)&amp;INDEX('Deck 3'!$A:$Z,ROW()-750,'List Setup'!$E$5)&amp;CHAR(10))</f>
        <v/>
      </c>
      <c r="I758" s="80" t="str">
        <f t="array" ref="I758">IF(OR(B758="",B758="(none)"),"",IF(ISNUMBER(SEARCH(CHAR(10)&amp;B758&amp;CHAR(10),H758)),B758,IFERROR(INDEX('Set Aliases'!$A$2:$A$501,MATCH(1,('Set Aliases'!$B$2:$B$501=B758)*ISNUMBER(SEARCH(CHAR(10)&amp;'Set Aliases'!$A$2:$A$501&amp;CHAR(10),H758)),0)),"")))</f>
        <v/>
      </c>
      <c r="J758" s="80" t="str">
        <f t="array" ref="J758">IF(I758="","",IFERROR(VALUE(TRIM(MID(SUBSTITUTE(INDEX('Deck 3'!$A:$Z,ROW()-750,'List Setup'!$G$5),CHAR(10),REPT(" ",100)),((SEARCH(CHAR(10)&amp;I758&amp;CHAR(10),H758)-LEN(SUBSTITUTE(LEFT(H758,SEARCH(CHAR(10)&amp;I758&amp;CHAR(10),H758)),CHAR(10),"")))-1)*100+1,100))),""))</f>
        <v/>
      </c>
      <c r="K758" s="80" t="str">
        <f t="array" ref="K758">IF(A758="","",IF(ISNUMBER(SEARCH("Land",LEFT(IFERROR(INDEX('Deck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58" s="80" t="str">
        <f t="shared" si="3"/>
        <v/>
      </c>
      <c r="M758" s="80" t="str">
        <f>IF(A758="","",IF(AND(E758="Y",B758='Use at Shop'!$B$4),K758*10000000000+(MAX(0,MIN(26,CODE(MID(UPPER(A758)&amp;"    ",1,1))-64))*19683+MAX(0,MIN(26,CODE(MID(UPPER(A758)&amp;"    ",2,1))-64))*729+MAX(0,MIN(26,CODE(MID(UPPER(A758)&amp;"    ",3,1))-64))*27+MAX(0,MIN(26,CODE(MID(UPPER(A758)&amp;"    ",4,1))-64))*1)*10000+ROW(),""))</f>
        <v/>
      </c>
      <c r="N758" s="80" t="str">
        <f t="shared" si="7"/>
        <v/>
      </c>
      <c r="O758" s="80" t="str">
        <f t="array" ref="O758">IF(A758="","",IFERROR(INDEX('Deck 3'!$A:$Z,ROW()-750,'List Setup'!$J$5)&amp;"",""))</f>
        <v/>
      </c>
      <c r="P758" s="2"/>
      <c r="Q758" s="80" t="str">
        <f>IF(A758="","",'List Setup'!$A$5)</f>
        <v/>
      </c>
      <c r="R758" s="80" t="str">
        <f t="array" ref="R758">IF(A758="","",IFERROR(OR(INDEX(Binders!$J$6:$J$30,MATCH(Q758,Binders!$I$6:$I$30,0))=TRUE(),UPPER(INDEX(Binders!$J$6:$J$30,MATCH(Q758,Binders!$I$6:$I$30,0))&amp;"")="TRUE"),FALSE()))</f>
        <v/>
      </c>
    </row>
    <row r="759" ht="15.75" customHeight="1">
      <c r="A759" s="80" t="str">
        <f t="array" ref="A759">IF(INDEX('Deck 3'!$A:$Z,ROW()-750,'List Setup'!$D$5)="","",INDEX('Deck 3'!$A:$Z,ROW()-750,'List Setup'!$D$5))</f>
        <v/>
      </c>
      <c r="B759" s="80" t="str">
        <f t="array" ref="B759">IF(A759="","",IFERROR(INDEX('Binder Setup'!$B$2:$B$401,MIN(IF(ISNUMBER(SEARCH(CHAR(10)&amp;'Binder Setup'!$B$2:$B$401&amp;CHAR(10),$H759)),'List Setup'!$Q$2:$Q$401,999),IF(ISNUMBER(SEARCH(CHAR(10)&amp;'Set Aliases'!$A$2:$A$501&amp;CHAR(10),$H759)),'Set Aliases'!$C$2:$C$501,999))),"(none)"))</f>
        <v/>
      </c>
      <c r="C759" s="80" t="str">
        <f t="shared" si="1"/>
        <v/>
      </c>
      <c r="D759" s="80" t="str">
        <f t="array" ref="D759">IF(A759="","",IF(ISLOGICAL(INDEX('Deck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59" s="80" t="str">
        <f t="shared" si="2"/>
        <v/>
      </c>
      <c r="F759" s="80" t="str">
        <f t="array" ref="F759">IF(A759="","",IF(ISNUMBER(J759),J759,IF(ISNUMBER(INDEX('Deck 3'!$A:$Z,ROW()-750,'List Setup'!$F$5)),INDEX('Deck 3'!$A:$Z,ROW()-750,'List Setup'!$F$5),0)))</f>
        <v/>
      </c>
      <c r="G759" s="80" t="str">
        <f t="array" ref="G759">IF(A759="","",A759&amp;IF(N(INDEX('Deck 3'!$A:$Z,ROW()-750,'List Setup'!$C$5))&gt;1," (x"&amp;INDEX('Deck 3'!$A:$Z,ROW()-750,'List Setup'!$C$5)&amp;")","")&amp;IF(COUNTIF(Binders!$J$6:$J$30,TRUE())&gt;1," ["&amp;Q759&amp;"]",""))</f>
        <v/>
      </c>
      <c r="H759" s="80" t="str">
        <f t="array" ref="H759">IF(A759="","",CHAR(10)&amp;INDEX('Deck 3'!$A:$Z,ROW()-750,'List Setup'!$E$5)&amp;CHAR(10))</f>
        <v/>
      </c>
      <c r="I759" s="80" t="str">
        <f t="array" ref="I759">IF(OR(B759="",B759="(none)"),"",IF(ISNUMBER(SEARCH(CHAR(10)&amp;B759&amp;CHAR(10),H759)),B759,IFERROR(INDEX('Set Aliases'!$A$2:$A$501,MATCH(1,('Set Aliases'!$B$2:$B$501=B759)*ISNUMBER(SEARCH(CHAR(10)&amp;'Set Aliases'!$A$2:$A$501&amp;CHAR(10),H759)),0)),"")))</f>
        <v/>
      </c>
      <c r="J759" s="80" t="str">
        <f t="array" ref="J759">IF(I759="","",IFERROR(VALUE(TRIM(MID(SUBSTITUTE(INDEX('Deck 3'!$A:$Z,ROW()-750,'List Setup'!$G$5),CHAR(10),REPT(" ",100)),((SEARCH(CHAR(10)&amp;I759&amp;CHAR(10),H759)-LEN(SUBSTITUTE(LEFT(H759,SEARCH(CHAR(10)&amp;I759&amp;CHAR(10),H759)),CHAR(10),"")))-1)*100+1,100))),""))</f>
        <v/>
      </c>
      <c r="K759" s="80" t="str">
        <f t="array" ref="K759">IF(A759="","",IF(ISNUMBER(SEARCH("Land",LEFT(IFERROR(INDEX('Deck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59" s="80" t="str">
        <f t="shared" si="3"/>
        <v/>
      </c>
      <c r="M759" s="80" t="str">
        <f>IF(A759="","",IF(AND(E759="Y",B759='Use at Shop'!$B$4),K759*10000000000+(MAX(0,MIN(26,CODE(MID(UPPER(A759)&amp;"    ",1,1))-64))*19683+MAX(0,MIN(26,CODE(MID(UPPER(A759)&amp;"    ",2,1))-64))*729+MAX(0,MIN(26,CODE(MID(UPPER(A759)&amp;"    ",3,1))-64))*27+MAX(0,MIN(26,CODE(MID(UPPER(A759)&amp;"    ",4,1))-64))*1)*10000+ROW(),""))</f>
        <v/>
      </c>
      <c r="N759" s="80" t="str">
        <f t="shared" si="7"/>
        <v/>
      </c>
      <c r="O759" s="80" t="str">
        <f t="array" ref="O759">IF(A759="","",IFERROR(INDEX('Deck 3'!$A:$Z,ROW()-750,'List Setup'!$J$5)&amp;"",""))</f>
        <v/>
      </c>
      <c r="P759" s="2"/>
      <c r="Q759" s="80" t="str">
        <f>IF(A759="","",'List Setup'!$A$5)</f>
        <v/>
      </c>
      <c r="R759" s="80" t="str">
        <f t="array" ref="R759">IF(A759="","",IFERROR(OR(INDEX(Binders!$J$6:$J$30,MATCH(Q759,Binders!$I$6:$I$30,0))=TRUE(),UPPER(INDEX(Binders!$J$6:$J$30,MATCH(Q759,Binders!$I$6:$I$30,0))&amp;"")="TRUE"),FALSE()))</f>
        <v/>
      </c>
    </row>
    <row r="760" ht="15.75" customHeight="1">
      <c r="A760" s="80" t="str">
        <f t="array" ref="A760">IF(INDEX('Deck 3'!$A:$Z,ROW()-750,'List Setup'!$D$5)="","",INDEX('Deck 3'!$A:$Z,ROW()-750,'List Setup'!$D$5))</f>
        <v/>
      </c>
      <c r="B760" s="80" t="str">
        <f t="array" ref="B760">IF(A760="","",IFERROR(INDEX('Binder Setup'!$B$2:$B$401,MIN(IF(ISNUMBER(SEARCH(CHAR(10)&amp;'Binder Setup'!$B$2:$B$401&amp;CHAR(10),$H760)),'List Setup'!$Q$2:$Q$401,999),IF(ISNUMBER(SEARCH(CHAR(10)&amp;'Set Aliases'!$A$2:$A$501&amp;CHAR(10),$H760)),'Set Aliases'!$C$2:$C$501,999))),"(none)"))</f>
        <v/>
      </c>
      <c r="C760" s="80" t="str">
        <f t="shared" si="1"/>
        <v/>
      </c>
      <c r="D760" s="80" t="str">
        <f t="array" ref="D760">IF(A760="","",IF(ISLOGICAL(INDEX('Deck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60" s="80" t="str">
        <f t="shared" si="2"/>
        <v/>
      </c>
      <c r="F760" s="80" t="str">
        <f t="array" ref="F760">IF(A760="","",IF(ISNUMBER(J760),J760,IF(ISNUMBER(INDEX('Deck 3'!$A:$Z,ROW()-750,'List Setup'!$F$5)),INDEX('Deck 3'!$A:$Z,ROW()-750,'List Setup'!$F$5),0)))</f>
        <v/>
      </c>
      <c r="G760" s="80" t="str">
        <f t="array" ref="G760">IF(A760="","",A760&amp;IF(N(INDEX('Deck 3'!$A:$Z,ROW()-750,'List Setup'!$C$5))&gt;1," (x"&amp;INDEX('Deck 3'!$A:$Z,ROW()-750,'List Setup'!$C$5)&amp;")","")&amp;IF(COUNTIF(Binders!$J$6:$J$30,TRUE())&gt;1," ["&amp;Q760&amp;"]",""))</f>
        <v/>
      </c>
      <c r="H760" s="80" t="str">
        <f t="array" ref="H760">IF(A760="","",CHAR(10)&amp;INDEX('Deck 3'!$A:$Z,ROW()-750,'List Setup'!$E$5)&amp;CHAR(10))</f>
        <v/>
      </c>
      <c r="I760" s="80" t="str">
        <f t="array" ref="I760">IF(OR(B760="",B760="(none)"),"",IF(ISNUMBER(SEARCH(CHAR(10)&amp;B760&amp;CHAR(10),H760)),B760,IFERROR(INDEX('Set Aliases'!$A$2:$A$501,MATCH(1,('Set Aliases'!$B$2:$B$501=B760)*ISNUMBER(SEARCH(CHAR(10)&amp;'Set Aliases'!$A$2:$A$501&amp;CHAR(10),H760)),0)),"")))</f>
        <v/>
      </c>
      <c r="J760" s="80" t="str">
        <f t="array" ref="J760">IF(I760="","",IFERROR(VALUE(TRIM(MID(SUBSTITUTE(INDEX('Deck 3'!$A:$Z,ROW()-750,'List Setup'!$G$5),CHAR(10),REPT(" ",100)),((SEARCH(CHAR(10)&amp;I760&amp;CHAR(10),H760)-LEN(SUBSTITUTE(LEFT(H760,SEARCH(CHAR(10)&amp;I760&amp;CHAR(10),H760)),CHAR(10),"")))-1)*100+1,100))),""))</f>
        <v/>
      </c>
      <c r="K760" s="80" t="str">
        <f t="array" ref="K760">IF(A760="","",IF(ISNUMBER(SEARCH("Land",LEFT(IFERROR(INDEX('Deck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60" s="80" t="str">
        <f t="shared" si="3"/>
        <v/>
      </c>
      <c r="M760" s="80" t="str">
        <f>IF(A760="","",IF(AND(E760="Y",B760='Use at Shop'!$B$4),K760*10000000000+(MAX(0,MIN(26,CODE(MID(UPPER(A760)&amp;"    ",1,1))-64))*19683+MAX(0,MIN(26,CODE(MID(UPPER(A760)&amp;"    ",2,1))-64))*729+MAX(0,MIN(26,CODE(MID(UPPER(A760)&amp;"    ",3,1))-64))*27+MAX(0,MIN(26,CODE(MID(UPPER(A760)&amp;"    ",4,1))-64))*1)*10000+ROW(),""))</f>
        <v/>
      </c>
      <c r="N760" s="80" t="str">
        <f t="shared" si="7"/>
        <v/>
      </c>
      <c r="O760" s="80" t="str">
        <f t="array" ref="O760">IF(A760="","",IFERROR(INDEX('Deck 3'!$A:$Z,ROW()-750,'List Setup'!$J$5)&amp;"",""))</f>
        <v/>
      </c>
      <c r="P760" s="2"/>
      <c r="Q760" s="80" t="str">
        <f>IF(A760="","",'List Setup'!$A$5)</f>
        <v/>
      </c>
      <c r="R760" s="80" t="str">
        <f t="array" ref="R760">IF(A760="","",IFERROR(OR(INDEX(Binders!$J$6:$J$30,MATCH(Q760,Binders!$I$6:$I$30,0))=TRUE(),UPPER(INDEX(Binders!$J$6:$J$30,MATCH(Q760,Binders!$I$6:$I$30,0))&amp;"")="TRUE"),FALSE()))</f>
        <v/>
      </c>
    </row>
    <row r="761" ht="15.75" customHeight="1">
      <c r="A761" s="80" t="str">
        <f t="array" ref="A761">IF(INDEX('Deck 3'!$A:$Z,ROW()-750,'List Setup'!$D$5)="","",INDEX('Deck 3'!$A:$Z,ROW()-750,'List Setup'!$D$5))</f>
        <v/>
      </c>
      <c r="B761" s="80" t="str">
        <f t="array" ref="B761">IF(A761="","",IFERROR(INDEX('Binder Setup'!$B$2:$B$401,MIN(IF(ISNUMBER(SEARCH(CHAR(10)&amp;'Binder Setup'!$B$2:$B$401&amp;CHAR(10),$H761)),'List Setup'!$Q$2:$Q$401,999),IF(ISNUMBER(SEARCH(CHAR(10)&amp;'Set Aliases'!$A$2:$A$501&amp;CHAR(10),$H761)),'Set Aliases'!$C$2:$C$501,999))),"(none)"))</f>
        <v/>
      </c>
      <c r="C761" s="80" t="str">
        <f t="shared" si="1"/>
        <v/>
      </c>
      <c r="D761" s="80" t="str">
        <f t="array" ref="D761">IF(A761="","",IF(ISLOGICAL(INDEX('Deck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61" s="80" t="str">
        <f t="shared" si="2"/>
        <v/>
      </c>
      <c r="F761" s="80" t="str">
        <f t="array" ref="F761">IF(A761="","",IF(ISNUMBER(J761),J761,IF(ISNUMBER(INDEX('Deck 3'!$A:$Z,ROW()-750,'List Setup'!$F$5)),INDEX('Deck 3'!$A:$Z,ROW()-750,'List Setup'!$F$5),0)))</f>
        <v/>
      </c>
      <c r="G761" s="80" t="str">
        <f t="array" ref="G761">IF(A761="","",A761&amp;IF(N(INDEX('Deck 3'!$A:$Z,ROW()-750,'List Setup'!$C$5))&gt;1," (x"&amp;INDEX('Deck 3'!$A:$Z,ROW()-750,'List Setup'!$C$5)&amp;")","")&amp;IF(COUNTIF(Binders!$J$6:$J$30,TRUE())&gt;1," ["&amp;Q761&amp;"]",""))</f>
        <v/>
      </c>
      <c r="H761" s="80" t="str">
        <f t="array" ref="H761">IF(A761="","",CHAR(10)&amp;INDEX('Deck 3'!$A:$Z,ROW()-750,'List Setup'!$E$5)&amp;CHAR(10))</f>
        <v/>
      </c>
      <c r="I761" s="80" t="str">
        <f t="array" ref="I761">IF(OR(B761="",B761="(none)"),"",IF(ISNUMBER(SEARCH(CHAR(10)&amp;B761&amp;CHAR(10),H761)),B761,IFERROR(INDEX('Set Aliases'!$A$2:$A$501,MATCH(1,('Set Aliases'!$B$2:$B$501=B761)*ISNUMBER(SEARCH(CHAR(10)&amp;'Set Aliases'!$A$2:$A$501&amp;CHAR(10),H761)),0)),"")))</f>
        <v/>
      </c>
      <c r="J761" s="80" t="str">
        <f t="array" ref="J761">IF(I761="","",IFERROR(VALUE(TRIM(MID(SUBSTITUTE(INDEX('Deck 3'!$A:$Z,ROW()-750,'List Setup'!$G$5),CHAR(10),REPT(" ",100)),((SEARCH(CHAR(10)&amp;I761&amp;CHAR(10),H761)-LEN(SUBSTITUTE(LEFT(H761,SEARCH(CHAR(10)&amp;I761&amp;CHAR(10),H761)),CHAR(10),"")))-1)*100+1,100))),""))</f>
        <v/>
      </c>
      <c r="K761" s="80" t="str">
        <f t="array" ref="K761">IF(A761="","",IF(ISNUMBER(SEARCH("Land",LEFT(IFERROR(INDEX('Deck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61" s="80" t="str">
        <f t="shared" si="3"/>
        <v/>
      </c>
      <c r="M761" s="80" t="str">
        <f>IF(A761="","",IF(AND(E761="Y",B761='Use at Shop'!$B$4),K761*10000000000+(MAX(0,MIN(26,CODE(MID(UPPER(A761)&amp;"    ",1,1))-64))*19683+MAX(0,MIN(26,CODE(MID(UPPER(A761)&amp;"    ",2,1))-64))*729+MAX(0,MIN(26,CODE(MID(UPPER(A761)&amp;"    ",3,1))-64))*27+MAX(0,MIN(26,CODE(MID(UPPER(A761)&amp;"    ",4,1))-64))*1)*10000+ROW(),""))</f>
        <v/>
      </c>
      <c r="N761" s="80" t="str">
        <f t="shared" si="7"/>
        <v/>
      </c>
      <c r="O761" s="80" t="str">
        <f t="array" ref="O761">IF(A761="","",IFERROR(INDEX('Deck 3'!$A:$Z,ROW()-750,'List Setup'!$J$5)&amp;"",""))</f>
        <v/>
      </c>
      <c r="P761" s="2"/>
      <c r="Q761" s="80" t="str">
        <f>IF(A761="","",'List Setup'!$A$5)</f>
        <v/>
      </c>
      <c r="R761" s="80" t="str">
        <f t="array" ref="R761">IF(A761="","",IFERROR(OR(INDEX(Binders!$J$6:$J$30,MATCH(Q761,Binders!$I$6:$I$30,0))=TRUE(),UPPER(INDEX(Binders!$J$6:$J$30,MATCH(Q761,Binders!$I$6:$I$30,0))&amp;"")="TRUE"),FALSE()))</f>
        <v/>
      </c>
    </row>
    <row r="762" ht="15.75" customHeight="1">
      <c r="A762" s="80" t="str">
        <f t="array" ref="A762">IF(INDEX('Deck 3'!$A:$Z,ROW()-750,'List Setup'!$D$5)="","",INDEX('Deck 3'!$A:$Z,ROW()-750,'List Setup'!$D$5))</f>
        <v/>
      </c>
      <c r="B762" s="80" t="str">
        <f t="array" ref="B762">IF(A762="","",IFERROR(INDEX('Binder Setup'!$B$2:$B$401,MIN(IF(ISNUMBER(SEARCH(CHAR(10)&amp;'Binder Setup'!$B$2:$B$401&amp;CHAR(10),$H762)),'List Setup'!$Q$2:$Q$401,999),IF(ISNUMBER(SEARCH(CHAR(10)&amp;'Set Aliases'!$A$2:$A$501&amp;CHAR(10),$H762)),'Set Aliases'!$C$2:$C$501,999))),"(none)"))</f>
        <v/>
      </c>
      <c r="C762" s="80" t="str">
        <f t="shared" si="1"/>
        <v/>
      </c>
      <c r="D762" s="80" t="str">
        <f t="array" ref="D762">IF(A762="","",IF(ISLOGICAL(INDEX('Deck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62" s="80" t="str">
        <f t="shared" si="2"/>
        <v/>
      </c>
      <c r="F762" s="80" t="str">
        <f t="array" ref="F762">IF(A762="","",IF(ISNUMBER(J762),J762,IF(ISNUMBER(INDEX('Deck 3'!$A:$Z,ROW()-750,'List Setup'!$F$5)),INDEX('Deck 3'!$A:$Z,ROW()-750,'List Setup'!$F$5),0)))</f>
        <v/>
      </c>
      <c r="G762" s="80" t="str">
        <f t="array" ref="G762">IF(A762="","",A762&amp;IF(N(INDEX('Deck 3'!$A:$Z,ROW()-750,'List Setup'!$C$5))&gt;1," (x"&amp;INDEX('Deck 3'!$A:$Z,ROW()-750,'List Setup'!$C$5)&amp;")","")&amp;IF(COUNTIF(Binders!$J$6:$J$30,TRUE())&gt;1," ["&amp;Q762&amp;"]",""))</f>
        <v/>
      </c>
      <c r="H762" s="80" t="str">
        <f t="array" ref="H762">IF(A762="","",CHAR(10)&amp;INDEX('Deck 3'!$A:$Z,ROW()-750,'List Setup'!$E$5)&amp;CHAR(10))</f>
        <v/>
      </c>
      <c r="I762" s="80" t="str">
        <f t="array" ref="I762">IF(OR(B762="",B762="(none)"),"",IF(ISNUMBER(SEARCH(CHAR(10)&amp;B762&amp;CHAR(10),H762)),B762,IFERROR(INDEX('Set Aliases'!$A$2:$A$501,MATCH(1,('Set Aliases'!$B$2:$B$501=B762)*ISNUMBER(SEARCH(CHAR(10)&amp;'Set Aliases'!$A$2:$A$501&amp;CHAR(10),H762)),0)),"")))</f>
        <v/>
      </c>
      <c r="J762" s="80" t="str">
        <f t="array" ref="J762">IF(I762="","",IFERROR(VALUE(TRIM(MID(SUBSTITUTE(INDEX('Deck 3'!$A:$Z,ROW()-750,'List Setup'!$G$5),CHAR(10),REPT(" ",100)),((SEARCH(CHAR(10)&amp;I762&amp;CHAR(10),H762)-LEN(SUBSTITUTE(LEFT(H762,SEARCH(CHAR(10)&amp;I762&amp;CHAR(10),H762)),CHAR(10),"")))-1)*100+1,100))),""))</f>
        <v/>
      </c>
      <c r="K762" s="80" t="str">
        <f t="array" ref="K762">IF(A762="","",IF(ISNUMBER(SEARCH("Land",LEFT(IFERROR(INDEX('Deck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62" s="80" t="str">
        <f t="shared" si="3"/>
        <v/>
      </c>
      <c r="M762" s="80" t="str">
        <f>IF(A762="","",IF(AND(E762="Y",B762='Use at Shop'!$B$4),K762*10000000000+(MAX(0,MIN(26,CODE(MID(UPPER(A762)&amp;"    ",1,1))-64))*19683+MAX(0,MIN(26,CODE(MID(UPPER(A762)&amp;"    ",2,1))-64))*729+MAX(0,MIN(26,CODE(MID(UPPER(A762)&amp;"    ",3,1))-64))*27+MAX(0,MIN(26,CODE(MID(UPPER(A762)&amp;"    ",4,1))-64))*1)*10000+ROW(),""))</f>
        <v/>
      </c>
      <c r="N762" s="80" t="str">
        <f t="shared" si="7"/>
        <v/>
      </c>
      <c r="O762" s="80" t="str">
        <f t="array" ref="O762">IF(A762="","",IFERROR(INDEX('Deck 3'!$A:$Z,ROW()-750,'List Setup'!$J$5)&amp;"",""))</f>
        <v/>
      </c>
      <c r="P762" s="2"/>
      <c r="Q762" s="80" t="str">
        <f>IF(A762="","",'List Setup'!$A$5)</f>
        <v/>
      </c>
      <c r="R762" s="80" t="str">
        <f t="array" ref="R762">IF(A762="","",IFERROR(OR(INDEX(Binders!$J$6:$J$30,MATCH(Q762,Binders!$I$6:$I$30,0))=TRUE(),UPPER(INDEX(Binders!$J$6:$J$30,MATCH(Q762,Binders!$I$6:$I$30,0))&amp;"")="TRUE"),FALSE()))</f>
        <v/>
      </c>
    </row>
    <row r="763" ht="15.75" customHeight="1">
      <c r="A763" s="80" t="str">
        <f t="array" ref="A763">IF(INDEX('Deck 3'!$A:$Z,ROW()-750,'List Setup'!$D$5)="","",INDEX('Deck 3'!$A:$Z,ROW()-750,'List Setup'!$D$5))</f>
        <v/>
      </c>
      <c r="B763" s="80" t="str">
        <f t="array" ref="B763">IF(A763="","",IFERROR(INDEX('Binder Setup'!$B$2:$B$401,MIN(IF(ISNUMBER(SEARCH(CHAR(10)&amp;'Binder Setup'!$B$2:$B$401&amp;CHAR(10),$H763)),'List Setup'!$Q$2:$Q$401,999),IF(ISNUMBER(SEARCH(CHAR(10)&amp;'Set Aliases'!$A$2:$A$501&amp;CHAR(10),$H763)),'Set Aliases'!$C$2:$C$501,999))),"(none)"))</f>
        <v/>
      </c>
      <c r="C763" s="80" t="str">
        <f t="shared" si="1"/>
        <v/>
      </c>
      <c r="D763" s="80" t="str">
        <f t="array" ref="D763">IF(A763="","",IF(ISLOGICAL(INDEX('Deck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63" s="80" t="str">
        <f t="shared" si="2"/>
        <v/>
      </c>
      <c r="F763" s="80" t="str">
        <f t="array" ref="F763">IF(A763="","",IF(ISNUMBER(J763),J763,IF(ISNUMBER(INDEX('Deck 3'!$A:$Z,ROW()-750,'List Setup'!$F$5)),INDEX('Deck 3'!$A:$Z,ROW()-750,'List Setup'!$F$5),0)))</f>
        <v/>
      </c>
      <c r="G763" s="80" t="str">
        <f t="array" ref="G763">IF(A763="","",A763&amp;IF(N(INDEX('Deck 3'!$A:$Z,ROW()-750,'List Setup'!$C$5))&gt;1," (x"&amp;INDEX('Deck 3'!$A:$Z,ROW()-750,'List Setup'!$C$5)&amp;")","")&amp;IF(COUNTIF(Binders!$J$6:$J$30,TRUE())&gt;1," ["&amp;Q763&amp;"]",""))</f>
        <v/>
      </c>
      <c r="H763" s="80" t="str">
        <f t="array" ref="H763">IF(A763="","",CHAR(10)&amp;INDEX('Deck 3'!$A:$Z,ROW()-750,'List Setup'!$E$5)&amp;CHAR(10))</f>
        <v/>
      </c>
      <c r="I763" s="80" t="str">
        <f t="array" ref="I763">IF(OR(B763="",B763="(none)"),"",IF(ISNUMBER(SEARCH(CHAR(10)&amp;B763&amp;CHAR(10),H763)),B763,IFERROR(INDEX('Set Aliases'!$A$2:$A$501,MATCH(1,('Set Aliases'!$B$2:$B$501=B763)*ISNUMBER(SEARCH(CHAR(10)&amp;'Set Aliases'!$A$2:$A$501&amp;CHAR(10),H763)),0)),"")))</f>
        <v/>
      </c>
      <c r="J763" s="80" t="str">
        <f t="array" ref="J763">IF(I763="","",IFERROR(VALUE(TRIM(MID(SUBSTITUTE(INDEX('Deck 3'!$A:$Z,ROW()-750,'List Setup'!$G$5),CHAR(10),REPT(" ",100)),((SEARCH(CHAR(10)&amp;I763&amp;CHAR(10),H763)-LEN(SUBSTITUTE(LEFT(H763,SEARCH(CHAR(10)&amp;I763&amp;CHAR(10),H763)),CHAR(10),"")))-1)*100+1,100))),""))</f>
        <v/>
      </c>
      <c r="K763" s="80" t="str">
        <f t="array" ref="K763">IF(A763="","",IF(ISNUMBER(SEARCH("Land",LEFT(IFERROR(INDEX('Deck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63" s="80" t="str">
        <f t="shared" si="3"/>
        <v/>
      </c>
      <c r="M763" s="80" t="str">
        <f>IF(A763="","",IF(AND(E763="Y",B763='Use at Shop'!$B$4),K763*10000000000+(MAX(0,MIN(26,CODE(MID(UPPER(A763)&amp;"    ",1,1))-64))*19683+MAX(0,MIN(26,CODE(MID(UPPER(A763)&amp;"    ",2,1))-64))*729+MAX(0,MIN(26,CODE(MID(UPPER(A763)&amp;"    ",3,1))-64))*27+MAX(0,MIN(26,CODE(MID(UPPER(A763)&amp;"    ",4,1))-64))*1)*10000+ROW(),""))</f>
        <v/>
      </c>
      <c r="N763" s="80" t="str">
        <f t="shared" si="7"/>
        <v/>
      </c>
      <c r="O763" s="80" t="str">
        <f t="array" ref="O763">IF(A763="","",IFERROR(INDEX('Deck 3'!$A:$Z,ROW()-750,'List Setup'!$J$5)&amp;"",""))</f>
        <v/>
      </c>
      <c r="P763" s="2"/>
      <c r="Q763" s="80" t="str">
        <f>IF(A763="","",'List Setup'!$A$5)</f>
        <v/>
      </c>
      <c r="R763" s="80" t="str">
        <f t="array" ref="R763">IF(A763="","",IFERROR(OR(INDEX(Binders!$J$6:$J$30,MATCH(Q763,Binders!$I$6:$I$30,0))=TRUE(),UPPER(INDEX(Binders!$J$6:$J$30,MATCH(Q763,Binders!$I$6:$I$30,0))&amp;"")="TRUE"),FALSE()))</f>
        <v/>
      </c>
    </row>
    <row r="764" ht="15.75" customHeight="1">
      <c r="A764" s="80" t="str">
        <f t="array" ref="A764">IF(INDEX('Deck 3'!$A:$Z,ROW()-750,'List Setup'!$D$5)="","",INDEX('Deck 3'!$A:$Z,ROW()-750,'List Setup'!$D$5))</f>
        <v/>
      </c>
      <c r="B764" s="80" t="str">
        <f t="array" ref="B764">IF(A764="","",IFERROR(INDEX('Binder Setup'!$B$2:$B$401,MIN(IF(ISNUMBER(SEARCH(CHAR(10)&amp;'Binder Setup'!$B$2:$B$401&amp;CHAR(10),$H764)),'List Setup'!$Q$2:$Q$401,999),IF(ISNUMBER(SEARCH(CHAR(10)&amp;'Set Aliases'!$A$2:$A$501&amp;CHAR(10),$H764)),'Set Aliases'!$C$2:$C$501,999))),"(none)"))</f>
        <v/>
      </c>
      <c r="C764" s="80" t="str">
        <f t="shared" si="1"/>
        <v/>
      </c>
      <c r="D764" s="80" t="str">
        <f t="array" ref="D764">IF(A764="","",IF(ISLOGICAL(INDEX('Deck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64" s="80" t="str">
        <f t="shared" si="2"/>
        <v/>
      </c>
      <c r="F764" s="80" t="str">
        <f t="array" ref="F764">IF(A764="","",IF(ISNUMBER(J764),J764,IF(ISNUMBER(INDEX('Deck 3'!$A:$Z,ROW()-750,'List Setup'!$F$5)),INDEX('Deck 3'!$A:$Z,ROW()-750,'List Setup'!$F$5),0)))</f>
        <v/>
      </c>
      <c r="G764" s="80" t="str">
        <f t="array" ref="G764">IF(A764="","",A764&amp;IF(N(INDEX('Deck 3'!$A:$Z,ROW()-750,'List Setup'!$C$5))&gt;1," (x"&amp;INDEX('Deck 3'!$A:$Z,ROW()-750,'List Setup'!$C$5)&amp;")","")&amp;IF(COUNTIF(Binders!$J$6:$J$30,TRUE())&gt;1," ["&amp;Q764&amp;"]",""))</f>
        <v/>
      </c>
      <c r="H764" s="80" t="str">
        <f t="array" ref="H764">IF(A764="","",CHAR(10)&amp;INDEX('Deck 3'!$A:$Z,ROW()-750,'List Setup'!$E$5)&amp;CHAR(10))</f>
        <v/>
      </c>
      <c r="I764" s="80" t="str">
        <f t="array" ref="I764">IF(OR(B764="",B764="(none)"),"",IF(ISNUMBER(SEARCH(CHAR(10)&amp;B764&amp;CHAR(10),H764)),B764,IFERROR(INDEX('Set Aliases'!$A$2:$A$501,MATCH(1,('Set Aliases'!$B$2:$B$501=B764)*ISNUMBER(SEARCH(CHAR(10)&amp;'Set Aliases'!$A$2:$A$501&amp;CHAR(10),H764)),0)),"")))</f>
        <v/>
      </c>
      <c r="J764" s="80" t="str">
        <f t="array" ref="J764">IF(I764="","",IFERROR(VALUE(TRIM(MID(SUBSTITUTE(INDEX('Deck 3'!$A:$Z,ROW()-750,'List Setup'!$G$5),CHAR(10),REPT(" ",100)),((SEARCH(CHAR(10)&amp;I764&amp;CHAR(10),H764)-LEN(SUBSTITUTE(LEFT(H764,SEARCH(CHAR(10)&amp;I764&amp;CHAR(10),H764)),CHAR(10),"")))-1)*100+1,100))),""))</f>
        <v/>
      </c>
      <c r="K764" s="80" t="str">
        <f t="array" ref="K764">IF(A764="","",IF(ISNUMBER(SEARCH("Land",LEFT(IFERROR(INDEX('Deck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64" s="80" t="str">
        <f t="shared" si="3"/>
        <v/>
      </c>
      <c r="M764" s="80" t="str">
        <f>IF(A764="","",IF(AND(E764="Y",B764='Use at Shop'!$B$4),K764*10000000000+(MAX(0,MIN(26,CODE(MID(UPPER(A764)&amp;"    ",1,1))-64))*19683+MAX(0,MIN(26,CODE(MID(UPPER(A764)&amp;"    ",2,1))-64))*729+MAX(0,MIN(26,CODE(MID(UPPER(A764)&amp;"    ",3,1))-64))*27+MAX(0,MIN(26,CODE(MID(UPPER(A764)&amp;"    ",4,1))-64))*1)*10000+ROW(),""))</f>
        <v/>
      </c>
      <c r="N764" s="80" t="str">
        <f t="shared" si="7"/>
        <v/>
      </c>
      <c r="O764" s="80" t="str">
        <f t="array" ref="O764">IF(A764="","",IFERROR(INDEX('Deck 3'!$A:$Z,ROW()-750,'List Setup'!$J$5)&amp;"",""))</f>
        <v/>
      </c>
      <c r="P764" s="2"/>
      <c r="Q764" s="80" t="str">
        <f>IF(A764="","",'List Setup'!$A$5)</f>
        <v/>
      </c>
      <c r="R764" s="80" t="str">
        <f t="array" ref="R764">IF(A764="","",IFERROR(OR(INDEX(Binders!$J$6:$J$30,MATCH(Q764,Binders!$I$6:$I$30,0))=TRUE(),UPPER(INDEX(Binders!$J$6:$J$30,MATCH(Q764,Binders!$I$6:$I$30,0))&amp;"")="TRUE"),FALSE()))</f>
        <v/>
      </c>
    </row>
    <row r="765" ht="15.75" customHeight="1">
      <c r="A765" s="80" t="str">
        <f t="array" ref="A765">IF(INDEX('Deck 3'!$A:$Z,ROW()-750,'List Setup'!$D$5)="","",INDEX('Deck 3'!$A:$Z,ROW()-750,'List Setup'!$D$5))</f>
        <v/>
      </c>
      <c r="B765" s="80" t="str">
        <f t="array" ref="B765">IF(A765="","",IFERROR(INDEX('Binder Setup'!$B$2:$B$401,MIN(IF(ISNUMBER(SEARCH(CHAR(10)&amp;'Binder Setup'!$B$2:$B$401&amp;CHAR(10),$H765)),'List Setup'!$Q$2:$Q$401,999),IF(ISNUMBER(SEARCH(CHAR(10)&amp;'Set Aliases'!$A$2:$A$501&amp;CHAR(10),$H765)),'Set Aliases'!$C$2:$C$501,999))),"(none)"))</f>
        <v/>
      </c>
      <c r="C765" s="80" t="str">
        <f t="shared" si="1"/>
        <v/>
      </c>
      <c r="D765" s="80" t="str">
        <f t="array" ref="D765">IF(A765="","",IF(ISLOGICAL(INDEX('Deck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65" s="80" t="str">
        <f t="shared" si="2"/>
        <v/>
      </c>
      <c r="F765" s="80" t="str">
        <f t="array" ref="F765">IF(A765="","",IF(ISNUMBER(J765),J765,IF(ISNUMBER(INDEX('Deck 3'!$A:$Z,ROW()-750,'List Setup'!$F$5)),INDEX('Deck 3'!$A:$Z,ROW()-750,'List Setup'!$F$5),0)))</f>
        <v/>
      </c>
      <c r="G765" s="80" t="str">
        <f t="array" ref="G765">IF(A765="","",A765&amp;IF(N(INDEX('Deck 3'!$A:$Z,ROW()-750,'List Setup'!$C$5))&gt;1," (x"&amp;INDEX('Deck 3'!$A:$Z,ROW()-750,'List Setup'!$C$5)&amp;")","")&amp;IF(COUNTIF(Binders!$J$6:$J$30,TRUE())&gt;1," ["&amp;Q765&amp;"]",""))</f>
        <v/>
      </c>
      <c r="H765" s="80" t="str">
        <f t="array" ref="H765">IF(A765="","",CHAR(10)&amp;INDEX('Deck 3'!$A:$Z,ROW()-750,'List Setup'!$E$5)&amp;CHAR(10))</f>
        <v/>
      </c>
      <c r="I765" s="80" t="str">
        <f t="array" ref="I765">IF(OR(B765="",B765="(none)"),"",IF(ISNUMBER(SEARCH(CHAR(10)&amp;B765&amp;CHAR(10),H765)),B765,IFERROR(INDEX('Set Aliases'!$A$2:$A$501,MATCH(1,('Set Aliases'!$B$2:$B$501=B765)*ISNUMBER(SEARCH(CHAR(10)&amp;'Set Aliases'!$A$2:$A$501&amp;CHAR(10),H765)),0)),"")))</f>
        <v/>
      </c>
      <c r="J765" s="80" t="str">
        <f t="array" ref="J765">IF(I765="","",IFERROR(VALUE(TRIM(MID(SUBSTITUTE(INDEX('Deck 3'!$A:$Z,ROW()-750,'List Setup'!$G$5),CHAR(10),REPT(" ",100)),((SEARCH(CHAR(10)&amp;I765&amp;CHAR(10),H765)-LEN(SUBSTITUTE(LEFT(H765,SEARCH(CHAR(10)&amp;I765&amp;CHAR(10),H765)),CHAR(10),"")))-1)*100+1,100))),""))</f>
        <v/>
      </c>
      <c r="K765" s="80" t="str">
        <f t="array" ref="K765">IF(A765="","",IF(ISNUMBER(SEARCH("Land",LEFT(IFERROR(INDEX('Deck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65" s="80" t="str">
        <f t="shared" si="3"/>
        <v/>
      </c>
      <c r="M765" s="80" t="str">
        <f>IF(A765="","",IF(AND(E765="Y",B765='Use at Shop'!$B$4),K765*10000000000+(MAX(0,MIN(26,CODE(MID(UPPER(A765)&amp;"    ",1,1))-64))*19683+MAX(0,MIN(26,CODE(MID(UPPER(A765)&amp;"    ",2,1))-64))*729+MAX(0,MIN(26,CODE(MID(UPPER(A765)&amp;"    ",3,1))-64))*27+MAX(0,MIN(26,CODE(MID(UPPER(A765)&amp;"    ",4,1))-64))*1)*10000+ROW(),""))</f>
        <v/>
      </c>
      <c r="N765" s="80" t="str">
        <f t="shared" si="7"/>
        <v/>
      </c>
      <c r="O765" s="80" t="str">
        <f t="array" ref="O765">IF(A765="","",IFERROR(INDEX('Deck 3'!$A:$Z,ROW()-750,'List Setup'!$J$5)&amp;"",""))</f>
        <v/>
      </c>
      <c r="P765" s="2"/>
      <c r="Q765" s="80" t="str">
        <f>IF(A765="","",'List Setup'!$A$5)</f>
        <v/>
      </c>
      <c r="R765" s="80" t="str">
        <f t="array" ref="R765">IF(A765="","",IFERROR(OR(INDEX(Binders!$J$6:$J$30,MATCH(Q765,Binders!$I$6:$I$30,0))=TRUE(),UPPER(INDEX(Binders!$J$6:$J$30,MATCH(Q765,Binders!$I$6:$I$30,0))&amp;"")="TRUE"),FALSE()))</f>
        <v/>
      </c>
    </row>
    <row r="766" ht="15.75" customHeight="1">
      <c r="A766" s="80" t="str">
        <f t="array" ref="A766">IF(INDEX('Deck 3'!$A:$Z,ROW()-750,'List Setup'!$D$5)="","",INDEX('Deck 3'!$A:$Z,ROW()-750,'List Setup'!$D$5))</f>
        <v/>
      </c>
      <c r="B766" s="80" t="str">
        <f t="array" ref="B766">IF(A766="","",IFERROR(INDEX('Binder Setup'!$B$2:$B$401,MIN(IF(ISNUMBER(SEARCH(CHAR(10)&amp;'Binder Setup'!$B$2:$B$401&amp;CHAR(10),$H766)),'List Setup'!$Q$2:$Q$401,999),IF(ISNUMBER(SEARCH(CHAR(10)&amp;'Set Aliases'!$A$2:$A$501&amp;CHAR(10),$H766)),'Set Aliases'!$C$2:$C$501,999))),"(none)"))</f>
        <v/>
      </c>
      <c r="C766" s="80" t="str">
        <f t="shared" si="1"/>
        <v/>
      </c>
      <c r="D766" s="80" t="str">
        <f t="array" ref="D766">IF(A766="","",IF(ISLOGICAL(INDEX('Deck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66" s="80" t="str">
        <f t="shared" si="2"/>
        <v/>
      </c>
      <c r="F766" s="80" t="str">
        <f t="array" ref="F766">IF(A766="","",IF(ISNUMBER(J766),J766,IF(ISNUMBER(INDEX('Deck 3'!$A:$Z,ROW()-750,'List Setup'!$F$5)),INDEX('Deck 3'!$A:$Z,ROW()-750,'List Setup'!$F$5),0)))</f>
        <v/>
      </c>
      <c r="G766" s="80" t="str">
        <f t="array" ref="G766">IF(A766="","",A766&amp;IF(N(INDEX('Deck 3'!$A:$Z,ROW()-750,'List Setup'!$C$5))&gt;1," (x"&amp;INDEX('Deck 3'!$A:$Z,ROW()-750,'List Setup'!$C$5)&amp;")","")&amp;IF(COUNTIF(Binders!$J$6:$J$30,TRUE())&gt;1," ["&amp;Q766&amp;"]",""))</f>
        <v/>
      </c>
      <c r="H766" s="80" t="str">
        <f t="array" ref="H766">IF(A766="","",CHAR(10)&amp;INDEX('Deck 3'!$A:$Z,ROW()-750,'List Setup'!$E$5)&amp;CHAR(10))</f>
        <v/>
      </c>
      <c r="I766" s="80" t="str">
        <f t="array" ref="I766">IF(OR(B766="",B766="(none)"),"",IF(ISNUMBER(SEARCH(CHAR(10)&amp;B766&amp;CHAR(10),H766)),B766,IFERROR(INDEX('Set Aliases'!$A$2:$A$501,MATCH(1,('Set Aliases'!$B$2:$B$501=B766)*ISNUMBER(SEARCH(CHAR(10)&amp;'Set Aliases'!$A$2:$A$501&amp;CHAR(10),H766)),0)),"")))</f>
        <v/>
      </c>
      <c r="J766" s="80" t="str">
        <f t="array" ref="J766">IF(I766="","",IFERROR(VALUE(TRIM(MID(SUBSTITUTE(INDEX('Deck 3'!$A:$Z,ROW()-750,'List Setup'!$G$5),CHAR(10),REPT(" ",100)),((SEARCH(CHAR(10)&amp;I766&amp;CHAR(10),H766)-LEN(SUBSTITUTE(LEFT(H766,SEARCH(CHAR(10)&amp;I766&amp;CHAR(10),H766)),CHAR(10),"")))-1)*100+1,100))),""))</f>
        <v/>
      </c>
      <c r="K766" s="80" t="str">
        <f t="array" ref="K766">IF(A766="","",IF(ISNUMBER(SEARCH("Land",LEFT(IFERROR(INDEX('Deck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66" s="80" t="str">
        <f t="shared" si="3"/>
        <v/>
      </c>
      <c r="M766" s="80" t="str">
        <f>IF(A766="","",IF(AND(E766="Y",B766='Use at Shop'!$B$4),K766*10000000000+(MAX(0,MIN(26,CODE(MID(UPPER(A766)&amp;"    ",1,1))-64))*19683+MAX(0,MIN(26,CODE(MID(UPPER(A766)&amp;"    ",2,1))-64))*729+MAX(0,MIN(26,CODE(MID(UPPER(A766)&amp;"    ",3,1))-64))*27+MAX(0,MIN(26,CODE(MID(UPPER(A766)&amp;"    ",4,1))-64))*1)*10000+ROW(),""))</f>
        <v/>
      </c>
      <c r="N766" s="80" t="str">
        <f t="shared" si="7"/>
        <v/>
      </c>
      <c r="O766" s="80" t="str">
        <f t="array" ref="O766">IF(A766="","",IFERROR(INDEX('Deck 3'!$A:$Z,ROW()-750,'List Setup'!$J$5)&amp;"",""))</f>
        <v/>
      </c>
      <c r="P766" s="2"/>
      <c r="Q766" s="80" t="str">
        <f>IF(A766="","",'List Setup'!$A$5)</f>
        <v/>
      </c>
      <c r="R766" s="80" t="str">
        <f t="array" ref="R766">IF(A766="","",IFERROR(OR(INDEX(Binders!$J$6:$J$30,MATCH(Q766,Binders!$I$6:$I$30,0))=TRUE(),UPPER(INDEX(Binders!$J$6:$J$30,MATCH(Q766,Binders!$I$6:$I$30,0))&amp;"")="TRUE"),FALSE()))</f>
        <v/>
      </c>
    </row>
    <row r="767" ht="15.75" customHeight="1">
      <c r="A767" s="80" t="str">
        <f t="array" ref="A767">IF(INDEX('Deck 3'!$A:$Z,ROW()-750,'List Setup'!$D$5)="","",INDEX('Deck 3'!$A:$Z,ROW()-750,'List Setup'!$D$5))</f>
        <v/>
      </c>
      <c r="B767" s="80" t="str">
        <f t="array" ref="B767">IF(A767="","",IFERROR(INDEX('Binder Setup'!$B$2:$B$401,MIN(IF(ISNUMBER(SEARCH(CHAR(10)&amp;'Binder Setup'!$B$2:$B$401&amp;CHAR(10),$H767)),'List Setup'!$Q$2:$Q$401,999),IF(ISNUMBER(SEARCH(CHAR(10)&amp;'Set Aliases'!$A$2:$A$501&amp;CHAR(10),$H767)),'Set Aliases'!$C$2:$C$501,999))),"(none)"))</f>
        <v/>
      </c>
      <c r="C767" s="80" t="str">
        <f t="shared" si="1"/>
        <v/>
      </c>
      <c r="D767" s="80" t="str">
        <f t="array" ref="D767">IF(A767="","",IF(ISLOGICAL(INDEX('Deck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67" s="80" t="str">
        <f t="shared" si="2"/>
        <v/>
      </c>
      <c r="F767" s="80" t="str">
        <f t="array" ref="F767">IF(A767="","",IF(ISNUMBER(J767),J767,IF(ISNUMBER(INDEX('Deck 3'!$A:$Z,ROW()-750,'List Setup'!$F$5)),INDEX('Deck 3'!$A:$Z,ROW()-750,'List Setup'!$F$5),0)))</f>
        <v/>
      </c>
      <c r="G767" s="80" t="str">
        <f t="array" ref="G767">IF(A767="","",A767&amp;IF(N(INDEX('Deck 3'!$A:$Z,ROW()-750,'List Setup'!$C$5))&gt;1," (x"&amp;INDEX('Deck 3'!$A:$Z,ROW()-750,'List Setup'!$C$5)&amp;")","")&amp;IF(COUNTIF(Binders!$J$6:$J$30,TRUE())&gt;1," ["&amp;Q767&amp;"]",""))</f>
        <v/>
      </c>
      <c r="H767" s="80" t="str">
        <f t="array" ref="H767">IF(A767="","",CHAR(10)&amp;INDEX('Deck 3'!$A:$Z,ROW()-750,'List Setup'!$E$5)&amp;CHAR(10))</f>
        <v/>
      </c>
      <c r="I767" s="80" t="str">
        <f t="array" ref="I767">IF(OR(B767="",B767="(none)"),"",IF(ISNUMBER(SEARCH(CHAR(10)&amp;B767&amp;CHAR(10),H767)),B767,IFERROR(INDEX('Set Aliases'!$A$2:$A$501,MATCH(1,('Set Aliases'!$B$2:$B$501=B767)*ISNUMBER(SEARCH(CHAR(10)&amp;'Set Aliases'!$A$2:$A$501&amp;CHAR(10),H767)),0)),"")))</f>
        <v/>
      </c>
      <c r="J767" s="80" t="str">
        <f t="array" ref="J767">IF(I767="","",IFERROR(VALUE(TRIM(MID(SUBSTITUTE(INDEX('Deck 3'!$A:$Z,ROW()-750,'List Setup'!$G$5),CHAR(10),REPT(" ",100)),((SEARCH(CHAR(10)&amp;I767&amp;CHAR(10),H767)-LEN(SUBSTITUTE(LEFT(H767,SEARCH(CHAR(10)&amp;I767&amp;CHAR(10),H767)),CHAR(10),"")))-1)*100+1,100))),""))</f>
        <v/>
      </c>
      <c r="K767" s="80" t="str">
        <f t="array" ref="K767">IF(A767="","",IF(ISNUMBER(SEARCH("Land",LEFT(IFERROR(INDEX('Deck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67" s="80" t="str">
        <f t="shared" si="3"/>
        <v/>
      </c>
      <c r="M767" s="80" t="str">
        <f>IF(A767="","",IF(AND(E767="Y",B767='Use at Shop'!$B$4),K767*10000000000+(MAX(0,MIN(26,CODE(MID(UPPER(A767)&amp;"    ",1,1))-64))*19683+MAX(0,MIN(26,CODE(MID(UPPER(A767)&amp;"    ",2,1))-64))*729+MAX(0,MIN(26,CODE(MID(UPPER(A767)&amp;"    ",3,1))-64))*27+MAX(0,MIN(26,CODE(MID(UPPER(A767)&amp;"    ",4,1))-64))*1)*10000+ROW(),""))</f>
        <v/>
      </c>
      <c r="N767" s="80" t="str">
        <f t="shared" si="7"/>
        <v/>
      </c>
      <c r="O767" s="80" t="str">
        <f t="array" ref="O767">IF(A767="","",IFERROR(INDEX('Deck 3'!$A:$Z,ROW()-750,'List Setup'!$J$5)&amp;"",""))</f>
        <v/>
      </c>
      <c r="P767" s="2"/>
      <c r="Q767" s="80" t="str">
        <f>IF(A767="","",'List Setup'!$A$5)</f>
        <v/>
      </c>
      <c r="R767" s="80" t="str">
        <f t="array" ref="R767">IF(A767="","",IFERROR(OR(INDEX(Binders!$J$6:$J$30,MATCH(Q767,Binders!$I$6:$I$30,0))=TRUE(),UPPER(INDEX(Binders!$J$6:$J$30,MATCH(Q767,Binders!$I$6:$I$30,0))&amp;"")="TRUE"),FALSE()))</f>
        <v/>
      </c>
    </row>
    <row r="768" ht="15.75" customHeight="1">
      <c r="A768" s="80" t="str">
        <f t="array" ref="A768">IF(INDEX('Deck 3'!$A:$Z,ROW()-750,'List Setup'!$D$5)="","",INDEX('Deck 3'!$A:$Z,ROW()-750,'List Setup'!$D$5))</f>
        <v/>
      </c>
      <c r="B768" s="80" t="str">
        <f t="array" ref="B768">IF(A768="","",IFERROR(INDEX('Binder Setup'!$B$2:$B$401,MIN(IF(ISNUMBER(SEARCH(CHAR(10)&amp;'Binder Setup'!$B$2:$B$401&amp;CHAR(10),$H768)),'List Setup'!$Q$2:$Q$401,999),IF(ISNUMBER(SEARCH(CHAR(10)&amp;'Set Aliases'!$A$2:$A$501&amp;CHAR(10),$H768)),'Set Aliases'!$C$2:$C$501,999))),"(none)"))</f>
        <v/>
      </c>
      <c r="C768" s="80" t="str">
        <f t="shared" si="1"/>
        <v/>
      </c>
      <c r="D768" s="80" t="str">
        <f t="array" ref="D768">IF(A768="","",IF(ISLOGICAL(INDEX('Deck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68" s="80" t="str">
        <f t="shared" si="2"/>
        <v/>
      </c>
      <c r="F768" s="80" t="str">
        <f t="array" ref="F768">IF(A768="","",IF(ISNUMBER(J768),J768,IF(ISNUMBER(INDEX('Deck 3'!$A:$Z,ROW()-750,'List Setup'!$F$5)),INDEX('Deck 3'!$A:$Z,ROW()-750,'List Setup'!$F$5),0)))</f>
        <v/>
      </c>
      <c r="G768" s="80" t="str">
        <f t="array" ref="G768">IF(A768="","",A768&amp;IF(N(INDEX('Deck 3'!$A:$Z,ROW()-750,'List Setup'!$C$5))&gt;1," (x"&amp;INDEX('Deck 3'!$A:$Z,ROW()-750,'List Setup'!$C$5)&amp;")","")&amp;IF(COUNTIF(Binders!$J$6:$J$30,TRUE())&gt;1," ["&amp;Q768&amp;"]",""))</f>
        <v/>
      </c>
      <c r="H768" s="80" t="str">
        <f t="array" ref="H768">IF(A768="","",CHAR(10)&amp;INDEX('Deck 3'!$A:$Z,ROW()-750,'List Setup'!$E$5)&amp;CHAR(10))</f>
        <v/>
      </c>
      <c r="I768" s="80" t="str">
        <f t="array" ref="I768">IF(OR(B768="",B768="(none)"),"",IF(ISNUMBER(SEARCH(CHAR(10)&amp;B768&amp;CHAR(10),H768)),B768,IFERROR(INDEX('Set Aliases'!$A$2:$A$501,MATCH(1,('Set Aliases'!$B$2:$B$501=B768)*ISNUMBER(SEARCH(CHAR(10)&amp;'Set Aliases'!$A$2:$A$501&amp;CHAR(10),H768)),0)),"")))</f>
        <v/>
      </c>
      <c r="J768" s="80" t="str">
        <f t="array" ref="J768">IF(I768="","",IFERROR(VALUE(TRIM(MID(SUBSTITUTE(INDEX('Deck 3'!$A:$Z,ROW()-750,'List Setup'!$G$5),CHAR(10),REPT(" ",100)),((SEARCH(CHAR(10)&amp;I768&amp;CHAR(10),H768)-LEN(SUBSTITUTE(LEFT(H768,SEARCH(CHAR(10)&amp;I768&amp;CHAR(10),H768)),CHAR(10),"")))-1)*100+1,100))),""))</f>
        <v/>
      </c>
      <c r="K768" s="80" t="str">
        <f t="array" ref="K768">IF(A768="","",IF(ISNUMBER(SEARCH("Land",LEFT(IFERROR(INDEX('Deck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68" s="80" t="str">
        <f t="shared" si="3"/>
        <v/>
      </c>
      <c r="M768" s="80" t="str">
        <f>IF(A768="","",IF(AND(E768="Y",B768='Use at Shop'!$B$4),K768*10000000000+(MAX(0,MIN(26,CODE(MID(UPPER(A768)&amp;"    ",1,1))-64))*19683+MAX(0,MIN(26,CODE(MID(UPPER(A768)&amp;"    ",2,1))-64))*729+MAX(0,MIN(26,CODE(MID(UPPER(A768)&amp;"    ",3,1))-64))*27+MAX(0,MIN(26,CODE(MID(UPPER(A768)&amp;"    ",4,1))-64))*1)*10000+ROW(),""))</f>
        <v/>
      </c>
      <c r="N768" s="80" t="str">
        <f t="shared" si="7"/>
        <v/>
      </c>
      <c r="O768" s="80" t="str">
        <f t="array" ref="O768">IF(A768="","",IFERROR(INDEX('Deck 3'!$A:$Z,ROW()-750,'List Setup'!$J$5)&amp;"",""))</f>
        <v/>
      </c>
      <c r="P768" s="2"/>
      <c r="Q768" s="80" t="str">
        <f>IF(A768="","",'List Setup'!$A$5)</f>
        <v/>
      </c>
      <c r="R768" s="80" t="str">
        <f t="array" ref="R768">IF(A768="","",IFERROR(OR(INDEX(Binders!$J$6:$J$30,MATCH(Q768,Binders!$I$6:$I$30,0))=TRUE(),UPPER(INDEX(Binders!$J$6:$J$30,MATCH(Q768,Binders!$I$6:$I$30,0))&amp;"")="TRUE"),FALSE()))</f>
        <v/>
      </c>
    </row>
    <row r="769" ht="15.75" customHeight="1">
      <c r="A769" s="80" t="str">
        <f t="array" ref="A769">IF(INDEX('Deck 3'!$A:$Z,ROW()-750,'List Setup'!$D$5)="","",INDEX('Deck 3'!$A:$Z,ROW()-750,'List Setup'!$D$5))</f>
        <v/>
      </c>
      <c r="B769" s="80" t="str">
        <f t="array" ref="B769">IF(A769="","",IFERROR(INDEX('Binder Setup'!$B$2:$B$401,MIN(IF(ISNUMBER(SEARCH(CHAR(10)&amp;'Binder Setup'!$B$2:$B$401&amp;CHAR(10),$H769)),'List Setup'!$Q$2:$Q$401,999),IF(ISNUMBER(SEARCH(CHAR(10)&amp;'Set Aliases'!$A$2:$A$501&amp;CHAR(10),$H769)),'Set Aliases'!$C$2:$C$501,999))),"(none)"))</f>
        <v/>
      </c>
      <c r="C769" s="80" t="str">
        <f t="shared" si="1"/>
        <v/>
      </c>
      <c r="D769" s="80" t="str">
        <f t="array" ref="D769">IF(A769="","",IF(ISLOGICAL(INDEX('Deck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69" s="80" t="str">
        <f t="shared" si="2"/>
        <v/>
      </c>
      <c r="F769" s="80" t="str">
        <f t="array" ref="F769">IF(A769="","",IF(ISNUMBER(J769),J769,IF(ISNUMBER(INDEX('Deck 3'!$A:$Z,ROW()-750,'List Setup'!$F$5)),INDEX('Deck 3'!$A:$Z,ROW()-750,'List Setup'!$F$5),0)))</f>
        <v/>
      </c>
      <c r="G769" s="80" t="str">
        <f t="array" ref="G769">IF(A769="","",A769&amp;IF(N(INDEX('Deck 3'!$A:$Z,ROW()-750,'List Setup'!$C$5))&gt;1," (x"&amp;INDEX('Deck 3'!$A:$Z,ROW()-750,'List Setup'!$C$5)&amp;")","")&amp;IF(COUNTIF(Binders!$J$6:$J$30,TRUE())&gt;1," ["&amp;Q769&amp;"]",""))</f>
        <v/>
      </c>
      <c r="H769" s="80" t="str">
        <f t="array" ref="H769">IF(A769="","",CHAR(10)&amp;INDEX('Deck 3'!$A:$Z,ROW()-750,'List Setup'!$E$5)&amp;CHAR(10))</f>
        <v/>
      </c>
      <c r="I769" s="80" t="str">
        <f t="array" ref="I769">IF(OR(B769="",B769="(none)"),"",IF(ISNUMBER(SEARCH(CHAR(10)&amp;B769&amp;CHAR(10),H769)),B769,IFERROR(INDEX('Set Aliases'!$A$2:$A$501,MATCH(1,('Set Aliases'!$B$2:$B$501=B769)*ISNUMBER(SEARCH(CHAR(10)&amp;'Set Aliases'!$A$2:$A$501&amp;CHAR(10),H769)),0)),"")))</f>
        <v/>
      </c>
      <c r="J769" s="80" t="str">
        <f t="array" ref="J769">IF(I769="","",IFERROR(VALUE(TRIM(MID(SUBSTITUTE(INDEX('Deck 3'!$A:$Z,ROW()-750,'List Setup'!$G$5),CHAR(10),REPT(" ",100)),((SEARCH(CHAR(10)&amp;I769&amp;CHAR(10),H769)-LEN(SUBSTITUTE(LEFT(H769,SEARCH(CHAR(10)&amp;I769&amp;CHAR(10),H769)),CHAR(10),"")))-1)*100+1,100))),""))</f>
        <v/>
      </c>
      <c r="K769" s="80" t="str">
        <f t="array" ref="K769">IF(A769="","",IF(ISNUMBER(SEARCH("Land",LEFT(IFERROR(INDEX('Deck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69" s="80" t="str">
        <f t="shared" si="3"/>
        <v/>
      </c>
      <c r="M769" s="80" t="str">
        <f>IF(A769="","",IF(AND(E769="Y",B769='Use at Shop'!$B$4),K769*10000000000+(MAX(0,MIN(26,CODE(MID(UPPER(A769)&amp;"    ",1,1))-64))*19683+MAX(0,MIN(26,CODE(MID(UPPER(A769)&amp;"    ",2,1))-64))*729+MAX(0,MIN(26,CODE(MID(UPPER(A769)&amp;"    ",3,1))-64))*27+MAX(0,MIN(26,CODE(MID(UPPER(A769)&amp;"    ",4,1))-64))*1)*10000+ROW(),""))</f>
        <v/>
      </c>
      <c r="N769" s="80" t="str">
        <f t="shared" si="7"/>
        <v/>
      </c>
      <c r="O769" s="80" t="str">
        <f t="array" ref="O769">IF(A769="","",IFERROR(INDEX('Deck 3'!$A:$Z,ROW()-750,'List Setup'!$J$5)&amp;"",""))</f>
        <v/>
      </c>
      <c r="P769" s="2"/>
      <c r="Q769" s="80" t="str">
        <f>IF(A769="","",'List Setup'!$A$5)</f>
        <v/>
      </c>
      <c r="R769" s="80" t="str">
        <f t="array" ref="R769">IF(A769="","",IFERROR(OR(INDEX(Binders!$J$6:$J$30,MATCH(Q769,Binders!$I$6:$I$30,0))=TRUE(),UPPER(INDEX(Binders!$J$6:$J$30,MATCH(Q769,Binders!$I$6:$I$30,0))&amp;"")="TRUE"),FALSE()))</f>
        <v/>
      </c>
    </row>
    <row r="770" ht="15.75" customHeight="1">
      <c r="A770" s="80" t="str">
        <f t="array" ref="A770">IF(INDEX('Deck 3'!$A:$Z,ROW()-750,'List Setup'!$D$5)="","",INDEX('Deck 3'!$A:$Z,ROW()-750,'List Setup'!$D$5))</f>
        <v/>
      </c>
      <c r="B770" s="80" t="str">
        <f t="array" ref="B770">IF(A770="","",IFERROR(INDEX('Binder Setup'!$B$2:$B$401,MIN(IF(ISNUMBER(SEARCH(CHAR(10)&amp;'Binder Setup'!$B$2:$B$401&amp;CHAR(10),$H770)),'List Setup'!$Q$2:$Q$401,999),IF(ISNUMBER(SEARCH(CHAR(10)&amp;'Set Aliases'!$A$2:$A$501&amp;CHAR(10),$H770)),'Set Aliases'!$C$2:$C$501,999))),"(none)"))</f>
        <v/>
      </c>
      <c r="C770" s="80" t="str">
        <f t="shared" si="1"/>
        <v/>
      </c>
      <c r="D770" s="80" t="str">
        <f t="array" ref="D770">IF(A770="","",IF(ISLOGICAL(INDEX('Deck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70" s="80" t="str">
        <f t="shared" si="2"/>
        <v/>
      </c>
      <c r="F770" s="80" t="str">
        <f t="array" ref="F770">IF(A770="","",IF(ISNUMBER(J770),J770,IF(ISNUMBER(INDEX('Deck 3'!$A:$Z,ROW()-750,'List Setup'!$F$5)),INDEX('Deck 3'!$A:$Z,ROW()-750,'List Setup'!$F$5),0)))</f>
        <v/>
      </c>
      <c r="G770" s="80" t="str">
        <f t="array" ref="G770">IF(A770="","",A770&amp;IF(N(INDEX('Deck 3'!$A:$Z,ROW()-750,'List Setup'!$C$5))&gt;1," (x"&amp;INDEX('Deck 3'!$A:$Z,ROW()-750,'List Setup'!$C$5)&amp;")","")&amp;IF(COUNTIF(Binders!$J$6:$J$30,TRUE())&gt;1," ["&amp;Q770&amp;"]",""))</f>
        <v/>
      </c>
      <c r="H770" s="80" t="str">
        <f t="array" ref="H770">IF(A770="","",CHAR(10)&amp;INDEX('Deck 3'!$A:$Z,ROW()-750,'List Setup'!$E$5)&amp;CHAR(10))</f>
        <v/>
      </c>
      <c r="I770" s="80" t="str">
        <f t="array" ref="I770">IF(OR(B770="",B770="(none)"),"",IF(ISNUMBER(SEARCH(CHAR(10)&amp;B770&amp;CHAR(10),H770)),B770,IFERROR(INDEX('Set Aliases'!$A$2:$A$501,MATCH(1,('Set Aliases'!$B$2:$B$501=B770)*ISNUMBER(SEARCH(CHAR(10)&amp;'Set Aliases'!$A$2:$A$501&amp;CHAR(10),H770)),0)),"")))</f>
        <v/>
      </c>
      <c r="J770" s="80" t="str">
        <f t="array" ref="J770">IF(I770="","",IFERROR(VALUE(TRIM(MID(SUBSTITUTE(INDEX('Deck 3'!$A:$Z,ROW()-750,'List Setup'!$G$5),CHAR(10),REPT(" ",100)),((SEARCH(CHAR(10)&amp;I770&amp;CHAR(10),H770)-LEN(SUBSTITUTE(LEFT(H770,SEARCH(CHAR(10)&amp;I770&amp;CHAR(10),H770)),CHAR(10),"")))-1)*100+1,100))),""))</f>
        <v/>
      </c>
      <c r="K770" s="80" t="str">
        <f t="array" ref="K770">IF(A770="","",IF(ISNUMBER(SEARCH("Land",LEFT(IFERROR(INDEX('Deck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70" s="80" t="str">
        <f t="shared" si="3"/>
        <v/>
      </c>
      <c r="M770" s="80" t="str">
        <f>IF(A770="","",IF(AND(E770="Y",B770='Use at Shop'!$B$4),K770*10000000000+(MAX(0,MIN(26,CODE(MID(UPPER(A770)&amp;"    ",1,1))-64))*19683+MAX(0,MIN(26,CODE(MID(UPPER(A770)&amp;"    ",2,1))-64))*729+MAX(0,MIN(26,CODE(MID(UPPER(A770)&amp;"    ",3,1))-64))*27+MAX(0,MIN(26,CODE(MID(UPPER(A770)&amp;"    ",4,1))-64))*1)*10000+ROW(),""))</f>
        <v/>
      </c>
      <c r="N770" s="80" t="str">
        <f t="shared" si="7"/>
        <v/>
      </c>
      <c r="O770" s="80" t="str">
        <f t="array" ref="O770">IF(A770="","",IFERROR(INDEX('Deck 3'!$A:$Z,ROW()-750,'List Setup'!$J$5)&amp;"",""))</f>
        <v/>
      </c>
      <c r="P770" s="2"/>
      <c r="Q770" s="80" t="str">
        <f>IF(A770="","",'List Setup'!$A$5)</f>
        <v/>
      </c>
      <c r="R770" s="80" t="str">
        <f t="array" ref="R770">IF(A770="","",IFERROR(OR(INDEX(Binders!$J$6:$J$30,MATCH(Q770,Binders!$I$6:$I$30,0))=TRUE(),UPPER(INDEX(Binders!$J$6:$J$30,MATCH(Q770,Binders!$I$6:$I$30,0))&amp;"")="TRUE"),FALSE()))</f>
        <v/>
      </c>
    </row>
    <row r="771" ht="15.75" customHeight="1">
      <c r="A771" s="80" t="str">
        <f t="array" ref="A771">IF(INDEX('Deck 3'!$A:$Z,ROW()-750,'List Setup'!$D$5)="","",INDEX('Deck 3'!$A:$Z,ROW()-750,'List Setup'!$D$5))</f>
        <v/>
      </c>
      <c r="B771" s="80" t="str">
        <f t="array" ref="B771">IF(A771="","",IFERROR(INDEX('Binder Setup'!$B$2:$B$401,MIN(IF(ISNUMBER(SEARCH(CHAR(10)&amp;'Binder Setup'!$B$2:$B$401&amp;CHAR(10),$H771)),'List Setup'!$Q$2:$Q$401,999),IF(ISNUMBER(SEARCH(CHAR(10)&amp;'Set Aliases'!$A$2:$A$501&amp;CHAR(10),$H771)),'Set Aliases'!$C$2:$C$501,999))),"(none)"))</f>
        <v/>
      </c>
      <c r="C771" s="80" t="str">
        <f t="shared" si="1"/>
        <v/>
      </c>
      <c r="D771" s="80" t="str">
        <f t="array" ref="D771">IF(A771="","",IF(ISLOGICAL(INDEX('Deck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71" s="80" t="str">
        <f t="shared" si="2"/>
        <v/>
      </c>
      <c r="F771" s="80" t="str">
        <f t="array" ref="F771">IF(A771="","",IF(ISNUMBER(J771),J771,IF(ISNUMBER(INDEX('Deck 3'!$A:$Z,ROW()-750,'List Setup'!$F$5)),INDEX('Deck 3'!$A:$Z,ROW()-750,'List Setup'!$F$5),0)))</f>
        <v/>
      </c>
      <c r="G771" s="80" t="str">
        <f t="array" ref="G771">IF(A771="","",A771&amp;IF(N(INDEX('Deck 3'!$A:$Z,ROW()-750,'List Setup'!$C$5))&gt;1," (x"&amp;INDEX('Deck 3'!$A:$Z,ROW()-750,'List Setup'!$C$5)&amp;")","")&amp;IF(COUNTIF(Binders!$J$6:$J$30,TRUE())&gt;1," ["&amp;Q771&amp;"]",""))</f>
        <v/>
      </c>
      <c r="H771" s="80" t="str">
        <f t="array" ref="H771">IF(A771="","",CHAR(10)&amp;INDEX('Deck 3'!$A:$Z,ROW()-750,'List Setup'!$E$5)&amp;CHAR(10))</f>
        <v/>
      </c>
      <c r="I771" s="80" t="str">
        <f t="array" ref="I771">IF(OR(B771="",B771="(none)"),"",IF(ISNUMBER(SEARCH(CHAR(10)&amp;B771&amp;CHAR(10),H771)),B771,IFERROR(INDEX('Set Aliases'!$A$2:$A$501,MATCH(1,('Set Aliases'!$B$2:$B$501=B771)*ISNUMBER(SEARCH(CHAR(10)&amp;'Set Aliases'!$A$2:$A$501&amp;CHAR(10),H771)),0)),"")))</f>
        <v/>
      </c>
      <c r="J771" s="80" t="str">
        <f t="array" ref="J771">IF(I771="","",IFERROR(VALUE(TRIM(MID(SUBSTITUTE(INDEX('Deck 3'!$A:$Z,ROW()-750,'List Setup'!$G$5),CHAR(10),REPT(" ",100)),((SEARCH(CHAR(10)&amp;I771&amp;CHAR(10),H771)-LEN(SUBSTITUTE(LEFT(H771,SEARCH(CHAR(10)&amp;I771&amp;CHAR(10),H771)),CHAR(10),"")))-1)*100+1,100))),""))</f>
        <v/>
      </c>
      <c r="K771" s="80" t="str">
        <f t="array" ref="K771">IF(A771="","",IF(ISNUMBER(SEARCH("Land",LEFT(IFERROR(INDEX('Deck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71" s="80" t="str">
        <f t="shared" si="3"/>
        <v/>
      </c>
      <c r="M771" s="80" t="str">
        <f>IF(A771="","",IF(AND(E771="Y",B771='Use at Shop'!$B$4),K771*10000000000+(MAX(0,MIN(26,CODE(MID(UPPER(A771)&amp;"    ",1,1))-64))*19683+MAX(0,MIN(26,CODE(MID(UPPER(A771)&amp;"    ",2,1))-64))*729+MAX(0,MIN(26,CODE(MID(UPPER(A771)&amp;"    ",3,1))-64))*27+MAX(0,MIN(26,CODE(MID(UPPER(A771)&amp;"    ",4,1))-64))*1)*10000+ROW(),""))</f>
        <v/>
      </c>
      <c r="N771" s="80" t="str">
        <f t="shared" si="7"/>
        <v/>
      </c>
      <c r="O771" s="80" t="str">
        <f t="array" ref="O771">IF(A771="","",IFERROR(INDEX('Deck 3'!$A:$Z,ROW()-750,'List Setup'!$J$5)&amp;"",""))</f>
        <v/>
      </c>
      <c r="P771" s="2"/>
      <c r="Q771" s="80" t="str">
        <f>IF(A771="","",'List Setup'!$A$5)</f>
        <v/>
      </c>
      <c r="R771" s="80" t="str">
        <f t="array" ref="R771">IF(A771="","",IFERROR(OR(INDEX(Binders!$J$6:$J$30,MATCH(Q771,Binders!$I$6:$I$30,0))=TRUE(),UPPER(INDEX(Binders!$J$6:$J$30,MATCH(Q771,Binders!$I$6:$I$30,0))&amp;"")="TRUE"),FALSE()))</f>
        <v/>
      </c>
    </row>
    <row r="772" ht="15.75" customHeight="1">
      <c r="A772" s="80" t="str">
        <f t="array" ref="A772">IF(INDEX('Deck 3'!$A:$Z,ROW()-750,'List Setup'!$D$5)="","",INDEX('Deck 3'!$A:$Z,ROW()-750,'List Setup'!$D$5))</f>
        <v/>
      </c>
      <c r="B772" s="80" t="str">
        <f t="array" ref="B772">IF(A772="","",IFERROR(INDEX('Binder Setup'!$B$2:$B$401,MIN(IF(ISNUMBER(SEARCH(CHAR(10)&amp;'Binder Setup'!$B$2:$B$401&amp;CHAR(10),$H772)),'List Setup'!$Q$2:$Q$401,999),IF(ISNUMBER(SEARCH(CHAR(10)&amp;'Set Aliases'!$A$2:$A$501&amp;CHAR(10),$H772)),'Set Aliases'!$C$2:$C$501,999))),"(none)"))</f>
        <v/>
      </c>
      <c r="C772" s="80" t="str">
        <f t="shared" si="1"/>
        <v/>
      </c>
      <c r="D772" s="80" t="str">
        <f t="array" ref="D772">IF(A772="","",IF(ISLOGICAL(INDEX('Deck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72" s="80" t="str">
        <f t="shared" si="2"/>
        <v/>
      </c>
      <c r="F772" s="80" t="str">
        <f t="array" ref="F772">IF(A772="","",IF(ISNUMBER(J772),J772,IF(ISNUMBER(INDEX('Deck 3'!$A:$Z,ROW()-750,'List Setup'!$F$5)),INDEX('Deck 3'!$A:$Z,ROW()-750,'List Setup'!$F$5),0)))</f>
        <v/>
      </c>
      <c r="G772" s="80" t="str">
        <f t="array" ref="G772">IF(A772="","",A772&amp;IF(N(INDEX('Deck 3'!$A:$Z,ROW()-750,'List Setup'!$C$5))&gt;1," (x"&amp;INDEX('Deck 3'!$A:$Z,ROW()-750,'List Setup'!$C$5)&amp;")","")&amp;IF(COUNTIF(Binders!$J$6:$J$30,TRUE())&gt;1," ["&amp;Q772&amp;"]",""))</f>
        <v/>
      </c>
      <c r="H772" s="80" t="str">
        <f t="array" ref="H772">IF(A772="","",CHAR(10)&amp;INDEX('Deck 3'!$A:$Z,ROW()-750,'List Setup'!$E$5)&amp;CHAR(10))</f>
        <v/>
      </c>
      <c r="I772" s="80" t="str">
        <f t="array" ref="I772">IF(OR(B772="",B772="(none)"),"",IF(ISNUMBER(SEARCH(CHAR(10)&amp;B772&amp;CHAR(10),H772)),B772,IFERROR(INDEX('Set Aliases'!$A$2:$A$501,MATCH(1,('Set Aliases'!$B$2:$B$501=B772)*ISNUMBER(SEARCH(CHAR(10)&amp;'Set Aliases'!$A$2:$A$501&amp;CHAR(10),H772)),0)),"")))</f>
        <v/>
      </c>
      <c r="J772" s="80" t="str">
        <f t="array" ref="J772">IF(I772="","",IFERROR(VALUE(TRIM(MID(SUBSTITUTE(INDEX('Deck 3'!$A:$Z,ROW()-750,'List Setup'!$G$5),CHAR(10),REPT(" ",100)),((SEARCH(CHAR(10)&amp;I772&amp;CHAR(10),H772)-LEN(SUBSTITUTE(LEFT(H772,SEARCH(CHAR(10)&amp;I772&amp;CHAR(10),H772)),CHAR(10),"")))-1)*100+1,100))),""))</f>
        <v/>
      </c>
      <c r="K772" s="80" t="str">
        <f t="array" ref="K772">IF(A772="","",IF(ISNUMBER(SEARCH("Land",LEFT(IFERROR(INDEX('Deck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72" s="80" t="str">
        <f t="shared" si="3"/>
        <v/>
      </c>
      <c r="M772" s="80" t="str">
        <f>IF(A772="","",IF(AND(E772="Y",B772='Use at Shop'!$B$4),K772*10000000000+(MAX(0,MIN(26,CODE(MID(UPPER(A772)&amp;"    ",1,1))-64))*19683+MAX(0,MIN(26,CODE(MID(UPPER(A772)&amp;"    ",2,1))-64))*729+MAX(0,MIN(26,CODE(MID(UPPER(A772)&amp;"    ",3,1))-64))*27+MAX(0,MIN(26,CODE(MID(UPPER(A772)&amp;"    ",4,1))-64))*1)*10000+ROW(),""))</f>
        <v/>
      </c>
      <c r="N772" s="80" t="str">
        <f t="shared" si="7"/>
        <v/>
      </c>
      <c r="O772" s="80" t="str">
        <f t="array" ref="O772">IF(A772="","",IFERROR(INDEX('Deck 3'!$A:$Z,ROW()-750,'List Setup'!$J$5)&amp;"",""))</f>
        <v/>
      </c>
      <c r="P772" s="2"/>
      <c r="Q772" s="80" t="str">
        <f>IF(A772="","",'List Setup'!$A$5)</f>
        <v/>
      </c>
      <c r="R772" s="80" t="str">
        <f t="array" ref="R772">IF(A772="","",IFERROR(OR(INDEX(Binders!$J$6:$J$30,MATCH(Q772,Binders!$I$6:$I$30,0))=TRUE(),UPPER(INDEX(Binders!$J$6:$J$30,MATCH(Q772,Binders!$I$6:$I$30,0))&amp;"")="TRUE"),FALSE()))</f>
        <v/>
      </c>
    </row>
    <row r="773" ht="15.75" customHeight="1">
      <c r="A773" s="80" t="str">
        <f t="array" ref="A773">IF(INDEX('Deck 3'!$A:$Z,ROW()-750,'List Setup'!$D$5)="","",INDEX('Deck 3'!$A:$Z,ROW()-750,'List Setup'!$D$5))</f>
        <v/>
      </c>
      <c r="B773" s="80" t="str">
        <f t="array" ref="B773">IF(A773="","",IFERROR(INDEX('Binder Setup'!$B$2:$B$401,MIN(IF(ISNUMBER(SEARCH(CHAR(10)&amp;'Binder Setup'!$B$2:$B$401&amp;CHAR(10),$H773)),'List Setup'!$Q$2:$Q$401,999),IF(ISNUMBER(SEARCH(CHAR(10)&amp;'Set Aliases'!$A$2:$A$501&amp;CHAR(10),$H773)),'Set Aliases'!$C$2:$C$501,999))),"(none)"))</f>
        <v/>
      </c>
      <c r="C773" s="80" t="str">
        <f t="shared" si="1"/>
        <v/>
      </c>
      <c r="D773" s="80" t="str">
        <f t="array" ref="D773">IF(A773="","",IF(ISLOGICAL(INDEX('Deck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73" s="80" t="str">
        <f t="shared" si="2"/>
        <v/>
      </c>
      <c r="F773" s="80" t="str">
        <f t="array" ref="F773">IF(A773="","",IF(ISNUMBER(J773),J773,IF(ISNUMBER(INDEX('Deck 3'!$A:$Z,ROW()-750,'List Setup'!$F$5)),INDEX('Deck 3'!$A:$Z,ROW()-750,'List Setup'!$F$5),0)))</f>
        <v/>
      </c>
      <c r="G773" s="80" t="str">
        <f t="array" ref="G773">IF(A773="","",A773&amp;IF(N(INDEX('Deck 3'!$A:$Z,ROW()-750,'List Setup'!$C$5))&gt;1," (x"&amp;INDEX('Deck 3'!$A:$Z,ROW()-750,'List Setup'!$C$5)&amp;")","")&amp;IF(COUNTIF(Binders!$J$6:$J$30,TRUE())&gt;1," ["&amp;Q773&amp;"]",""))</f>
        <v/>
      </c>
      <c r="H773" s="80" t="str">
        <f t="array" ref="H773">IF(A773="","",CHAR(10)&amp;INDEX('Deck 3'!$A:$Z,ROW()-750,'List Setup'!$E$5)&amp;CHAR(10))</f>
        <v/>
      </c>
      <c r="I773" s="80" t="str">
        <f t="array" ref="I773">IF(OR(B773="",B773="(none)"),"",IF(ISNUMBER(SEARCH(CHAR(10)&amp;B773&amp;CHAR(10),H773)),B773,IFERROR(INDEX('Set Aliases'!$A$2:$A$501,MATCH(1,('Set Aliases'!$B$2:$B$501=B773)*ISNUMBER(SEARCH(CHAR(10)&amp;'Set Aliases'!$A$2:$A$501&amp;CHAR(10),H773)),0)),"")))</f>
        <v/>
      </c>
      <c r="J773" s="80" t="str">
        <f t="array" ref="J773">IF(I773="","",IFERROR(VALUE(TRIM(MID(SUBSTITUTE(INDEX('Deck 3'!$A:$Z,ROW()-750,'List Setup'!$G$5),CHAR(10),REPT(" ",100)),((SEARCH(CHAR(10)&amp;I773&amp;CHAR(10),H773)-LEN(SUBSTITUTE(LEFT(H773,SEARCH(CHAR(10)&amp;I773&amp;CHAR(10),H773)),CHAR(10),"")))-1)*100+1,100))),""))</f>
        <v/>
      </c>
      <c r="K773" s="80" t="str">
        <f t="array" ref="K773">IF(A773="","",IF(ISNUMBER(SEARCH("Land",LEFT(IFERROR(INDEX('Deck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73" s="80" t="str">
        <f t="shared" si="3"/>
        <v/>
      </c>
      <c r="M773" s="80" t="str">
        <f>IF(A773="","",IF(AND(E773="Y",B773='Use at Shop'!$B$4),K773*10000000000+(MAX(0,MIN(26,CODE(MID(UPPER(A773)&amp;"    ",1,1))-64))*19683+MAX(0,MIN(26,CODE(MID(UPPER(A773)&amp;"    ",2,1))-64))*729+MAX(0,MIN(26,CODE(MID(UPPER(A773)&amp;"    ",3,1))-64))*27+MAX(0,MIN(26,CODE(MID(UPPER(A773)&amp;"    ",4,1))-64))*1)*10000+ROW(),""))</f>
        <v/>
      </c>
      <c r="N773" s="80" t="str">
        <f t="shared" si="7"/>
        <v/>
      </c>
      <c r="O773" s="80" t="str">
        <f t="array" ref="O773">IF(A773="","",IFERROR(INDEX('Deck 3'!$A:$Z,ROW()-750,'List Setup'!$J$5)&amp;"",""))</f>
        <v/>
      </c>
      <c r="P773" s="2"/>
      <c r="Q773" s="80" t="str">
        <f>IF(A773="","",'List Setup'!$A$5)</f>
        <v/>
      </c>
      <c r="R773" s="80" t="str">
        <f t="array" ref="R773">IF(A773="","",IFERROR(OR(INDEX(Binders!$J$6:$J$30,MATCH(Q773,Binders!$I$6:$I$30,0))=TRUE(),UPPER(INDEX(Binders!$J$6:$J$30,MATCH(Q773,Binders!$I$6:$I$30,0))&amp;"")="TRUE"),FALSE()))</f>
        <v/>
      </c>
    </row>
    <row r="774" ht="15.75" customHeight="1">
      <c r="A774" s="80" t="str">
        <f t="array" ref="A774">IF(INDEX('Deck 3'!$A:$Z,ROW()-750,'List Setup'!$D$5)="","",INDEX('Deck 3'!$A:$Z,ROW()-750,'List Setup'!$D$5))</f>
        <v/>
      </c>
      <c r="B774" s="80" t="str">
        <f t="array" ref="B774">IF(A774="","",IFERROR(INDEX('Binder Setup'!$B$2:$B$401,MIN(IF(ISNUMBER(SEARCH(CHAR(10)&amp;'Binder Setup'!$B$2:$B$401&amp;CHAR(10),$H774)),'List Setup'!$Q$2:$Q$401,999),IF(ISNUMBER(SEARCH(CHAR(10)&amp;'Set Aliases'!$A$2:$A$501&amp;CHAR(10),$H774)),'Set Aliases'!$C$2:$C$501,999))),"(none)"))</f>
        <v/>
      </c>
      <c r="C774" s="80" t="str">
        <f t="shared" si="1"/>
        <v/>
      </c>
      <c r="D774" s="80" t="str">
        <f t="array" ref="D774">IF(A774="","",IF(ISLOGICAL(INDEX('Deck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74" s="80" t="str">
        <f t="shared" si="2"/>
        <v/>
      </c>
      <c r="F774" s="80" t="str">
        <f t="array" ref="F774">IF(A774="","",IF(ISNUMBER(J774),J774,IF(ISNUMBER(INDEX('Deck 3'!$A:$Z,ROW()-750,'List Setup'!$F$5)),INDEX('Deck 3'!$A:$Z,ROW()-750,'List Setup'!$F$5),0)))</f>
        <v/>
      </c>
      <c r="G774" s="80" t="str">
        <f t="array" ref="G774">IF(A774="","",A774&amp;IF(N(INDEX('Deck 3'!$A:$Z,ROW()-750,'List Setup'!$C$5))&gt;1," (x"&amp;INDEX('Deck 3'!$A:$Z,ROW()-750,'List Setup'!$C$5)&amp;")","")&amp;IF(COUNTIF(Binders!$J$6:$J$30,TRUE())&gt;1," ["&amp;Q774&amp;"]",""))</f>
        <v/>
      </c>
      <c r="H774" s="80" t="str">
        <f t="array" ref="H774">IF(A774="","",CHAR(10)&amp;INDEX('Deck 3'!$A:$Z,ROW()-750,'List Setup'!$E$5)&amp;CHAR(10))</f>
        <v/>
      </c>
      <c r="I774" s="80" t="str">
        <f t="array" ref="I774">IF(OR(B774="",B774="(none)"),"",IF(ISNUMBER(SEARCH(CHAR(10)&amp;B774&amp;CHAR(10),H774)),B774,IFERROR(INDEX('Set Aliases'!$A$2:$A$501,MATCH(1,('Set Aliases'!$B$2:$B$501=B774)*ISNUMBER(SEARCH(CHAR(10)&amp;'Set Aliases'!$A$2:$A$501&amp;CHAR(10),H774)),0)),"")))</f>
        <v/>
      </c>
      <c r="J774" s="80" t="str">
        <f t="array" ref="J774">IF(I774="","",IFERROR(VALUE(TRIM(MID(SUBSTITUTE(INDEX('Deck 3'!$A:$Z,ROW()-750,'List Setup'!$G$5),CHAR(10),REPT(" ",100)),((SEARCH(CHAR(10)&amp;I774&amp;CHAR(10),H774)-LEN(SUBSTITUTE(LEFT(H774,SEARCH(CHAR(10)&amp;I774&amp;CHAR(10),H774)),CHAR(10),"")))-1)*100+1,100))),""))</f>
        <v/>
      </c>
      <c r="K774" s="80" t="str">
        <f t="array" ref="K774">IF(A774="","",IF(ISNUMBER(SEARCH("Land",LEFT(IFERROR(INDEX('Deck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74" s="80" t="str">
        <f t="shared" si="3"/>
        <v/>
      </c>
      <c r="M774" s="80" t="str">
        <f>IF(A774="","",IF(AND(E774="Y",B774='Use at Shop'!$B$4),K774*10000000000+(MAX(0,MIN(26,CODE(MID(UPPER(A774)&amp;"    ",1,1))-64))*19683+MAX(0,MIN(26,CODE(MID(UPPER(A774)&amp;"    ",2,1))-64))*729+MAX(0,MIN(26,CODE(MID(UPPER(A774)&amp;"    ",3,1))-64))*27+MAX(0,MIN(26,CODE(MID(UPPER(A774)&amp;"    ",4,1))-64))*1)*10000+ROW(),""))</f>
        <v/>
      </c>
      <c r="N774" s="80" t="str">
        <f t="shared" si="7"/>
        <v/>
      </c>
      <c r="O774" s="80" t="str">
        <f t="array" ref="O774">IF(A774="","",IFERROR(INDEX('Deck 3'!$A:$Z,ROW()-750,'List Setup'!$J$5)&amp;"",""))</f>
        <v/>
      </c>
      <c r="P774" s="2"/>
      <c r="Q774" s="80" t="str">
        <f>IF(A774="","",'List Setup'!$A$5)</f>
        <v/>
      </c>
      <c r="R774" s="80" t="str">
        <f t="array" ref="R774">IF(A774="","",IFERROR(OR(INDEX(Binders!$J$6:$J$30,MATCH(Q774,Binders!$I$6:$I$30,0))=TRUE(),UPPER(INDEX(Binders!$J$6:$J$30,MATCH(Q774,Binders!$I$6:$I$30,0))&amp;"")="TRUE"),FALSE()))</f>
        <v/>
      </c>
    </row>
    <row r="775" ht="15.75" customHeight="1">
      <c r="A775" s="80" t="str">
        <f t="array" ref="A775">IF(INDEX('Deck 3'!$A:$Z,ROW()-750,'List Setup'!$D$5)="","",INDEX('Deck 3'!$A:$Z,ROW()-750,'List Setup'!$D$5))</f>
        <v/>
      </c>
      <c r="B775" s="80" t="str">
        <f t="array" ref="B775">IF(A775="","",IFERROR(INDEX('Binder Setup'!$B$2:$B$401,MIN(IF(ISNUMBER(SEARCH(CHAR(10)&amp;'Binder Setup'!$B$2:$B$401&amp;CHAR(10),$H775)),'List Setup'!$Q$2:$Q$401,999),IF(ISNUMBER(SEARCH(CHAR(10)&amp;'Set Aliases'!$A$2:$A$501&amp;CHAR(10),$H775)),'Set Aliases'!$C$2:$C$501,999))),"(none)"))</f>
        <v/>
      </c>
      <c r="C775" s="80" t="str">
        <f t="shared" si="1"/>
        <v/>
      </c>
      <c r="D775" s="80" t="str">
        <f t="array" ref="D775">IF(A775="","",IF(ISLOGICAL(INDEX('Deck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75" s="80" t="str">
        <f t="shared" si="2"/>
        <v/>
      </c>
      <c r="F775" s="80" t="str">
        <f t="array" ref="F775">IF(A775="","",IF(ISNUMBER(J775),J775,IF(ISNUMBER(INDEX('Deck 3'!$A:$Z,ROW()-750,'List Setup'!$F$5)),INDEX('Deck 3'!$A:$Z,ROW()-750,'List Setup'!$F$5),0)))</f>
        <v/>
      </c>
      <c r="G775" s="80" t="str">
        <f t="array" ref="G775">IF(A775="","",A775&amp;IF(N(INDEX('Deck 3'!$A:$Z,ROW()-750,'List Setup'!$C$5))&gt;1," (x"&amp;INDEX('Deck 3'!$A:$Z,ROW()-750,'List Setup'!$C$5)&amp;")","")&amp;IF(COUNTIF(Binders!$J$6:$J$30,TRUE())&gt;1," ["&amp;Q775&amp;"]",""))</f>
        <v/>
      </c>
      <c r="H775" s="80" t="str">
        <f t="array" ref="H775">IF(A775="","",CHAR(10)&amp;INDEX('Deck 3'!$A:$Z,ROW()-750,'List Setup'!$E$5)&amp;CHAR(10))</f>
        <v/>
      </c>
      <c r="I775" s="80" t="str">
        <f t="array" ref="I775">IF(OR(B775="",B775="(none)"),"",IF(ISNUMBER(SEARCH(CHAR(10)&amp;B775&amp;CHAR(10),H775)),B775,IFERROR(INDEX('Set Aliases'!$A$2:$A$501,MATCH(1,('Set Aliases'!$B$2:$B$501=B775)*ISNUMBER(SEARCH(CHAR(10)&amp;'Set Aliases'!$A$2:$A$501&amp;CHAR(10),H775)),0)),"")))</f>
        <v/>
      </c>
      <c r="J775" s="80" t="str">
        <f t="array" ref="J775">IF(I775="","",IFERROR(VALUE(TRIM(MID(SUBSTITUTE(INDEX('Deck 3'!$A:$Z,ROW()-750,'List Setup'!$G$5),CHAR(10),REPT(" ",100)),((SEARCH(CHAR(10)&amp;I775&amp;CHAR(10),H775)-LEN(SUBSTITUTE(LEFT(H775,SEARCH(CHAR(10)&amp;I775&amp;CHAR(10),H775)),CHAR(10),"")))-1)*100+1,100))),""))</f>
        <v/>
      </c>
      <c r="K775" s="80" t="str">
        <f t="array" ref="K775">IF(A775="","",IF(ISNUMBER(SEARCH("Land",LEFT(IFERROR(INDEX('Deck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75" s="80" t="str">
        <f t="shared" si="3"/>
        <v/>
      </c>
      <c r="M775" s="80" t="str">
        <f>IF(A775="","",IF(AND(E775="Y",B775='Use at Shop'!$B$4),K775*10000000000+(MAX(0,MIN(26,CODE(MID(UPPER(A775)&amp;"    ",1,1))-64))*19683+MAX(0,MIN(26,CODE(MID(UPPER(A775)&amp;"    ",2,1))-64))*729+MAX(0,MIN(26,CODE(MID(UPPER(A775)&amp;"    ",3,1))-64))*27+MAX(0,MIN(26,CODE(MID(UPPER(A775)&amp;"    ",4,1))-64))*1)*10000+ROW(),""))</f>
        <v/>
      </c>
      <c r="N775" s="80" t="str">
        <f t="shared" si="7"/>
        <v/>
      </c>
      <c r="O775" s="80" t="str">
        <f t="array" ref="O775">IF(A775="","",IFERROR(INDEX('Deck 3'!$A:$Z,ROW()-750,'List Setup'!$J$5)&amp;"",""))</f>
        <v/>
      </c>
      <c r="P775" s="2"/>
      <c r="Q775" s="80" t="str">
        <f>IF(A775="","",'List Setup'!$A$5)</f>
        <v/>
      </c>
      <c r="R775" s="80" t="str">
        <f t="array" ref="R775">IF(A775="","",IFERROR(OR(INDEX(Binders!$J$6:$J$30,MATCH(Q775,Binders!$I$6:$I$30,0))=TRUE(),UPPER(INDEX(Binders!$J$6:$J$30,MATCH(Q775,Binders!$I$6:$I$30,0))&amp;"")="TRUE"),FALSE()))</f>
        <v/>
      </c>
    </row>
    <row r="776" ht="15.75" customHeight="1">
      <c r="A776" s="80" t="str">
        <f t="array" ref="A776">IF(INDEX('Deck 3'!$A:$Z,ROW()-750,'List Setup'!$D$5)="","",INDEX('Deck 3'!$A:$Z,ROW()-750,'List Setup'!$D$5))</f>
        <v/>
      </c>
      <c r="B776" s="80" t="str">
        <f t="array" ref="B776">IF(A776="","",IFERROR(INDEX('Binder Setup'!$B$2:$B$401,MIN(IF(ISNUMBER(SEARCH(CHAR(10)&amp;'Binder Setup'!$B$2:$B$401&amp;CHAR(10),$H776)),'List Setup'!$Q$2:$Q$401,999),IF(ISNUMBER(SEARCH(CHAR(10)&amp;'Set Aliases'!$A$2:$A$501&amp;CHAR(10),$H776)),'Set Aliases'!$C$2:$C$501,999))),"(none)"))</f>
        <v/>
      </c>
      <c r="C776" s="80" t="str">
        <f t="shared" si="1"/>
        <v/>
      </c>
      <c r="D776" s="80" t="str">
        <f t="array" ref="D776">IF(A776="","",IF(ISLOGICAL(INDEX('Deck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76" s="80" t="str">
        <f t="shared" si="2"/>
        <v/>
      </c>
      <c r="F776" s="80" t="str">
        <f t="array" ref="F776">IF(A776="","",IF(ISNUMBER(J776),J776,IF(ISNUMBER(INDEX('Deck 3'!$A:$Z,ROW()-750,'List Setup'!$F$5)),INDEX('Deck 3'!$A:$Z,ROW()-750,'List Setup'!$F$5),0)))</f>
        <v/>
      </c>
      <c r="G776" s="80" t="str">
        <f t="array" ref="G776">IF(A776="","",A776&amp;IF(N(INDEX('Deck 3'!$A:$Z,ROW()-750,'List Setup'!$C$5))&gt;1," (x"&amp;INDEX('Deck 3'!$A:$Z,ROW()-750,'List Setup'!$C$5)&amp;")","")&amp;IF(COUNTIF(Binders!$J$6:$J$30,TRUE())&gt;1," ["&amp;Q776&amp;"]",""))</f>
        <v/>
      </c>
      <c r="H776" s="80" t="str">
        <f t="array" ref="H776">IF(A776="","",CHAR(10)&amp;INDEX('Deck 3'!$A:$Z,ROW()-750,'List Setup'!$E$5)&amp;CHAR(10))</f>
        <v/>
      </c>
      <c r="I776" s="80" t="str">
        <f t="array" ref="I776">IF(OR(B776="",B776="(none)"),"",IF(ISNUMBER(SEARCH(CHAR(10)&amp;B776&amp;CHAR(10),H776)),B776,IFERROR(INDEX('Set Aliases'!$A$2:$A$501,MATCH(1,('Set Aliases'!$B$2:$B$501=B776)*ISNUMBER(SEARCH(CHAR(10)&amp;'Set Aliases'!$A$2:$A$501&amp;CHAR(10),H776)),0)),"")))</f>
        <v/>
      </c>
      <c r="J776" s="80" t="str">
        <f t="array" ref="J776">IF(I776="","",IFERROR(VALUE(TRIM(MID(SUBSTITUTE(INDEX('Deck 3'!$A:$Z,ROW()-750,'List Setup'!$G$5),CHAR(10),REPT(" ",100)),((SEARCH(CHAR(10)&amp;I776&amp;CHAR(10),H776)-LEN(SUBSTITUTE(LEFT(H776,SEARCH(CHAR(10)&amp;I776&amp;CHAR(10),H776)),CHAR(10),"")))-1)*100+1,100))),""))</f>
        <v/>
      </c>
      <c r="K776" s="80" t="str">
        <f t="array" ref="K776">IF(A776="","",IF(ISNUMBER(SEARCH("Land",LEFT(IFERROR(INDEX('Deck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76" s="80" t="str">
        <f t="shared" si="3"/>
        <v/>
      </c>
      <c r="M776" s="80" t="str">
        <f>IF(A776="","",IF(AND(E776="Y",B776='Use at Shop'!$B$4),K776*10000000000+(MAX(0,MIN(26,CODE(MID(UPPER(A776)&amp;"    ",1,1))-64))*19683+MAX(0,MIN(26,CODE(MID(UPPER(A776)&amp;"    ",2,1))-64))*729+MAX(0,MIN(26,CODE(MID(UPPER(A776)&amp;"    ",3,1))-64))*27+MAX(0,MIN(26,CODE(MID(UPPER(A776)&amp;"    ",4,1))-64))*1)*10000+ROW(),""))</f>
        <v/>
      </c>
      <c r="N776" s="80" t="str">
        <f t="shared" si="7"/>
        <v/>
      </c>
      <c r="O776" s="80" t="str">
        <f t="array" ref="O776">IF(A776="","",IFERROR(INDEX('Deck 3'!$A:$Z,ROW()-750,'List Setup'!$J$5)&amp;"",""))</f>
        <v/>
      </c>
      <c r="P776" s="2"/>
      <c r="Q776" s="80" t="str">
        <f>IF(A776="","",'List Setup'!$A$5)</f>
        <v/>
      </c>
      <c r="R776" s="80" t="str">
        <f t="array" ref="R776">IF(A776="","",IFERROR(OR(INDEX(Binders!$J$6:$J$30,MATCH(Q776,Binders!$I$6:$I$30,0))=TRUE(),UPPER(INDEX(Binders!$J$6:$J$30,MATCH(Q776,Binders!$I$6:$I$30,0))&amp;"")="TRUE"),FALSE()))</f>
        <v/>
      </c>
    </row>
    <row r="777" ht="15.75" customHeight="1">
      <c r="A777" s="80" t="str">
        <f t="array" ref="A777">IF(INDEX('Deck 3'!$A:$Z,ROW()-750,'List Setup'!$D$5)="","",INDEX('Deck 3'!$A:$Z,ROW()-750,'List Setup'!$D$5))</f>
        <v/>
      </c>
      <c r="B777" s="80" t="str">
        <f t="array" ref="B777">IF(A777="","",IFERROR(INDEX('Binder Setup'!$B$2:$B$401,MIN(IF(ISNUMBER(SEARCH(CHAR(10)&amp;'Binder Setup'!$B$2:$B$401&amp;CHAR(10),$H777)),'List Setup'!$Q$2:$Q$401,999),IF(ISNUMBER(SEARCH(CHAR(10)&amp;'Set Aliases'!$A$2:$A$501&amp;CHAR(10),$H777)),'Set Aliases'!$C$2:$C$501,999))),"(none)"))</f>
        <v/>
      </c>
      <c r="C777" s="80" t="str">
        <f t="shared" si="1"/>
        <v/>
      </c>
      <c r="D777" s="80" t="str">
        <f t="array" ref="D777">IF(A777="","",IF(ISLOGICAL(INDEX('Deck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77" s="80" t="str">
        <f t="shared" si="2"/>
        <v/>
      </c>
      <c r="F777" s="80" t="str">
        <f t="array" ref="F777">IF(A777="","",IF(ISNUMBER(J777),J777,IF(ISNUMBER(INDEX('Deck 3'!$A:$Z,ROW()-750,'List Setup'!$F$5)),INDEX('Deck 3'!$A:$Z,ROW()-750,'List Setup'!$F$5),0)))</f>
        <v/>
      </c>
      <c r="G777" s="80" t="str">
        <f t="array" ref="G777">IF(A777="","",A777&amp;IF(N(INDEX('Deck 3'!$A:$Z,ROW()-750,'List Setup'!$C$5))&gt;1," (x"&amp;INDEX('Deck 3'!$A:$Z,ROW()-750,'List Setup'!$C$5)&amp;")","")&amp;IF(COUNTIF(Binders!$J$6:$J$30,TRUE())&gt;1," ["&amp;Q777&amp;"]",""))</f>
        <v/>
      </c>
      <c r="H777" s="80" t="str">
        <f t="array" ref="H777">IF(A777="","",CHAR(10)&amp;INDEX('Deck 3'!$A:$Z,ROW()-750,'List Setup'!$E$5)&amp;CHAR(10))</f>
        <v/>
      </c>
      <c r="I777" s="80" t="str">
        <f t="array" ref="I777">IF(OR(B777="",B777="(none)"),"",IF(ISNUMBER(SEARCH(CHAR(10)&amp;B777&amp;CHAR(10),H777)),B777,IFERROR(INDEX('Set Aliases'!$A$2:$A$501,MATCH(1,('Set Aliases'!$B$2:$B$501=B777)*ISNUMBER(SEARCH(CHAR(10)&amp;'Set Aliases'!$A$2:$A$501&amp;CHAR(10),H777)),0)),"")))</f>
        <v/>
      </c>
      <c r="J777" s="80" t="str">
        <f t="array" ref="J777">IF(I777="","",IFERROR(VALUE(TRIM(MID(SUBSTITUTE(INDEX('Deck 3'!$A:$Z,ROW()-750,'List Setup'!$G$5),CHAR(10),REPT(" ",100)),((SEARCH(CHAR(10)&amp;I777&amp;CHAR(10),H777)-LEN(SUBSTITUTE(LEFT(H777,SEARCH(CHAR(10)&amp;I777&amp;CHAR(10),H777)),CHAR(10),"")))-1)*100+1,100))),""))</f>
        <v/>
      </c>
      <c r="K777" s="80" t="str">
        <f t="array" ref="K777">IF(A777="","",IF(ISNUMBER(SEARCH("Land",LEFT(IFERROR(INDEX('Deck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77" s="80" t="str">
        <f t="shared" si="3"/>
        <v/>
      </c>
      <c r="M777" s="80" t="str">
        <f>IF(A777="","",IF(AND(E777="Y",B777='Use at Shop'!$B$4),K777*10000000000+(MAX(0,MIN(26,CODE(MID(UPPER(A777)&amp;"    ",1,1))-64))*19683+MAX(0,MIN(26,CODE(MID(UPPER(A777)&amp;"    ",2,1))-64))*729+MAX(0,MIN(26,CODE(MID(UPPER(A777)&amp;"    ",3,1))-64))*27+MAX(0,MIN(26,CODE(MID(UPPER(A777)&amp;"    ",4,1))-64))*1)*10000+ROW(),""))</f>
        <v/>
      </c>
      <c r="N777" s="80" t="str">
        <f t="shared" si="7"/>
        <v/>
      </c>
      <c r="O777" s="80" t="str">
        <f t="array" ref="O777">IF(A777="","",IFERROR(INDEX('Deck 3'!$A:$Z,ROW()-750,'List Setup'!$J$5)&amp;"",""))</f>
        <v/>
      </c>
      <c r="P777" s="2"/>
      <c r="Q777" s="80" t="str">
        <f>IF(A777="","",'List Setup'!$A$5)</f>
        <v/>
      </c>
      <c r="R777" s="80" t="str">
        <f t="array" ref="R777">IF(A777="","",IFERROR(OR(INDEX(Binders!$J$6:$J$30,MATCH(Q777,Binders!$I$6:$I$30,0))=TRUE(),UPPER(INDEX(Binders!$J$6:$J$30,MATCH(Q777,Binders!$I$6:$I$30,0))&amp;"")="TRUE"),FALSE()))</f>
        <v/>
      </c>
    </row>
    <row r="778" ht="15.75" customHeight="1">
      <c r="A778" s="80" t="str">
        <f t="array" ref="A778">IF(INDEX('Deck 3'!$A:$Z,ROW()-750,'List Setup'!$D$5)="","",INDEX('Deck 3'!$A:$Z,ROW()-750,'List Setup'!$D$5))</f>
        <v/>
      </c>
      <c r="B778" s="80" t="str">
        <f t="array" ref="B778">IF(A778="","",IFERROR(INDEX('Binder Setup'!$B$2:$B$401,MIN(IF(ISNUMBER(SEARCH(CHAR(10)&amp;'Binder Setup'!$B$2:$B$401&amp;CHAR(10),$H778)),'List Setup'!$Q$2:$Q$401,999),IF(ISNUMBER(SEARCH(CHAR(10)&amp;'Set Aliases'!$A$2:$A$501&amp;CHAR(10),$H778)),'Set Aliases'!$C$2:$C$501,999))),"(none)"))</f>
        <v/>
      </c>
      <c r="C778" s="80" t="str">
        <f t="shared" si="1"/>
        <v/>
      </c>
      <c r="D778" s="80" t="str">
        <f t="array" ref="D778">IF(A778="","",IF(ISLOGICAL(INDEX('Deck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78" s="80" t="str">
        <f t="shared" si="2"/>
        <v/>
      </c>
      <c r="F778" s="80" t="str">
        <f t="array" ref="F778">IF(A778="","",IF(ISNUMBER(J778),J778,IF(ISNUMBER(INDEX('Deck 3'!$A:$Z,ROW()-750,'List Setup'!$F$5)),INDEX('Deck 3'!$A:$Z,ROW()-750,'List Setup'!$F$5),0)))</f>
        <v/>
      </c>
      <c r="G778" s="80" t="str">
        <f t="array" ref="G778">IF(A778="","",A778&amp;IF(N(INDEX('Deck 3'!$A:$Z,ROW()-750,'List Setup'!$C$5))&gt;1," (x"&amp;INDEX('Deck 3'!$A:$Z,ROW()-750,'List Setup'!$C$5)&amp;")","")&amp;IF(COUNTIF(Binders!$J$6:$J$30,TRUE())&gt;1," ["&amp;Q778&amp;"]",""))</f>
        <v/>
      </c>
      <c r="H778" s="80" t="str">
        <f t="array" ref="H778">IF(A778="","",CHAR(10)&amp;INDEX('Deck 3'!$A:$Z,ROW()-750,'List Setup'!$E$5)&amp;CHAR(10))</f>
        <v/>
      </c>
      <c r="I778" s="80" t="str">
        <f t="array" ref="I778">IF(OR(B778="",B778="(none)"),"",IF(ISNUMBER(SEARCH(CHAR(10)&amp;B778&amp;CHAR(10),H778)),B778,IFERROR(INDEX('Set Aliases'!$A$2:$A$501,MATCH(1,('Set Aliases'!$B$2:$B$501=B778)*ISNUMBER(SEARCH(CHAR(10)&amp;'Set Aliases'!$A$2:$A$501&amp;CHAR(10),H778)),0)),"")))</f>
        <v/>
      </c>
      <c r="J778" s="80" t="str">
        <f t="array" ref="J778">IF(I778="","",IFERROR(VALUE(TRIM(MID(SUBSTITUTE(INDEX('Deck 3'!$A:$Z,ROW()-750,'List Setup'!$G$5),CHAR(10),REPT(" ",100)),((SEARCH(CHAR(10)&amp;I778&amp;CHAR(10),H778)-LEN(SUBSTITUTE(LEFT(H778,SEARCH(CHAR(10)&amp;I778&amp;CHAR(10),H778)),CHAR(10),"")))-1)*100+1,100))),""))</f>
        <v/>
      </c>
      <c r="K778" s="80" t="str">
        <f t="array" ref="K778">IF(A778="","",IF(ISNUMBER(SEARCH("Land",LEFT(IFERROR(INDEX('Deck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78" s="80" t="str">
        <f t="shared" si="3"/>
        <v/>
      </c>
      <c r="M778" s="80" t="str">
        <f>IF(A778="","",IF(AND(E778="Y",B778='Use at Shop'!$B$4),K778*10000000000+(MAX(0,MIN(26,CODE(MID(UPPER(A778)&amp;"    ",1,1))-64))*19683+MAX(0,MIN(26,CODE(MID(UPPER(A778)&amp;"    ",2,1))-64))*729+MAX(0,MIN(26,CODE(MID(UPPER(A778)&amp;"    ",3,1))-64))*27+MAX(0,MIN(26,CODE(MID(UPPER(A778)&amp;"    ",4,1))-64))*1)*10000+ROW(),""))</f>
        <v/>
      </c>
      <c r="N778" s="80" t="str">
        <f t="shared" si="7"/>
        <v/>
      </c>
      <c r="O778" s="80" t="str">
        <f t="array" ref="O778">IF(A778="","",IFERROR(INDEX('Deck 3'!$A:$Z,ROW()-750,'List Setup'!$J$5)&amp;"",""))</f>
        <v/>
      </c>
      <c r="P778" s="2"/>
      <c r="Q778" s="80" t="str">
        <f>IF(A778="","",'List Setup'!$A$5)</f>
        <v/>
      </c>
      <c r="R778" s="80" t="str">
        <f t="array" ref="R778">IF(A778="","",IFERROR(OR(INDEX(Binders!$J$6:$J$30,MATCH(Q778,Binders!$I$6:$I$30,0))=TRUE(),UPPER(INDEX(Binders!$J$6:$J$30,MATCH(Q778,Binders!$I$6:$I$30,0))&amp;"")="TRUE"),FALSE()))</f>
        <v/>
      </c>
    </row>
    <row r="779" ht="15.75" customHeight="1">
      <c r="A779" s="80" t="str">
        <f t="array" ref="A779">IF(INDEX('Deck 3'!$A:$Z,ROW()-750,'List Setup'!$D$5)="","",INDEX('Deck 3'!$A:$Z,ROW()-750,'List Setup'!$D$5))</f>
        <v/>
      </c>
      <c r="B779" s="80" t="str">
        <f t="array" ref="B779">IF(A779="","",IFERROR(INDEX('Binder Setup'!$B$2:$B$401,MIN(IF(ISNUMBER(SEARCH(CHAR(10)&amp;'Binder Setup'!$B$2:$B$401&amp;CHAR(10),$H779)),'List Setup'!$Q$2:$Q$401,999),IF(ISNUMBER(SEARCH(CHAR(10)&amp;'Set Aliases'!$A$2:$A$501&amp;CHAR(10),$H779)),'Set Aliases'!$C$2:$C$501,999))),"(none)"))</f>
        <v/>
      </c>
      <c r="C779" s="80" t="str">
        <f t="shared" si="1"/>
        <v/>
      </c>
      <c r="D779" s="80" t="str">
        <f t="array" ref="D779">IF(A779="","",IF(ISLOGICAL(INDEX('Deck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79" s="80" t="str">
        <f t="shared" si="2"/>
        <v/>
      </c>
      <c r="F779" s="80" t="str">
        <f t="array" ref="F779">IF(A779="","",IF(ISNUMBER(J779),J779,IF(ISNUMBER(INDEX('Deck 3'!$A:$Z,ROW()-750,'List Setup'!$F$5)),INDEX('Deck 3'!$A:$Z,ROW()-750,'List Setup'!$F$5),0)))</f>
        <v/>
      </c>
      <c r="G779" s="80" t="str">
        <f t="array" ref="G779">IF(A779="","",A779&amp;IF(N(INDEX('Deck 3'!$A:$Z,ROW()-750,'List Setup'!$C$5))&gt;1," (x"&amp;INDEX('Deck 3'!$A:$Z,ROW()-750,'List Setup'!$C$5)&amp;")","")&amp;IF(COUNTIF(Binders!$J$6:$J$30,TRUE())&gt;1," ["&amp;Q779&amp;"]",""))</f>
        <v/>
      </c>
      <c r="H779" s="80" t="str">
        <f t="array" ref="H779">IF(A779="","",CHAR(10)&amp;INDEX('Deck 3'!$A:$Z,ROW()-750,'List Setup'!$E$5)&amp;CHAR(10))</f>
        <v/>
      </c>
      <c r="I779" s="80" t="str">
        <f t="array" ref="I779">IF(OR(B779="",B779="(none)"),"",IF(ISNUMBER(SEARCH(CHAR(10)&amp;B779&amp;CHAR(10),H779)),B779,IFERROR(INDEX('Set Aliases'!$A$2:$A$501,MATCH(1,('Set Aliases'!$B$2:$B$501=B779)*ISNUMBER(SEARCH(CHAR(10)&amp;'Set Aliases'!$A$2:$A$501&amp;CHAR(10),H779)),0)),"")))</f>
        <v/>
      </c>
      <c r="J779" s="80" t="str">
        <f t="array" ref="J779">IF(I779="","",IFERROR(VALUE(TRIM(MID(SUBSTITUTE(INDEX('Deck 3'!$A:$Z,ROW()-750,'List Setup'!$G$5),CHAR(10),REPT(" ",100)),((SEARCH(CHAR(10)&amp;I779&amp;CHAR(10),H779)-LEN(SUBSTITUTE(LEFT(H779,SEARCH(CHAR(10)&amp;I779&amp;CHAR(10),H779)),CHAR(10),"")))-1)*100+1,100))),""))</f>
        <v/>
      </c>
      <c r="K779" s="80" t="str">
        <f t="array" ref="K779">IF(A779="","",IF(ISNUMBER(SEARCH("Land",LEFT(IFERROR(INDEX('Deck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79" s="80" t="str">
        <f t="shared" si="3"/>
        <v/>
      </c>
      <c r="M779" s="80" t="str">
        <f>IF(A779="","",IF(AND(E779="Y",B779='Use at Shop'!$B$4),K779*10000000000+(MAX(0,MIN(26,CODE(MID(UPPER(A779)&amp;"    ",1,1))-64))*19683+MAX(0,MIN(26,CODE(MID(UPPER(A779)&amp;"    ",2,1))-64))*729+MAX(0,MIN(26,CODE(MID(UPPER(A779)&amp;"    ",3,1))-64))*27+MAX(0,MIN(26,CODE(MID(UPPER(A779)&amp;"    ",4,1))-64))*1)*10000+ROW(),""))</f>
        <v/>
      </c>
      <c r="N779" s="80" t="str">
        <f t="shared" si="7"/>
        <v/>
      </c>
      <c r="O779" s="80" t="str">
        <f t="array" ref="O779">IF(A779="","",IFERROR(INDEX('Deck 3'!$A:$Z,ROW()-750,'List Setup'!$J$5)&amp;"",""))</f>
        <v/>
      </c>
      <c r="P779" s="2"/>
      <c r="Q779" s="80" t="str">
        <f>IF(A779="","",'List Setup'!$A$5)</f>
        <v/>
      </c>
      <c r="R779" s="80" t="str">
        <f t="array" ref="R779">IF(A779="","",IFERROR(OR(INDEX(Binders!$J$6:$J$30,MATCH(Q779,Binders!$I$6:$I$30,0))=TRUE(),UPPER(INDEX(Binders!$J$6:$J$30,MATCH(Q779,Binders!$I$6:$I$30,0))&amp;"")="TRUE"),FALSE()))</f>
        <v/>
      </c>
    </row>
    <row r="780" ht="15.75" customHeight="1">
      <c r="A780" s="80" t="str">
        <f t="array" ref="A780">IF(INDEX('Deck 3'!$A:$Z,ROW()-750,'List Setup'!$D$5)="","",INDEX('Deck 3'!$A:$Z,ROW()-750,'List Setup'!$D$5))</f>
        <v/>
      </c>
      <c r="B780" s="80" t="str">
        <f t="array" ref="B780">IF(A780="","",IFERROR(INDEX('Binder Setup'!$B$2:$B$401,MIN(IF(ISNUMBER(SEARCH(CHAR(10)&amp;'Binder Setup'!$B$2:$B$401&amp;CHAR(10),$H780)),'List Setup'!$Q$2:$Q$401,999),IF(ISNUMBER(SEARCH(CHAR(10)&amp;'Set Aliases'!$A$2:$A$501&amp;CHAR(10),$H780)),'Set Aliases'!$C$2:$C$501,999))),"(none)"))</f>
        <v/>
      </c>
      <c r="C780" s="80" t="str">
        <f t="shared" si="1"/>
        <v/>
      </c>
      <c r="D780" s="80" t="str">
        <f t="array" ref="D780">IF(A780="","",IF(ISLOGICAL(INDEX('Deck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80" s="80" t="str">
        <f t="shared" si="2"/>
        <v/>
      </c>
      <c r="F780" s="80" t="str">
        <f t="array" ref="F780">IF(A780="","",IF(ISNUMBER(J780),J780,IF(ISNUMBER(INDEX('Deck 3'!$A:$Z,ROW()-750,'List Setup'!$F$5)),INDEX('Deck 3'!$A:$Z,ROW()-750,'List Setup'!$F$5),0)))</f>
        <v/>
      </c>
      <c r="G780" s="80" t="str">
        <f t="array" ref="G780">IF(A780="","",A780&amp;IF(N(INDEX('Deck 3'!$A:$Z,ROW()-750,'List Setup'!$C$5))&gt;1," (x"&amp;INDEX('Deck 3'!$A:$Z,ROW()-750,'List Setup'!$C$5)&amp;")","")&amp;IF(COUNTIF(Binders!$J$6:$J$30,TRUE())&gt;1," ["&amp;Q780&amp;"]",""))</f>
        <v/>
      </c>
      <c r="H780" s="80" t="str">
        <f t="array" ref="H780">IF(A780="","",CHAR(10)&amp;INDEX('Deck 3'!$A:$Z,ROW()-750,'List Setup'!$E$5)&amp;CHAR(10))</f>
        <v/>
      </c>
      <c r="I780" s="80" t="str">
        <f t="array" ref="I780">IF(OR(B780="",B780="(none)"),"",IF(ISNUMBER(SEARCH(CHAR(10)&amp;B780&amp;CHAR(10),H780)),B780,IFERROR(INDEX('Set Aliases'!$A$2:$A$501,MATCH(1,('Set Aliases'!$B$2:$B$501=B780)*ISNUMBER(SEARCH(CHAR(10)&amp;'Set Aliases'!$A$2:$A$501&amp;CHAR(10),H780)),0)),"")))</f>
        <v/>
      </c>
      <c r="J780" s="80" t="str">
        <f t="array" ref="J780">IF(I780="","",IFERROR(VALUE(TRIM(MID(SUBSTITUTE(INDEX('Deck 3'!$A:$Z,ROW()-750,'List Setup'!$G$5),CHAR(10),REPT(" ",100)),((SEARCH(CHAR(10)&amp;I780&amp;CHAR(10),H780)-LEN(SUBSTITUTE(LEFT(H780,SEARCH(CHAR(10)&amp;I780&amp;CHAR(10),H780)),CHAR(10),"")))-1)*100+1,100))),""))</f>
        <v/>
      </c>
      <c r="K780" s="80" t="str">
        <f t="array" ref="K780">IF(A780="","",IF(ISNUMBER(SEARCH("Land",LEFT(IFERROR(INDEX('Deck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80" s="80" t="str">
        <f t="shared" si="3"/>
        <v/>
      </c>
      <c r="M780" s="80" t="str">
        <f>IF(A780="","",IF(AND(E780="Y",B780='Use at Shop'!$B$4),K780*10000000000+(MAX(0,MIN(26,CODE(MID(UPPER(A780)&amp;"    ",1,1))-64))*19683+MAX(0,MIN(26,CODE(MID(UPPER(A780)&amp;"    ",2,1))-64))*729+MAX(0,MIN(26,CODE(MID(UPPER(A780)&amp;"    ",3,1))-64))*27+MAX(0,MIN(26,CODE(MID(UPPER(A780)&amp;"    ",4,1))-64))*1)*10000+ROW(),""))</f>
        <v/>
      </c>
      <c r="N780" s="80" t="str">
        <f t="shared" si="7"/>
        <v/>
      </c>
      <c r="O780" s="80" t="str">
        <f t="array" ref="O780">IF(A780="","",IFERROR(INDEX('Deck 3'!$A:$Z,ROW()-750,'List Setup'!$J$5)&amp;"",""))</f>
        <v/>
      </c>
      <c r="P780" s="2"/>
      <c r="Q780" s="80" t="str">
        <f>IF(A780="","",'List Setup'!$A$5)</f>
        <v/>
      </c>
      <c r="R780" s="80" t="str">
        <f t="array" ref="R780">IF(A780="","",IFERROR(OR(INDEX(Binders!$J$6:$J$30,MATCH(Q780,Binders!$I$6:$I$30,0))=TRUE(),UPPER(INDEX(Binders!$J$6:$J$30,MATCH(Q780,Binders!$I$6:$I$30,0))&amp;"")="TRUE"),FALSE()))</f>
        <v/>
      </c>
    </row>
    <row r="781" ht="15.75" customHeight="1">
      <c r="A781" s="80" t="str">
        <f t="array" ref="A781">IF(INDEX('Deck 3'!$A:$Z,ROW()-750,'List Setup'!$D$5)="","",INDEX('Deck 3'!$A:$Z,ROW()-750,'List Setup'!$D$5))</f>
        <v/>
      </c>
      <c r="B781" s="80" t="str">
        <f t="array" ref="B781">IF(A781="","",IFERROR(INDEX('Binder Setup'!$B$2:$B$401,MIN(IF(ISNUMBER(SEARCH(CHAR(10)&amp;'Binder Setup'!$B$2:$B$401&amp;CHAR(10),$H781)),'List Setup'!$Q$2:$Q$401,999),IF(ISNUMBER(SEARCH(CHAR(10)&amp;'Set Aliases'!$A$2:$A$501&amp;CHAR(10),$H781)),'Set Aliases'!$C$2:$C$501,999))),"(none)"))</f>
        <v/>
      </c>
      <c r="C781" s="80" t="str">
        <f t="shared" si="1"/>
        <v/>
      </c>
      <c r="D781" s="80" t="str">
        <f t="array" ref="D781">IF(A781="","",IF(ISLOGICAL(INDEX('Deck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81" s="80" t="str">
        <f t="shared" si="2"/>
        <v/>
      </c>
      <c r="F781" s="80" t="str">
        <f t="array" ref="F781">IF(A781="","",IF(ISNUMBER(J781),J781,IF(ISNUMBER(INDEX('Deck 3'!$A:$Z,ROW()-750,'List Setup'!$F$5)),INDEX('Deck 3'!$A:$Z,ROW()-750,'List Setup'!$F$5),0)))</f>
        <v/>
      </c>
      <c r="G781" s="80" t="str">
        <f t="array" ref="G781">IF(A781="","",A781&amp;IF(N(INDEX('Deck 3'!$A:$Z,ROW()-750,'List Setup'!$C$5))&gt;1," (x"&amp;INDEX('Deck 3'!$A:$Z,ROW()-750,'List Setup'!$C$5)&amp;")","")&amp;IF(COUNTIF(Binders!$J$6:$J$30,TRUE())&gt;1," ["&amp;Q781&amp;"]",""))</f>
        <v/>
      </c>
      <c r="H781" s="80" t="str">
        <f t="array" ref="H781">IF(A781="","",CHAR(10)&amp;INDEX('Deck 3'!$A:$Z,ROW()-750,'List Setup'!$E$5)&amp;CHAR(10))</f>
        <v/>
      </c>
      <c r="I781" s="80" t="str">
        <f t="array" ref="I781">IF(OR(B781="",B781="(none)"),"",IF(ISNUMBER(SEARCH(CHAR(10)&amp;B781&amp;CHAR(10),H781)),B781,IFERROR(INDEX('Set Aliases'!$A$2:$A$501,MATCH(1,('Set Aliases'!$B$2:$B$501=B781)*ISNUMBER(SEARCH(CHAR(10)&amp;'Set Aliases'!$A$2:$A$501&amp;CHAR(10),H781)),0)),"")))</f>
        <v/>
      </c>
      <c r="J781" s="80" t="str">
        <f t="array" ref="J781">IF(I781="","",IFERROR(VALUE(TRIM(MID(SUBSTITUTE(INDEX('Deck 3'!$A:$Z,ROW()-750,'List Setup'!$G$5),CHAR(10),REPT(" ",100)),((SEARCH(CHAR(10)&amp;I781&amp;CHAR(10),H781)-LEN(SUBSTITUTE(LEFT(H781,SEARCH(CHAR(10)&amp;I781&amp;CHAR(10),H781)),CHAR(10),"")))-1)*100+1,100))),""))</f>
        <v/>
      </c>
      <c r="K781" s="80" t="str">
        <f t="array" ref="K781">IF(A781="","",IF(ISNUMBER(SEARCH("Land",LEFT(IFERROR(INDEX('Deck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81" s="80" t="str">
        <f t="shared" si="3"/>
        <v/>
      </c>
      <c r="M781" s="80" t="str">
        <f>IF(A781="","",IF(AND(E781="Y",B781='Use at Shop'!$B$4),K781*10000000000+(MAX(0,MIN(26,CODE(MID(UPPER(A781)&amp;"    ",1,1))-64))*19683+MAX(0,MIN(26,CODE(MID(UPPER(A781)&amp;"    ",2,1))-64))*729+MAX(0,MIN(26,CODE(MID(UPPER(A781)&amp;"    ",3,1))-64))*27+MAX(0,MIN(26,CODE(MID(UPPER(A781)&amp;"    ",4,1))-64))*1)*10000+ROW(),""))</f>
        <v/>
      </c>
      <c r="N781" s="80" t="str">
        <f t="shared" si="7"/>
        <v/>
      </c>
      <c r="O781" s="80" t="str">
        <f t="array" ref="O781">IF(A781="","",IFERROR(INDEX('Deck 3'!$A:$Z,ROW()-750,'List Setup'!$J$5)&amp;"",""))</f>
        <v/>
      </c>
      <c r="P781" s="2"/>
      <c r="Q781" s="80" t="str">
        <f>IF(A781="","",'List Setup'!$A$5)</f>
        <v/>
      </c>
      <c r="R781" s="80" t="str">
        <f t="array" ref="R781">IF(A781="","",IFERROR(OR(INDEX(Binders!$J$6:$J$30,MATCH(Q781,Binders!$I$6:$I$30,0))=TRUE(),UPPER(INDEX(Binders!$J$6:$J$30,MATCH(Q781,Binders!$I$6:$I$30,0))&amp;"")="TRUE"),FALSE()))</f>
        <v/>
      </c>
    </row>
    <row r="782" ht="15.75" customHeight="1">
      <c r="A782" s="80" t="str">
        <f t="array" ref="A782">IF(INDEX('Deck 3'!$A:$Z,ROW()-750,'List Setup'!$D$5)="","",INDEX('Deck 3'!$A:$Z,ROW()-750,'List Setup'!$D$5))</f>
        <v/>
      </c>
      <c r="B782" s="80" t="str">
        <f t="array" ref="B782">IF(A782="","",IFERROR(INDEX('Binder Setup'!$B$2:$B$401,MIN(IF(ISNUMBER(SEARCH(CHAR(10)&amp;'Binder Setup'!$B$2:$B$401&amp;CHAR(10),$H782)),'List Setup'!$Q$2:$Q$401,999),IF(ISNUMBER(SEARCH(CHAR(10)&amp;'Set Aliases'!$A$2:$A$501&amp;CHAR(10),$H782)),'Set Aliases'!$C$2:$C$501,999))),"(none)"))</f>
        <v/>
      </c>
      <c r="C782" s="80" t="str">
        <f t="shared" si="1"/>
        <v/>
      </c>
      <c r="D782" s="80" t="str">
        <f t="array" ref="D782">IF(A782="","",IF(ISLOGICAL(INDEX('Deck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82" s="80" t="str">
        <f t="shared" si="2"/>
        <v/>
      </c>
      <c r="F782" s="80" t="str">
        <f t="array" ref="F782">IF(A782="","",IF(ISNUMBER(J782),J782,IF(ISNUMBER(INDEX('Deck 3'!$A:$Z,ROW()-750,'List Setup'!$F$5)),INDEX('Deck 3'!$A:$Z,ROW()-750,'List Setup'!$F$5),0)))</f>
        <v/>
      </c>
      <c r="G782" s="80" t="str">
        <f t="array" ref="G782">IF(A782="","",A782&amp;IF(N(INDEX('Deck 3'!$A:$Z,ROW()-750,'List Setup'!$C$5))&gt;1," (x"&amp;INDEX('Deck 3'!$A:$Z,ROW()-750,'List Setup'!$C$5)&amp;")","")&amp;IF(COUNTIF(Binders!$J$6:$J$30,TRUE())&gt;1," ["&amp;Q782&amp;"]",""))</f>
        <v/>
      </c>
      <c r="H782" s="80" t="str">
        <f t="array" ref="H782">IF(A782="","",CHAR(10)&amp;INDEX('Deck 3'!$A:$Z,ROW()-750,'List Setup'!$E$5)&amp;CHAR(10))</f>
        <v/>
      </c>
      <c r="I782" s="80" t="str">
        <f t="array" ref="I782">IF(OR(B782="",B782="(none)"),"",IF(ISNUMBER(SEARCH(CHAR(10)&amp;B782&amp;CHAR(10),H782)),B782,IFERROR(INDEX('Set Aliases'!$A$2:$A$501,MATCH(1,('Set Aliases'!$B$2:$B$501=B782)*ISNUMBER(SEARCH(CHAR(10)&amp;'Set Aliases'!$A$2:$A$501&amp;CHAR(10),H782)),0)),"")))</f>
        <v/>
      </c>
      <c r="J782" s="80" t="str">
        <f t="array" ref="J782">IF(I782="","",IFERROR(VALUE(TRIM(MID(SUBSTITUTE(INDEX('Deck 3'!$A:$Z,ROW()-750,'List Setup'!$G$5),CHAR(10),REPT(" ",100)),((SEARCH(CHAR(10)&amp;I782&amp;CHAR(10),H782)-LEN(SUBSTITUTE(LEFT(H782,SEARCH(CHAR(10)&amp;I782&amp;CHAR(10),H782)),CHAR(10),"")))-1)*100+1,100))),""))</f>
        <v/>
      </c>
      <c r="K782" s="80" t="str">
        <f t="array" ref="K782">IF(A782="","",IF(ISNUMBER(SEARCH("Land",LEFT(IFERROR(INDEX('Deck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82" s="80" t="str">
        <f t="shared" si="3"/>
        <v/>
      </c>
      <c r="M782" s="80" t="str">
        <f>IF(A782="","",IF(AND(E782="Y",B782='Use at Shop'!$B$4),K782*10000000000+(MAX(0,MIN(26,CODE(MID(UPPER(A782)&amp;"    ",1,1))-64))*19683+MAX(0,MIN(26,CODE(MID(UPPER(A782)&amp;"    ",2,1))-64))*729+MAX(0,MIN(26,CODE(MID(UPPER(A782)&amp;"    ",3,1))-64))*27+MAX(0,MIN(26,CODE(MID(UPPER(A782)&amp;"    ",4,1))-64))*1)*10000+ROW(),""))</f>
        <v/>
      </c>
      <c r="N782" s="80" t="str">
        <f t="shared" si="7"/>
        <v/>
      </c>
      <c r="O782" s="80" t="str">
        <f t="array" ref="O782">IF(A782="","",IFERROR(INDEX('Deck 3'!$A:$Z,ROW()-750,'List Setup'!$J$5)&amp;"",""))</f>
        <v/>
      </c>
      <c r="P782" s="2"/>
      <c r="Q782" s="80" t="str">
        <f>IF(A782="","",'List Setup'!$A$5)</f>
        <v/>
      </c>
      <c r="R782" s="80" t="str">
        <f t="array" ref="R782">IF(A782="","",IFERROR(OR(INDEX(Binders!$J$6:$J$30,MATCH(Q782,Binders!$I$6:$I$30,0))=TRUE(),UPPER(INDEX(Binders!$J$6:$J$30,MATCH(Q782,Binders!$I$6:$I$30,0))&amp;"")="TRUE"),FALSE()))</f>
        <v/>
      </c>
    </row>
    <row r="783" ht="15.75" customHeight="1">
      <c r="A783" s="80" t="str">
        <f t="array" ref="A783">IF(INDEX('Deck 3'!$A:$Z,ROW()-750,'List Setup'!$D$5)="","",INDEX('Deck 3'!$A:$Z,ROW()-750,'List Setup'!$D$5))</f>
        <v/>
      </c>
      <c r="B783" s="80" t="str">
        <f t="array" ref="B783">IF(A783="","",IFERROR(INDEX('Binder Setup'!$B$2:$B$401,MIN(IF(ISNUMBER(SEARCH(CHAR(10)&amp;'Binder Setup'!$B$2:$B$401&amp;CHAR(10),$H783)),'List Setup'!$Q$2:$Q$401,999),IF(ISNUMBER(SEARCH(CHAR(10)&amp;'Set Aliases'!$A$2:$A$501&amp;CHAR(10),$H783)),'Set Aliases'!$C$2:$C$501,999))),"(none)"))</f>
        <v/>
      </c>
      <c r="C783" s="80" t="str">
        <f t="shared" si="1"/>
        <v/>
      </c>
      <c r="D783" s="80" t="str">
        <f t="array" ref="D783">IF(A783="","",IF(ISLOGICAL(INDEX('Deck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83" s="80" t="str">
        <f t="shared" si="2"/>
        <v/>
      </c>
      <c r="F783" s="80" t="str">
        <f t="array" ref="F783">IF(A783="","",IF(ISNUMBER(J783),J783,IF(ISNUMBER(INDEX('Deck 3'!$A:$Z,ROW()-750,'List Setup'!$F$5)),INDEX('Deck 3'!$A:$Z,ROW()-750,'List Setup'!$F$5),0)))</f>
        <v/>
      </c>
      <c r="G783" s="80" t="str">
        <f t="array" ref="G783">IF(A783="","",A783&amp;IF(N(INDEX('Deck 3'!$A:$Z,ROW()-750,'List Setup'!$C$5))&gt;1," (x"&amp;INDEX('Deck 3'!$A:$Z,ROW()-750,'List Setup'!$C$5)&amp;")","")&amp;IF(COUNTIF(Binders!$J$6:$J$30,TRUE())&gt;1," ["&amp;Q783&amp;"]",""))</f>
        <v/>
      </c>
      <c r="H783" s="80" t="str">
        <f t="array" ref="H783">IF(A783="","",CHAR(10)&amp;INDEX('Deck 3'!$A:$Z,ROW()-750,'List Setup'!$E$5)&amp;CHAR(10))</f>
        <v/>
      </c>
      <c r="I783" s="80" t="str">
        <f t="array" ref="I783">IF(OR(B783="",B783="(none)"),"",IF(ISNUMBER(SEARCH(CHAR(10)&amp;B783&amp;CHAR(10),H783)),B783,IFERROR(INDEX('Set Aliases'!$A$2:$A$501,MATCH(1,('Set Aliases'!$B$2:$B$501=B783)*ISNUMBER(SEARCH(CHAR(10)&amp;'Set Aliases'!$A$2:$A$501&amp;CHAR(10),H783)),0)),"")))</f>
        <v/>
      </c>
      <c r="J783" s="80" t="str">
        <f t="array" ref="J783">IF(I783="","",IFERROR(VALUE(TRIM(MID(SUBSTITUTE(INDEX('Deck 3'!$A:$Z,ROW()-750,'List Setup'!$G$5),CHAR(10),REPT(" ",100)),((SEARCH(CHAR(10)&amp;I783&amp;CHAR(10),H783)-LEN(SUBSTITUTE(LEFT(H783,SEARCH(CHAR(10)&amp;I783&amp;CHAR(10),H783)),CHAR(10),"")))-1)*100+1,100))),""))</f>
        <v/>
      </c>
      <c r="K783" s="80" t="str">
        <f t="array" ref="K783">IF(A783="","",IF(ISNUMBER(SEARCH("Land",LEFT(IFERROR(INDEX('Deck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83" s="80" t="str">
        <f t="shared" si="3"/>
        <v/>
      </c>
      <c r="M783" s="80" t="str">
        <f>IF(A783="","",IF(AND(E783="Y",B783='Use at Shop'!$B$4),K783*10000000000+(MAX(0,MIN(26,CODE(MID(UPPER(A783)&amp;"    ",1,1))-64))*19683+MAX(0,MIN(26,CODE(MID(UPPER(A783)&amp;"    ",2,1))-64))*729+MAX(0,MIN(26,CODE(MID(UPPER(A783)&amp;"    ",3,1))-64))*27+MAX(0,MIN(26,CODE(MID(UPPER(A783)&amp;"    ",4,1))-64))*1)*10000+ROW(),""))</f>
        <v/>
      </c>
      <c r="N783" s="80" t="str">
        <f t="shared" si="7"/>
        <v/>
      </c>
      <c r="O783" s="80" t="str">
        <f t="array" ref="O783">IF(A783="","",IFERROR(INDEX('Deck 3'!$A:$Z,ROW()-750,'List Setup'!$J$5)&amp;"",""))</f>
        <v/>
      </c>
      <c r="P783" s="2"/>
      <c r="Q783" s="80" t="str">
        <f>IF(A783="","",'List Setup'!$A$5)</f>
        <v/>
      </c>
      <c r="R783" s="80" t="str">
        <f t="array" ref="R783">IF(A783="","",IFERROR(OR(INDEX(Binders!$J$6:$J$30,MATCH(Q783,Binders!$I$6:$I$30,0))=TRUE(),UPPER(INDEX(Binders!$J$6:$J$30,MATCH(Q783,Binders!$I$6:$I$30,0))&amp;"")="TRUE"),FALSE()))</f>
        <v/>
      </c>
    </row>
    <row r="784" ht="15.75" customHeight="1">
      <c r="A784" s="80" t="str">
        <f t="array" ref="A784">IF(INDEX('Deck 3'!$A:$Z,ROW()-750,'List Setup'!$D$5)="","",INDEX('Deck 3'!$A:$Z,ROW()-750,'List Setup'!$D$5))</f>
        <v/>
      </c>
      <c r="B784" s="80" t="str">
        <f t="array" ref="B784">IF(A784="","",IFERROR(INDEX('Binder Setup'!$B$2:$B$401,MIN(IF(ISNUMBER(SEARCH(CHAR(10)&amp;'Binder Setup'!$B$2:$B$401&amp;CHAR(10),$H784)),'List Setup'!$Q$2:$Q$401,999),IF(ISNUMBER(SEARCH(CHAR(10)&amp;'Set Aliases'!$A$2:$A$501&amp;CHAR(10),$H784)),'Set Aliases'!$C$2:$C$501,999))),"(none)"))</f>
        <v/>
      </c>
      <c r="C784" s="80" t="str">
        <f t="shared" si="1"/>
        <v/>
      </c>
      <c r="D784" s="80" t="str">
        <f t="array" ref="D784">IF(A784="","",IF(ISLOGICAL(INDEX('Deck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84" s="80" t="str">
        <f t="shared" si="2"/>
        <v/>
      </c>
      <c r="F784" s="80" t="str">
        <f t="array" ref="F784">IF(A784="","",IF(ISNUMBER(J784),J784,IF(ISNUMBER(INDEX('Deck 3'!$A:$Z,ROW()-750,'List Setup'!$F$5)),INDEX('Deck 3'!$A:$Z,ROW()-750,'List Setup'!$F$5),0)))</f>
        <v/>
      </c>
      <c r="G784" s="80" t="str">
        <f t="array" ref="G784">IF(A784="","",A784&amp;IF(N(INDEX('Deck 3'!$A:$Z,ROW()-750,'List Setup'!$C$5))&gt;1," (x"&amp;INDEX('Deck 3'!$A:$Z,ROW()-750,'List Setup'!$C$5)&amp;")","")&amp;IF(COUNTIF(Binders!$J$6:$J$30,TRUE())&gt;1," ["&amp;Q784&amp;"]",""))</f>
        <v/>
      </c>
      <c r="H784" s="80" t="str">
        <f t="array" ref="H784">IF(A784="","",CHAR(10)&amp;INDEX('Deck 3'!$A:$Z,ROW()-750,'List Setup'!$E$5)&amp;CHAR(10))</f>
        <v/>
      </c>
      <c r="I784" s="80" t="str">
        <f t="array" ref="I784">IF(OR(B784="",B784="(none)"),"",IF(ISNUMBER(SEARCH(CHAR(10)&amp;B784&amp;CHAR(10),H784)),B784,IFERROR(INDEX('Set Aliases'!$A$2:$A$501,MATCH(1,('Set Aliases'!$B$2:$B$501=B784)*ISNUMBER(SEARCH(CHAR(10)&amp;'Set Aliases'!$A$2:$A$501&amp;CHAR(10),H784)),0)),"")))</f>
        <v/>
      </c>
      <c r="J784" s="80" t="str">
        <f t="array" ref="J784">IF(I784="","",IFERROR(VALUE(TRIM(MID(SUBSTITUTE(INDEX('Deck 3'!$A:$Z,ROW()-750,'List Setup'!$G$5),CHAR(10),REPT(" ",100)),((SEARCH(CHAR(10)&amp;I784&amp;CHAR(10),H784)-LEN(SUBSTITUTE(LEFT(H784,SEARCH(CHAR(10)&amp;I784&amp;CHAR(10),H784)),CHAR(10),"")))-1)*100+1,100))),""))</f>
        <v/>
      </c>
      <c r="K784" s="80" t="str">
        <f t="array" ref="K784">IF(A784="","",IF(ISNUMBER(SEARCH("Land",LEFT(IFERROR(INDEX('Deck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84" s="80" t="str">
        <f t="shared" si="3"/>
        <v/>
      </c>
      <c r="M784" s="80" t="str">
        <f>IF(A784="","",IF(AND(E784="Y",B784='Use at Shop'!$B$4),K784*10000000000+(MAX(0,MIN(26,CODE(MID(UPPER(A784)&amp;"    ",1,1))-64))*19683+MAX(0,MIN(26,CODE(MID(UPPER(A784)&amp;"    ",2,1))-64))*729+MAX(0,MIN(26,CODE(MID(UPPER(A784)&amp;"    ",3,1))-64))*27+MAX(0,MIN(26,CODE(MID(UPPER(A784)&amp;"    ",4,1))-64))*1)*10000+ROW(),""))</f>
        <v/>
      </c>
      <c r="N784" s="80" t="str">
        <f t="shared" si="7"/>
        <v/>
      </c>
      <c r="O784" s="80" t="str">
        <f t="array" ref="O784">IF(A784="","",IFERROR(INDEX('Deck 3'!$A:$Z,ROW()-750,'List Setup'!$J$5)&amp;"",""))</f>
        <v/>
      </c>
      <c r="P784" s="2"/>
      <c r="Q784" s="80" t="str">
        <f>IF(A784="","",'List Setup'!$A$5)</f>
        <v/>
      </c>
      <c r="R784" s="80" t="str">
        <f t="array" ref="R784">IF(A784="","",IFERROR(OR(INDEX(Binders!$J$6:$J$30,MATCH(Q784,Binders!$I$6:$I$30,0))=TRUE(),UPPER(INDEX(Binders!$J$6:$J$30,MATCH(Q784,Binders!$I$6:$I$30,0))&amp;"")="TRUE"),FALSE()))</f>
        <v/>
      </c>
    </row>
    <row r="785" ht="15.75" customHeight="1">
      <c r="A785" s="80" t="str">
        <f t="array" ref="A785">IF(INDEX('Deck 3'!$A:$Z,ROW()-750,'List Setup'!$D$5)="","",INDEX('Deck 3'!$A:$Z,ROW()-750,'List Setup'!$D$5))</f>
        <v/>
      </c>
      <c r="B785" s="80" t="str">
        <f t="array" ref="B785">IF(A785="","",IFERROR(INDEX('Binder Setup'!$B$2:$B$401,MIN(IF(ISNUMBER(SEARCH(CHAR(10)&amp;'Binder Setup'!$B$2:$B$401&amp;CHAR(10),$H785)),'List Setup'!$Q$2:$Q$401,999),IF(ISNUMBER(SEARCH(CHAR(10)&amp;'Set Aliases'!$A$2:$A$501&amp;CHAR(10),$H785)),'Set Aliases'!$C$2:$C$501,999))),"(none)"))</f>
        <v/>
      </c>
      <c r="C785" s="80" t="str">
        <f t="shared" si="1"/>
        <v/>
      </c>
      <c r="D785" s="80" t="str">
        <f t="array" ref="D785">IF(A785="","",IF(ISLOGICAL(INDEX('Deck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85" s="80" t="str">
        <f t="shared" si="2"/>
        <v/>
      </c>
      <c r="F785" s="80" t="str">
        <f t="array" ref="F785">IF(A785="","",IF(ISNUMBER(J785),J785,IF(ISNUMBER(INDEX('Deck 3'!$A:$Z,ROW()-750,'List Setup'!$F$5)),INDEX('Deck 3'!$A:$Z,ROW()-750,'List Setup'!$F$5),0)))</f>
        <v/>
      </c>
      <c r="G785" s="80" t="str">
        <f t="array" ref="G785">IF(A785="","",A785&amp;IF(N(INDEX('Deck 3'!$A:$Z,ROW()-750,'List Setup'!$C$5))&gt;1," (x"&amp;INDEX('Deck 3'!$A:$Z,ROW()-750,'List Setup'!$C$5)&amp;")","")&amp;IF(COUNTIF(Binders!$J$6:$J$30,TRUE())&gt;1," ["&amp;Q785&amp;"]",""))</f>
        <v/>
      </c>
      <c r="H785" s="80" t="str">
        <f t="array" ref="H785">IF(A785="","",CHAR(10)&amp;INDEX('Deck 3'!$A:$Z,ROW()-750,'List Setup'!$E$5)&amp;CHAR(10))</f>
        <v/>
      </c>
      <c r="I785" s="80" t="str">
        <f t="array" ref="I785">IF(OR(B785="",B785="(none)"),"",IF(ISNUMBER(SEARCH(CHAR(10)&amp;B785&amp;CHAR(10),H785)),B785,IFERROR(INDEX('Set Aliases'!$A$2:$A$501,MATCH(1,('Set Aliases'!$B$2:$B$501=B785)*ISNUMBER(SEARCH(CHAR(10)&amp;'Set Aliases'!$A$2:$A$501&amp;CHAR(10),H785)),0)),"")))</f>
        <v/>
      </c>
      <c r="J785" s="80" t="str">
        <f t="array" ref="J785">IF(I785="","",IFERROR(VALUE(TRIM(MID(SUBSTITUTE(INDEX('Deck 3'!$A:$Z,ROW()-750,'List Setup'!$G$5),CHAR(10),REPT(" ",100)),((SEARCH(CHAR(10)&amp;I785&amp;CHAR(10),H785)-LEN(SUBSTITUTE(LEFT(H785,SEARCH(CHAR(10)&amp;I785&amp;CHAR(10),H785)),CHAR(10),"")))-1)*100+1,100))),""))</f>
        <v/>
      </c>
      <c r="K785" s="80" t="str">
        <f t="array" ref="K785">IF(A785="","",IF(ISNUMBER(SEARCH("Land",LEFT(IFERROR(INDEX('Deck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85" s="80" t="str">
        <f t="shared" si="3"/>
        <v/>
      </c>
      <c r="M785" s="80" t="str">
        <f>IF(A785="","",IF(AND(E785="Y",B785='Use at Shop'!$B$4),K785*10000000000+(MAX(0,MIN(26,CODE(MID(UPPER(A785)&amp;"    ",1,1))-64))*19683+MAX(0,MIN(26,CODE(MID(UPPER(A785)&amp;"    ",2,1))-64))*729+MAX(0,MIN(26,CODE(MID(UPPER(A785)&amp;"    ",3,1))-64))*27+MAX(0,MIN(26,CODE(MID(UPPER(A785)&amp;"    ",4,1))-64))*1)*10000+ROW(),""))</f>
        <v/>
      </c>
      <c r="N785" s="80" t="str">
        <f t="shared" si="7"/>
        <v/>
      </c>
      <c r="O785" s="80" t="str">
        <f t="array" ref="O785">IF(A785="","",IFERROR(INDEX('Deck 3'!$A:$Z,ROW()-750,'List Setup'!$J$5)&amp;"",""))</f>
        <v/>
      </c>
      <c r="P785" s="2"/>
      <c r="Q785" s="80" t="str">
        <f>IF(A785="","",'List Setup'!$A$5)</f>
        <v/>
      </c>
      <c r="R785" s="80" t="str">
        <f t="array" ref="R785">IF(A785="","",IFERROR(OR(INDEX(Binders!$J$6:$J$30,MATCH(Q785,Binders!$I$6:$I$30,0))=TRUE(),UPPER(INDEX(Binders!$J$6:$J$30,MATCH(Q785,Binders!$I$6:$I$30,0))&amp;"")="TRUE"),FALSE()))</f>
        <v/>
      </c>
    </row>
    <row r="786" ht="15.75" customHeight="1">
      <c r="A786" s="80" t="str">
        <f t="array" ref="A786">IF(INDEX('Deck 3'!$A:$Z,ROW()-750,'List Setup'!$D$5)="","",INDEX('Deck 3'!$A:$Z,ROW()-750,'List Setup'!$D$5))</f>
        <v/>
      </c>
      <c r="B786" s="80" t="str">
        <f t="array" ref="B786">IF(A786="","",IFERROR(INDEX('Binder Setup'!$B$2:$B$401,MIN(IF(ISNUMBER(SEARCH(CHAR(10)&amp;'Binder Setup'!$B$2:$B$401&amp;CHAR(10),$H786)),'List Setup'!$Q$2:$Q$401,999),IF(ISNUMBER(SEARCH(CHAR(10)&amp;'Set Aliases'!$A$2:$A$501&amp;CHAR(10),$H786)),'Set Aliases'!$C$2:$C$501,999))),"(none)"))</f>
        <v/>
      </c>
      <c r="C786" s="80" t="str">
        <f t="shared" si="1"/>
        <v/>
      </c>
      <c r="D786" s="80" t="str">
        <f t="array" ref="D786">IF(A786="","",IF(ISLOGICAL(INDEX('Deck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86" s="80" t="str">
        <f t="shared" si="2"/>
        <v/>
      </c>
      <c r="F786" s="80" t="str">
        <f t="array" ref="F786">IF(A786="","",IF(ISNUMBER(J786),J786,IF(ISNUMBER(INDEX('Deck 3'!$A:$Z,ROW()-750,'List Setup'!$F$5)),INDEX('Deck 3'!$A:$Z,ROW()-750,'List Setup'!$F$5),0)))</f>
        <v/>
      </c>
      <c r="G786" s="80" t="str">
        <f t="array" ref="G786">IF(A786="","",A786&amp;IF(N(INDEX('Deck 3'!$A:$Z,ROW()-750,'List Setup'!$C$5))&gt;1," (x"&amp;INDEX('Deck 3'!$A:$Z,ROW()-750,'List Setup'!$C$5)&amp;")","")&amp;IF(COUNTIF(Binders!$J$6:$J$30,TRUE())&gt;1," ["&amp;Q786&amp;"]",""))</f>
        <v/>
      </c>
      <c r="H786" s="80" t="str">
        <f t="array" ref="H786">IF(A786="","",CHAR(10)&amp;INDEX('Deck 3'!$A:$Z,ROW()-750,'List Setup'!$E$5)&amp;CHAR(10))</f>
        <v/>
      </c>
      <c r="I786" s="80" t="str">
        <f t="array" ref="I786">IF(OR(B786="",B786="(none)"),"",IF(ISNUMBER(SEARCH(CHAR(10)&amp;B786&amp;CHAR(10),H786)),B786,IFERROR(INDEX('Set Aliases'!$A$2:$A$501,MATCH(1,('Set Aliases'!$B$2:$B$501=B786)*ISNUMBER(SEARCH(CHAR(10)&amp;'Set Aliases'!$A$2:$A$501&amp;CHAR(10),H786)),0)),"")))</f>
        <v/>
      </c>
      <c r="J786" s="80" t="str">
        <f t="array" ref="J786">IF(I786="","",IFERROR(VALUE(TRIM(MID(SUBSTITUTE(INDEX('Deck 3'!$A:$Z,ROW()-750,'List Setup'!$G$5),CHAR(10),REPT(" ",100)),((SEARCH(CHAR(10)&amp;I786&amp;CHAR(10),H786)-LEN(SUBSTITUTE(LEFT(H786,SEARCH(CHAR(10)&amp;I786&amp;CHAR(10),H786)),CHAR(10),"")))-1)*100+1,100))),""))</f>
        <v/>
      </c>
      <c r="K786" s="80" t="str">
        <f t="array" ref="K786">IF(A786="","",IF(ISNUMBER(SEARCH("Land",LEFT(IFERROR(INDEX('Deck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86" s="80" t="str">
        <f t="shared" si="3"/>
        <v/>
      </c>
      <c r="M786" s="80" t="str">
        <f>IF(A786="","",IF(AND(E786="Y",B786='Use at Shop'!$B$4),K786*10000000000+(MAX(0,MIN(26,CODE(MID(UPPER(A786)&amp;"    ",1,1))-64))*19683+MAX(0,MIN(26,CODE(MID(UPPER(A786)&amp;"    ",2,1))-64))*729+MAX(0,MIN(26,CODE(MID(UPPER(A786)&amp;"    ",3,1))-64))*27+MAX(0,MIN(26,CODE(MID(UPPER(A786)&amp;"    ",4,1))-64))*1)*10000+ROW(),""))</f>
        <v/>
      </c>
      <c r="N786" s="80" t="str">
        <f t="shared" si="7"/>
        <v/>
      </c>
      <c r="O786" s="80" t="str">
        <f t="array" ref="O786">IF(A786="","",IFERROR(INDEX('Deck 3'!$A:$Z,ROW()-750,'List Setup'!$J$5)&amp;"",""))</f>
        <v/>
      </c>
      <c r="P786" s="2"/>
      <c r="Q786" s="80" t="str">
        <f>IF(A786="","",'List Setup'!$A$5)</f>
        <v/>
      </c>
      <c r="R786" s="80" t="str">
        <f t="array" ref="R786">IF(A786="","",IFERROR(OR(INDEX(Binders!$J$6:$J$30,MATCH(Q786,Binders!$I$6:$I$30,0))=TRUE(),UPPER(INDEX(Binders!$J$6:$J$30,MATCH(Q786,Binders!$I$6:$I$30,0))&amp;"")="TRUE"),FALSE()))</f>
        <v/>
      </c>
    </row>
    <row r="787" ht="15.75" customHeight="1">
      <c r="A787" s="80" t="str">
        <f t="array" ref="A787">IF(INDEX('Deck 3'!$A:$Z,ROW()-750,'List Setup'!$D$5)="","",INDEX('Deck 3'!$A:$Z,ROW()-750,'List Setup'!$D$5))</f>
        <v/>
      </c>
      <c r="B787" s="80" t="str">
        <f t="array" ref="B787">IF(A787="","",IFERROR(INDEX('Binder Setup'!$B$2:$B$401,MIN(IF(ISNUMBER(SEARCH(CHAR(10)&amp;'Binder Setup'!$B$2:$B$401&amp;CHAR(10),$H787)),'List Setup'!$Q$2:$Q$401,999),IF(ISNUMBER(SEARCH(CHAR(10)&amp;'Set Aliases'!$A$2:$A$501&amp;CHAR(10),$H787)),'Set Aliases'!$C$2:$C$501,999))),"(none)"))</f>
        <v/>
      </c>
      <c r="C787" s="80" t="str">
        <f t="shared" si="1"/>
        <v/>
      </c>
      <c r="D787" s="80" t="str">
        <f t="array" ref="D787">IF(A787="","",IF(ISLOGICAL(INDEX('Deck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87" s="80" t="str">
        <f t="shared" si="2"/>
        <v/>
      </c>
      <c r="F787" s="80" t="str">
        <f t="array" ref="F787">IF(A787="","",IF(ISNUMBER(J787),J787,IF(ISNUMBER(INDEX('Deck 3'!$A:$Z,ROW()-750,'List Setup'!$F$5)),INDEX('Deck 3'!$A:$Z,ROW()-750,'List Setup'!$F$5),0)))</f>
        <v/>
      </c>
      <c r="G787" s="80" t="str">
        <f t="array" ref="G787">IF(A787="","",A787&amp;IF(N(INDEX('Deck 3'!$A:$Z,ROW()-750,'List Setup'!$C$5))&gt;1," (x"&amp;INDEX('Deck 3'!$A:$Z,ROW()-750,'List Setup'!$C$5)&amp;")","")&amp;IF(COUNTIF(Binders!$J$6:$J$30,TRUE())&gt;1," ["&amp;Q787&amp;"]",""))</f>
        <v/>
      </c>
      <c r="H787" s="80" t="str">
        <f t="array" ref="H787">IF(A787="","",CHAR(10)&amp;INDEX('Deck 3'!$A:$Z,ROW()-750,'List Setup'!$E$5)&amp;CHAR(10))</f>
        <v/>
      </c>
      <c r="I787" s="80" t="str">
        <f t="array" ref="I787">IF(OR(B787="",B787="(none)"),"",IF(ISNUMBER(SEARCH(CHAR(10)&amp;B787&amp;CHAR(10),H787)),B787,IFERROR(INDEX('Set Aliases'!$A$2:$A$501,MATCH(1,('Set Aliases'!$B$2:$B$501=B787)*ISNUMBER(SEARCH(CHAR(10)&amp;'Set Aliases'!$A$2:$A$501&amp;CHAR(10),H787)),0)),"")))</f>
        <v/>
      </c>
      <c r="J787" s="80" t="str">
        <f t="array" ref="J787">IF(I787="","",IFERROR(VALUE(TRIM(MID(SUBSTITUTE(INDEX('Deck 3'!$A:$Z,ROW()-750,'List Setup'!$G$5),CHAR(10),REPT(" ",100)),((SEARCH(CHAR(10)&amp;I787&amp;CHAR(10),H787)-LEN(SUBSTITUTE(LEFT(H787,SEARCH(CHAR(10)&amp;I787&amp;CHAR(10),H787)),CHAR(10),"")))-1)*100+1,100))),""))</f>
        <v/>
      </c>
      <c r="K787" s="80" t="str">
        <f t="array" ref="K787">IF(A787="","",IF(ISNUMBER(SEARCH("Land",LEFT(IFERROR(INDEX('Deck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87" s="80" t="str">
        <f t="shared" si="3"/>
        <v/>
      </c>
      <c r="M787" s="80" t="str">
        <f>IF(A787="","",IF(AND(E787="Y",B787='Use at Shop'!$B$4),K787*10000000000+(MAX(0,MIN(26,CODE(MID(UPPER(A787)&amp;"    ",1,1))-64))*19683+MAX(0,MIN(26,CODE(MID(UPPER(A787)&amp;"    ",2,1))-64))*729+MAX(0,MIN(26,CODE(MID(UPPER(A787)&amp;"    ",3,1))-64))*27+MAX(0,MIN(26,CODE(MID(UPPER(A787)&amp;"    ",4,1))-64))*1)*10000+ROW(),""))</f>
        <v/>
      </c>
      <c r="N787" s="80" t="str">
        <f t="shared" si="7"/>
        <v/>
      </c>
      <c r="O787" s="80" t="str">
        <f t="array" ref="O787">IF(A787="","",IFERROR(INDEX('Deck 3'!$A:$Z,ROW()-750,'List Setup'!$J$5)&amp;"",""))</f>
        <v/>
      </c>
      <c r="P787" s="2"/>
      <c r="Q787" s="80" t="str">
        <f>IF(A787="","",'List Setup'!$A$5)</f>
        <v/>
      </c>
      <c r="R787" s="80" t="str">
        <f t="array" ref="R787">IF(A787="","",IFERROR(OR(INDEX(Binders!$J$6:$J$30,MATCH(Q787,Binders!$I$6:$I$30,0))=TRUE(),UPPER(INDEX(Binders!$J$6:$J$30,MATCH(Q787,Binders!$I$6:$I$30,0))&amp;"")="TRUE"),FALSE()))</f>
        <v/>
      </c>
    </row>
    <row r="788" ht="15.75" customHeight="1">
      <c r="A788" s="80" t="str">
        <f t="array" ref="A788">IF(INDEX('Deck 3'!$A:$Z,ROW()-750,'List Setup'!$D$5)="","",INDEX('Deck 3'!$A:$Z,ROW()-750,'List Setup'!$D$5))</f>
        <v/>
      </c>
      <c r="B788" s="80" t="str">
        <f t="array" ref="B788">IF(A788="","",IFERROR(INDEX('Binder Setup'!$B$2:$B$401,MIN(IF(ISNUMBER(SEARCH(CHAR(10)&amp;'Binder Setup'!$B$2:$B$401&amp;CHAR(10),$H788)),'List Setup'!$Q$2:$Q$401,999),IF(ISNUMBER(SEARCH(CHAR(10)&amp;'Set Aliases'!$A$2:$A$501&amp;CHAR(10),$H788)),'Set Aliases'!$C$2:$C$501,999))),"(none)"))</f>
        <v/>
      </c>
      <c r="C788" s="80" t="str">
        <f t="shared" si="1"/>
        <v/>
      </c>
      <c r="D788" s="80" t="str">
        <f t="array" ref="D788">IF(A788="","",IF(ISLOGICAL(INDEX('Deck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88" s="80" t="str">
        <f t="shared" si="2"/>
        <v/>
      </c>
      <c r="F788" s="80" t="str">
        <f t="array" ref="F788">IF(A788="","",IF(ISNUMBER(J788),J788,IF(ISNUMBER(INDEX('Deck 3'!$A:$Z,ROW()-750,'List Setup'!$F$5)),INDEX('Deck 3'!$A:$Z,ROW()-750,'List Setup'!$F$5),0)))</f>
        <v/>
      </c>
      <c r="G788" s="80" t="str">
        <f t="array" ref="G788">IF(A788="","",A788&amp;IF(N(INDEX('Deck 3'!$A:$Z,ROW()-750,'List Setup'!$C$5))&gt;1," (x"&amp;INDEX('Deck 3'!$A:$Z,ROW()-750,'List Setup'!$C$5)&amp;")","")&amp;IF(COUNTIF(Binders!$J$6:$J$30,TRUE())&gt;1," ["&amp;Q788&amp;"]",""))</f>
        <v/>
      </c>
      <c r="H788" s="80" t="str">
        <f t="array" ref="H788">IF(A788="","",CHAR(10)&amp;INDEX('Deck 3'!$A:$Z,ROW()-750,'List Setup'!$E$5)&amp;CHAR(10))</f>
        <v/>
      </c>
      <c r="I788" s="80" t="str">
        <f t="array" ref="I788">IF(OR(B788="",B788="(none)"),"",IF(ISNUMBER(SEARCH(CHAR(10)&amp;B788&amp;CHAR(10),H788)),B788,IFERROR(INDEX('Set Aliases'!$A$2:$A$501,MATCH(1,('Set Aliases'!$B$2:$B$501=B788)*ISNUMBER(SEARCH(CHAR(10)&amp;'Set Aliases'!$A$2:$A$501&amp;CHAR(10),H788)),0)),"")))</f>
        <v/>
      </c>
      <c r="J788" s="80" t="str">
        <f t="array" ref="J788">IF(I788="","",IFERROR(VALUE(TRIM(MID(SUBSTITUTE(INDEX('Deck 3'!$A:$Z,ROW()-750,'List Setup'!$G$5),CHAR(10),REPT(" ",100)),((SEARCH(CHAR(10)&amp;I788&amp;CHAR(10),H788)-LEN(SUBSTITUTE(LEFT(H788,SEARCH(CHAR(10)&amp;I788&amp;CHAR(10),H788)),CHAR(10),"")))-1)*100+1,100))),""))</f>
        <v/>
      </c>
      <c r="K788" s="80" t="str">
        <f t="array" ref="K788">IF(A788="","",IF(ISNUMBER(SEARCH("Land",LEFT(IFERROR(INDEX('Deck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88" s="80" t="str">
        <f t="shared" si="3"/>
        <v/>
      </c>
      <c r="M788" s="80" t="str">
        <f>IF(A788="","",IF(AND(E788="Y",B788='Use at Shop'!$B$4),K788*10000000000+(MAX(0,MIN(26,CODE(MID(UPPER(A788)&amp;"    ",1,1))-64))*19683+MAX(0,MIN(26,CODE(MID(UPPER(A788)&amp;"    ",2,1))-64))*729+MAX(0,MIN(26,CODE(MID(UPPER(A788)&amp;"    ",3,1))-64))*27+MAX(0,MIN(26,CODE(MID(UPPER(A788)&amp;"    ",4,1))-64))*1)*10000+ROW(),""))</f>
        <v/>
      </c>
      <c r="N788" s="80" t="str">
        <f t="shared" si="7"/>
        <v/>
      </c>
      <c r="O788" s="80" t="str">
        <f t="array" ref="O788">IF(A788="","",IFERROR(INDEX('Deck 3'!$A:$Z,ROW()-750,'List Setup'!$J$5)&amp;"",""))</f>
        <v/>
      </c>
      <c r="P788" s="2"/>
      <c r="Q788" s="80" t="str">
        <f>IF(A788="","",'List Setup'!$A$5)</f>
        <v/>
      </c>
      <c r="R788" s="80" t="str">
        <f t="array" ref="R788">IF(A788="","",IFERROR(OR(INDEX(Binders!$J$6:$J$30,MATCH(Q788,Binders!$I$6:$I$30,0))=TRUE(),UPPER(INDEX(Binders!$J$6:$J$30,MATCH(Q788,Binders!$I$6:$I$30,0))&amp;"")="TRUE"),FALSE()))</f>
        <v/>
      </c>
    </row>
    <row r="789" ht="15.75" customHeight="1">
      <c r="A789" s="80" t="str">
        <f t="array" ref="A789">IF(INDEX('Deck 3'!$A:$Z,ROW()-750,'List Setup'!$D$5)="","",INDEX('Deck 3'!$A:$Z,ROW()-750,'List Setup'!$D$5))</f>
        <v/>
      </c>
      <c r="B789" s="80" t="str">
        <f t="array" ref="B789">IF(A789="","",IFERROR(INDEX('Binder Setup'!$B$2:$B$401,MIN(IF(ISNUMBER(SEARCH(CHAR(10)&amp;'Binder Setup'!$B$2:$B$401&amp;CHAR(10),$H789)),'List Setup'!$Q$2:$Q$401,999),IF(ISNUMBER(SEARCH(CHAR(10)&amp;'Set Aliases'!$A$2:$A$501&amp;CHAR(10),$H789)),'Set Aliases'!$C$2:$C$501,999))),"(none)"))</f>
        <v/>
      </c>
      <c r="C789" s="80" t="str">
        <f t="shared" si="1"/>
        <v/>
      </c>
      <c r="D789" s="80" t="str">
        <f t="array" ref="D789">IF(A789="","",IF(ISLOGICAL(INDEX('Deck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89" s="80" t="str">
        <f t="shared" si="2"/>
        <v/>
      </c>
      <c r="F789" s="80" t="str">
        <f t="array" ref="F789">IF(A789="","",IF(ISNUMBER(J789),J789,IF(ISNUMBER(INDEX('Deck 3'!$A:$Z,ROW()-750,'List Setup'!$F$5)),INDEX('Deck 3'!$A:$Z,ROW()-750,'List Setup'!$F$5),0)))</f>
        <v/>
      </c>
      <c r="G789" s="80" t="str">
        <f t="array" ref="G789">IF(A789="","",A789&amp;IF(N(INDEX('Deck 3'!$A:$Z,ROW()-750,'List Setup'!$C$5))&gt;1," (x"&amp;INDEX('Deck 3'!$A:$Z,ROW()-750,'List Setup'!$C$5)&amp;")","")&amp;IF(COUNTIF(Binders!$J$6:$J$30,TRUE())&gt;1," ["&amp;Q789&amp;"]",""))</f>
        <v/>
      </c>
      <c r="H789" s="80" t="str">
        <f t="array" ref="H789">IF(A789="","",CHAR(10)&amp;INDEX('Deck 3'!$A:$Z,ROW()-750,'List Setup'!$E$5)&amp;CHAR(10))</f>
        <v/>
      </c>
      <c r="I789" s="80" t="str">
        <f t="array" ref="I789">IF(OR(B789="",B789="(none)"),"",IF(ISNUMBER(SEARCH(CHAR(10)&amp;B789&amp;CHAR(10),H789)),B789,IFERROR(INDEX('Set Aliases'!$A$2:$A$501,MATCH(1,('Set Aliases'!$B$2:$B$501=B789)*ISNUMBER(SEARCH(CHAR(10)&amp;'Set Aliases'!$A$2:$A$501&amp;CHAR(10),H789)),0)),"")))</f>
        <v/>
      </c>
      <c r="J789" s="80" t="str">
        <f t="array" ref="J789">IF(I789="","",IFERROR(VALUE(TRIM(MID(SUBSTITUTE(INDEX('Deck 3'!$A:$Z,ROW()-750,'List Setup'!$G$5),CHAR(10),REPT(" ",100)),((SEARCH(CHAR(10)&amp;I789&amp;CHAR(10),H789)-LEN(SUBSTITUTE(LEFT(H789,SEARCH(CHAR(10)&amp;I789&amp;CHAR(10),H789)),CHAR(10),"")))-1)*100+1,100))),""))</f>
        <v/>
      </c>
      <c r="K789" s="80" t="str">
        <f t="array" ref="K789">IF(A789="","",IF(ISNUMBER(SEARCH("Land",LEFT(IFERROR(INDEX('Deck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89" s="80" t="str">
        <f t="shared" si="3"/>
        <v/>
      </c>
      <c r="M789" s="80" t="str">
        <f>IF(A789="","",IF(AND(E789="Y",B789='Use at Shop'!$B$4),K789*10000000000+(MAX(0,MIN(26,CODE(MID(UPPER(A789)&amp;"    ",1,1))-64))*19683+MAX(0,MIN(26,CODE(MID(UPPER(A789)&amp;"    ",2,1))-64))*729+MAX(0,MIN(26,CODE(MID(UPPER(A789)&amp;"    ",3,1))-64))*27+MAX(0,MIN(26,CODE(MID(UPPER(A789)&amp;"    ",4,1))-64))*1)*10000+ROW(),""))</f>
        <v/>
      </c>
      <c r="N789" s="80" t="str">
        <f t="shared" si="7"/>
        <v/>
      </c>
      <c r="O789" s="80" t="str">
        <f t="array" ref="O789">IF(A789="","",IFERROR(INDEX('Deck 3'!$A:$Z,ROW()-750,'List Setup'!$J$5)&amp;"",""))</f>
        <v/>
      </c>
      <c r="P789" s="2"/>
      <c r="Q789" s="80" t="str">
        <f>IF(A789="","",'List Setup'!$A$5)</f>
        <v/>
      </c>
      <c r="R789" s="80" t="str">
        <f t="array" ref="R789">IF(A789="","",IFERROR(OR(INDEX(Binders!$J$6:$J$30,MATCH(Q789,Binders!$I$6:$I$30,0))=TRUE(),UPPER(INDEX(Binders!$J$6:$J$30,MATCH(Q789,Binders!$I$6:$I$30,0))&amp;"")="TRUE"),FALSE()))</f>
        <v/>
      </c>
    </row>
    <row r="790" ht="15.75" customHeight="1">
      <c r="A790" s="80" t="str">
        <f t="array" ref="A790">IF(INDEX('Deck 3'!$A:$Z,ROW()-750,'List Setup'!$D$5)="","",INDEX('Deck 3'!$A:$Z,ROW()-750,'List Setup'!$D$5))</f>
        <v/>
      </c>
      <c r="B790" s="80" t="str">
        <f t="array" ref="B790">IF(A790="","",IFERROR(INDEX('Binder Setup'!$B$2:$B$401,MIN(IF(ISNUMBER(SEARCH(CHAR(10)&amp;'Binder Setup'!$B$2:$B$401&amp;CHAR(10),$H790)),'List Setup'!$Q$2:$Q$401,999),IF(ISNUMBER(SEARCH(CHAR(10)&amp;'Set Aliases'!$A$2:$A$501&amp;CHAR(10),$H790)),'Set Aliases'!$C$2:$C$501,999))),"(none)"))</f>
        <v/>
      </c>
      <c r="C790" s="80" t="str">
        <f t="shared" si="1"/>
        <v/>
      </c>
      <c r="D790" s="80" t="str">
        <f t="array" ref="D790">IF(A790="","",IF(ISLOGICAL(INDEX('Deck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90" s="80" t="str">
        <f t="shared" si="2"/>
        <v/>
      </c>
      <c r="F790" s="80" t="str">
        <f t="array" ref="F790">IF(A790="","",IF(ISNUMBER(J790),J790,IF(ISNUMBER(INDEX('Deck 3'!$A:$Z,ROW()-750,'List Setup'!$F$5)),INDEX('Deck 3'!$A:$Z,ROW()-750,'List Setup'!$F$5),0)))</f>
        <v/>
      </c>
      <c r="G790" s="80" t="str">
        <f t="array" ref="G790">IF(A790="","",A790&amp;IF(N(INDEX('Deck 3'!$A:$Z,ROW()-750,'List Setup'!$C$5))&gt;1," (x"&amp;INDEX('Deck 3'!$A:$Z,ROW()-750,'List Setup'!$C$5)&amp;")","")&amp;IF(COUNTIF(Binders!$J$6:$J$30,TRUE())&gt;1," ["&amp;Q790&amp;"]",""))</f>
        <v/>
      </c>
      <c r="H790" s="80" t="str">
        <f t="array" ref="H790">IF(A790="","",CHAR(10)&amp;INDEX('Deck 3'!$A:$Z,ROW()-750,'List Setup'!$E$5)&amp;CHAR(10))</f>
        <v/>
      </c>
      <c r="I790" s="80" t="str">
        <f t="array" ref="I790">IF(OR(B790="",B790="(none)"),"",IF(ISNUMBER(SEARCH(CHAR(10)&amp;B790&amp;CHAR(10),H790)),B790,IFERROR(INDEX('Set Aliases'!$A$2:$A$501,MATCH(1,('Set Aliases'!$B$2:$B$501=B790)*ISNUMBER(SEARCH(CHAR(10)&amp;'Set Aliases'!$A$2:$A$501&amp;CHAR(10),H790)),0)),"")))</f>
        <v/>
      </c>
      <c r="J790" s="80" t="str">
        <f t="array" ref="J790">IF(I790="","",IFERROR(VALUE(TRIM(MID(SUBSTITUTE(INDEX('Deck 3'!$A:$Z,ROW()-750,'List Setup'!$G$5),CHAR(10),REPT(" ",100)),((SEARCH(CHAR(10)&amp;I790&amp;CHAR(10),H790)-LEN(SUBSTITUTE(LEFT(H790,SEARCH(CHAR(10)&amp;I790&amp;CHAR(10),H790)),CHAR(10),"")))-1)*100+1,100))),""))</f>
        <v/>
      </c>
      <c r="K790" s="80" t="str">
        <f t="array" ref="K790">IF(A790="","",IF(ISNUMBER(SEARCH("Land",LEFT(IFERROR(INDEX('Deck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90" s="80" t="str">
        <f t="shared" si="3"/>
        <v/>
      </c>
      <c r="M790" s="80" t="str">
        <f>IF(A790="","",IF(AND(E790="Y",B790='Use at Shop'!$B$4),K790*10000000000+(MAX(0,MIN(26,CODE(MID(UPPER(A790)&amp;"    ",1,1))-64))*19683+MAX(0,MIN(26,CODE(MID(UPPER(A790)&amp;"    ",2,1))-64))*729+MAX(0,MIN(26,CODE(MID(UPPER(A790)&amp;"    ",3,1))-64))*27+MAX(0,MIN(26,CODE(MID(UPPER(A790)&amp;"    ",4,1))-64))*1)*10000+ROW(),""))</f>
        <v/>
      </c>
      <c r="N790" s="80" t="str">
        <f t="shared" si="7"/>
        <v/>
      </c>
      <c r="O790" s="80" t="str">
        <f t="array" ref="O790">IF(A790="","",IFERROR(INDEX('Deck 3'!$A:$Z,ROW()-750,'List Setup'!$J$5)&amp;"",""))</f>
        <v/>
      </c>
      <c r="P790" s="2"/>
      <c r="Q790" s="80" t="str">
        <f>IF(A790="","",'List Setup'!$A$5)</f>
        <v/>
      </c>
      <c r="R790" s="80" t="str">
        <f t="array" ref="R790">IF(A790="","",IFERROR(OR(INDEX(Binders!$J$6:$J$30,MATCH(Q790,Binders!$I$6:$I$30,0))=TRUE(),UPPER(INDEX(Binders!$J$6:$J$30,MATCH(Q790,Binders!$I$6:$I$30,0))&amp;"")="TRUE"),FALSE()))</f>
        <v/>
      </c>
    </row>
    <row r="791" ht="15.75" customHeight="1">
      <c r="A791" s="80" t="str">
        <f t="array" ref="A791">IF(INDEX('Deck 3'!$A:$Z,ROW()-750,'List Setup'!$D$5)="","",INDEX('Deck 3'!$A:$Z,ROW()-750,'List Setup'!$D$5))</f>
        <v/>
      </c>
      <c r="B791" s="80" t="str">
        <f t="array" ref="B791">IF(A791="","",IFERROR(INDEX('Binder Setup'!$B$2:$B$401,MIN(IF(ISNUMBER(SEARCH(CHAR(10)&amp;'Binder Setup'!$B$2:$B$401&amp;CHAR(10),$H791)),'List Setup'!$Q$2:$Q$401,999),IF(ISNUMBER(SEARCH(CHAR(10)&amp;'Set Aliases'!$A$2:$A$501&amp;CHAR(10),$H791)),'Set Aliases'!$C$2:$C$501,999))),"(none)"))</f>
        <v/>
      </c>
      <c r="C791" s="80" t="str">
        <f t="shared" si="1"/>
        <v/>
      </c>
      <c r="D791" s="80" t="str">
        <f t="array" ref="D791">IF(A791="","",IF(ISLOGICAL(INDEX('Deck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91" s="80" t="str">
        <f t="shared" si="2"/>
        <v/>
      </c>
      <c r="F791" s="80" t="str">
        <f t="array" ref="F791">IF(A791="","",IF(ISNUMBER(J791),J791,IF(ISNUMBER(INDEX('Deck 3'!$A:$Z,ROW()-750,'List Setup'!$F$5)),INDEX('Deck 3'!$A:$Z,ROW()-750,'List Setup'!$F$5),0)))</f>
        <v/>
      </c>
      <c r="G791" s="80" t="str">
        <f t="array" ref="G791">IF(A791="","",A791&amp;IF(N(INDEX('Deck 3'!$A:$Z,ROW()-750,'List Setup'!$C$5))&gt;1," (x"&amp;INDEX('Deck 3'!$A:$Z,ROW()-750,'List Setup'!$C$5)&amp;")","")&amp;IF(COUNTIF(Binders!$J$6:$J$30,TRUE())&gt;1," ["&amp;Q791&amp;"]",""))</f>
        <v/>
      </c>
      <c r="H791" s="80" t="str">
        <f t="array" ref="H791">IF(A791="","",CHAR(10)&amp;INDEX('Deck 3'!$A:$Z,ROW()-750,'List Setup'!$E$5)&amp;CHAR(10))</f>
        <v/>
      </c>
      <c r="I791" s="80" t="str">
        <f t="array" ref="I791">IF(OR(B791="",B791="(none)"),"",IF(ISNUMBER(SEARCH(CHAR(10)&amp;B791&amp;CHAR(10),H791)),B791,IFERROR(INDEX('Set Aliases'!$A$2:$A$501,MATCH(1,('Set Aliases'!$B$2:$B$501=B791)*ISNUMBER(SEARCH(CHAR(10)&amp;'Set Aliases'!$A$2:$A$501&amp;CHAR(10),H791)),0)),"")))</f>
        <v/>
      </c>
      <c r="J791" s="80" t="str">
        <f t="array" ref="J791">IF(I791="","",IFERROR(VALUE(TRIM(MID(SUBSTITUTE(INDEX('Deck 3'!$A:$Z,ROW()-750,'List Setup'!$G$5),CHAR(10),REPT(" ",100)),((SEARCH(CHAR(10)&amp;I791&amp;CHAR(10),H791)-LEN(SUBSTITUTE(LEFT(H791,SEARCH(CHAR(10)&amp;I791&amp;CHAR(10),H791)),CHAR(10),"")))-1)*100+1,100))),""))</f>
        <v/>
      </c>
      <c r="K791" s="80" t="str">
        <f t="array" ref="K791">IF(A791="","",IF(ISNUMBER(SEARCH("Land",LEFT(IFERROR(INDEX('Deck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91" s="80" t="str">
        <f t="shared" si="3"/>
        <v/>
      </c>
      <c r="M791" s="80" t="str">
        <f>IF(A791="","",IF(AND(E791="Y",B791='Use at Shop'!$B$4),K791*10000000000+(MAX(0,MIN(26,CODE(MID(UPPER(A791)&amp;"    ",1,1))-64))*19683+MAX(0,MIN(26,CODE(MID(UPPER(A791)&amp;"    ",2,1))-64))*729+MAX(0,MIN(26,CODE(MID(UPPER(A791)&amp;"    ",3,1))-64))*27+MAX(0,MIN(26,CODE(MID(UPPER(A791)&amp;"    ",4,1))-64))*1)*10000+ROW(),""))</f>
        <v/>
      </c>
      <c r="N791" s="80" t="str">
        <f t="shared" si="7"/>
        <v/>
      </c>
      <c r="O791" s="80" t="str">
        <f t="array" ref="O791">IF(A791="","",IFERROR(INDEX('Deck 3'!$A:$Z,ROW()-750,'List Setup'!$J$5)&amp;"",""))</f>
        <v/>
      </c>
      <c r="P791" s="2"/>
      <c r="Q791" s="80" t="str">
        <f>IF(A791="","",'List Setup'!$A$5)</f>
        <v/>
      </c>
      <c r="R791" s="80" t="str">
        <f t="array" ref="R791">IF(A791="","",IFERROR(OR(INDEX(Binders!$J$6:$J$30,MATCH(Q791,Binders!$I$6:$I$30,0))=TRUE(),UPPER(INDEX(Binders!$J$6:$J$30,MATCH(Q791,Binders!$I$6:$I$30,0))&amp;"")="TRUE"),FALSE()))</f>
        <v/>
      </c>
    </row>
    <row r="792" ht="15.75" customHeight="1">
      <c r="A792" s="80" t="str">
        <f t="array" ref="A792">IF(INDEX('Deck 3'!$A:$Z,ROW()-750,'List Setup'!$D$5)="","",INDEX('Deck 3'!$A:$Z,ROW()-750,'List Setup'!$D$5))</f>
        <v/>
      </c>
      <c r="B792" s="80" t="str">
        <f t="array" ref="B792">IF(A792="","",IFERROR(INDEX('Binder Setup'!$B$2:$B$401,MIN(IF(ISNUMBER(SEARCH(CHAR(10)&amp;'Binder Setup'!$B$2:$B$401&amp;CHAR(10),$H792)),'List Setup'!$Q$2:$Q$401,999),IF(ISNUMBER(SEARCH(CHAR(10)&amp;'Set Aliases'!$A$2:$A$501&amp;CHAR(10),$H792)),'Set Aliases'!$C$2:$C$501,999))),"(none)"))</f>
        <v/>
      </c>
      <c r="C792" s="80" t="str">
        <f t="shared" si="1"/>
        <v/>
      </c>
      <c r="D792" s="80" t="str">
        <f t="array" ref="D792">IF(A792="","",IF(ISLOGICAL(INDEX('Deck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92" s="80" t="str">
        <f t="shared" si="2"/>
        <v/>
      </c>
      <c r="F792" s="80" t="str">
        <f t="array" ref="F792">IF(A792="","",IF(ISNUMBER(J792),J792,IF(ISNUMBER(INDEX('Deck 3'!$A:$Z,ROW()-750,'List Setup'!$F$5)),INDEX('Deck 3'!$A:$Z,ROW()-750,'List Setup'!$F$5),0)))</f>
        <v/>
      </c>
      <c r="G792" s="80" t="str">
        <f t="array" ref="G792">IF(A792="","",A792&amp;IF(N(INDEX('Deck 3'!$A:$Z,ROW()-750,'List Setup'!$C$5))&gt;1," (x"&amp;INDEX('Deck 3'!$A:$Z,ROW()-750,'List Setup'!$C$5)&amp;")","")&amp;IF(COUNTIF(Binders!$J$6:$J$30,TRUE())&gt;1," ["&amp;Q792&amp;"]",""))</f>
        <v/>
      </c>
      <c r="H792" s="80" t="str">
        <f t="array" ref="H792">IF(A792="","",CHAR(10)&amp;INDEX('Deck 3'!$A:$Z,ROW()-750,'List Setup'!$E$5)&amp;CHAR(10))</f>
        <v/>
      </c>
      <c r="I792" s="80" t="str">
        <f t="array" ref="I792">IF(OR(B792="",B792="(none)"),"",IF(ISNUMBER(SEARCH(CHAR(10)&amp;B792&amp;CHAR(10),H792)),B792,IFERROR(INDEX('Set Aliases'!$A$2:$A$501,MATCH(1,('Set Aliases'!$B$2:$B$501=B792)*ISNUMBER(SEARCH(CHAR(10)&amp;'Set Aliases'!$A$2:$A$501&amp;CHAR(10),H792)),0)),"")))</f>
        <v/>
      </c>
      <c r="J792" s="80" t="str">
        <f t="array" ref="J792">IF(I792="","",IFERROR(VALUE(TRIM(MID(SUBSTITUTE(INDEX('Deck 3'!$A:$Z,ROW()-750,'List Setup'!$G$5),CHAR(10),REPT(" ",100)),((SEARCH(CHAR(10)&amp;I792&amp;CHAR(10),H792)-LEN(SUBSTITUTE(LEFT(H792,SEARCH(CHAR(10)&amp;I792&amp;CHAR(10),H792)),CHAR(10),"")))-1)*100+1,100))),""))</f>
        <v/>
      </c>
      <c r="K792" s="80" t="str">
        <f t="array" ref="K792">IF(A792="","",IF(ISNUMBER(SEARCH("Land",LEFT(IFERROR(INDEX('Deck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92" s="80" t="str">
        <f t="shared" si="3"/>
        <v/>
      </c>
      <c r="M792" s="80" t="str">
        <f>IF(A792="","",IF(AND(E792="Y",B792='Use at Shop'!$B$4),K792*10000000000+(MAX(0,MIN(26,CODE(MID(UPPER(A792)&amp;"    ",1,1))-64))*19683+MAX(0,MIN(26,CODE(MID(UPPER(A792)&amp;"    ",2,1))-64))*729+MAX(0,MIN(26,CODE(MID(UPPER(A792)&amp;"    ",3,1))-64))*27+MAX(0,MIN(26,CODE(MID(UPPER(A792)&amp;"    ",4,1))-64))*1)*10000+ROW(),""))</f>
        <v/>
      </c>
      <c r="N792" s="80" t="str">
        <f t="shared" si="7"/>
        <v/>
      </c>
      <c r="O792" s="80" t="str">
        <f t="array" ref="O792">IF(A792="","",IFERROR(INDEX('Deck 3'!$A:$Z,ROW()-750,'List Setup'!$J$5)&amp;"",""))</f>
        <v/>
      </c>
      <c r="P792" s="2"/>
      <c r="Q792" s="80" t="str">
        <f>IF(A792="","",'List Setup'!$A$5)</f>
        <v/>
      </c>
      <c r="R792" s="80" t="str">
        <f t="array" ref="R792">IF(A792="","",IFERROR(OR(INDEX(Binders!$J$6:$J$30,MATCH(Q792,Binders!$I$6:$I$30,0))=TRUE(),UPPER(INDEX(Binders!$J$6:$J$30,MATCH(Q792,Binders!$I$6:$I$30,0))&amp;"")="TRUE"),FALSE()))</f>
        <v/>
      </c>
    </row>
    <row r="793" ht="15.75" customHeight="1">
      <c r="A793" s="80" t="str">
        <f t="array" ref="A793">IF(INDEX('Deck 3'!$A:$Z,ROW()-750,'List Setup'!$D$5)="","",INDEX('Deck 3'!$A:$Z,ROW()-750,'List Setup'!$D$5))</f>
        <v/>
      </c>
      <c r="B793" s="80" t="str">
        <f t="array" ref="B793">IF(A793="","",IFERROR(INDEX('Binder Setup'!$B$2:$B$401,MIN(IF(ISNUMBER(SEARCH(CHAR(10)&amp;'Binder Setup'!$B$2:$B$401&amp;CHAR(10),$H793)),'List Setup'!$Q$2:$Q$401,999),IF(ISNUMBER(SEARCH(CHAR(10)&amp;'Set Aliases'!$A$2:$A$501&amp;CHAR(10),$H793)),'Set Aliases'!$C$2:$C$501,999))),"(none)"))</f>
        <v/>
      </c>
      <c r="C793" s="80" t="str">
        <f t="shared" si="1"/>
        <v/>
      </c>
      <c r="D793" s="80" t="str">
        <f t="array" ref="D793">IF(A793="","",IF(ISLOGICAL(INDEX('Deck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93" s="80" t="str">
        <f t="shared" si="2"/>
        <v/>
      </c>
      <c r="F793" s="80" t="str">
        <f t="array" ref="F793">IF(A793="","",IF(ISNUMBER(J793),J793,IF(ISNUMBER(INDEX('Deck 3'!$A:$Z,ROW()-750,'List Setup'!$F$5)),INDEX('Deck 3'!$A:$Z,ROW()-750,'List Setup'!$F$5),0)))</f>
        <v/>
      </c>
      <c r="G793" s="80" t="str">
        <f t="array" ref="G793">IF(A793="","",A793&amp;IF(N(INDEX('Deck 3'!$A:$Z,ROW()-750,'List Setup'!$C$5))&gt;1," (x"&amp;INDEX('Deck 3'!$A:$Z,ROW()-750,'List Setup'!$C$5)&amp;")","")&amp;IF(COUNTIF(Binders!$J$6:$J$30,TRUE())&gt;1," ["&amp;Q793&amp;"]",""))</f>
        <v/>
      </c>
      <c r="H793" s="80" t="str">
        <f t="array" ref="H793">IF(A793="","",CHAR(10)&amp;INDEX('Deck 3'!$A:$Z,ROW()-750,'List Setup'!$E$5)&amp;CHAR(10))</f>
        <v/>
      </c>
      <c r="I793" s="80" t="str">
        <f t="array" ref="I793">IF(OR(B793="",B793="(none)"),"",IF(ISNUMBER(SEARCH(CHAR(10)&amp;B793&amp;CHAR(10),H793)),B793,IFERROR(INDEX('Set Aliases'!$A$2:$A$501,MATCH(1,('Set Aliases'!$B$2:$B$501=B793)*ISNUMBER(SEARCH(CHAR(10)&amp;'Set Aliases'!$A$2:$A$501&amp;CHAR(10),H793)),0)),"")))</f>
        <v/>
      </c>
      <c r="J793" s="80" t="str">
        <f t="array" ref="J793">IF(I793="","",IFERROR(VALUE(TRIM(MID(SUBSTITUTE(INDEX('Deck 3'!$A:$Z,ROW()-750,'List Setup'!$G$5),CHAR(10),REPT(" ",100)),((SEARCH(CHAR(10)&amp;I793&amp;CHAR(10),H793)-LEN(SUBSTITUTE(LEFT(H793,SEARCH(CHAR(10)&amp;I793&amp;CHAR(10),H793)),CHAR(10),"")))-1)*100+1,100))),""))</f>
        <v/>
      </c>
      <c r="K793" s="80" t="str">
        <f t="array" ref="K793">IF(A793="","",IF(ISNUMBER(SEARCH("Land",LEFT(IFERROR(INDEX('Deck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93" s="80" t="str">
        <f t="shared" si="3"/>
        <v/>
      </c>
      <c r="M793" s="80" t="str">
        <f>IF(A793="","",IF(AND(E793="Y",B793='Use at Shop'!$B$4),K793*10000000000+(MAX(0,MIN(26,CODE(MID(UPPER(A793)&amp;"    ",1,1))-64))*19683+MAX(0,MIN(26,CODE(MID(UPPER(A793)&amp;"    ",2,1))-64))*729+MAX(0,MIN(26,CODE(MID(UPPER(A793)&amp;"    ",3,1))-64))*27+MAX(0,MIN(26,CODE(MID(UPPER(A793)&amp;"    ",4,1))-64))*1)*10000+ROW(),""))</f>
        <v/>
      </c>
      <c r="N793" s="80" t="str">
        <f t="shared" si="7"/>
        <v/>
      </c>
      <c r="O793" s="80" t="str">
        <f t="array" ref="O793">IF(A793="","",IFERROR(INDEX('Deck 3'!$A:$Z,ROW()-750,'List Setup'!$J$5)&amp;"",""))</f>
        <v/>
      </c>
      <c r="P793" s="2"/>
      <c r="Q793" s="80" t="str">
        <f>IF(A793="","",'List Setup'!$A$5)</f>
        <v/>
      </c>
      <c r="R793" s="80" t="str">
        <f t="array" ref="R793">IF(A793="","",IFERROR(OR(INDEX(Binders!$J$6:$J$30,MATCH(Q793,Binders!$I$6:$I$30,0))=TRUE(),UPPER(INDEX(Binders!$J$6:$J$30,MATCH(Q793,Binders!$I$6:$I$30,0))&amp;"")="TRUE"),FALSE()))</f>
        <v/>
      </c>
    </row>
    <row r="794" ht="15.75" customHeight="1">
      <c r="A794" s="80" t="str">
        <f t="array" ref="A794">IF(INDEX('Deck 3'!$A:$Z,ROW()-750,'List Setup'!$D$5)="","",INDEX('Deck 3'!$A:$Z,ROW()-750,'List Setup'!$D$5))</f>
        <v/>
      </c>
      <c r="B794" s="80" t="str">
        <f t="array" ref="B794">IF(A794="","",IFERROR(INDEX('Binder Setup'!$B$2:$B$401,MIN(IF(ISNUMBER(SEARCH(CHAR(10)&amp;'Binder Setup'!$B$2:$B$401&amp;CHAR(10),$H794)),'List Setup'!$Q$2:$Q$401,999),IF(ISNUMBER(SEARCH(CHAR(10)&amp;'Set Aliases'!$A$2:$A$501&amp;CHAR(10),$H794)),'Set Aliases'!$C$2:$C$501,999))),"(none)"))</f>
        <v/>
      </c>
      <c r="C794" s="80" t="str">
        <f t="shared" si="1"/>
        <v/>
      </c>
      <c r="D794" s="80" t="str">
        <f t="array" ref="D794">IF(A794="","",IF(ISLOGICAL(INDEX('Deck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94" s="80" t="str">
        <f t="shared" si="2"/>
        <v/>
      </c>
      <c r="F794" s="80" t="str">
        <f t="array" ref="F794">IF(A794="","",IF(ISNUMBER(J794),J794,IF(ISNUMBER(INDEX('Deck 3'!$A:$Z,ROW()-750,'List Setup'!$F$5)),INDEX('Deck 3'!$A:$Z,ROW()-750,'List Setup'!$F$5),0)))</f>
        <v/>
      </c>
      <c r="G794" s="80" t="str">
        <f t="array" ref="G794">IF(A794="","",A794&amp;IF(N(INDEX('Deck 3'!$A:$Z,ROW()-750,'List Setup'!$C$5))&gt;1," (x"&amp;INDEX('Deck 3'!$A:$Z,ROW()-750,'List Setup'!$C$5)&amp;")","")&amp;IF(COUNTIF(Binders!$J$6:$J$30,TRUE())&gt;1," ["&amp;Q794&amp;"]",""))</f>
        <v/>
      </c>
      <c r="H794" s="80" t="str">
        <f t="array" ref="H794">IF(A794="","",CHAR(10)&amp;INDEX('Deck 3'!$A:$Z,ROW()-750,'List Setup'!$E$5)&amp;CHAR(10))</f>
        <v/>
      </c>
      <c r="I794" s="80" t="str">
        <f t="array" ref="I794">IF(OR(B794="",B794="(none)"),"",IF(ISNUMBER(SEARCH(CHAR(10)&amp;B794&amp;CHAR(10),H794)),B794,IFERROR(INDEX('Set Aliases'!$A$2:$A$501,MATCH(1,('Set Aliases'!$B$2:$B$501=B794)*ISNUMBER(SEARCH(CHAR(10)&amp;'Set Aliases'!$A$2:$A$501&amp;CHAR(10),H794)),0)),"")))</f>
        <v/>
      </c>
      <c r="J794" s="80" t="str">
        <f t="array" ref="J794">IF(I794="","",IFERROR(VALUE(TRIM(MID(SUBSTITUTE(INDEX('Deck 3'!$A:$Z,ROW()-750,'List Setup'!$G$5),CHAR(10),REPT(" ",100)),((SEARCH(CHAR(10)&amp;I794&amp;CHAR(10),H794)-LEN(SUBSTITUTE(LEFT(H794,SEARCH(CHAR(10)&amp;I794&amp;CHAR(10),H794)),CHAR(10),"")))-1)*100+1,100))),""))</f>
        <v/>
      </c>
      <c r="K794" s="80" t="str">
        <f t="array" ref="K794">IF(A794="","",IF(ISNUMBER(SEARCH("Land",LEFT(IFERROR(INDEX('Deck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94" s="80" t="str">
        <f t="shared" si="3"/>
        <v/>
      </c>
      <c r="M794" s="80" t="str">
        <f>IF(A794="","",IF(AND(E794="Y",B794='Use at Shop'!$B$4),K794*10000000000+(MAX(0,MIN(26,CODE(MID(UPPER(A794)&amp;"    ",1,1))-64))*19683+MAX(0,MIN(26,CODE(MID(UPPER(A794)&amp;"    ",2,1))-64))*729+MAX(0,MIN(26,CODE(MID(UPPER(A794)&amp;"    ",3,1))-64))*27+MAX(0,MIN(26,CODE(MID(UPPER(A794)&amp;"    ",4,1))-64))*1)*10000+ROW(),""))</f>
        <v/>
      </c>
      <c r="N794" s="80" t="str">
        <f t="shared" si="7"/>
        <v/>
      </c>
      <c r="O794" s="80" t="str">
        <f t="array" ref="O794">IF(A794="","",IFERROR(INDEX('Deck 3'!$A:$Z,ROW()-750,'List Setup'!$J$5)&amp;"",""))</f>
        <v/>
      </c>
      <c r="P794" s="2"/>
      <c r="Q794" s="80" t="str">
        <f>IF(A794="","",'List Setup'!$A$5)</f>
        <v/>
      </c>
      <c r="R794" s="80" t="str">
        <f t="array" ref="R794">IF(A794="","",IFERROR(OR(INDEX(Binders!$J$6:$J$30,MATCH(Q794,Binders!$I$6:$I$30,0))=TRUE(),UPPER(INDEX(Binders!$J$6:$J$30,MATCH(Q794,Binders!$I$6:$I$30,0))&amp;"")="TRUE"),FALSE()))</f>
        <v/>
      </c>
    </row>
    <row r="795" ht="15.75" customHeight="1">
      <c r="A795" s="80" t="str">
        <f t="array" ref="A795">IF(INDEX('Deck 3'!$A:$Z,ROW()-750,'List Setup'!$D$5)="","",INDEX('Deck 3'!$A:$Z,ROW()-750,'List Setup'!$D$5))</f>
        <v/>
      </c>
      <c r="B795" s="80" t="str">
        <f t="array" ref="B795">IF(A795="","",IFERROR(INDEX('Binder Setup'!$B$2:$B$401,MIN(IF(ISNUMBER(SEARCH(CHAR(10)&amp;'Binder Setup'!$B$2:$B$401&amp;CHAR(10),$H795)),'List Setup'!$Q$2:$Q$401,999),IF(ISNUMBER(SEARCH(CHAR(10)&amp;'Set Aliases'!$A$2:$A$501&amp;CHAR(10),$H795)),'Set Aliases'!$C$2:$C$501,999))),"(none)"))</f>
        <v/>
      </c>
      <c r="C795" s="80" t="str">
        <f t="shared" si="1"/>
        <v/>
      </c>
      <c r="D795" s="80" t="str">
        <f t="array" ref="D795">IF(A795="","",IF(ISLOGICAL(INDEX('Deck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95" s="80" t="str">
        <f t="shared" si="2"/>
        <v/>
      </c>
      <c r="F795" s="80" t="str">
        <f t="array" ref="F795">IF(A795="","",IF(ISNUMBER(J795),J795,IF(ISNUMBER(INDEX('Deck 3'!$A:$Z,ROW()-750,'List Setup'!$F$5)),INDEX('Deck 3'!$A:$Z,ROW()-750,'List Setup'!$F$5),0)))</f>
        <v/>
      </c>
      <c r="G795" s="80" t="str">
        <f t="array" ref="G795">IF(A795="","",A795&amp;IF(N(INDEX('Deck 3'!$A:$Z,ROW()-750,'List Setup'!$C$5))&gt;1," (x"&amp;INDEX('Deck 3'!$A:$Z,ROW()-750,'List Setup'!$C$5)&amp;")","")&amp;IF(COUNTIF(Binders!$J$6:$J$30,TRUE())&gt;1," ["&amp;Q795&amp;"]",""))</f>
        <v/>
      </c>
      <c r="H795" s="80" t="str">
        <f t="array" ref="H795">IF(A795="","",CHAR(10)&amp;INDEX('Deck 3'!$A:$Z,ROW()-750,'List Setup'!$E$5)&amp;CHAR(10))</f>
        <v/>
      </c>
      <c r="I795" s="80" t="str">
        <f t="array" ref="I795">IF(OR(B795="",B795="(none)"),"",IF(ISNUMBER(SEARCH(CHAR(10)&amp;B795&amp;CHAR(10),H795)),B795,IFERROR(INDEX('Set Aliases'!$A$2:$A$501,MATCH(1,('Set Aliases'!$B$2:$B$501=B795)*ISNUMBER(SEARCH(CHAR(10)&amp;'Set Aliases'!$A$2:$A$501&amp;CHAR(10),H795)),0)),"")))</f>
        <v/>
      </c>
      <c r="J795" s="80" t="str">
        <f t="array" ref="J795">IF(I795="","",IFERROR(VALUE(TRIM(MID(SUBSTITUTE(INDEX('Deck 3'!$A:$Z,ROW()-750,'List Setup'!$G$5),CHAR(10),REPT(" ",100)),((SEARCH(CHAR(10)&amp;I795&amp;CHAR(10),H795)-LEN(SUBSTITUTE(LEFT(H795,SEARCH(CHAR(10)&amp;I795&amp;CHAR(10),H795)),CHAR(10),"")))-1)*100+1,100))),""))</f>
        <v/>
      </c>
      <c r="K795" s="80" t="str">
        <f t="array" ref="K795">IF(A795="","",IF(ISNUMBER(SEARCH("Land",LEFT(IFERROR(INDEX('Deck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95" s="80" t="str">
        <f t="shared" si="3"/>
        <v/>
      </c>
      <c r="M795" s="80" t="str">
        <f>IF(A795="","",IF(AND(E795="Y",B795='Use at Shop'!$B$4),K795*10000000000+(MAX(0,MIN(26,CODE(MID(UPPER(A795)&amp;"    ",1,1))-64))*19683+MAX(0,MIN(26,CODE(MID(UPPER(A795)&amp;"    ",2,1))-64))*729+MAX(0,MIN(26,CODE(MID(UPPER(A795)&amp;"    ",3,1))-64))*27+MAX(0,MIN(26,CODE(MID(UPPER(A795)&amp;"    ",4,1))-64))*1)*10000+ROW(),""))</f>
        <v/>
      </c>
      <c r="N795" s="80" t="str">
        <f t="shared" si="7"/>
        <v/>
      </c>
      <c r="O795" s="80" t="str">
        <f t="array" ref="O795">IF(A795="","",IFERROR(INDEX('Deck 3'!$A:$Z,ROW()-750,'List Setup'!$J$5)&amp;"",""))</f>
        <v/>
      </c>
      <c r="P795" s="2"/>
      <c r="Q795" s="80" t="str">
        <f>IF(A795="","",'List Setup'!$A$5)</f>
        <v/>
      </c>
      <c r="R795" s="80" t="str">
        <f t="array" ref="R795">IF(A795="","",IFERROR(OR(INDEX(Binders!$J$6:$J$30,MATCH(Q795,Binders!$I$6:$I$30,0))=TRUE(),UPPER(INDEX(Binders!$J$6:$J$30,MATCH(Q795,Binders!$I$6:$I$30,0))&amp;"")="TRUE"),FALSE()))</f>
        <v/>
      </c>
    </row>
    <row r="796" ht="15.75" customHeight="1">
      <c r="A796" s="80" t="str">
        <f t="array" ref="A796">IF(INDEX('Deck 3'!$A:$Z,ROW()-750,'List Setup'!$D$5)="","",INDEX('Deck 3'!$A:$Z,ROW()-750,'List Setup'!$D$5))</f>
        <v/>
      </c>
      <c r="B796" s="80" t="str">
        <f t="array" ref="B796">IF(A796="","",IFERROR(INDEX('Binder Setup'!$B$2:$B$401,MIN(IF(ISNUMBER(SEARCH(CHAR(10)&amp;'Binder Setup'!$B$2:$B$401&amp;CHAR(10),$H796)),'List Setup'!$Q$2:$Q$401,999),IF(ISNUMBER(SEARCH(CHAR(10)&amp;'Set Aliases'!$A$2:$A$501&amp;CHAR(10),$H796)),'Set Aliases'!$C$2:$C$501,999))),"(none)"))</f>
        <v/>
      </c>
      <c r="C796" s="80" t="str">
        <f t="shared" si="1"/>
        <v/>
      </c>
      <c r="D796" s="80" t="str">
        <f t="array" ref="D796">IF(A796="","",IF(ISLOGICAL(INDEX('Deck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96" s="80" t="str">
        <f t="shared" si="2"/>
        <v/>
      </c>
      <c r="F796" s="80" t="str">
        <f t="array" ref="F796">IF(A796="","",IF(ISNUMBER(J796),J796,IF(ISNUMBER(INDEX('Deck 3'!$A:$Z,ROW()-750,'List Setup'!$F$5)),INDEX('Deck 3'!$A:$Z,ROW()-750,'List Setup'!$F$5),0)))</f>
        <v/>
      </c>
      <c r="G796" s="80" t="str">
        <f t="array" ref="G796">IF(A796="","",A796&amp;IF(N(INDEX('Deck 3'!$A:$Z,ROW()-750,'List Setup'!$C$5))&gt;1," (x"&amp;INDEX('Deck 3'!$A:$Z,ROW()-750,'List Setup'!$C$5)&amp;")","")&amp;IF(COUNTIF(Binders!$J$6:$J$30,TRUE())&gt;1," ["&amp;Q796&amp;"]",""))</f>
        <v/>
      </c>
      <c r="H796" s="80" t="str">
        <f t="array" ref="H796">IF(A796="","",CHAR(10)&amp;INDEX('Deck 3'!$A:$Z,ROW()-750,'List Setup'!$E$5)&amp;CHAR(10))</f>
        <v/>
      </c>
      <c r="I796" s="80" t="str">
        <f t="array" ref="I796">IF(OR(B796="",B796="(none)"),"",IF(ISNUMBER(SEARCH(CHAR(10)&amp;B796&amp;CHAR(10),H796)),B796,IFERROR(INDEX('Set Aliases'!$A$2:$A$501,MATCH(1,('Set Aliases'!$B$2:$B$501=B796)*ISNUMBER(SEARCH(CHAR(10)&amp;'Set Aliases'!$A$2:$A$501&amp;CHAR(10),H796)),0)),"")))</f>
        <v/>
      </c>
      <c r="J796" s="80" t="str">
        <f t="array" ref="J796">IF(I796="","",IFERROR(VALUE(TRIM(MID(SUBSTITUTE(INDEX('Deck 3'!$A:$Z,ROW()-750,'List Setup'!$G$5),CHAR(10),REPT(" ",100)),((SEARCH(CHAR(10)&amp;I796&amp;CHAR(10),H796)-LEN(SUBSTITUTE(LEFT(H796,SEARCH(CHAR(10)&amp;I796&amp;CHAR(10),H796)),CHAR(10),"")))-1)*100+1,100))),""))</f>
        <v/>
      </c>
      <c r="K796" s="80" t="str">
        <f t="array" ref="K796">IF(A796="","",IF(ISNUMBER(SEARCH("Land",LEFT(IFERROR(INDEX('Deck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96" s="80" t="str">
        <f t="shared" si="3"/>
        <v/>
      </c>
      <c r="M796" s="80" t="str">
        <f>IF(A796="","",IF(AND(E796="Y",B796='Use at Shop'!$B$4),K796*10000000000+(MAX(0,MIN(26,CODE(MID(UPPER(A796)&amp;"    ",1,1))-64))*19683+MAX(0,MIN(26,CODE(MID(UPPER(A796)&amp;"    ",2,1))-64))*729+MAX(0,MIN(26,CODE(MID(UPPER(A796)&amp;"    ",3,1))-64))*27+MAX(0,MIN(26,CODE(MID(UPPER(A796)&amp;"    ",4,1))-64))*1)*10000+ROW(),""))</f>
        <v/>
      </c>
      <c r="N796" s="80" t="str">
        <f t="shared" si="7"/>
        <v/>
      </c>
      <c r="O796" s="80" t="str">
        <f t="array" ref="O796">IF(A796="","",IFERROR(INDEX('Deck 3'!$A:$Z,ROW()-750,'List Setup'!$J$5)&amp;"",""))</f>
        <v/>
      </c>
      <c r="P796" s="2"/>
      <c r="Q796" s="80" t="str">
        <f>IF(A796="","",'List Setup'!$A$5)</f>
        <v/>
      </c>
      <c r="R796" s="80" t="str">
        <f t="array" ref="R796">IF(A796="","",IFERROR(OR(INDEX(Binders!$J$6:$J$30,MATCH(Q796,Binders!$I$6:$I$30,0))=TRUE(),UPPER(INDEX(Binders!$J$6:$J$30,MATCH(Q796,Binders!$I$6:$I$30,0))&amp;"")="TRUE"),FALSE()))</f>
        <v/>
      </c>
    </row>
    <row r="797" ht="15.75" customHeight="1">
      <c r="A797" s="80" t="str">
        <f t="array" ref="A797">IF(INDEX('Deck 3'!$A:$Z,ROW()-750,'List Setup'!$D$5)="","",INDEX('Deck 3'!$A:$Z,ROW()-750,'List Setup'!$D$5))</f>
        <v/>
      </c>
      <c r="B797" s="80" t="str">
        <f t="array" ref="B797">IF(A797="","",IFERROR(INDEX('Binder Setup'!$B$2:$B$401,MIN(IF(ISNUMBER(SEARCH(CHAR(10)&amp;'Binder Setup'!$B$2:$B$401&amp;CHAR(10),$H797)),'List Setup'!$Q$2:$Q$401,999),IF(ISNUMBER(SEARCH(CHAR(10)&amp;'Set Aliases'!$A$2:$A$501&amp;CHAR(10),$H797)),'Set Aliases'!$C$2:$C$501,999))),"(none)"))</f>
        <v/>
      </c>
      <c r="C797" s="80" t="str">
        <f t="shared" si="1"/>
        <v/>
      </c>
      <c r="D797" s="80" t="str">
        <f t="array" ref="D797">IF(A797="","",IF(ISLOGICAL(INDEX('Deck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97" s="80" t="str">
        <f t="shared" si="2"/>
        <v/>
      </c>
      <c r="F797" s="80" t="str">
        <f t="array" ref="F797">IF(A797="","",IF(ISNUMBER(J797),J797,IF(ISNUMBER(INDEX('Deck 3'!$A:$Z,ROW()-750,'List Setup'!$F$5)),INDEX('Deck 3'!$A:$Z,ROW()-750,'List Setup'!$F$5),0)))</f>
        <v/>
      </c>
      <c r="G797" s="80" t="str">
        <f t="array" ref="G797">IF(A797="","",A797&amp;IF(N(INDEX('Deck 3'!$A:$Z,ROW()-750,'List Setup'!$C$5))&gt;1," (x"&amp;INDEX('Deck 3'!$A:$Z,ROW()-750,'List Setup'!$C$5)&amp;")","")&amp;IF(COUNTIF(Binders!$J$6:$J$30,TRUE())&gt;1," ["&amp;Q797&amp;"]",""))</f>
        <v/>
      </c>
      <c r="H797" s="80" t="str">
        <f t="array" ref="H797">IF(A797="","",CHAR(10)&amp;INDEX('Deck 3'!$A:$Z,ROW()-750,'List Setup'!$E$5)&amp;CHAR(10))</f>
        <v/>
      </c>
      <c r="I797" s="80" t="str">
        <f t="array" ref="I797">IF(OR(B797="",B797="(none)"),"",IF(ISNUMBER(SEARCH(CHAR(10)&amp;B797&amp;CHAR(10),H797)),B797,IFERROR(INDEX('Set Aliases'!$A$2:$A$501,MATCH(1,('Set Aliases'!$B$2:$B$501=B797)*ISNUMBER(SEARCH(CHAR(10)&amp;'Set Aliases'!$A$2:$A$501&amp;CHAR(10),H797)),0)),"")))</f>
        <v/>
      </c>
      <c r="J797" s="80" t="str">
        <f t="array" ref="J797">IF(I797="","",IFERROR(VALUE(TRIM(MID(SUBSTITUTE(INDEX('Deck 3'!$A:$Z,ROW()-750,'List Setup'!$G$5),CHAR(10),REPT(" ",100)),((SEARCH(CHAR(10)&amp;I797&amp;CHAR(10),H797)-LEN(SUBSTITUTE(LEFT(H797,SEARCH(CHAR(10)&amp;I797&amp;CHAR(10),H797)),CHAR(10),"")))-1)*100+1,100))),""))</f>
        <v/>
      </c>
      <c r="K797" s="80" t="str">
        <f t="array" ref="K797">IF(A797="","",IF(ISNUMBER(SEARCH("Land",LEFT(IFERROR(INDEX('Deck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97" s="80" t="str">
        <f t="shared" si="3"/>
        <v/>
      </c>
      <c r="M797" s="80" t="str">
        <f>IF(A797="","",IF(AND(E797="Y",B797='Use at Shop'!$B$4),K797*10000000000+(MAX(0,MIN(26,CODE(MID(UPPER(A797)&amp;"    ",1,1))-64))*19683+MAX(0,MIN(26,CODE(MID(UPPER(A797)&amp;"    ",2,1))-64))*729+MAX(0,MIN(26,CODE(MID(UPPER(A797)&amp;"    ",3,1))-64))*27+MAX(0,MIN(26,CODE(MID(UPPER(A797)&amp;"    ",4,1))-64))*1)*10000+ROW(),""))</f>
        <v/>
      </c>
      <c r="N797" s="80" t="str">
        <f t="shared" si="7"/>
        <v/>
      </c>
      <c r="O797" s="80" t="str">
        <f t="array" ref="O797">IF(A797="","",IFERROR(INDEX('Deck 3'!$A:$Z,ROW()-750,'List Setup'!$J$5)&amp;"",""))</f>
        <v/>
      </c>
      <c r="P797" s="2"/>
      <c r="Q797" s="80" t="str">
        <f>IF(A797="","",'List Setup'!$A$5)</f>
        <v/>
      </c>
      <c r="R797" s="80" t="str">
        <f t="array" ref="R797">IF(A797="","",IFERROR(OR(INDEX(Binders!$J$6:$J$30,MATCH(Q797,Binders!$I$6:$I$30,0))=TRUE(),UPPER(INDEX(Binders!$J$6:$J$30,MATCH(Q797,Binders!$I$6:$I$30,0))&amp;"")="TRUE"),FALSE()))</f>
        <v/>
      </c>
    </row>
    <row r="798" ht="15.75" customHeight="1">
      <c r="A798" s="80" t="str">
        <f t="array" ref="A798">IF(INDEX('Deck 3'!$A:$Z,ROW()-750,'List Setup'!$D$5)="","",INDEX('Deck 3'!$A:$Z,ROW()-750,'List Setup'!$D$5))</f>
        <v/>
      </c>
      <c r="B798" s="80" t="str">
        <f t="array" ref="B798">IF(A798="","",IFERROR(INDEX('Binder Setup'!$B$2:$B$401,MIN(IF(ISNUMBER(SEARCH(CHAR(10)&amp;'Binder Setup'!$B$2:$B$401&amp;CHAR(10),$H798)),'List Setup'!$Q$2:$Q$401,999),IF(ISNUMBER(SEARCH(CHAR(10)&amp;'Set Aliases'!$A$2:$A$501&amp;CHAR(10),$H798)),'Set Aliases'!$C$2:$C$501,999))),"(none)"))</f>
        <v/>
      </c>
      <c r="C798" s="80" t="str">
        <f t="shared" si="1"/>
        <v/>
      </c>
      <c r="D798" s="80" t="str">
        <f t="array" ref="D798">IF(A798="","",IF(ISLOGICAL(INDEX('Deck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98" s="80" t="str">
        <f t="shared" si="2"/>
        <v/>
      </c>
      <c r="F798" s="80" t="str">
        <f t="array" ref="F798">IF(A798="","",IF(ISNUMBER(J798),J798,IF(ISNUMBER(INDEX('Deck 3'!$A:$Z,ROW()-750,'List Setup'!$F$5)),INDEX('Deck 3'!$A:$Z,ROW()-750,'List Setup'!$F$5),0)))</f>
        <v/>
      </c>
      <c r="G798" s="80" t="str">
        <f t="array" ref="G798">IF(A798="","",A798&amp;IF(N(INDEX('Deck 3'!$A:$Z,ROW()-750,'List Setup'!$C$5))&gt;1," (x"&amp;INDEX('Deck 3'!$A:$Z,ROW()-750,'List Setup'!$C$5)&amp;")","")&amp;IF(COUNTIF(Binders!$J$6:$J$30,TRUE())&gt;1," ["&amp;Q798&amp;"]",""))</f>
        <v/>
      </c>
      <c r="H798" s="80" t="str">
        <f t="array" ref="H798">IF(A798="","",CHAR(10)&amp;INDEX('Deck 3'!$A:$Z,ROW()-750,'List Setup'!$E$5)&amp;CHAR(10))</f>
        <v/>
      </c>
      <c r="I798" s="80" t="str">
        <f t="array" ref="I798">IF(OR(B798="",B798="(none)"),"",IF(ISNUMBER(SEARCH(CHAR(10)&amp;B798&amp;CHAR(10),H798)),B798,IFERROR(INDEX('Set Aliases'!$A$2:$A$501,MATCH(1,('Set Aliases'!$B$2:$B$501=B798)*ISNUMBER(SEARCH(CHAR(10)&amp;'Set Aliases'!$A$2:$A$501&amp;CHAR(10),H798)),0)),"")))</f>
        <v/>
      </c>
      <c r="J798" s="80" t="str">
        <f t="array" ref="J798">IF(I798="","",IFERROR(VALUE(TRIM(MID(SUBSTITUTE(INDEX('Deck 3'!$A:$Z,ROW()-750,'List Setup'!$G$5),CHAR(10),REPT(" ",100)),((SEARCH(CHAR(10)&amp;I798&amp;CHAR(10),H798)-LEN(SUBSTITUTE(LEFT(H798,SEARCH(CHAR(10)&amp;I798&amp;CHAR(10),H798)),CHAR(10),"")))-1)*100+1,100))),""))</f>
        <v/>
      </c>
      <c r="K798" s="80" t="str">
        <f t="array" ref="K798">IF(A798="","",IF(ISNUMBER(SEARCH("Land",LEFT(IFERROR(INDEX('Deck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98" s="80" t="str">
        <f t="shared" si="3"/>
        <v/>
      </c>
      <c r="M798" s="80" t="str">
        <f>IF(A798="","",IF(AND(E798="Y",B798='Use at Shop'!$B$4),K798*10000000000+(MAX(0,MIN(26,CODE(MID(UPPER(A798)&amp;"    ",1,1))-64))*19683+MAX(0,MIN(26,CODE(MID(UPPER(A798)&amp;"    ",2,1))-64))*729+MAX(0,MIN(26,CODE(MID(UPPER(A798)&amp;"    ",3,1))-64))*27+MAX(0,MIN(26,CODE(MID(UPPER(A798)&amp;"    ",4,1))-64))*1)*10000+ROW(),""))</f>
        <v/>
      </c>
      <c r="N798" s="80" t="str">
        <f t="shared" si="7"/>
        <v/>
      </c>
      <c r="O798" s="80" t="str">
        <f t="array" ref="O798">IF(A798="","",IFERROR(INDEX('Deck 3'!$A:$Z,ROW()-750,'List Setup'!$J$5)&amp;"",""))</f>
        <v/>
      </c>
      <c r="P798" s="2"/>
      <c r="Q798" s="80" t="str">
        <f>IF(A798="","",'List Setup'!$A$5)</f>
        <v/>
      </c>
      <c r="R798" s="80" t="str">
        <f t="array" ref="R798">IF(A798="","",IFERROR(OR(INDEX(Binders!$J$6:$J$30,MATCH(Q798,Binders!$I$6:$I$30,0))=TRUE(),UPPER(INDEX(Binders!$J$6:$J$30,MATCH(Q798,Binders!$I$6:$I$30,0))&amp;"")="TRUE"),FALSE()))</f>
        <v/>
      </c>
    </row>
    <row r="799" ht="15.75" customHeight="1">
      <c r="A799" s="80" t="str">
        <f t="array" ref="A799">IF(INDEX('Deck 3'!$A:$Z,ROW()-750,'List Setup'!$D$5)="","",INDEX('Deck 3'!$A:$Z,ROW()-750,'List Setup'!$D$5))</f>
        <v/>
      </c>
      <c r="B799" s="80" t="str">
        <f t="array" ref="B799">IF(A799="","",IFERROR(INDEX('Binder Setup'!$B$2:$B$401,MIN(IF(ISNUMBER(SEARCH(CHAR(10)&amp;'Binder Setup'!$B$2:$B$401&amp;CHAR(10),$H799)),'List Setup'!$Q$2:$Q$401,999),IF(ISNUMBER(SEARCH(CHAR(10)&amp;'Set Aliases'!$A$2:$A$501&amp;CHAR(10),$H799)),'Set Aliases'!$C$2:$C$501,999))),"(none)"))</f>
        <v/>
      </c>
      <c r="C799" s="80" t="str">
        <f t="shared" si="1"/>
        <v/>
      </c>
      <c r="D799" s="80" t="str">
        <f t="array" ref="D799">IF(A799="","",IF(ISLOGICAL(INDEX('Deck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799" s="80" t="str">
        <f t="shared" si="2"/>
        <v/>
      </c>
      <c r="F799" s="80" t="str">
        <f t="array" ref="F799">IF(A799="","",IF(ISNUMBER(J799),J799,IF(ISNUMBER(INDEX('Deck 3'!$A:$Z,ROW()-750,'List Setup'!$F$5)),INDEX('Deck 3'!$A:$Z,ROW()-750,'List Setup'!$F$5),0)))</f>
        <v/>
      </c>
      <c r="G799" s="80" t="str">
        <f t="array" ref="G799">IF(A799="","",A799&amp;IF(N(INDEX('Deck 3'!$A:$Z,ROW()-750,'List Setup'!$C$5))&gt;1," (x"&amp;INDEX('Deck 3'!$A:$Z,ROW()-750,'List Setup'!$C$5)&amp;")","")&amp;IF(COUNTIF(Binders!$J$6:$J$30,TRUE())&gt;1," ["&amp;Q799&amp;"]",""))</f>
        <v/>
      </c>
      <c r="H799" s="80" t="str">
        <f t="array" ref="H799">IF(A799="","",CHAR(10)&amp;INDEX('Deck 3'!$A:$Z,ROW()-750,'List Setup'!$E$5)&amp;CHAR(10))</f>
        <v/>
      </c>
      <c r="I799" s="80" t="str">
        <f t="array" ref="I799">IF(OR(B799="",B799="(none)"),"",IF(ISNUMBER(SEARCH(CHAR(10)&amp;B799&amp;CHAR(10),H799)),B799,IFERROR(INDEX('Set Aliases'!$A$2:$A$501,MATCH(1,('Set Aliases'!$B$2:$B$501=B799)*ISNUMBER(SEARCH(CHAR(10)&amp;'Set Aliases'!$A$2:$A$501&amp;CHAR(10),H799)),0)),"")))</f>
        <v/>
      </c>
      <c r="J799" s="80" t="str">
        <f t="array" ref="J799">IF(I799="","",IFERROR(VALUE(TRIM(MID(SUBSTITUTE(INDEX('Deck 3'!$A:$Z,ROW()-750,'List Setup'!$G$5),CHAR(10),REPT(" ",100)),((SEARCH(CHAR(10)&amp;I799&amp;CHAR(10),H799)-LEN(SUBSTITUTE(LEFT(H799,SEARCH(CHAR(10)&amp;I799&amp;CHAR(10),H799)),CHAR(10),"")))-1)*100+1,100))),""))</f>
        <v/>
      </c>
      <c r="K799" s="80" t="str">
        <f t="array" ref="K799">IF(A799="","",IF(ISNUMBER(SEARCH("Land",LEFT(IFERROR(INDEX('Deck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799" s="80" t="str">
        <f t="shared" si="3"/>
        <v/>
      </c>
      <c r="M799" s="80" t="str">
        <f>IF(A799="","",IF(AND(E799="Y",B799='Use at Shop'!$B$4),K799*10000000000+(MAX(0,MIN(26,CODE(MID(UPPER(A799)&amp;"    ",1,1))-64))*19683+MAX(0,MIN(26,CODE(MID(UPPER(A799)&amp;"    ",2,1))-64))*729+MAX(0,MIN(26,CODE(MID(UPPER(A799)&amp;"    ",3,1))-64))*27+MAX(0,MIN(26,CODE(MID(UPPER(A799)&amp;"    ",4,1))-64))*1)*10000+ROW(),""))</f>
        <v/>
      </c>
      <c r="N799" s="80" t="str">
        <f t="shared" si="7"/>
        <v/>
      </c>
      <c r="O799" s="80" t="str">
        <f t="array" ref="O799">IF(A799="","",IFERROR(INDEX('Deck 3'!$A:$Z,ROW()-750,'List Setup'!$J$5)&amp;"",""))</f>
        <v/>
      </c>
      <c r="P799" s="2"/>
      <c r="Q799" s="80" t="str">
        <f>IF(A799="","",'List Setup'!$A$5)</f>
        <v/>
      </c>
      <c r="R799" s="80" t="str">
        <f t="array" ref="R799">IF(A799="","",IFERROR(OR(INDEX(Binders!$J$6:$J$30,MATCH(Q799,Binders!$I$6:$I$30,0))=TRUE(),UPPER(INDEX(Binders!$J$6:$J$30,MATCH(Q799,Binders!$I$6:$I$30,0))&amp;"")="TRUE"),FALSE()))</f>
        <v/>
      </c>
    </row>
    <row r="800" ht="15.75" customHeight="1">
      <c r="A800" s="80" t="str">
        <f t="array" ref="A800">IF(INDEX('Deck 3'!$A:$Z,ROW()-750,'List Setup'!$D$5)="","",INDEX('Deck 3'!$A:$Z,ROW()-750,'List Setup'!$D$5))</f>
        <v/>
      </c>
      <c r="B800" s="80" t="str">
        <f t="array" ref="B800">IF(A800="","",IFERROR(INDEX('Binder Setup'!$B$2:$B$401,MIN(IF(ISNUMBER(SEARCH(CHAR(10)&amp;'Binder Setup'!$B$2:$B$401&amp;CHAR(10),$H800)),'List Setup'!$Q$2:$Q$401,999),IF(ISNUMBER(SEARCH(CHAR(10)&amp;'Set Aliases'!$A$2:$A$501&amp;CHAR(10),$H800)),'Set Aliases'!$C$2:$C$501,999))),"(none)"))</f>
        <v/>
      </c>
      <c r="C800" s="80" t="str">
        <f t="shared" si="1"/>
        <v/>
      </c>
      <c r="D800" s="80" t="str">
        <f t="array" ref="D800">IF(A800="","",IF(ISLOGICAL(INDEX('Deck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00" s="80" t="str">
        <f t="shared" si="2"/>
        <v/>
      </c>
      <c r="F800" s="80" t="str">
        <f t="array" ref="F800">IF(A800="","",IF(ISNUMBER(J800),J800,IF(ISNUMBER(INDEX('Deck 3'!$A:$Z,ROW()-750,'List Setup'!$F$5)),INDEX('Deck 3'!$A:$Z,ROW()-750,'List Setup'!$F$5),0)))</f>
        <v/>
      </c>
      <c r="G800" s="80" t="str">
        <f t="array" ref="G800">IF(A800="","",A800&amp;IF(N(INDEX('Deck 3'!$A:$Z,ROW()-750,'List Setup'!$C$5))&gt;1," (x"&amp;INDEX('Deck 3'!$A:$Z,ROW()-750,'List Setup'!$C$5)&amp;")","")&amp;IF(COUNTIF(Binders!$J$6:$J$30,TRUE())&gt;1," ["&amp;Q800&amp;"]",""))</f>
        <v/>
      </c>
      <c r="H800" s="80" t="str">
        <f t="array" ref="H800">IF(A800="","",CHAR(10)&amp;INDEX('Deck 3'!$A:$Z,ROW()-750,'List Setup'!$E$5)&amp;CHAR(10))</f>
        <v/>
      </c>
      <c r="I800" s="80" t="str">
        <f t="array" ref="I800">IF(OR(B800="",B800="(none)"),"",IF(ISNUMBER(SEARCH(CHAR(10)&amp;B800&amp;CHAR(10),H800)),B800,IFERROR(INDEX('Set Aliases'!$A$2:$A$501,MATCH(1,('Set Aliases'!$B$2:$B$501=B800)*ISNUMBER(SEARCH(CHAR(10)&amp;'Set Aliases'!$A$2:$A$501&amp;CHAR(10),H800)),0)),"")))</f>
        <v/>
      </c>
      <c r="J800" s="80" t="str">
        <f t="array" ref="J800">IF(I800="","",IFERROR(VALUE(TRIM(MID(SUBSTITUTE(INDEX('Deck 3'!$A:$Z,ROW()-750,'List Setup'!$G$5),CHAR(10),REPT(" ",100)),((SEARCH(CHAR(10)&amp;I800&amp;CHAR(10),H800)-LEN(SUBSTITUTE(LEFT(H800,SEARCH(CHAR(10)&amp;I800&amp;CHAR(10),H800)),CHAR(10),"")))-1)*100+1,100))),""))</f>
        <v/>
      </c>
      <c r="K800" s="80" t="str">
        <f t="array" ref="K800">IF(A800="","",IF(ISNUMBER(SEARCH("Land",LEFT(IFERROR(INDEX('Deck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00" s="80" t="str">
        <f t="shared" si="3"/>
        <v/>
      </c>
      <c r="M800" s="80" t="str">
        <f>IF(A800="","",IF(AND(E800="Y",B800='Use at Shop'!$B$4),K800*10000000000+(MAX(0,MIN(26,CODE(MID(UPPER(A800)&amp;"    ",1,1))-64))*19683+MAX(0,MIN(26,CODE(MID(UPPER(A800)&amp;"    ",2,1))-64))*729+MAX(0,MIN(26,CODE(MID(UPPER(A800)&amp;"    ",3,1))-64))*27+MAX(0,MIN(26,CODE(MID(UPPER(A800)&amp;"    ",4,1))-64))*1)*10000+ROW(),""))</f>
        <v/>
      </c>
      <c r="N800" s="80" t="str">
        <f t="shared" si="7"/>
        <v/>
      </c>
      <c r="O800" s="80" t="str">
        <f t="array" ref="O800">IF(A800="","",IFERROR(INDEX('Deck 3'!$A:$Z,ROW()-750,'List Setup'!$J$5)&amp;"",""))</f>
        <v/>
      </c>
      <c r="P800" s="2"/>
      <c r="Q800" s="80" t="str">
        <f>IF(A800="","",'List Setup'!$A$5)</f>
        <v/>
      </c>
      <c r="R800" s="80" t="str">
        <f t="array" ref="R800">IF(A800="","",IFERROR(OR(INDEX(Binders!$J$6:$J$30,MATCH(Q800,Binders!$I$6:$I$30,0))=TRUE(),UPPER(INDEX(Binders!$J$6:$J$30,MATCH(Q800,Binders!$I$6:$I$30,0))&amp;"")="TRUE"),FALSE()))</f>
        <v/>
      </c>
    </row>
    <row r="801" ht="15.75" customHeight="1">
      <c r="A801" s="80" t="str">
        <f t="array" ref="A801">IF(INDEX('Deck 3'!$A:$Z,ROW()-750,'List Setup'!$D$5)="","",INDEX('Deck 3'!$A:$Z,ROW()-750,'List Setup'!$D$5))</f>
        <v/>
      </c>
      <c r="B801" s="80" t="str">
        <f t="array" ref="B801">IF(A801="","",IFERROR(INDEX('Binder Setup'!$B$2:$B$401,MIN(IF(ISNUMBER(SEARCH(CHAR(10)&amp;'Binder Setup'!$B$2:$B$401&amp;CHAR(10),$H801)),'List Setup'!$Q$2:$Q$401,999),IF(ISNUMBER(SEARCH(CHAR(10)&amp;'Set Aliases'!$A$2:$A$501&amp;CHAR(10),$H801)),'Set Aliases'!$C$2:$C$501,999))),"(none)"))</f>
        <v/>
      </c>
      <c r="C801" s="80" t="str">
        <f t="shared" si="1"/>
        <v/>
      </c>
      <c r="D801" s="80" t="str">
        <f t="array" ref="D801">IF(A801="","",IF(ISLOGICAL(INDEX('Deck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01" s="80" t="str">
        <f t="shared" si="2"/>
        <v/>
      </c>
      <c r="F801" s="80" t="str">
        <f t="array" ref="F801">IF(A801="","",IF(ISNUMBER(J801),J801,IF(ISNUMBER(INDEX('Deck 3'!$A:$Z,ROW()-750,'List Setup'!$F$5)),INDEX('Deck 3'!$A:$Z,ROW()-750,'List Setup'!$F$5),0)))</f>
        <v/>
      </c>
      <c r="G801" s="80" t="str">
        <f t="array" ref="G801">IF(A801="","",A801&amp;IF(N(INDEX('Deck 3'!$A:$Z,ROW()-750,'List Setup'!$C$5))&gt;1," (x"&amp;INDEX('Deck 3'!$A:$Z,ROW()-750,'List Setup'!$C$5)&amp;")","")&amp;IF(COUNTIF(Binders!$J$6:$J$30,TRUE())&gt;1," ["&amp;Q801&amp;"]",""))</f>
        <v/>
      </c>
      <c r="H801" s="80" t="str">
        <f t="array" ref="H801">IF(A801="","",CHAR(10)&amp;INDEX('Deck 3'!$A:$Z,ROW()-750,'List Setup'!$E$5)&amp;CHAR(10))</f>
        <v/>
      </c>
      <c r="I801" s="80" t="str">
        <f t="array" ref="I801">IF(OR(B801="",B801="(none)"),"",IF(ISNUMBER(SEARCH(CHAR(10)&amp;B801&amp;CHAR(10),H801)),B801,IFERROR(INDEX('Set Aliases'!$A$2:$A$501,MATCH(1,('Set Aliases'!$B$2:$B$501=B801)*ISNUMBER(SEARCH(CHAR(10)&amp;'Set Aliases'!$A$2:$A$501&amp;CHAR(10),H801)),0)),"")))</f>
        <v/>
      </c>
      <c r="J801" s="80" t="str">
        <f t="array" ref="J801">IF(I801="","",IFERROR(VALUE(TRIM(MID(SUBSTITUTE(INDEX('Deck 3'!$A:$Z,ROW()-750,'List Setup'!$G$5),CHAR(10),REPT(" ",100)),((SEARCH(CHAR(10)&amp;I801&amp;CHAR(10),H801)-LEN(SUBSTITUTE(LEFT(H801,SEARCH(CHAR(10)&amp;I801&amp;CHAR(10),H801)),CHAR(10),"")))-1)*100+1,100))),""))</f>
        <v/>
      </c>
      <c r="K801" s="80" t="str">
        <f t="array" ref="K801">IF(A801="","",IF(ISNUMBER(SEARCH("Land",LEFT(IFERROR(INDEX('Deck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01" s="80" t="str">
        <f t="shared" si="3"/>
        <v/>
      </c>
      <c r="M801" s="80" t="str">
        <f>IF(A801="","",IF(AND(E801="Y",B801='Use at Shop'!$B$4),K801*10000000000+(MAX(0,MIN(26,CODE(MID(UPPER(A801)&amp;"    ",1,1))-64))*19683+MAX(0,MIN(26,CODE(MID(UPPER(A801)&amp;"    ",2,1))-64))*729+MAX(0,MIN(26,CODE(MID(UPPER(A801)&amp;"    ",3,1))-64))*27+MAX(0,MIN(26,CODE(MID(UPPER(A801)&amp;"    ",4,1))-64))*1)*10000+ROW(),""))</f>
        <v/>
      </c>
      <c r="N801" s="80" t="str">
        <f t="shared" si="7"/>
        <v/>
      </c>
      <c r="O801" s="80" t="str">
        <f t="array" ref="O801">IF(A801="","",IFERROR(INDEX('Deck 3'!$A:$Z,ROW()-750,'List Setup'!$J$5)&amp;"",""))</f>
        <v/>
      </c>
      <c r="P801" s="2"/>
      <c r="Q801" s="80" t="str">
        <f>IF(A801="","",'List Setup'!$A$5)</f>
        <v/>
      </c>
      <c r="R801" s="80" t="str">
        <f t="array" ref="R801">IF(A801="","",IFERROR(OR(INDEX(Binders!$J$6:$J$30,MATCH(Q801,Binders!$I$6:$I$30,0))=TRUE(),UPPER(INDEX(Binders!$J$6:$J$30,MATCH(Q801,Binders!$I$6:$I$30,0))&amp;"")="TRUE"),FALSE()))</f>
        <v/>
      </c>
    </row>
    <row r="802" ht="15.75" customHeight="1">
      <c r="A802" s="80" t="str">
        <f t="array" ref="A802">IF(INDEX('Deck 3'!$A:$Z,ROW()-750,'List Setup'!$D$5)="","",INDEX('Deck 3'!$A:$Z,ROW()-750,'List Setup'!$D$5))</f>
        <v/>
      </c>
      <c r="B802" s="80" t="str">
        <f t="array" ref="B802">IF(A802="","",IFERROR(INDEX('Binder Setup'!$B$2:$B$401,MIN(IF(ISNUMBER(SEARCH(CHAR(10)&amp;'Binder Setup'!$B$2:$B$401&amp;CHAR(10),$H802)),'List Setup'!$Q$2:$Q$401,999),IF(ISNUMBER(SEARCH(CHAR(10)&amp;'Set Aliases'!$A$2:$A$501&amp;CHAR(10),$H802)),'Set Aliases'!$C$2:$C$501,999))),"(none)"))</f>
        <v/>
      </c>
      <c r="C802" s="80" t="str">
        <f t="shared" si="1"/>
        <v/>
      </c>
      <c r="D802" s="80" t="str">
        <f t="array" ref="D802">IF(A802="","",IF(ISLOGICAL(INDEX('Deck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02" s="80" t="str">
        <f t="shared" si="2"/>
        <v/>
      </c>
      <c r="F802" s="80" t="str">
        <f t="array" ref="F802">IF(A802="","",IF(ISNUMBER(J802),J802,IF(ISNUMBER(INDEX('Deck 3'!$A:$Z,ROW()-750,'List Setup'!$F$5)),INDEX('Deck 3'!$A:$Z,ROW()-750,'List Setup'!$F$5),0)))</f>
        <v/>
      </c>
      <c r="G802" s="80" t="str">
        <f t="array" ref="G802">IF(A802="","",A802&amp;IF(N(INDEX('Deck 3'!$A:$Z,ROW()-750,'List Setup'!$C$5))&gt;1," (x"&amp;INDEX('Deck 3'!$A:$Z,ROW()-750,'List Setup'!$C$5)&amp;")","")&amp;IF(COUNTIF(Binders!$J$6:$J$30,TRUE())&gt;1," ["&amp;Q802&amp;"]",""))</f>
        <v/>
      </c>
      <c r="H802" s="80" t="str">
        <f t="array" ref="H802">IF(A802="","",CHAR(10)&amp;INDEX('Deck 3'!$A:$Z,ROW()-750,'List Setup'!$E$5)&amp;CHAR(10))</f>
        <v/>
      </c>
      <c r="I802" s="80" t="str">
        <f t="array" ref="I802">IF(OR(B802="",B802="(none)"),"",IF(ISNUMBER(SEARCH(CHAR(10)&amp;B802&amp;CHAR(10),H802)),B802,IFERROR(INDEX('Set Aliases'!$A$2:$A$501,MATCH(1,('Set Aliases'!$B$2:$B$501=B802)*ISNUMBER(SEARCH(CHAR(10)&amp;'Set Aliases'!$A$2:$A$501&amp;CHAR(10),H802)),0)),"")))</f>
        <v/>
      </c>
      <c r="J802" s="80" t="str">
        <f t="array" ref="J802">IF(I802="","",IFERROR(VALUE(TRIM(MID(SUBSTITUTE(INDEX('Deck 3'!$A:$Z,ROW()-750,'List Setup'!$G$5),CHAR(10),REPT(" ",100)),((SEARCH(CHAR(10)&amp;I802&amp;CHAR(10),H802)-LEN(SUBSTITUTE(LEFT(H802,SEARCH(CHAR(10)&amp;I802&amp;CHAR(10),H802)),CHAR(10),"")))-1)*100+1,100))),""))</f>
        <v/>
      </c>
      <c r="K802" s="80" t="str">
        <f t="array" ref="K802">IF(A802="","",IF(ISNUMBER(SEARCH("Land",LEFT(IFERROR(INDEX('Deck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02" s="80" t="str">
        <f t="shared" si="3"/>
        <v/>
      </c>
      <c r="M802" s="80" t="str">
        <f>IF(A802="","",IF(AND(E802="Y",B802='Use at Shop'!$B$4),K802*10000000000+(MAX(0,MIN(26,CODE(MID(UPPER(A802)&amp;"    ",1,1))-64))*19683+MAX(0,MIN(26,CODE(MID(UPPER(A802)&amp;"    ",2,1))-64))*729+MAX(0,MIN(26,CODE(MID(UPPER(A802)&amp;"    ",3,1))-64))*27+MAX(0,MIN(26,CODE(MID(UPPER(A802)&amp;"    ",4,1))-64))*1)*10000+ROW(),""))</f>
        <v/>
      </c>
      <c r="N802" s="80" t="str">
        <f t="shared" si="7"/>
        <v/>
      </c>
      <c r="O802" s="80" t="str">
        <f t="array" ref="O802">IF(A802="","",IFERROR(INDEX('Deck 3'!$A:$Z,ROW()-750,'List Setup'!$J$5)&amp;"",""))</f>
        <v/>
      </c>
      <c r="P802" s="2"/>
      <c r="Q802" s="80" t="str">
        <f>IF(A802="","",'List Setup'!$A$5)</f>
        <v/>
      </c>
      <c r="R802" s="80" t="str">
        <f t="array" ref="R802">IF(A802="","",IFERROR(OR(INDEX(Binders!$J$6:$J$30,MATCH(Q802,Binders!$I$6:$I$30,0))=TRUE(),UPPER(INDEX(Binders!$J$6:$J$30,MATCH(Q802,Binders!$I$6:$I$30,0))&amp;"")="TRUE"),FALSE()))</f>
        <v/>
      </c>
    </row>
    <row r="803" ht="15.75" customHeight="1">
      <c r="A803" s="80" t="str">
        <f t="array" ref="A803">IF(INDEX('Deck 3'!$A:$Z,ROW()-750,'List Setup'!$D$5)="","",INDEX('Deck 3'!$A:$Z,ROW()-750,'List Setup'!$D$5))</f>
        <v/>
      </c>
      <c r="B803" s="80" t="str">
        <f t="array" ref="B803">IF(A803="","",IFERROR(INDEX('Binder Setup'!$B$2:$B$401,MIN(IF(ISNUMBER(SEARCH(CHAR(10)&amp;'Binder Setup'!$B$2:$B$401&amp;CHAR(10),$H803)),'List Setup'!$Q$2:$Q$401,999),IF(ISNUMBER(SEARCH(CHAR(10)&amp;'Set Aliases'!$A$2:$A$501&amp;CHAR(10),$H803)),'Set Aliases'!$C$2:$C$501,999))),"(none)"))</f>
        <v/>
      </c>
      <c r="C803" s="80" t="str">
        <f t="shared" si="1"/>
        <v/>
      </c>
      <c r="D803" s="80" t="str">
        <f t="array" ref="D803">IF(A803="","",IF(ISLOGICAL(INDEX('Deck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03" s="80" t="str">
        <f t="shared" si="2"/>
        <v/>
      </c>
      <c r="F803" s="80" t="str">
        <f t="array" ref="F803">IF(A803="","",IF(ISNUMBER(J803),J803,IF(ISNUMBER(INDEX('Deck 3'!$A:$Z,ROW()-750,'List Setup'!$F$5)),INDEX('Deck 3'!$A:$Z,ROW()-750,'List Setup'!$F$5),0)))</f>
        <v/>
      </c>
      <c r="G803" s="80" t="str">
        <f t="array" ref="G803">IF(A803="","",A803&amp;IF(N(INDEX('Deck 3'!$A:$Z,ROW()-750,'List Setup'!$C$5))&gt;1," (x"&amp;INDEX('Deck 3'!$A:$Z,ROW()-750,'List Setup'!$C$5)&amp;")","")&amp;IF(COUNTIF(Binders!$J$6:$J$30,TRUE())&gt;1," ["&amp;Q803&amp;"]",""))</f>
        <v/>
      </c>
      <c r="H803" s="80" t="str">
        <f t="array" ref="H803">IF(A803="","",CHAR(10)&amp;INDEX('Deck 3'!$A:$Z,ROW()-750,'List Setup'!$E$5)&amp;CHAR(10))</f>
        <v/>
      </c>
      <c r="I803" s="80" t="str">
        <f t="array" ref="I803">IF(OR(B803="",B803="(none)"),"",IF(ISNUMBER(SEARCH(CHAR(10)&amp;B803&amp;CHAR(10),H803)),B803,IFERROR(INDEX('Set Aliases'!$A$2:$A$501,MATCH(1,('Set Aliases'!$B$2:$B$501=B803)*ISNUMBER(SEARCH(CHAR(10)&amp;'Set Aliases'!$A$2:$A$501&amp;CHAR(10),H803)),0)),"")))</f>
        <v/>
      </c>
      <c r="J803" s="80" t="str">
        <f t="array" ref="J803">IF(I803="","",IFERROR(VALUE(TRIM(MID(SUBSTITUTE(INDEX('Deck 3'!$A:$Z,ROW()-750,'List Setup'!$G$5),CHAR(10),REPT(" ",100)),((SEARCH(CHAR(10)&amp;I803&amp;CHAR(10),H803)-LEN(SUBSTITUTE(LEFT(H803,SEARCH(CHAR(10)&amp;I803&amp;CHAR(10),H803)),CHAR(10),"")))-1)*100+1,100))),""))</f>
        <v/>
      </c>
      <c r="K803" s="80" t="str">
        <f t="array" ref="K803">IF(A803="","",IF(ISNUMBER(SEARCH("Land",LEFT(IFERROR(INDEX('Deck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03" s="80" t="str">
        <f t="shared" si="3"/>
        <v/>
      </c>
      <c r="M803" s="80" t="str">
        <f>IF(A803="","",IF(AND(E803="Y",B803='Use at Shop'!$B$4),K803*10000000000+(MAX(0,MIN(26,CODE(MID(UPPER(A803)&amp;"    ",1,1))-64))*19683+MAX(0,MIN(26,CODE(MID(UPPER(A803)&amp;"    ",2,1))-64))*729+MAX(0,MIN(26,CODE(MID(UPPER(A803)&amp;"    ",3,1))-64))*27+MAX(0,MIN(26,CODE(MID(UPPER(A803)&amp;"    ",4,1))-64))*1)*10000+ROW(),""))</f>
        <v/>
      </c>
      <c r="N803" s="80" t="str">
        <f t="shared" si="7"/>
        <v/>
      </c>
      <c r="O803" s="80" t="str">
        <f t="array" ref="O803">IF(A803="","",IFERROR(INDEX('Deck 3'!$A:$Z,ROW()-750,'List Setup'!$J$5)&amp;"",""))</f>
        <v/>
      </c>
      <c r="P803" s="2"/>
      <c r="Q803" s="80" t="str">
        <f>IF(A803="","",'List Setup'!$A$5)</f>
        <v/>
      </c>
      <c r="R803" s="80" t="str">
        <f t="array" ref="R803">IF(A803="","",IFERROR(OR(INDEX(Binders!$J$6:$J$30,MATCH(Q803,Binders!$I$6:$I$30,0))=TRUE(),UPPER(INDEX(Binders!$J$6:$J$30,MATCH(Q803,Binders!$I$6:$I$30,0))&amp;"")="TRUE"),FALSE()))</f>
        <v/>
      </c>
    </row>
    <row r="804" ht="15.75" customHeight="1">
      <c r="A804" s="80" t="str">
        <f t="array" ref="A804">IF(INDEX('Deck 3'!$A:$Z,ROW()-750,'List Setup'!$D$5)="","",INDEX('Deck 3'!$A:$Z,ROW()-750,'List Setup'!$D$5))</f>
        <v/>
      </c>
      <c r="B804" s="80" t="str">
        <f t="array" ref="B804">IF(A804="","",IFERROR(INDEX('Binder Setup'!$B$2:$B$401,MIN(IF(ISNUMBER(SEARCH(CHAR(10)&amp;'Binder Setup'!$B$2:$B$401&amp;CHAR(10),$H804)),'List Setup'!$Q$2:$Q$401,999),IF(ISNUMBER(SEARCH(CHAR(10)&amp;'Set Aliases'!$A$2:$A$501&amp;CHAR(10),$H804)),'Set Aliases'!$C$2:$C$501,999))),"(none)"))</f>
        <v/>
      </c>
      <c r="C804" s="80" t="str">
        <f t="shared" si="1"/>
        <v/>
      </c>
      <c r="D804" s="80" t="str">
        <f t="array" ref="D804">IF(A804="","",IF(ISLOGICAL(INDEX('Deck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04" s="80" t="str">
        <f t="shared" si="2"/>
        <v/>
      </c>
      <c r="F804" s="80" t="str">
        <f t="array" ref="F804">IF(A804="","",IF(ISNUMBER(J804),J804,IF(ISNUMBER(INDEX('Deck 3'!$A:$Z,ROW()-750,'List Setup'!$F$5)),INDEX('Deck 3'!$A:$Z,ROW()-750,'List Setup'!$F$5),0)))</f>
        <v/>
      </c>
      <c r="G804" s="80" t="str">
        <f t="array" ref="G804">IF(A804="","",A804&amp;IF(N(INDEX('Deck 3'!$A:$Z,ROW()-750,'List Setup'!$C$5))&gt;1," (x"&amp;INDEX('Deck 3'!$A:$Z,ROW()-750,'List Setup'!$C$5)&amp;")","")&amp;IF(COUNTIF(Binders!$J$6:$J$30,TRUE())&gt;1," ["&amp;Q804&amp;"]",""))</f>
        <v/>
      </c>
      <c r="H804" s="80" t="str">
        <f t="array" ref="H804">IF(A804="","",CHAR(10)&amp;INDEX('Deck 3'!$A:$Z,ROW()-750,'List Setup'!$E$5)&amp;CHAR(10))</f>
        <v/>
      </c>
      <c r="I804" s="80" t="str">
        <f t="array" ref="I804">IF(OR(B804="",B804="(none)"),"",IF(ISNUMBER(SEARCH(CHAR(10)&amp;B804&amp;CHAR(10),H804)),B804,IFERROR(INDEX('Set Aliases'!$A$2:$A$501,MATCH(1,('Set Aliases'!$B$2:$B$501=B804)*ISNUMBER(SEARCH(CHAR(10)&amp;'Set Aliases'!$A$2:$A$501&amp;CHAR(10),H804)),0)),"")))</f>
        <v/>
      </c>
      <c r="J804" s="80" t="str">
        <f t="array" ref="J804">IF(I804="","",IFERROR(VALUE(TRIM(MID(SUBSTITUTE(INDEX('Deck 3'!$A:$Z,ROW()-750,'List Setup'!$G$5),CHAR(10),REPT(" ",100)),((SEARCH(CHAR(10)&amp;I804&amp;CHAR(10),H804)-LEN(SUBSTITUTE(LEFT(H804,SEARCH(CHAR(10)&amp;I804&amp;CHAR(10),H804)),CHAR(10),"")))-1)*100+1,100))),""))</f>
        <v/>
      </c>
      <c r="K804" s="80" t="str">
        <f t="array" ref="K804">IF(A804="","",IF(ISNUMBER(SEARCH("Land",LEFT(IFERROR(INDEX('Deck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04" s="80" t="str">
        <f t="shared" si="3"/>
        <v/>
      </c>
      <c r="M804" s="80" t="str">
        <f>IF(A804="","",IF(AND(E804="Y",B804='Use at Shop'!$B$4),K804*10000000000+(MAX(0,MIN(26,CODE(MID(UPPER(A804)&amp;"    ",1,1))-64))*19683+MAX(0,MIN(26,CODE(MID(UPPER(A804)&amp;"    ",2,1))-64))*729+MAX(0,MIN(26,CODE(MID(UPPER(A804)&amp;"    ",3,1))-64))*27+MAX(0,MIN(26,CODE(MID(UPPER(A804)&amp;"    ",4,1))-64))*1)*10000+ROW(),""))</f>
        <v/>
      </c>
      <c r="N804" s="80" t="str">
        <f t="shared" si="7"/>
        <v/>
      </c>
      <c r="O804" s="80" t="str">
        <f t="array" ref="O804">IF(A804="","",IFERROR(INDEX('Deck 3'!$A:$Z,ROW()-750,'List Setup'!$J$5)&amp;"",""))</f>
        <v/>
      </c>
      <c r="P804" s="2"/>
      <c r="Q804" s="80" t="str">
        <f>IF(A804="","",'List Setup'!$A$5)</f>
        <v/>
      </c>
      <c r="R804" s="80" t="str">
        <f t="array" ref="R804">IF(A804="","",IFERROR(OR(INDEX(Binders!$J$6:$J$30,MATCH(Q804,Binders!$I$6:$I$30,0))=TRUE(),UPPER(INDEX(Binders!$J$6:$J$30,MATCH(Q804,Binders!$I$6:$I$30,0))&amp;"")="TRUE"),FALSE()))</f>
        <v/>
      </c>
    </row>
    <row r="805" ht="15.75" customHeight="1">
      <c r="A805" s="80" t="str">
        <f t="array" ref="A805">IF(INDEX('Deck 3'!$A:$Z,ROW()-750,'List Setup'!$D$5)="","",INDEX('Deck 3'!$A:$Z,ROW()-750,'List Setup'!$D$5))</f>
        <v/>
      </c>
      <c r="B805" s="80" t="str">
        <f t="array" ref="B805">IF(A805="","",IFERROR(INDEX('Binder Setup'!$B$2:$B$401,MIN(IF(ISNUMBER(SEARCH(CHAR(10)&amp;'Binder Setup'!$B$2:$B$401&amp;CHAR(10),$H805)),'List Setup'!$Q$2:$Q$401,999),IF(ISNUMBER(SEARCH(CHAR(10)&amp;'Set Aliases'!$A$2:$A$501&amp;CHAR(10),$H805)),'Set Aliases'!$C$2:$C$501,999))),"(none)"))</f>
        <v/>
      </c>
      <c r="C805" s="80" t="str">
        <f t="shared" si="1"/>
        <v/>
      </c>
      <c r="D805" s="80" t="str">
        <f t="array" ref="D805">IF(A805="","",IF(ISLOGICAL(INDEX('Deck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05" s="80" t="str">
        <f t="shared" si="2"/>
        <v/>
      </c>
      <c r="F805" s="80" t="str">
        <f t="array" ref="F805">IF(A805="","",IF(ISNUMBER(J805),J805,IF(ISNUMBER(INDEX('Deck 3'!$A:$Z,ROW()-750,'List Setup'!$F$5)),INDEX('Deck 3'!$A:$Z,ROW()-750,'List Setup'!$F$5),0)))</f>
        <v/>
      </c>
      <c r="G805" s="80" t="str">
        <f t="array" ref="G805">IF(A805="","",A805&amp;IF(N(INDEX('Deck 3'!$A:$Z,ROW()-750,'List Setup'!$C$5))&gt;1," (x"&amp;INDEX('Deck 3'!$A:$Z,ROW()-750,'List Setup'!$C$5)&amp;")","")&amp;IF(COUNTIF(Binders!$J$6:$J$30,TRUE())&gt;1," ["&amp;Q805&amp;"]",""))</f>
        <v/>
      </c>
      <c r="H805" s="80" t="str">
        <f t="array" ref="H805">IF(A805="","",CHAR(10)&amp;INDEX('Deck 3'!$A:$Z,ROW()-750,'List Setup'!$E$5)&amp;CHAR(10))</f>
        <v/>
      </c>
      <c r="I805" s="80" t="str">
        <f t="array" ref="I805">IF(OR(B805="",B805="(none)"),"",IF(ISNUMBER(SEARCH(CHAR(10)&amp;B805&amp;CHAR(10),H805)),B805,IFERROR(INDEX('Set Aliases'!$A$2:$A$501,MATCH(1,('Set Aliases'!$B$2:$B$501=B805)*ISNUMBER(SEARCH(CHAR(10)&amp;'Set Aliases'!$A$2:$A$501&amp;CHAR(10),H805)),0)),"")))</f>
        <v/>
      </c>
      <c r="J805" s="80" t="str">
        <f t="array" ref="J805">IF(I805="","",IFERROR(VALUE(TRIM(MID(SUBSTITUTE(INDEX('Deck 3'!$A:$Z,ROW()-750,'List Setup'!$G$5),CHAR(10),REPT(" ",100)),((SEARCH(CHAR(10)&amp;I805&amp;CHAR(10),H805)-LEN(SUBSTITUTE(LEFT(H805,SEARCH(CHAR(10)&amp;I805&amp;CHAR(10),H805)),CHAR(10),"")))-1)*100+1,100))),""))</f>
        <v/>
      </c>
      <c r="K805" s="80" t="str">
        <f t="array" ref="K805">IF(A805="","",IF(ISNUMBER(SEARCH("Land",LEFT(IFERROR(INDEX('Deck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05" s="80" t="str">
        <f t="shared" si="3"/>
        <v/>
      </c>
      <c r="M805" s="80" t="str">
        <f>IF(A805="","",IF(AND(E805="Y",B805='Use at Shop'!$B$4),K805*10000000000+(MAX(0,MIN(26,CODE(MID(UPPER(A805)&amp;"    ",1,1))-64))*19683+MAX(0,MIN(26,CODE(MID(UPPER(A805)&amp;"    ",2,1))-64))*729+MAX(0,MIN(26,CODE(MID(UPPER(A805)&amp;"    ",3,1))-64))*27+MAX(0,MIN(26,CODE(MID(UPPER(A805)&amp;"    ",4,1))-64))*1)*10000+ROW(),""))</f>
        <v/>
      </c>
      <c r="N805" s="80" t="str">
        <f t="shared" si="7"/>
        <v/>
      </c>
      <c r="O805" s="80" t="str">
        <f t="array" ref="O805">IF(A805="","",IFERROR(INDEX('Deck 3'!$A:$Z,ROW()-750,'List Setup'!$J$5)&amp;"",""))</f>
        <v/>
      </c>
      <c r="P805" s="2"/>
      <c r="Q805" s="80" t="str">
        <f>IF(A805="","",'List Setup'!$A$5)</f>
        <v/>
      </c>
      <c r="R805" s="80" t="str">
        <f t="array" ref="R805">IF(A805="","",IFERROR(OR(INDEX(Binders!$J$6:$J$30,MATCH(Q805,Binders!$I$6:$I$30,0))=TRUE(),UPPER(INDEX(Binders!$J$6:$J$30,MATCH(Q805,Binders!$I$6:$I$30,0))&amp;"")="TRUE"),FALSE()))</f>
        <v/>
      </c>
    </row>
    <row r="806" ht="15.75" customHeight="1">
      <c r="A806" s="80" t="str">
        <f t="array" ref="A806">IF(INDEX('Deck 3'!$A:$Z,ROW()-750,'List Setup'!$D$5)="","",INDEX('Deck 3'!$A:$Z,ROW()-750,'List Setup'!$D$5))</f>
        <v/>
      </c>
      <c r="B806" s="80" t="str">
        <f t="array" ref="B806">IF(A806="","",IFERROR(INDEX('Binder Setup'!$B$2:$B$401,MIN(IF(ISNUMBER(SEARCH(CHAR(10)&amp;'Binder Setup'!$B$2:$B$401&amp;CHAR(10),$H806)),'List Setup'!$Q$2:$Q$401,999),IF(ISNUMBER(SEARCH(CHAR(10)&amp;'Set Aliases'!$A$2:$A$501&amp;CHAR(10),$H806)),'Set Aliases'!$C$2:$C$501,999))),"(none)"))</f>
        <v/>
      </c>
      <c r="C806" s="80" t="str">
        <f t="shared" si="1"/>
        <v/>
      </c>
      <c r="D806" s="80" t="str">
        <f t="array" ref="D806">IF(A806="","",IF(ISLOGICAL(INDEX('Deck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06" s="80" t="str">
        <f t="shared" si="2"/>
        <v/>
      </c>
      <c r="F806" s="80" t="str">
        <f t="array" ref="F806">IF(A806="","",IF(ISNUMBER(J806),J806,IF(ISNUMBER(INDEX('Deck 3'!$A:$Z,ROW()-750,'List Setup'!$F$5)),INDEX('Deck 3'!$A:$Z,ROW()-750,'List Setup'!$F$5),0)))</f>
        <v/>
      </c>
      <c r="G806" s="80" t="str">
        <f t="array" ref="G806">IF(A806="","",A806&amp;IF(N(INDEX('Deck 3'!$A:$Z,ROW()-750,'List Setup'!$C$5))&gt;1," (x"&amp;INDEX('Deck 3'!$A:$Z,ROW()-750,'List Setup'!$C$5)&amp;")","")&amp;IF(COUNTIF(Binders!$J$6:$J$30,TRUE())&gt;1," ["&amp;Q806&amp;"]",""))</f>
        <v/>
      </c>
      <c r="H806" s="80" t="str">
        <f t="array" ref="H806">IF(A806="","",CHAR(10)&amp;INDEX('Deck 3'!$A:$Z,ROW()-750,'List Setup'!$E$5)&amp;CHAR(10))</f>
        <v/>
      </c>
      <c r="I806" s="80" t="str">
        <f t="array" ref="I806">IF(OR(B806="",B806="(none)"),"",IF(ISNUMBER(SEARCH(CHAR(10)&amp;B806&amp;CHAR(10),H806)),B806,IFERROR(INDEX('Set Aliases'!$A$2:$A$501,MATCH(1,('Set Aliases'!$B$2:$B$501=B806)*ISNUMBER(SEARCH(CHAR(10)&amp;'Set Aliases'!$A$2:$A$501&amp;CHAR(10),H806)),0)),"")))</f>
        <v/>
      </c>
      <c r="J806" s="80" t="str">
        <f t="array" ref="J806">IF(I806="","",IFERROR(VALUE(TRIM(MID(SUBSTITUTE(INDEX('Deck 3'!$A:$Z,ROW()-750,'List Setup'!$G$5),CHAR(10),REPT(" ",100)),((SEARCH(CHAR(10)&amp;I806&amp;CHAR(10),H806)-LEN(SUBSTITUTE(LEFT(H806,SEARCH(CHAR(10)&amp;I806&amp;CHAR(10),H806)),CHAR(10),"")))-1)*100+1,100))),""))</f>
        <v/>
      </c>
      <c r="K806" s="80" t="str">
        <f t="array" ref="K806">IF(A806="","",IF(ISNUMBER(SEARCH("Land",LEFT(IFERROR(INDEX('Deck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06" s="80" t="str">
        <f t="shared" si="3"/>
        <v/>
      </c>
      <c r="M806" s="80" t="str">
        <f>IF(A806="","",IF(AND(E806="Y",B806='Use at Shop'!$B$4),K806*10000000000+(MAX(0,MIN(26,CODE(MID(UPPER(A806)&amp;"    ",1,1))-64))*19683+MAX(0,MIN(26,CODE(MID(UPPER(A806)&amp;"    ",2,1))-64))*729+MAX(0,MIN(26,CODE(MID(UPPER(A806)&amp;"    ",3,1))-64))*27+MAX(0,MIN(26,CODE(MID(UPPER(A806)&amp;"    ",4,1))-64))*1)*10000+ROW(),""))</f>
        <v/>
      </c>
      <c r="N806" s="80" t="str">
        <f t="shared" si="7"/>
        <v/>
      </c>
      <c r="O806" s="80" t="str">
        <f t="array" ref="O806">IF(A806="","",IFERROR(INDEX('Deck 3'!$A:$Z,ROW()-750,'List Setup'!$J$5)&amp;"",""))</f>
        <v/>
      </c>
      <c r="P806" s="2"/>
      <c r="Q806" s="80" t="str">
        <f>IF(A806="","",'List Setup'!$A$5)</f>
        <v/>
      </c>
      <c r="R806" s="80" t="str">
        <f t="array" ref="R806">IF(A806="","",IFERROR(OR(INDEX(Binders!$J$6:$J$30,MATCH(Q806,Binders!$I$6:$I$30,0))=TRUE(),UPPER(INDEX(Binders!$J$6:$J$30,MATCH(Q806,Binders!$I$6:$I$30,0))&amp;"")="TRUE"),FALSE()))</f>
        <v/>
      </c>
    </row>
    <row r="807" ht="15.75" customHeight="1">
      <c r="A807" s="80" t="str">
        <f t="array" ref="A807">IF(INDEX('Deck 3'!$A:$Z,ROW()-750,'List Setup'!$D$5)="","",INDEX('Deck 3'!$A:$Z,ROW()-750,'List Setup'!$D$5))</f>
        <v/>
      </c>
      <c r="B807" s="80" t="str">
        <f t="array" ref="B807">IF(A807="","",IFERROR(INDEX('Binder Setup'!$B$2:$B$401,MIN(IF(ISNUMBER(SEARCH(CHAR(10)&amp;'Binder Setup'!$B$2:$B$401&amp;CHAR(10),$H807)),'List Setup'!$Q$2:$Q$401,999),IF(ISNUMBER(SEARCH(CHAR(10)&amp;'Set Aliases'!$A$2:$A$501&amp;CHAR(10),$H807)),'Set Aliases'!$C$2:$C$501,999))),"(none)"))</f>
        <v/>
      </c>
      <c r="C807" s="80" t="str">
        <f t="shared" si="1"/>
        <v/>
      </c>
      <c r="D807" s="80" t="str">
        <f t="array" ref="D807">IF(A807="","",IF(ISLOGICAL(INDEX('Deck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07" s="80" t="str">
        <f t="shared" si="2"/>
        <v/>
      </c>
      <c r="F807" s="80" t="str">
        <f t="array" ref="F807">IF(A807="","",IF(ISNUMBER(J807),J807,IF(ISNUMBER(INDEX('Deck 3'!$A:$Z,ROW()-750,'List Setup'!$F$5)),INDEX('Deck 3'!$A:$Z,ROW()-750,'List Setup'!$F$5),0)))</f>
        <v/>
      </c>
      <c r="G807" s="80" t="str">
        <f t="array" ref="G807">IF(A807="","",A807&amp;IF(N(INDEX('Deck 3'!$A:$Z,ROW()-750,'List Setup'!$C$5))&gt;1," (x"&amp;INDEX('Deck 3'!$A:$Z,ROW()-750,'List Setup'!$C$5)&amp;")","")&amp;IF(COUNTIF(Binders!$J$6:$J$30,TRUE())&gt;1," ["&amp;Q807&amp;"]",""))</f>
        <v/>
      </c>
      <c r="H807" s="80" t="str">
        <f t="array" ref="H807">IF(A807="","",CHAR(10)&amp;INDEX('Deck 3'!$A:$Z,ROW()-750,'List Setup'!$E$5)&amp;CHAR(10))</f>
        <v/>
      </c>
      <c r="I807" s="80" t="str">
        <f t="array" ref="I807">IF(OR(B807="",B807="(none)"),"",IF(ISNUMBER(SEARCH(CHAR(10)&amp;B807&amp;CHAR(10),H807)),B807,IFERROR(INDEX('Set Aliases'!$A$2:$A$501,MATCH(1,('Set Aliases'!$B$2:$B$501=B807)*ISNUMBER(SEARCH(CHAR(10)&amp;'Set Aliases'!$A$2:$A$501&amp;CHAR(10),H807)),0)),"")))</f>
        <v/>
      </c>
      <c r="J807" s="80" t="str">
        <f t="array" ref="J807">IF(I807="","",IFERROR(VALUE(TRIM(MID(SUBSTITUTE(INDEX('Deck 3'!$A:$Z,ROW()-750,'List Setup'!$G$5),CHAR(10),REPT(" ",100)),((SEARCH(CHAR(10)&amp;I807&amp;CHAR(10),H807)-LEN(SUBSTITUTE(LEFT(H807,SEARCH(CHAR(10)&amp;I807&amp;CHAR(10),H807)),CHAR(10),"")))-1)*100+1,100))),""))</f>
        <v/>
      </c>
      <c r="K807" s="80" t="str">
        <f t="array" ref="K807">IF(A807="","",IF(ISNUMBER(SEARCH("Land",LEFT(IFERROR(INDEX('Deck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07" s="80" t="str">
        <f t="shared" si="3"/>
        <v/>
      </c>
      <c r="M807" s="80" t="str">
        <f>IF(A807="","",IF(AND(E807="Y",B807='Use at Shop'!$B$4),K807*10000000000+(MAX(0,MIN(26,CODE(MID(UPPER(A807)&amp;"    ",1,1))-64))*19683+MAX(0,MIN(26,CODE(MID(UPPER(A807)&amp;"    ",2,1))-64))*729+MAX(0,MIN(26,CODE(MID(UPPER(A807)&amp;"    ",3,1))-64))*27+MAX(0,MIN(26,CODE(MID(UPPER(A807)&amp;"    ",4,1))-64))*1)*10000+ROW(),""))</f>
        <v/>
      </c>
      <c r="N807" s="80" t="str">
        <f t="shared" si="7"/>
        <v/>
      </c>
      <c r="O807" s="80" t="str">
        <f t="array" ref="O807">IF(A807="","",IFERROR(INDEX('Deck 3'!$A:$Z,ROW()-750,'List Setup'!$J$5)&amp;"",""))</f>
        <v/>
      </c>
      <c r="P807" s="2"/>
      <c r="Q807" s="80" t="str">
        <f>IF(A807="","",'List Setup'!$A$5)</f>
        <v/>
      </c>
      <c r="R807" s="80" t="str">
        <f t="array" ref="R807">IF(A807="","",IFERROR(OR(INDEX(Binders!$J$6:$J$30,MATCH(Q807,Binders!$I$6:$I$30,0))=TRUE(),UPPER(INDEX(Binders!$J$6:$J$30,MATCH(Q807,Binders!$I$6:$I$30,0))&amp;"")="TRUE"),FALSE()))</f>
        <v/>
      </c>
    </row>
    <row r="808" ht="15.75" customHeight="1">
      <c r="A808" s="80" t="str">
        <f t="array" ref="A808">IF(INDEX('Deck 3'!$A:$Z,ROW()-750,'List Setup'!$D$5)="","",INDEX('Deck 3'!$A:$Z,ROW()-750,'List Setup'!$D$5))</f>
        <v/>
      </c>
      <c r="B808" s="80" t="str">
        <f t="array" ref="B808">IF(A808="","",IFERROR(INDEX('Binder Setup'!$B$2:$B$401,MIN(IF(ISNUMBER(SEARCH(CHAR(10)&amp;'Binder Setup'!$B$2:$B$401&amp;CHAR(10),$H808)),'List Setup'!$Q$2:$Q$401,999),IF(ISNUMBER(SEARCH(CHAR(10)&amp;'Set Aliases'!$A$2:$A$501&amp;CHAR(10),$H808)),'Set Aliases'!$C$2:$C$501,999))),"(none)"))</f>
        <v/>
      </c>
      <c r="C808" s="80" t="str">
        <f t="shared" si="1"/>
        <v/>
      </c>
      <c r="D808" s="80" t="str">
        <f t="array" ref="D808">IF(A808="","",IF(ISLOGICAL(INDEX('Deck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08" s="80" t="str">
        <f t="shared" si="2"/>
        <v/>
      </c>
      <c r="F808" s="80" t="str">
        <f t="array" ref="F808">IF(A808="","",IF(ISNUMBER(J808),J808,IF(ISNUMBER(INDEX('Deck 3'!$A:$Z,ROW()-750,'List Setup'!$F$5)),INDEX('Deck 3'!$A:$Z,ROW()-750,'List Setup'!$F$5),0)))</f>
        <v/>
      </c>
      <c r="G808" s="80" t="str">
        <f t="array" ref="G808">IF(A808="","",A808&amp;IF(N(INDEX('Deck 3'!$A:$Z,ROW()-750,'List Setup'!$C$5))&gt;1," (x"&amp;INDEX('Deck 3'!$A:$Z,ROW()-750,'List Setup'!$C$5)&amp;")","")&amp;IF(COUNTIF(Binders!$J$6:$J$30,TRUE())&gt;1," ["&amp;Q808&amp;"]",""))</f>
        <v/>
      </c>
      <c r="H808" s="80" t="str">
        <f t="array" ref="H808">IF(A808="","",CHAR(10)&amp;INDEX('Deck 3'!$A:$Z,ROW()-750,'List Setup'!$E$5)&amp;CHAR(10))</f>
        <v/>
      </c>
      <c r="I808" s="80" t="str">
        <f t="array" ref="I808">IF(OR(B808="",B808="(none)"),"",IF(ISNUMBER(SEARCH(CHAR(10)&amp;B808&amp;CHAR(10),H808)),B808,IFERROR(INDEX('Set Aliases'!$A$2:$A$501,MATCH(1,('Set Aliases'!$B$2:$B$501=B808)*ISNUMBER(SEARCH(CHAR(10)&amp;'Set Aliases'!$A$2:$A$501&amp;CHAR(10),H808)),0)),"")))</f>
        <v/>
      </c>
      <c r="J808" s="80" t="str">
        <f t="array" ref="J808">IF(I808="","",IFERROR(VALUE(TRIM(MID(SUBSTITUTE(INDEX('Deck 3'!$A:$Z,ROW()-750,'List Setup'!$G$5),CHAR(10),REPT(" ",100)),((SEARCH(CHAR(10)&amp;I808&amp;CHAR(10),H808)-LEN(SUBSTITUTE(LEFT(H808,SEARCH(CHAR(10)&amp;I808&amp;CHAR(10),H808)),CHAR(10),"")))-1)*100+1,100))),""))</f>
        <v/>
      </c>
      <c r="K808" s="80" t="str">
        <f t="array" ref="K808">IF(A808="","",IF(ISNUMBER(SEARCH("Land",LEFT(IFERROR(INDEX('Deck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08" s="80" t="str">
        <f t="shared" si="3"/>
        <v/>
      </c>
      <c r="M808" s="80" t="str">
        <f>IF(A808="","",IF(AND(E808="Y",B808='Use at Shop'!$B$4),K808*10000000000+(MAX(0,MIN(26,CODE(MID(UPPER(A808)&amp;"    ",1,1))-64))*19683+MAX(0,MIN(26,CODE(MID(UPPER(A808)&amp;"    ",2,1))-64))*729+MAX(0,MIN(26,CODE(MID(UPPER(A808)&amp;"    ",3,1))-64))*27+MAX(0,MIN(26,CODE(MID(UPPER(A808)&amp;"    ",4,1))-64))*1)*10000+ROW(),""))</f>
        <v/>
      </c>
      <c r="N808" s="80" t="str">
        <f t="shared" si="7"/>
        <v/>
      </c>
      <c r="O808" s="80" t="str">
        <f t="array" ref="O808">IF(A808="","",IFERROR(INDEX('Deck 3'!$A:$Z,ROW()-750,'List Setup'!$J$5)&amp;"",""))</f>
        <v/>
      </c>
      <c r="P808" s="2"/>
      <c r="Q808" s="80" t="str">
        <f>IF(A808="","",'List Setup'!$A$5)</f>
        <v/>
      </c>
      <c r="R808" s="80" t="str">
        <f t="array" ref="R808">IF(A808="","",IFERROR(OR(INDEX(Binders!$J$6:$J$30,MATCH(Q808,Binders!$I$6:$I$30,0))=TRUE(),UPPER(INDEX(Binders!$J$6:$J$30,MATCH(Q808,Binders!$I$6:$I$30,0))&amp;"")="TRUE"),FALSE()))</f>
        <v/>
      </c>
    </row>
    <row r="809" ht="15.75" customHeight="1">
      <c r="A809" s="80" t="str">
        <f t="array" ref="A809">IF(INDEX('Deck 3'!$A:$Z,ROW()-750,'List Setup'!$D$5)="","",INDEX('Deck 3'!$A:$Z,ROW()-750,'List Setup'!$D$5))</f>
        <v/>
      </c>
      <c r="B809" s="80" t="str">
        <f t="array" ref="B809">IF(A809="","",IFERROR(INDEX('Binder Setup'!$B$2:$B$401,MIN(IF(ISNUMBER(SEARCH(CHAR(10)&amp;'Binder Setup'!$B$2:$B$401&amp;CHAR(10),$H809)),'List Setup'!$Q$2:$Q$401,999),IF(ISNUMBER(SEARCH(CHAR(10)&amp;'Set Aliases'!$A$2:$A$501&amp;CHAR(10),$H809)),'Set Aliases'!$C$2:$C$501,999))),"(none)"))</f>
        <v/>
      </c>
      <c r="C809" s="80" t="str">
        <f t="shared" si="1"/>
        <v/>
      </c>
      <c r="D809" s="80" t="str">
        <f t="array" ref="D809">IF(A809="","",IF(ISLOGICAL(INDEX('Deck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09" s="80" t="str">
        <f t="shared" si="2"/>
        <v/>
      </c>
      <c r="F809" s="80" t="str">
        <f t="array" ref="F809">IF(A809="","",IF(ISNUMBER(J809),J809,IF(ISNUMBER(INDEX('Deck 3'!$A:$Z,ROW()-750,'List Setup'!$F$5)),INDEX('Deck 3'!$A:$Z,ROW()-750,'List Setup'!$F$5),0)))</f>
        <v/>
      </c>
      <c r="G809" s="80" t="str">
        <f t="array" ref="G809">IF(A809="","",A809&amp;IF(N(INDEX('Deck 3'!$A:$Z,ROW()-750,'List Setup'!$C$5))&gt;1," (x"&amp;INDEX('Deck 3'!$A:$Z,ROW()-750,'List Setup'!$C$5)&amp;")","")&amp;IF(COUNTIF(Binders!$J$6:$J$30,TRUE())&gt;1," ["&amp;Q809&amp;"]",""))</f>
        <v/>
      </c>
      <c r="H809" s="80" t="str">
        <f t="array" ref="H809">IF(A809="","",CHAR(10)&amp;INDEX('Deck 3'!$A:$Z,ROW()-750,'List Setup'!$E$5)&amp;CHAR(10))</f>
        <v/>
      </c>
      <c r="I809" s="80" t="str">
        <f t="array" ref="I809">IF(OR(B809="",B809="(none)"),"",IF(ISNUMBER(SEARCH(CHAR(10)&amp;B809&amp;CHAR(10),H809)),B809,IFERROR(INDEX('Set Aliases'!$A$2:$A$501,MATCH(1,('Set Aliases'!$B$2:$B$501=B809)*ISNUMBER(SEARCH(CHAR(10)&amp;'Set Aliases'!$A$2:$A$501&amp;CHAR(10),H809)),0)),"")))</f>
        <v/>
      </c>
      <c r="J809" s="80" t="str">
        <f t="array" ref="J809">IF(I809="","",IFERROR(VALUE(TRIM(MID(SUBSTITUTE(INDEX('Deck 3'!$A:$Z,ROW()-750,'List Setup'!$G$5),CHAR(10),REPT(" ",100)),((SEARCH(CHAR(10)&amp;I809&amp;CHAR(10),H809)-LEN(SUBSTITUTE(LEFT(H809,SEARCH(CHAR(10)&amp;I809&amp;CHAR(10),H809)),CHAR(10),"")))-1)*100+1,100))),""))</f>
        <v/>
      </c>
      <c r="K809" s="80" t="str">
        <f t="array" ref="K809">IF(A809="","",IF(ISNUMBER(SEARCH("Land",LEFT(IFERROR(INDEX('Deck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09" s="80" t="str">
        <f t="shared" si="3"/>
        <v/>
      </c>
      <c r="M809" s="80" t="str">
        <f>IF(A809="","",IF(AND(E809="Y",B809='Use at Shop'!$B$4),K809*10000000000+(MAX(0,MIN(26,CODE(MID(UPPER(A809)&amp;"    ",1,1))-64))*19683+MAX(0,MIN(26,CODE(MID(UPPER(A809)&amp;"    ",2,1))-64))*729+MAX(0,MIN(26,CODE(MID(UPPER(A809)&amp;"    ",3,1))-64))*27+MAX(0,MIN(26,CODE(MID(UPPER(A809)&amp;"    ",4,1))-64))*1)*10000+ROW(),""))</f>
        <v/>
      </c>
      <c r="N809" s="80" t="str">
        <f t="shared" si="7"/>
        <v/>
      </c>
      <c r="O809" s="80" t="str">
        <f t="array" ref="O809">IF(A809="","",IFERROR(INDEX('Deck 3'!$A:$Z,ROW()-750,'List Setup'!$J$5)&amp;"",""))</f>
        <v/>
      </c>
      <c r="P809" s="2"/>
      <c r="Q809" s="80" t="str">
        <f>IF(A809="","",'List Setup'!$A$5)</f>
        <v/>
      </c>
      <c r="R809" s="80" t="str">
        <f t="array" ref="R809">IF(A809="","",IFERROR(OR(INDEX(Binders!$J$6:$J$30,MATCH(Q809,Binders!$I$6:$I$30,0))=TRUE(),UPPER(INDEX(Binders!$J$6:$J$30,MATCH(Q809,Binders!$I$6:$I$30,0))&amp;"")="TRUE"),FALSE()))</f>
        <v/>
      </c>
    </row>
    <row r="810" ht="15.75" customHeight="1">
      <c r="A810" s="80" t="str">
        <f t="array" ref="A810">IF(INDEX('Deck 3'!$A:$Z,ROW()-750,'List Setup'!$D$5)="","",INDEX('Deck 3'!$A:$Z,ROW()-750,'List Setup'!$D$5))</f>
        <v/>
      </c>
      <c r="B810" s="80" t="str">
        <f t="array" ref="B810">IF(A810="","",IFERROR(INDEX('Binder Setup'!$B$2:$B$401,MIN(IF(ISNUMBER(SEARCH(CHAR(10)&amp;'Binder Setup'!$B$2:$B$401&amp;CHAR(10),$H810)),'List Setup'!$Q$2:$Q$401,999),IF(ISNUMBER(SEARCH(CHAR(10)&amp;'Set Aliases'!$A$2:$A$501&amp;CHAR(10),$H810)),'Set Aliases'!$C$2:$C$501,999))),"(none)"))</f>
        <v/>
      </c>
      <c r="C810" s="80" t="str">
        <f t="shared" si="1"/>
        <v/>
      </c>
      <c r="D810" s="80" t="str">
        <f t="array" ref="D810">IF(A810="","",IF(ISLOGICAL(INDEX('Deck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10" s="80" t="str">
        <f t="shared" si="2"/>
        <v/>
      </c>
      <c r="F810" s="80" t="str">
        <f t="array" ref="F810">IF(A810="","",IF(ISNUMBER(J810),J810,IF(ISNUMBER(INDEX('Deck 3'!$A:$Z,ROW()-750,'List Setup'!$F$5)),INDEX('Deck 3'!$A:$Z,ROW()-750,'List Setup'!$F$5),0)))</f>
        <v/>
      </c>
      <c r="G810" s="80" t="str">
        <f t="array" ref="G810">IF(A810="","",A810&amp;IF(N(INDEX('Deck 3'!$A:$Z,ROW()-750,'List Setup'!$C$5))&gt;1," (x"&amp;INDEX('Deck 3'!$A:$Z,ROW()-750,'List Setup'!$C$5)&amp;")","")&amp;IF(COUNTIF(Binders!$J$6:$J$30,TRUE())&gt;1," ["&amp;Q810&amp;"]",""))</f>
        <v/>
      </c>
      <c r="H810" s="80" t="str">
        <f t="array" ref="H810">IF(A810="","",CHAR(10)&amp;INDEX('Deck 3'!$A:$Z,ROW()-750,'List Setup'!$E$5)&amp;CHAR(10))</f>
        <v/>
      </c>
      <c r="I810" s="80" t="str">
        <f t="array" ref="I810">IF(OR(B810="",B810="(none)"),"",IF(ISNUMBER(SEARCH(CHAR(10)&amp;B810&amp;CHAR(10),H810)),B810,IFERROR(INDEX('Set Aliases'!$A$2:$A$501,MATCH(1,('Set Aliases'!$B$2:$B$501=B810)*ISNUMBER(SEARCH(CHAR(10)&amp;'Set Aliases'!$A$2:$A$501&amp;CHAR(10),H810)),0)),"")))</f>
        <v/>
      </c>
      <c r="J810" s="80" t="str">
        <f t="array" ref="J810">IF(I810="","",IFERROR(VALUE(TRIM(MID(SUBSTITUTE(INDEX('Deck 3'!$A:$Z,ROW()-750,'List Setup'!$G$5),CHAR(10),REPT(" ",100)),((SEARCH(CHAR(10)&amp;I810&amp;CHAR(10),H810)-LEN(SUBSTITUTE(LEFT(H810,SEARCH(CHAR(10)&amp;I810&amp;CHAR(10),H810)),CHAR(10),"")))-1)*100+1,100))),""))</f>
        <v/>
      </c>
      <c r="K810" s="80" t="str">
        <f t="array" ref="K810">IF(A810="","",IF(ISNUMBER(SEARCH("Land",LEFT(IFERROR(INDEX('Deck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10" s="80" t="str">
        <f t="shared" si="3"/>
        <v/>
      </c>
      <c r="M810" s="80" t="str">
        <f>IF(A810="","",IF(AND(E810="Y",B810='Use at Shop'!$B$4),K810*10000000000+(MAX(0,MIN(26,CODE(MID(UPPER(A810)&amp;"    ",1,1))-64))*19683+MAX(0,MIN(26,CODE(MID(UPPER(A810)&amp;"    ",2,1))-64))*729+MAX(0,MIN(26,CODE(MID(UPPER(A810)&amp;"    ",3,1))-64))*27+MAX(0,MIN(26,CODE(MID(UPPER(A810)&amp;"    ",4,1))-64))*1)*10000+ROW(),""))</f>
        <v/>
      </c>
      <c r="N810" s="80" t="str">
        <f t="shared" si="7"/>
        <v/>
      </c>
      <c r="O810" s="80" t="str">
        <f t="array" ref="O810">IF(A810="","",IFERROR(INDEX('Deck 3'!$A:$Z,ROW()-750,'List Setup'!$J$5)&amp;"",""))</f>
        <v/>
      </c>
      <c r="P810" s="2"/>
      <c r="Q810" s="80" t="str">
        <f>IF(A810="","",'List Setup'!$A$5)</f>
        <v/>
      </c>
      <c r="R810" s="80" t="str">
        <f t="array" ref="R810">IF(A810="","",IFERROR(OR(INDEX(Binders!$J$6:$J$30,MATCH(Q810,Binders!$I$6:$I$30,0))=TRUE(),UPPER(INDEX(Binders!$J$6:$J$30,MATCH(Q810,Binders!$I$6:$I$30,0))&amp;"")="TRUE"),FALSE()))</f>
        <v/>
      </c>
    </row>
    <row r="811" ht="15.75" customHeight="1">
      <c r="A811" s="80" t="str">
        <f t="array" ref="A811">IF(INDEX('Deck 3'!$A:$Z,ROW()-750,'List Setup'!$D$5)="","",INDEX('Deck 3'!$A:$Z,ROW()-750,'List Setup'!$D$5))</f>
        <v/>
      </c>
      <c r="B811" s="80" t="str">
        <f t="array" ref="B811">IF(A811="","",IFERROR(INDEX('Binder Setup'!$B$2:$B$401,MIN(IF(ISNUMBER(SEARCH(CHAR(10)&amp;'Binder Setup'!$B$2:$B$401&amp;CHAR(10),$H811)),'List Setup'!$Q$2:$Q$401,999),IF(ISNUMBER(SEARCH(CHAR(10)&amp;'Set Aliases'!$A$2:$A$501&amp;CHAR(10),$H811)),'Set Aliases'!$C$2:$C$501,999))),"(none)"))</f>
        <v/>
      </c>
      <c r="C811" s="80" t="str">
        <f t="shared" si="1"/>
        <v/>
      </c>
      <c r="D811" s="80" t="str">
        <f t="array" ref="D811">IF(A811="","",IF(ISLOGICAL(INDEX('Deck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11" s="80" t="str">
        <f t="shared" si="2"/>
        <v/>
      </c>
      <c r="F811" s="80" t="str">
        <f t="array" ref="F811">IF(A811="","",IF(ISNUMBER(J811),J811,IF(ISNUMBER(INDEX('Deck 3'!$A:$Z,ROW()-750,'List Setup'!$F$5)),INDEX('Deck 3'!$A:$Z,ROW()-750,'List Setup'!$F$5),0)))</f>
        <v/>
      </c>
      <c r="G811" s="80" t="str">
        <f t="array" ref="G811">IF(A811="","",A811&amp;IF(N(INDEX('Deck 3'!$A:$Z,ROW()-750,'List Setup'!$C$5))&gt;1," (x"&amp;INDEX('Deck 3'!$A:$Z,ROW()-750,'List Setup'!$C$5)&amp;")","")&amp;IF(COUNTIF(Binders!$J$6:$J$30,TRUE())&gt;1," ["&amp;Q811&amp;"]",""))</f>
        <v/>
      </c>
      <c r="H811" s="80" t="str">
        <f t="array" ref="H811">IF(A811="","",CHAR(10)&amp;INDEX('Deck 3'!$A:$Z,ROW()-750,'List Setup'!$E$5)&amp;CHAR(10))</f>
        <v/>
      </c>
      <c r="I811" s="80" t="str">
        <f t="array" ref="I811">IF(OR(B811="",B811="(none)"),"",IF(ISNUMBER(SEARCH(CHAR(10)&amp;B811&amp;CHAR(10),H811)),B811,IFERROR(INDEX('Set Aliases'!$A$2:$A$501,MATCH(1,('Set Aliases'!$B$2:$B$501=B811)*ISNUMBER(SEARCH(CHAR(10)&amp;'Set Aliases'!$A$2:$A$501&amp;CHAR(10),H811)),0)),"")))</f>
        <v/>
      </c>
      <c r="J811" s="80" t="str">
        <f t="array" ref="J811">IF(I811="","",IFERROR(VALUE(TRIM(MID(SUBSTITUTE(INDEX('Deck 3'!$A:$Z,ROW()-750,'List Setup'!$G$5),CHAR(10),REPT(" ",100)),((SEARCH(CHAR(10)&amp;I811&amp;CHAR(10),H811)-LEN(SUBSTITUTE(LEFT(H811,SEARCH(CHAR(10)&amp;I811&amp;CHAR(10),H811)),CHAR(10),"")))-1)*100+1,100))),""))</f>
        <v/>
      </c>
      <c r="K811" s="80" t="str">
        <f t="array" ref="K811">IF(A811="","",IF(ISNUMBER(SEARCH("Land",LEFT(IFERROR(INDEX('Deck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11" s="80" t="str">
        <f t="shared" si="3"/>
        <v/>
      </c>
      <c r="M811" s="80" t="str">
        <f>IF(A811="","",IF(AND(E811="Y",B811='Use at Shop'!$B$4),K811*10000000000+(MAX(0,MIN(26,CODE(MID(UPPER(A811)&amp;"    ",1,1))-64))*19683+MAX(0,MIN(26,CODE(MID(UPPER(A811)&amp;"    ",2,1))-64))*729+MAX(0,MIN(26,CODE(MID(UPPER(A811)&amp;"    ",3,1))-64))*27+MAX(0,MIN(26,CODE(MID(UPPER(A811)&amp;"    ",4,1))-64))*1)*10000+ROW(),""))</f>
        <v/>
      </c>
      <c r="N811" s="80" t="str">
        <f t="shared" si="7"/>
        <v/>
      </c>
      <c r="O811" s="80" t="str">
        <f t="array" ref="O811">IF(A811="","",IFERROR(INDEX('Deck 3'!$A:$Z,ROW()-750,'List Setup'!$J$5)&amp;"",""))</f>
        <v/>
      </c>
      <c r="P811" s="2"/>
      <c r="Q811" s="80" t="str">
        <f>IF(A811="","",'List Setup'!$A$5)</f>
        <v/>
      </c>
      <c r="R811" s="80" t="str">
        <f t="array" ref="R811">IF(A811="","",IFERROR(OR(INDEX(Binders!$J$6:$J$30,MATCH(Q811,Binders!$I$6:$I$30,0))=TRUE(),UPPER(INDEX(Binders!$J$6:$J$30,MATCH(Q811,Binders!$I$6:$I$30,0))&amp;"")="TRUE"),FALSE()))</f>
        <v/>
      </c>
    </row>
    <row r="812" ht="15.75" customHeight="1">
      <c r="A812" s="80" t="str">
        <f t="array" ref="A812">IF(INDEX('Deck 3'!$A:$Z,ROW()-750,'List Setup'!$D$5)="","",INDEX('Deck 3'!$A:$Z,ROW()-750,'List Setup'!$D$5))</f>
        <v/>
      </c>
      <c r="B812" s="80" t="str">
        <f t="array" ref="B812">IF(A812="","",IFERROR(INDEX('Binder Setup'!$B$2:$B$401,MIN(IF(ISNUMBER(SEARCH(CHAR(10)&amp;'Binder Setup'!$B$2:$B$401&amp;CHAR(10),$H812)),'List Setup'!$Q$2:$Q$401,999),IF(ISNUMBER(SEARCH(CHAR(10)&amp;'Set Aliases'!$A$2:$A$501&amp;CHAR(10),$H812)),'Set Aliases'!$C$2:$C$501,999))),"(none)"))</f>
        <v/>
      </c>
      <c r="C812" s="80" t="str">
        <f t="shared" si="1"/>
        <v/>
      </c>
      <c r="D812" s="80" t="str">
        <f t="array" ref="D812">IF(A812="","",IF(ISLOGICAL(INDEX('Deck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12" s="80" t="str">
        <f t="shared" si="2"/>
        <v/>
      </c>
      <c r="F812" s="80" t="str">
        <f t="array" ref="F812">IF(A812="","",IF(ISNUMBER(J812),J812,IF(ISNUMBER(INDEX('Deck 3'!$A:$Z,ROW()-750,'List Setup'!$F$5)),INDEX('Deck 3'!$A:$Z,ROW()-750,'List Setup'!$F$5),0)))</f>
        <v/>
      </c>
      <c r="G812" s="80" t="str">
        <f t="array" ref="G812">IF(A812="","",A812&amp;IF(N(INDEX('Deck 3'!$A:$Z,ROW()-750,'List Setup'!$C$5))&gt;1," (x"&amp;INDEX('Deck 3'!$A:$Z,ROW()-750,'List Setup'!$C$5)&amp;")","")&amp;IF(COUNTIF(Binders!$J$6:$J$30,TRUE())&gt;1," ["&amp;Q812&amp;"]",""))</f>
        <v/>
      </c>
      <c r="H812" s="80" t="str">
        <f t="array" ref="H812">IF(A812="","",CHAR(10)&amp;INDEX('Deck 3'!$A:$Z,ROW()-750,'List Setup'!$E$5)&amp;CHAR(10))</f>
        <v/>
      </c>
      <c r="I812" s="80" t="str">
        <f t="array" ref="I812">IF(OR(B812="",B812="(none)"),"",IF(ISNUMBER(SEARCH(CHAR(10)&amp;B812&amp;CHAR(10),H812)),B812,IFERROR(INDEX('Set Aliases'!$A$2:$A$501,MATCH(1,('Set Aliases'!$B$2:$B$501=B812)*ISNUMBER(SEARCH(CHAR(10)&amp;'Set Aliases'!$A$2:$A$501&amp;CHAR(10),H812)),0)),"")))</f>
        <v/>
      </c>
      <c r="J812" s="80" t="str">
        <f t="array" ref="J812">IF(I812="","",IFERROR(VALUE(TRIM(MID(SUBSTITUTE(INDEX('Deck 3'!$A:$Z,ROW()-750,'List Setup'!$G$5),CHAR(10),REPT(" ",100)),((SEARCH(CHAR(10)&amp;I812&amp;CHAR(10),H812)-LEN(SUBSTITUTE(LEFT(H812,SEARCH(CHAR(10)&amp;I812&amp;CHAR(10),H812)),CHAR(10),"")))-1)*100+1,100))),""))</f>
        <v/>
      </c>
      <c r="K812" s="80" t="str">
        <f t="array" ref="K812">IF(A812="","",IF(ISNUMBER(SEARCH("Land",LEFT(IFERROR(INDEX('Deck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12" s="80" t="str">
        <f t="shared" si="3"/>
        <v/>
      </c>
      <c r="M812" s="80" t="str">
        <f>IF(A812="","",IF(AND(E812="Y",B812='Use at Shop'!$B$4),K812*10000000000+(MAX(0,MIN(26,CODE(MID(UPPER(A812)&amp;"    ",1,1))-64))*19683+MAX(0,MIN(26,CODE(MID(UPPER(A812)&amp;"    ",2,1))-64))*729+MAX(0,MIN(26,CODE(MID(UPPER(A812)&amp;"    ",3,1))-64))*27+MAX(0,MIN(26,CODE(MID(UPPER(A812)&amp;"    ",4,1))-64))*1)*10000+ROW(),""))</f>
        <v/>
      </c>
      <c r="N812" s="80" t="str">
        <f t="shared" si="7"/>
        <v/>
      </c>
      <c r="O812" s="80" t="str">
        <f t="array" ref="O812">IF(A812="","",IFERROR(INDEX('Deck 3'!$A:$Z,ROW()-750,'List Setup'!$J$5)&amp;"",""))</f>
        <v/>
      </c>
      <c r="P812" s="2"/>
      <c r="Q812" s="80" t="str">
        <f>IF(A812="","",'List Setup'!$A$5)</f>
        <v/>
      </c>
      <c r="R812" s="80" t="str">
        <f t="array" ref="R812">IF(A812="","",IFERROR(OR(INDEX(Binders!$J$6:$J$30,MATCH(Q812,Binders!$I$6:$I$30,0))=TRUE(),UPPER(INDEX(Binders!$J$6:$J$30,MATCH(Q812,Binders!$I$6:$I$30,0))&amp;"")="TRUE"),FALSE()))</f>
        <v/>
      </c>
    </row>
    <row r="813" ht="15.75" customHeight="1">
      <c r="A813" s="80" t="str">
        <f t="array" ref="A813">IF(INDEX('Deck 3'!$A:$Z,ROW()-750,'List Setup'!$D$5)="","",INDEX('Deck 3'!$A:$Z,ROW()-750,'List Setup'!$D$5))</f>
        <v/>
      </c>
      <c r="B813" s="80" t="str">
        <f t="array" ref="B813">IF(A813="","",IFERROR(INDEX('Binder Setup'!$B$2:$B$401,MIN(IF(ISNUMBER(SEARCH(CHAR(10)&amp;'Binder Setup'!$B$2:$B$401&amp;CHAR(10),$H813)),'List Setup'!$Q$2:$Q$401,999),IF(ISNUMBER(SEARCH(CHAR(10)&amp;'Set Aliases'!$A$2:$A$501&amp;CHAR(10),$H813)),'Set Aliases'!$C$2:$C$501,999))),"(none)"))</f>
        <v/>
      </c>
      <c r="C813" s="80" t="str">
        <f t="shared" si="1"/>
        <v/>
      </c>
      <c r="D813" s="80" t="str">
        <f t="array" ref="D813">IF(A813="","",IF(ISLOGICAL(INDEX('Deck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13" s="80" t="str">
        <f t="shared" si="2"/>
        <v/>
      </c>
      <c r="F813" s="80" t="str">
        <f t="array" ref="F813">IF(A813="","",IF(ISNUMBER(J813),J813,IF(ISNUMBER(INDEX('Deck 3'!$A:$Z,ROW()-750,'List Setup'!$F$5)),INDEX('Deck 3'!$A:$Z,ROW()-750,'List Setup'!$F$5),0)))</f>
        <v/>
      </c>
      <c r="G813" s="80" t="str">
        <f t="array" ref="G813">IF(A813="","",A813&amp;IF(N(INDEX('Deck 3'!$A:$Z,ROW()-750,'List Setup'!$C$5))&gt;1," (x"&amp;INDEX('Deck 3'!$A:$Z,ROW()-750,'List Setup'!$C$5)&amp;")","")&amp;IF(COUNTIF(Binders!$J$6:$J$30,TRUE())&gt;1," ["&amp;Q813&amp;"]",""))</f>
        <v/>
      </c>
      <c r="H813" s="80" t="str">
        <f t="array" ref="H813">IF(A813="","",CHAR(10)&amp;INDEX('Deck 3'!$A:$Z,ROW()-750,'List Setup'!$E$5)&amp;CHAR(10))</f>
        <v/>
      </c>
      <c r="I813" s="80" t="str">
        <f t="array" ref="I813">IF(OR(B813="",B813="(none)"),"",IF(ISNUMBER(SEARCH(CHAR(10)&amp;B813&amp;CHAR(10),H813)),B813,IFERROR(INDEX('Set Aliases'!$A$2:$A$501,MATCH(1,('Set Aliases'!$B$2:$B$501=B813)*ISNUMBER(SEARCH(CHAR(10)&amp;'Set Aliases'!$A$2:$A$501&amp;CHAR(10),H813)),0)),"")))</f>
        <v/>
      </c>
      <c r="J813" s="80" t="str">
        <f t="array" ref="J813">IF(I813="","",IFERROR(VALUE(TRIM(MID(SUBSTITUTE(INDEX('Deck 3'!$A:$Z,ROW()-750,'List Setup'!$G$5),CHAR(10),REPT(" ",100)),((SEARCH(CHAR(10)&amp;I813&amp;CHAR(10),H813)-LEN(SUBSTITUTE(LEFT(H813,SEARCH(CHAR(10)&amp;I813&amp;CHAR(10),H813)),CHAR(10),"")))-1)*100+1,100))),""))</f>
        <v/>
      </c>
      <c r="K813" s="80" t="str">
        <f t="array" ref="K813">IF(A813="","",IF(ISNUMBER(SEARCH("Land",LEFT(IFERROR(INDEX('Deck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13" s="80" t="str">
        <f t="shared" si="3"/>
        <v/>
      </c>
      <c r="M813" s="80" t="str">
        <f>IF(A813="","",IF(AND(E813="Y",B813='Use at Shop'!$B$4),K813*10000000000+(MAX(0,MIN(26,CODE(MID(UPPER(A813)&amp;"    ",1,1))-64))*19683+MAX(0,MIN(26,CODE(MID(UPPER(A813)&amp;"    ",2,1))-64))*729+MAX(0,MIN(26,CODE(MID(UPPER(A813)&amp;"    ",3,1))-64))*27+MAX(0,MIN(26,CODE(MID(UPPER(A813)&amp;"    ",4,1))-64))*1)*10000+ROW(),""))</f>
        <v/>
      </c>
      <c r="N813" s="80" t="str">
        <f t="shared" si="7"/>
        <v/>
      </c>
      <c r="O813" s="80" t="str">
        <f t="array" ref="O813">IF(A813="","",IFERROR(INDEX('Deck 3'!$A:$Z,ROW()-750,'List Setup'!$J$5)&amp;"",""))</f>
        <v/>
      </c>
      <c r="P813" s="2"/>
      <c r="Q813" s="80" t="str">
        <f>IF(A813="","",'List Setup'!$A$5)</f>
        <v/>
      </c>
      <c r="R813" s="80" t="str">
        <f t="array" ref="R813">IF(A813="","",IFERROR(OR(INDEX(Binders!$J$6:$J$30,MATCH(Q813,Binders!$I$6:$I$30,0))=TRUE(),UPPER(INDEX(Binders!$J$6:$J$30,MATCH(Q813,Binders!$I$6:$I$30,0))&amp;"")="TRUE"),FALSE()))</f>
        <v/>
      </c>
    </row>
    <row r="814" ht="15.75" customHeight="1">
      <c r="A814" s="80" t="str">
        <f t="array" ref="A814">IF(INDEX('Deck 3'!$A:$Z,ROW()-750,'List Setup'!$D$5)="","",INDEX('Deck 3'!$A:$Z,ROW()-750,'List Setup'!$D$5))</f>
        <v/>
      </c>
      <c r="B814" s="80" t="str">
        <f t="array" ref="B814">IF(A814="","",IFERROR(INDEX('Binder Setup'!$B$2:$B$401,MIN(IF(ISNUMBER(SEARCH(CHAR(10)&amp;'Binder Setup'!$B$2:$B$401&amp;CHAR(10),$H814)),'List Setup'!$Q$2:$Q$401,999),IF(ISNUMBER(SEARCH(CHAR(10)&amp;'Set Aliases'!$A$2:$A$501&amp;CHAR(10),$H814)),'Set Aliases'!$C$2:$C$501,999))),"(none)"))</f>
        <v/>
      </c>
      <c r="C814" s="80" t="str">
        <f t="shared" si="1"/>
        <v/>
      </c>
      <c r="D814" s="80" t="str">
        <f t="array" ref="D814">IF(A814="","",IF(ISLOGICAL(INDEX('Deck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14" s="80" t="str">
        <f t="shared" si="2"/>
        <v/>
      </c>
      <c r="F814" s="80" t="str">
        <f t="array" ref="F814">IF(A814="","",IF(ISNUMBER(J814),J814,IF(ISNUMBER(INDEX('Deck 3'!$A:$Z,ROW()-750,'List Setup'!$F$5)),INDEX('Deck 3'!$A:$Z,ROW()-750,'List Setup'!$F$5),0)))</f>
        <v/>
      </c>
      <c r="G814" s="80" t="str">
        <f t="array" ref="G814">IF(A814="","",A814&amp;IF(N(INDEX('Deck 3'!$A:$Z,ROW()-750,'List Setup'!$C$5))&gt;1," (x"&amp;INDEX('Deck 3'!$A:$Z,ROW()-750,'List Setup'!$C$5)&amp;")","")&amp;IF(COUNTIF(Binders!$J$6:$J$30,TRUE())&gt;1," ["&amp;Q814&amp;"]",""))</f>
        <v/>
      </c>
      <c r="H814" s="80" t="str">
        <f t="array" ref="H814">IF(A814="","",CHAR(10)&amp;INDEX('Deck 3'!$A:$Z,ROW()-750,'List Setup'!$E$5)&amp;CHAR(10))</f>
        <v/>
      </c>
      <c r="I814" s="80" t="str">
        <f t="array" ref="I814">IF(OR(B814="",B814="(none)"),"",IF(ISNUMBER(SEARCH(CHAR(10)&amp;B814&amp;CHAR(10),H814)),B814,IFERROR(INDEX('Set Aliases'!$A$2:$A$501,MATCH(1,('Set Aliases'!$B$2:$B$501=B814)*ISNUMBER(SEARCH(CHAR(10)&amp;'Set Aliases'!$A$2:$A$501&amp;CHAR(10),H814)),0)),"")))</f>
        <v/>
      </c>
      <c r="J814" s="80" t="str">
        <f t="array" ref="J814">IF(I814="","",IFERROR(VALUE(TRIM(MID(SUBSTITUTE(INDEX('Deck 3'!$A:$Z,ROW()-750,'List Setup'!$G$5),CHAR(10),REPT(" ",100)),((SEARCH(CHAR(10)&amp;I814&amp;CHAR(10),H814)-LEN(SUBSTITUTE(LEFT(H814,SEARCH(CHAR(10)&amp;I814&amp;CHAR(10),H814)),CHAR(10),"")))-1)*100+1,100))),""))</f>
        <v/>
      </c>
      <c r="K814" s="80" t="str">
        <f t="array" ref="K814">IF(A814="","",IF(ISNUMBER(SEARCH("Land",LEFT(IFERROR(INDEX('Deck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14" s="80" t="str">
        <f t="shared" si="3"/>
        <v/>
      </c>
      <c r="M814" s="80" t="str">
        <f>IF(A814="","",IF(AND(E814="Y",B814='Use at Shop'!$B$4),K814*10000000000+(MAX(0,MIN(26,CODE(MID(UPPER(A814)&amp;"    ",1,1))-64))*19683+MAX(0,MIN(26,CODE(MID(UPPER(A814)&amp;"    ",2,1))-64))*729+MAX(0,MIN(26,CODE(MID(UPPER(A814)&amp;"    ",3,1))-64))*27+MAX(0,MIN(26,CODE(MID(UPPER(A814)&amp;"    ",4,1))-64))*1)*10000+ROW(),""))</f>
        <v/>
      </c>
      <c r="N814" s="80" t="str">
        <f t="shared" si="7"/>
        <v/>
      </c>
      <c r="O814" s="80" t="str">
        <f t="array" ref="O814">IF(A814="","",IFERROR(INDEX('Deck 3'!$A:$Z,ROW()-750,'List Setup'!$J$5)&amp;"",""))</f>
        <v/>
      </c>
      <c r="P814" s="2"/>
      <c r="Q814" s="80" t="str">
        <f>IF(A814="","",'List Setup'!$A$5)</f>
        <v/>
      </c>
      <c r="R814" s="80" t="str">
        <f t="array" ref="R814">IF(A814="","",IFERROR(OR(INDEX(Binders!$J$6:$J$30,MATCH(Q814,Binders!$I$6:$I$30,0))=TRUE(),UPPER(INDEX(Binders!$J$6:$J$30,MATCH(Q814,Binders!$I$6:$I$30,0))&amp;"")="TRUE"),FALSE()))</f>
        <v/>
      </c>
    </row>
    <row r="815" ht="15.75" customHeight="1">
      <c r="A815" s="80" t="str">
        <f t="array" ref="A815">IF(INDEX('Deck 3'!$A:$Z,ROW()-750,'List Setup'!$D$5)="","",INDEX('Deck 3'!$A:$Z,ROW()-750,'List Setup'!$D$5))</f>
        <v/>
      </c>
      <c r="B815" s="80" t="str">
        <f t="array" ref="B815">IF(A815="","",IFERROR(INDEX('Binder Setup'!$B$2:$B$401,MIN(IF(ISNUMBER(SEARCH(CHAR(10)&amp;'Binder Setup'!$B$2:$B$401&amp;CHAR(10),$H815)),'List Setup'!$Q$2:$Q$401,999),IF(ISNUMBER(SEARCH(CHAR(10)&amp;'Set Aliases'!$A$2:$A$501&amp;CHAR(10),$H815)),'Set Aliases'!$C$2:$C$501,999))),"(none)"))</f>
        <v/>
      </c>
      <c r="C815" s="80" t="str">
        <f t="shared" si="1"/>
        <v/>
      </c>
      <c r="D815" s="80" t="str">
        <f t="array" ref="D815">IF(A815="","",IF(ISLOGICAL(INDEX('Deck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15" s="80" t="str">
        <f t="shared" si="2"/>
        <v/>
      </c>
      <c r="F815" s="80" t="str">
        <f t="array" ref="F815">IF(A815="","",IF(ISNUMBER(J815),J815,IF(ISNUMBER(INDEX('Deck 3'!$A:$Z,ROW()-750,'List Setup'!$F$5)),INDEX('Deck 3'!$A:$Z,ROW()-750,'List Setup'!$F$5),0)))</f>
        <v/>
      </c>
      <c r="G815" s="80" t="str">
        <f t="array" ref="G815">IF(A815="","",A815&amp;IF(N(INDEX('Deck 3'!$A:$Z,ROW()-750,'List Setup'!$C$5))&gt;1," (x"&amp;INDEX('Deck 3'!$A:$Z,ROW()-750,'List Setup'!$C$5)&amp;")","")&amp;IF(COUNTIF(Binders!$J$6:$J$30,TRUE())&gt;1," ["&amp;Q815&amp;"]",""))</f>
        <v/>
      </c>
      <c r="H815" s="80" t="str">
        <f t="array" ref="H815">IF(A815="","",CHAR(10)&amp;INDEX('Deck 3'!$A:$Z,ROW()-750,'List Setup'!$E$5)&amp;CHAR(10))</f>
        <v/>
      </c>
      <c r="I815" s="80" t="str">
        <f t="array" ref="I815">IF(OR(B815="",B815="(none)"),"",IF(ISNUMBER(SEARCH(CHAR(10)&amp;B815&amp;CHAR(10),H815)),B815,IFERROR(INDEX('Set Aliases'!$A$2:$A$501,MATCH(1,('Set Aliases'!$B$2:$B$501=B815)*ISNUMBER(SEARCH(CHAR(10)&amp;'Set Aliases'!$A$2:$A$501&amp;CHAR(10),H815)),0)),"")))</f>
        <v/>
      </c>
      <c r="J815" s="80" t="str">
        <f t="array" ref="J815">IF(I815="","",IFERROR(VALUE(TRIM(MID(SUBSTITUTE(INDEX('Deck 3'!$A:$Z,ROW()-750,'List Setup'!$G$5),CHAR(10),REPT(" ",100)),((SEARCH(CHAR(10)&amp;I815&amp;CHAR(10),H815)-LEN(SUBSTITUTE(LEFT(H815,SEARCH(CHAR(10)&amp;I815&amp;CHAR(10),H815)),CHAR(10),"")))-1)*100+1,100))),""))</f>
        <v/>
      </c>
      <c r="K815" s="80" t="str">
        <f t="array" ref="K815">IF(A815="","",IF(ISNUMBER(SEARCH("Land",LEFT(IFERROR(INDEX('Deck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15" s="80" t="str">
        <f t="shared" si="3"/>
        <v/>
      </c>
      <c r="M815" s="80" t="str">
        <f>IF(A815="","",IF(AND(E815="Y",B815='Use at Shop'!$B$4),K815*10000000000+(MAX(0,MIN(26,CODE(MID(UPPER(A815)&amp;"    ",1,1))-64))*19683+MAX(0,MIN(26,CODE(MID(UPPER(A815)&amp;"    ",2,1))-64))*729+MAX(0,MIN(26,CODE(MID(UPPER(A815)&amp;"    ",3,1))-64))*27+MAX(0,MIN(26,CODE(MID(UPPER(A815)&amp;"    ",4,1))-64))*1)*10000+ROW(),""))</f>
        <v/>
      </c>
      <c r="N815" s="80" t="str">
        <f t="shared" si="7"/>
        <v/>
      </c>
      <c r="O815" s="80" t="str">
        <f t="array" ref="O815">IF(A815="","",IFERROR(INDEX('Deck 3'!$A:$Z,ROW()-750,'List Setup'!$J$5)&amp;"",""))</f>
        <v/>
      </c>
      <c r="P815" s="2"/>
      <c r="Q815" s="80" t="str">
        <f>IF(A815="","",'List Setup'!$A$5)</f>
        <v/>
      </c>
      <c r="R815" s="80" t="str">
        <f t="array" ref="R815">IF(A815="","",IFERROR(OR(INDEX(Binders!$J$6:$J$30,MATCH(Q815,Binders!$I$6:$I$30,0))=TRUE(),UPPER(INDEX(Binders!$J$6:$J$30,MATCH(Q815,Binders!$I$6:$I$30,0))&amp;"")="TRUE"),FALSE()))</f>
        <v/>
      </c>
    </row>
    <row r="816" ht="15.75" customHeight="1">
      <c r="A816" s="80" t="str">
        <f t="array" ref="A816">IF(INDEX('Deck 3'!$A:$Z,ROW()-750,'List Setup'!$D$5)="","",INDEX('Deck 3'!$A:$Z,ROW()-750,'List Setup'!$D$5))</f>
        <v/>
      </c>
      <c r="B816" s="80" t="str">
        <f t="array" ref="B816">IF(A816="","",IFERROR(INDEX('Binder Setup'!$B$2:$B$401,MIN(IF(ISNUMBER(SEARCH(CHAR(10)&amp;'Binder Setup'!$B$2:$B$401&amp;CHAR(10),$H816)),'List Setup'!$Q$2:$Q$401,999),IF(ISNUMBER(SEARCH(CHAR(10)&amp;'Set Aliases'!$A$2:$A$501&amp;CHAR(10),$H816)),'Set Aliases'!$C$2:$C$501,999))),"(none)"))</f>
        <v/>
      </c>
      <c r="C816" s="80" t="str">
        <f t="shared" si="1"/>
        <v/>
      </c>
      <c r="D816" s="80" t="str">
        <f t="array" ref="D816">IF(A816="","",IF(ISLOGICAL(INDEX('Deck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16" s="80" t="str">
        <f t="shared" si="2"/>
        <v/>
      </c>
      <c r="F816" s="80" t="str">
        <f t="array" ref="F816">IF(A816="","",IF(ISNUMBER(J816),J816,IF(ISNUMBER(INDEX('Deck 3'!$A:$Z,ROW()-750,'List Setup'!$F$5)),INDEX('Deck 3'!$A:$Z,ROW()-750,'List Setup'!$F$5),0)))</f>
        <v/>
      </c>
      <c r="G816" s="80" t="str">
        <f t="array" ref="G816">IF(A816="","",A816&amp;IF(N(INDEX('Deck 3'!$A:$Z,ROW()-750,'List Setup'!$C$5))&gt;1," (x"&amp;INDEX('Deck 3'!$A:$Z,ROW()-750,'List Setup'!$C$5)&amp;")","")&amp;IF(COUNTIF(Binders!$J$6:$J$30,TRUE())&gt;1," ["&amp;Q816&amp;"]",""))</f>
        <v/>
      </c>
      <c r="H816" s="80" t="str">
        <f t="array" ref="H816">IF(A816="","",CHAR(10)&amp;INDEX('Deck 3'!$A:$Z,ROW()-750,'List Setup'!$E$5)&amp;CHAR(10))</f>
        <v/>
      </c>
      <c r="I816" s="80" t="str">
        <f t="array" ref="I816">IF(OR(B816="",B816="(none)"),"",IF(ISNUMBER(SEARCH(CHAR(10)&amp;B816&amp;CHAR(10),H816)),B816,IFERROR(INDEX('Set Aliases'!$A$2:$A$501,MATCH(1,('Set Aliases'!$B$2:$B$501=B816)*ISNUMBER(SEARCH(CHAR(10)&amp;'Set Aliases'!$A$2:$A$501&amp;CHAR(10),H816)),0)),"")))</f>
        <v/>
      </c>
      <c r="J816" s="80" t="str">
        <f t="array" ref="J816">IF(I816="","",IFERROR(VALUE(TRIM(MID(SUBSTITUTE(INDEX('Deck 3'!$A:$Z,ROW()-750,'List Setup'!$G$5),CHAR(10),REPT(" ",100)),((SEARCH(CHAR(10)&amp;I816&amp;CHAR(10),H816)-LEN(SUBSTITUTE(LEFT(H816,SEARCH(CHAR(10)&amp;I816&amp;CHAR(10),H816)),CHAR(10),"")))-1)*100+1,100))),""))</f>
        <v/>
      </c>
      <c r="K816" s="80" t="str">
        <f t="array" ref="K816">IF(A816="","",IF(ISNUMBER(SEARCH("Land",LEFT(IFERROR(INDEX('Deck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16" s="80" t="str">
        <f t="shared" si="3"/>
        <v/>
      </c>
      <c r="M816" s="80" t="str">
        <f>IF(A816="","",IF(AND(E816="Y",B816='Use at Shop'!$B$4),K816*10000000000+(MAX(0,MIN(26,CODE(MID(UPPER(A816)&amp;"    ",1,1))-64))*19683+MAX(0,MIN(26,CODE(MID(UPPER(A816)&amp;"    ",2,1))-64))*729+MAX(0,MIN(26,CODE(MID(UPPER(A816)&amp;"    ",3,1))-64))*27+MAX(0,MIN(26,CODE(MID(UPPER(A816)&amp;"    ",4,1))-64))*1)*10000+ROW(),""))</f>
        <v/>
      </c>
      <c r="N816" s="80" t="str">
        <f t="shared" si="7"/>
        <v/>
      </c>
      <c r="O816" s="80" t="str">
        <f t="array" ref="O816">IF(A816="","",IFERROR(INDEX('Deck 3'!$A:$Z,ROW()-750,'List Setup'!$J$5)&amp;"",""))</f>
        <v/>
      </c>
      <c r="P816" s="2"/>
      <c r="Q816" s="80" t="str">
        <f>IF(A816="","",'List Setup'!$A$5)</f>
        <v/>
      </c>
      <c r="R816" s="80" t="str">
        <f t="array" ref="R816">IF(A816="","",IFERROR(OR(INDEX(Binders!$J$6:$J$30,MATCH(Q816,Binders!$I$6:$I$30,0))=TRUE(),UPPER(INDEX(Binders!$J$6:$J$30,MATCH(Q816,Binders!$I$6:$I$30,0))&amp;"")="TRUE"),FALSE()))</f>
        <v/>
      </c>
    </row>
    <row r="817" ht="15.75" customHeight="1">
      <c r="A817" s="80" t="str">
        <f t="array" ref="A817">IF(INDEX('Deck 3'!$A:$Z,ROW()-750,'List Setup'!$D$5)="","",INDEX('Deck 3'!$A:$Z,ROW()-750,'List Setup'!$D$5))</f>
        <v/>
      </c>
      <c r="B817" s="80" t="str">
        <f t="array" ref="B817">IF(A817="","",IFERROR(INDEX('Binder Setup'!$B$2:$B$401,MIN(IF(ISNUMBER(SEARCH(CHAR(10)&amp;'Binder Setup'!$B$2:$B$401&amp;CHAR(10),$H817)),'List Setup'!$Q$2:$Q$401,999),IF(ISNUMBER(SEARCH(CHAR(10)&amp;'Set Aliases'!$A$2:$A$501&amp;CHAR(10),$H817)),'Set Aliases'!$C$2:$C$501,999))),"(none)"))</f>
        <v/>
      </c>
      <c r="C817" s="80" t="str">
        <f t="shared" si="1"/>
        <v/>
      </c>
      <c r="D817" s="80" t="str">
        <f t="array" ref="D817">IF(A817="","",IF(ISLOGICAL(INDEX('Deck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17" s="80" t="str">
        <f t="shared" si="2"/>
        <v/>
      </c>
      <c r="F817" s="80" t="str">
        <f t="array" ref="F817">IF(A817="","",IF(ISNUMBER(J817),J817,IF(ISNUMBER(INDEX('Deck 3'!$A:$Z,ROW()-750,'List Setup'!$F$5)),INDEX('Deck 3'!$A:$Z,ROW()-750,'List Setup'!$F$5),0)))</f>
        <v/>
      </c>
      <c r="G817" s="80" t="str">
        <f t="array" ref="G817">IF(A817="","",A817&amp;IF(N(INDEX('Deck 3'!$A:$Z,ROW()-750,'List Setup'!$C$5))&gt;1," (x"&amp;INDEX('Deck 3'!$A:$Z,ROW()-750,'List Setup'!$C$5)&amp;")","")&amp;IF(COUNTIF(Binders!$J$6:$J$30,TRUE())&gt;1," ["&amp;Q817&amp;"]",""))</f>
        <v/>
      </c>
      <c r="H817" s="80" t="str">
        <f t="array" ref="H817">IF(A817="","",CHAR(10)&amp;INDEX('Deck 3'!$A:$Z,ROW()-750,'List Setup'!$E$5)&amp;CHAR(10))</f>
        <v/>
      </c>
      <c r="I817" s="80" t="str">
        <f t="array" ref="I817">IF(OR(B817="",B817="(none)"),"",IF(ISNUMBER(SEARCH(CHAR(10)&amp;B817&amp;CHAR(10),H817)),B817,IFERROR(INDEX('Set Aliases'!$A$2:$A$501,MATCH(1,('Set Aliases'!$B$2:$B$501=B817)*ISNUMBER(SEARCH(CHAR(10)&amp;'Set Aliases'!$A$2:$A$501&amp;CHAR(10),H817)),0)),"")))</f>
        <v/>
      </c>
      <c r="J817" s="80" t="str">
        <f t="array" ref="J817">IF(I817="","",IFERROR(VALUE(TRIM(MID(SUBSTITUTE(INDEX('Deck 3'!$A:$Z,ROW()-750,'List Setup'!$G$5),CHAR(10),REPT(" ",100)),((SEARCH(CHAR(10)&amp;I817&amp;CHAR(10),H817)-LEN(SUBSTITUTE(LEFT(H817,SEARCH(CHAR(10)&amp;I817&amp;CHAR(10),H817)),CHAR(10),"")))-1)*100+1,100))),""))</f>
        <v/>
      </c>
      <c r="K817" s="80" t="str">
        <f t="array" ref="K817">IF(A817="","",IF(ISNUMBER(SEARCH("Land",LEFT(IFERROR(INDEX('Deck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17" s="80" t="str">
        <f t="shared" si="3"/>
        <v/>
      </c>
      <c r="M817" s="80" t="str">
        <f>IF(A817="","",IF(AND(E817="Y",B817='Use at Shop'!$B$4),K817*10000000000+(MAX(0,MIN(26,CODE(MID(UPPER(A817)&amp;"    ",1,1))-64))*19683+MAX(0,MIN(26,CODE(MID(UPPER(A817)&amp;"    ",2,1))-64))*729+MAX(0,MIN(26,CODE(MID(UPPER(A817)&amp;"    ",3,1))-64))*27+MAX(0,MIN(26,CODE(MID(UPPER(A817)&amp;"    ",4,1))-64))*1)*10000+ROW(),""))</f>
        <v/>
      </c>
      <c r="N817" s="80" t="str">
        <f t="shared" si="7"/>
        <v/>
      </c>
      <c r="O817" s="80" t="str">
        <f t="array" ref="O817">IF(A817="","",IFERROR(INDEX('Deck 3'!$A:$Z,ROW()-750,'List Setup'!$J$5)&amp;"",""))</f>
        <v/>
      </c>
      <c r="P817" s="2"/>
      <c r="Q817" s="80" t="str">
        <f>IF(A817="","",'List Setup'!$A$5)</f>
        <v/>
      </c>
      <c r="R817" s="80" t="str">
        <f t="array" ref="R817">IF(A817="","",IFERROR(OR(INDEX(Binders!$J$6:$J$30,MATCH(Q817,Binders!$I$6:$I$30,0))=TRUE(),UPPER(INDEX(Binders!$J$6:$J$30,MATCH(Q817,Binders!$I$6:$I$30,0))&amp;"")="TRUE"),FALSE()))</f>
        <v/>
      </c>
    </row>
    <row r="818" ht="15.75" customHeight="1">
      <c r="A818" s="80" t="str">
        <f t="array" ref="A818">IF(INDEX('Deck 3'!$A:$Z,ROW()-750,'List Setup'!$D$5)="","",INDEX('Deck 3'!$A:$Z,ROW()-750,'List Setup'!$D$5))</f>
        <v/>
      </c>
      <c r="B818" s="80" t="str">
        <f t="array" ref="B818">IF(A818="","",IFERROR(INDEX('Binder Setup'!$B$2:$B$401,MIN(IF(ISNUMBER(SEARCH(CHAR(10)&amp;'Binder Setup'!$B$2:$B$401&amp;CHAR(10),$H818)),'List Setup'!$Q$2:$Q$401,999),IF(ISNUMBER(SEARCH(CHAR(10)&amp;'Set Aliases'!$A$2:$A$501&amp;CHAR(10),$H818)),'Set Aliases'!$C$2:$C$501,999))),"(none)"))</f>
        <v/>
      </c>
      <c r="C818" s="80" t="str">
        <f t="shared" si="1"/>
        <v/>
      </c>
      <c r="D818" s="80" t="str">
        <f t="array" ref="D818">IF(A818="","",IF(ISLOGICAL(INDEX('Deck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18" s="80" t="str">
        <f t="shared" si="2"/>
        <v/>
      </c>
      <c r="F818" s="80" t="str">
        <f t="array" ref="F818">IF(A818="","",IF(ISNUMBER(J818),J818,IF(ISNUMBER(INDEX('Deck 3'!$A:$Z,ROW()-750,'List Setup'!$F$5)),INDEX('Deck 3'!$A:$Z,ROW()-750,'List Setup'!$F$5),0)))</f>
        <v/>
      </c>
      <c r="G818" s="80" t="str">
        <f t="array" ref="G818">IF(A818="","",A818&amp;IF(N(INDEX('Deck 3'!$A:$Z,ROW()-750,'List Setup'!$C$5))&gt;1," (x"&amp;INDEX('Deck 3'!$A:$Z,ROW()-750,'List Setup'!$C$5)&amp;")","")&amp;IF(COUNTIF(Binders!$J$6:$J$30,TRUE())&gt;1," ["&amp;Q818&amp;"]",""))</f>
        <v/>
      </c>
      <c r="H818" s="80" t="str">
        <f t="array" ref="H818">IF(A818="","",CHAR(10)&amp;INDEX('Deck 3'!$A:$Z,ROW()-750,'List Setup'!$E$5)&amp;CHAR(10))</f>
        <v/>
      </c>
      <c r="I818" s="80" t="str">
        <f t="array" ref="I818">IF(OR(B818="",B818="(none)"),"",IF(ISNUMBER(SEARCH(CHAR(10)&amp;B818&amp;CHAR(10),H818)),B818,IFERROR(INDEX('Set Aliases'!$A$2:$A$501,MATCH(1,('Set Aliases'!$B$2:$B$501=B818)*ISNUMBER(SEARCH(CHAR(10)&amp;'Set Aliases'!$A$2:$A$501&amp;CHAR(10),H818)),0)),"")))</f>
        <v/>
      </c>
      <c r="J818" s="80" t="str">
        <f t="array" ref="J818">IF(I818="","",IFERROR(VALUE(TRIM(MID(SUBSTITUTE(INDEX('Deck 3'!$A:$Z,ROW()-750,'List Setup'!$G$5),CHAR(10),REPT(" ",100)),((SEARCH(CHAR(10)&amp;I818&amp;CHAR(10),H818)-LEN(SUBSTITUTE(LEFT(H818,SEARCH(CHAR(10)&amp;I818&amp;CHAR(10),H818)),CHAR(10),"")))-1)*100+1,100))),""))</f>
        <v/>
      </c>
      <c r="K818" s="80" t="str">
        <f t="array" ref="K818">IF(A818="","",IF(ISNUMBER(SEARCH("Land",LEFT(IFERROR(INDEX('Deck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18" s="80" t="str">
        <f t="shared" si="3"/>
        <v/>
      </c>
      <c r="M818" s="80" t="str">
        <f>IF(A818="","",IF(AND(E818="Y",B818='Use at Shop'!$B$4),K818*10000000000+(MAX(0,MIN(26,CODE(MID(UPPER(A818)&amp;"    ",1,1))-64))*19683+MAX(0,MIN(26,CODE(MID(UPPER(A818)&amp;"    ",2,1))-64))*729+MAX(0,MIN(26,CODE(MID(UPPER(A818)&amp;"    ",3,1))-64))*27+MAX(0,MIN(26,CODE(MID(UPPER(A818)&amp;"    ",4,1))-64))*1)*10000+ROW(),""))</f>
        <v/>
      </c>
      <c r="N818" s="80" t="str">
        <f t="shared" si="7"/>
        <v/>
      </c>
      <c r="O818" s="80" t="str">
        <f t="array" ref="O818">IF(A818="","",IFERROR(INDEX('Deck 3'!$A:$Z,ROW()-750,'List Setup'!$J$5)&amp;"",""))</f>
        <v/>
      </c>
      <c r="P818" s="2"/>
      <c r="Q818" s="80" t="str">
        <f>IF(A818="","",'List Setup'!$A$5)</f>
        <v/>
      </c>
      <c r="R818" s="80" t="str">
        <f t="array" ref="R818">IF(A818="","",IFERROR(OR(INDEX(Binders!$J$6:$J$30,MATCH(Q818,Binders!$I$6:$I$30,0))=TRUE(),UPPER(INDEX(Binders!$J$6:$J$30,MATCH(Q818,Binders!$I$6:$I$30,0))&amp;"")="TRUE"),FALSE()))</f>
        <v/>
      </c>
    </row>
    <row r="819" ht="15.75" customHeight="1">
      <c r="A819" s="80" t="str">
        <f t="array" ref="A819">IF(INDEX('Deck 3'!$A:$Z,ROW()-750,'List Setup'!$D$5)="","",INDEX('Deck 3'!$A:$Z,ROW()-750,'List Setup'!$D$5))</f>
        <v/>
      </c>
      <c r="B819" s="80" t="str">
        <f t="array" ref="B819">IF(A819="","",IFERROR(INDEX('Binder Setup'!$B$2:$B$401,MIN(IF(ISNUMBER(SEARCH(CHAR(10)&amp;'Binder Setup'!$B$2:$B$401&amp;CHAR(10),$H819)),'List Setup'!$Q$2:$Q$401,999),IF(ISNUMBER(SEARCH(CHAR(10)&amp;'Set Aliases'!$A$2:$A$501&amp;CHAR(10),$H819)),'Set Aliases'!$C$2:$C$501,999))),"(none)"))</f>
        <v/>
      </c>
      <c r="C819" s="80" t="str">
        <f t="shared" si="1"/>
        <v/>
      </c>
      <c r="D819" s="80" t="str">
        <f t="array" ref="D819">IF(A819="","",IF(ISLOGICAL(INDEX('Deck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19" s="80" t="str">
        <f t="shared" si="2"/>
        <v/>
      </c>
      <c r="F819" s="80" t="str">
        <f t="array" ref="F819">IF(A819="","",IF(ISNUMBER(J819),J819,IF(ISNUMBER(INDEX('Deck 3'!$A:$Z,ROW()-750,'List Setup'!$F$5)),INDEX('Deck 3'!$A:$Z,ROW()-750,'List Setup'!$F$5),0)))</f>
        <v/>
      </c>
      <c r="G819" s="80" t="str">
        <f t="array" ref="G819">IF(A819="","",A819&amp;IF(N(INDEX('Deck 3'!$A:$Z,ROW()-750,'List Setup'!$C$5))&gt;1," (x"&amp;INDEX('Deck 3'!$A:$Z,ROW()-750,'List Setup'!$C$5)&amp;")","")&amp;IF(COUNTIF(Binders!$J$6:$J$30,TRUE())&gt;1," ["&amp;Q819&amp;"]",""))</f>
        <v/>
      </c>
      <c r="H819" s="80" t="str">
        <f t="array" ref="H819">IF(A819="","",CHAR(10)&amp;INDEX('Deck 3'!$A:$Z,ROW()-750,'List Setup'!$E$5)&amp;CHAR(10))</f>
        <v/>
      </c>
      <c r="I819" s="80" t="str">
        <f t="array" ref="I819">IF(OR(B819="",B819="(none)"),"",IF(ISNUMBER(SEARCH(CHAR(10)&amp;B819&amp;CHAR(10),H819)),B819,IFERROR(INDEX('Set Aliases'!$A$2:$A$501,MATCH(1,('Set Aliases'!$B$2:$B$501=B819)*ISNUMBER(SEARCH(CHAR(10)&amp;'Set Aliases'!$A$2:$A$501&amp;CHAR(10),H819)),0)),"")))</f>
        <v/>
      </c>
      <c r="J819" s="80" t="str">
        <f t="array" ref="J819">IF(I819="","",IFERROR(VALUE(TRIM(MID(SUBSTITUTE(INDEX('Deck 3'!$A:$Z,ROW()-750,'List Setup'!$G$5),CHAR(10),REPT(" ",100)),((SEARCH(CHAR(10)&amp;I819&amp;CHAR(10),H819)-LEN(SUBSTITUTE(LEFT(H819,SEARCH(CHAR(10)&amp;I819&amp;CHAR(10),H819)),CHAR(10),"")))-1)*100+1,100))),""))</f>
        <v/>
      </c>
      <c r="K819" s="80" t="str">
        <f t="array" ref="K819">IF(A819="","",IF(ISNUMBER(SEARCH("Land",LEFT(IFERROR(INDEX('Deck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19" s="80" t="str">
        <f t="shared" si="3"/>
        <v/>
      </c>
      <c r="M819" s="80" t="str">
        <f>IF(A819="","",IF(AND(E819="Y",B819='Use at Shop'!$B$4),K819*10000000000+(MAX(0,MIN(26,CODE(MID(UPPER(A819)&amp;"    ",1,1))-64))*19683+MAX(0,MIN(26,CODE(MID(UPPER(A819)&amp;"    ",2,1))-64))*729+MAX(0,MIN(26,CODE(MID(UPPER(A819)&amp;"    ",3,1))-64))*27+MAX(0,MIN(26,CODE(MID(UPPER(A819)&amp;"    ",4,1))-64))*1)*10000+ROW(),""))</f>
        <v/>
      </c>
      <c r="N819" s="80" t="str">
        <f t="shared" si="7"/>
        <v/>
      </c>
      <c r="O819" s="80" t="str">
        <f t="array" ref="O819">IF(A819="","",IFERROR(INDEX('Deck 3'!$A:$Z,ROW()-750,'List Setup'!$J$5)&amp;"",""))</f>
        <v/>
      </c>
      <c r="P819" s="2"/>
      <c r="Q819" s="80" t="str">
        <f>IF(A819="","",'List Setup'!$A$5)</f>
        <v/>
      </c>
      <c r="R819" s="80" t="str">
        <f t="array" ref="R819">IF(A819="","",IFERROR(OR(INDEX(Binders!$J$6:$J$30,MATCH(Q819,Binders!$I$6:$I$30,0))=TRUE(),UPPER(INDEX(Binders!$J$6:$J$30,MATCH(Q819,Binders!$I$6:$I$30,0))&amp;"")="TRUE"),FALSE()))</f>
        <v/>
      </c>
    </row>
    <row r="820" ht="15.75" customHeight="1">
      <c r="A820" s="80" t="str">
        <f t="array" ref="A820">IF(INDEX('Deck 3'!$A:$Z,ROW()-750,'List Setup'!$D$5)="","",INDEX('Deck 3'!$A:$Z,ROW()-750,'List Setup'!$D$5))</f>
        <v/>
      </c>
      <c r="B820" s="80" t="str">
        <f t="array" ref="B820">IF(A820="","",IFERROR(INDEX('Binder Setup'!$B$2:$B$401,MIN(IF(ISNUMBER(SEARCH(CHAR(10)&amp;'Binder Setup'!$B$2:$B$401&amp;CHAR(10),$H820)),'List Setup'!$Q$2:$Q$401,999),IF(ISNUMBER(SEARCH(CHAR(10)&amp;'Set Aliases'!$A$2:$A$501&amp;CHAR(10),$H820)),'Set Aliases'!$C$2:$C$501,999))),"(none)"))</f>
        <v/>
      </c>
      <c r="C820" s="80" t="str">
        <f t="shared" si="1"/>
        <v/>
      </c>
      <c r="D820" s="80" t="str">
        <f t="array" ref="D820">IF(A820="","",IF(ISLOGICAL(INDEX('Deck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20" s="80" t="str">
        <f t="shared" si="2"/>
        <v/>
      </c>
      <c r="F820" s="80" t="str">
        <f t="array" ref="F820">IF(A820="","",IF(ISNUMBER(J820),J820,IF(ISNUMBER(INDEX('Deck 3'!$A:$Z,ROW()-750,'List Setup'!$F$5)),INDEX('Deck 3'!$A:$Z,ROW()-750,'List Setup'!$F$5),0)))</f>
        <v/>
      </c>
      <c r="G820" s="80" t="str">
        <f t="array" ref="G820">IF(A820="","",A820&amp;IF(N(INDEX('Deck 3'!$A:$Z,ROW()-750,'List Setup'!$C$5))&gt;1," (x"&amp;INDEX('Deck 3'!$A:$Z,ROW()-750,'List Setup'!$C$5)&amp;")","")&amp;IF(COUNTIF(Binders!$J$6:$J$30,TRUE())&gt;1," ["&amp;Q820&amp;"]",""))</f>
        <v/>
      </c>
      <c r="H820" s="80" t="str">
        <f t="array" ref="H820">IF(A820="","",CHAR(10)&amp;INDEX('Deck 3'!$A:$Z,ROW()-750,'List Setup'!$E$5)&amp;CHAR(10))</f>
        <v/>
      </c>
      <c r="I820" s="80" t="str">
        <f t="array" ref="I820">IF(OR(B820="",B820="(none)"),"",IF(ISNUMBER(SEARCH(CHAR(10)&amp;B820&amp;CHAR(10),H820)),B820,IFERROR(INDEX('Set Aliases'!$A$2:$A$501,MATCH(1,('Set Aliases'!$B$2:$B$501=B820)*ISNUMBER(SEARCH(CHAR(10)&amp;'Set Aliases'!$A$2:$A$501&amp;CHAR(10),H820)),0)),"")))</f>
        <v/>
      </c>
      <c r="J820" s="80" t="str">
        <f t="array" ref="J820">IF(I820="","",IFERROR(VALUE(TRIM(MID(SUBSTITUTE(INDEX('Deck 3'!$A:$Z,ROW()-750,'List Setup'!$G$5),CHAR(10),REPT(" ",100)),((SEARCH(CHAR(10)&amp;I820&amp;CHAR(10),H820)-LEN(SUBSTITUTE(LEFT(H820,SEARCH(CHAR(10)&amp;I820&amp;CHAR(10),H820)),CHAR(10),"")))-1)*100+1,100))),""))</f>
        <v/>
      </c>
      <c r="K820" s="80" t="str">
        <f t="array" ref="K820">IF(A820="","",IF(ISNUMBER(SEARCH("Land",LEFT(IFERROR(INDEX('Deck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20" s="80" t="str">
        <f t="shared" si="3"/>
        <v/>
      </c>
      <c r="M820" s="80" t="str">
        <f>IF(A820="","",IF(AND(E820="Y",B820='Use at Shop'!$B$4),K820*10000000000+(MAX(0,MIN(26,CODE(MID(UPPER(A820)&amp;"    ",1,1))-64))*19683+MAX(0,MIN(26,CODE(MID(UPPER(A820)&amp;"    ",2,1))-64))*729+MAX(0,MIN(26,CODE(MID(UPPER(A820)&amp;"    ",3,1))-64))*27+MAX(0,MIN(26,CODE(MID(UPPER(A820)&amp;"    ",4,1))-64))*1)*10000+ROW(),""))</f>
        <v/>
      </c>
      <c r="N820" s="80" t="str">
        <f t="shared" si="7"/>
        <v/>
      </c>
      <c r="O820" s="80" t="str">
        <f t="array" ref="O820">IF(A820="","",IFERROR(INDEX('Deck 3'!$A:$Z,ROW()-750,'List Setup'!$J$5)&amp;"",""))</f>
        <v/>
      </c>
      <c r="P820" s="2"/>
      <c r="Q820" s="80" t="str">
        <f>IF(A820="","",'List Setup'!$A$5)</f>
        <v/>
      </c>
      <c r="R820" s="80" t="str">
        <f t="array" ref="R820">IF(A820="","",IFERROR(OR(INDEX(Binders!$J$6:$J$30,MATCH(Q820,Binders!$I$6:$I$30,0))=TRUE(),UPPER(INDEX(Binders!$J$6:$J$30,MATCH(Q820,Binders!$I$6:$I$30,0))&amp;"")="TRUE"),FALSE()))</f>
        <v/>
      </c>
    </row>
    <row r="821" ht="15.75" customHeight="1">
      <c r="A821" s="80" t="str">
        <f t="array" ref="A821">IF(INDEX('Deck 3'!$A:$Z,ROW()-750,'List Setup'!$D$5)="","",INDEX('Deck 3'!$A:$Z,ROW()-750,'List Setup'!$D$5))</f>
        <v/>
      </c>
      <c r="B821" s="80" t="str">
        <f t="array" ref="B821">IF(A821="","",IFERROR(INDEX('Binder Setup'!$B$2:$B$401,MIN(IF(ISNUMBER(SEARCH(CHAR(10)&amp;'Binder Setup'!$B$2:$B$401&amp;CHAR(10),$H821)),'List Setup'!$Q$2:$Q$401,999),IF(ISNUMBER(SEARCH(CHAR(10)&amp;'Set Aliases'!$A$2:$A$501&amp;CHAR(10),$H821)),'Set Aliases'!$C$2:$C$501,999))),"(none)"))</f>
        <v/>
      </c>
      <c r="C821" s="80" t="str">
        <f t="shared" si="1"/>
        <v/>
      </c>
      <c r="D821" s="80" t="str">
        <f t="array" ref="D821">IF(A821="","",IF(ISLOGICAL(INDEX('Deck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21" s="80" t="str">
        <f t="shared" si="2"/>
        <v/>
      </c>
      <c r="F821" s="80" t="str">
        <f t="array" ref="F821">IF(A821="","",IF(ISNUMBER(J821),J821,IF(ISNUMBER(INDEX('Deck 3'!$A:$Z,ROW()-750,'List Setup'!$F$5)),INDEX('Deck 3'!$A:$Z,ROW()-750,'List Setup'!$F$5),0)))</f>
        <v/>
      </c>
      <c r="G821" s="80" t="str">
        <f t="array" ref="G821">IF(A821="","",A821&amp;IF(N(INDEX('Deck 3'!$A:$Z,ROW()-750,'List Setup'!$C$5))&gt;1," (x"&amp;INDEX('Deck 3'!$A:$Z,ROW()-750,'List Setup'!$C$5)&amp;")","")&amp;IF(COUNTIF(Binders!$J$6:$J$30,TRUE())&gt;1," ["&amp;Q821&amp;"]",""))</f>
        <v/>
      </c>
      <c r="H821" s="80" t="str">
        <f t="array" ref="H821">IF(A821="","",CHAR(10)&amp;INDEX('Deck 3'!$A:$Z,ROW()-750,'List Setup'!$E$5)&amp;CHAR(10))</f>
        <v/>
      </c>
      <c r="I821" s="80" t="str">
        <f t="array" ref="I821">IF(OR(B821="",B821="(none)"),"",IF(ISNUMBER(SEARCH(CHAR(10)&amp;B821&amp;CHAR(10),H821)),B821,IFERROR(INDEX('Set Aliases'!$A$2:$A$501,MATCH(1,('Set Aliases'!$B$2:$B$501=B821)*ISNUMBER(SEARCH(CHAR(10)&amp;'Set Aliases'!$A$2:$A$501&amp;CHAR(10),H821)),0)),"")))</f>
        <v/>
      </c>
      <c r="J821" s="80" t="str">
        <f t="array" ref="J821">IF(I821="","",IFERROR(VALUE(TRIM(MID(SUBSTITUTE(INDEX('Deck 3'!$A:$Z,ROW()-750,'List Setup'!$G$5),CHAR(10),REPT(" ",100)),((SEARCH(CHAR(10)&amp;I821&amp;CHAR(10),H821)-LEN(SUBSTITUTE(LEFT(H821,SEARCH(CHAR(10)&amp;I821&amp;CHAR(10),H821)),CHAR(10),"")))-1)*100+1,100))),""))</f>
        <v/>
      </c>
      <c r="K821" s="80" t="str">
        <f t="array" ref="K821">IF(A821="","",IF(ISNUMBER(SEARCH("Land",LEFT(IFERROR(INDEX('Deck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21" s="80" t="str">
        <f t="shared" si="3"/>
        <v/>
      </c>
      <c r="M821" s="80" t="str">
        <f>IF(A821="","",IF(AND(E821="Y",B821='Use at Shop'!$B$4),K821*10000000000+(MAX(0,MIN(26,CODE(MID(UPPER(A821)&amp;"    ",1,1))-64))*19683+MAX(0,MIN(26,CODE(MID(UPPER(A821)&amp;"    ",2,1))-64))*729+MAX(0,MIN(26,CODE(MID(UPPER(A821)&amp;"    ",3,1))-64))*27+MAX(0,MIN(26,CODE(MID(UPPER(A821)&amp;"    ",4,1))-64))*1)*10000+ROW(),""))</f>
        <v/>
      </c>
      <c r="N821" s="80" t="str">
        <f t="shared" si="7"/>
        <v/>
      </c>
      <c r="O821" s="80" t="str">
        <f t="array" ref="O821">IF(A821="","",IFERROR(INDEX('Deck 3'!$A:$Z,ROW()-750,'List Setup'!$J$5)&amp;"",""))</f>
        <v/>
      </c>
      <c r="P821" s="2"/>
      <c r="Q821" s="80" t="str">
        <f>IF(A821="","",'List Setup'!$A$5)</f>
        <v/>
      </c>
      <c r="R821" s="80" t="str">
        <f t="array" ref="R821">IF(A821="","",IFERROR(OR(INDEX(Binders!$J$6:$J$30,MATCH(Q821,Binders!$I$6:$I$30,0))=TRUE(),UPPER(INDEX(Binders!$J$6:$J$30,MATCH(Q821,Binders!$I$6:$I$30,0))&amp;"")="TRUE"),FALSE()))</f>
        <v/>
      </c>
    </row>
    <row r="822" ht="15.75" customHeight="1">
      <c r="A822" s="80" t="str">
        <f t="array" ref="A822">IF(INDEX('Deck 3'!$A:$Z,ROW()-750,'List Setup'!$D$5)="","",INDEX('Deck 3'!$A:$Z,ROW()-750,'List Setup'!$D$5))</f>
        <v/>
      </c>
      <c r="B822" s="80" t="str">
        <f t="array" ref="B822">IF(A822="","",IFERROR(INDEX('Binder Setup'!$B$2:$B$401,MIN(IF(ISNUMBER(SEARCH(CHAR(10)&amp;'Binder Setup'!$B$2:$B$401&amp;CHAR(10),$H822)),'List Setup'!$Q$2:$Q$401,999),IF(ISNUMBER(SEARCH(CHAR(10)&amp;'Set Aliases'!$A$2:$A$501&amp;CHAR(10),$H822)),'Set Aliases'!$C$2:$C$501,999))),"(none)"))</f>
        <v/>
      </c>
      <c r="C822" s="80" t="str">
        <f t="shared" si="1"/>
        <v/>
      </c>
      <c r="D822" s="80" t="str">
        <f t="array" ref="D822">IF(A822="","",IF(ISLOGICAL(INDEX('Deck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22" s="80" t="str">
        <f t="shared" si="2"/>
        <v/>
      </c>
      <c r="F822" s="80" t="str">
        <f t="array" ref="F822">IF(A822="","",IF(ISNUMBER(J822),J822,IF(ISNUMBER(INDEX('Deck 3'!$A:$Z,ROW()-750,'List Setup'!$F$5)),INDEX('Deck 3'!$A:$Z,ROW()-750,'List Setup'!$F$5),0)))</f>
        <v/>
      </c>
      <c r="G822" s="80" t="str">
        <f t="array" ref="G822">IF(A822="","",A822&amp;IF(N(INDEX('Deck 3'!$A:$Z,ROW()-750,'List Setup'!$C$5))&gt;1," (x"&amp;INDEX('Deck 3'!$A:$Z,ROW()-750,'List Setup'!$C$5)&amp;")","")&amp;IF(COUNTIF(Binders!$J$6:$J$30,TRUE())&gt;1," ["&amp;Q822&amp;"]",""))</f>
        <v/>
      </c>
      <c r="H822" s="80" t="str">
        <f t="array" ref="H822">IF(A822="","",CHAR(10)&amp;INDEX('Deck 3'!$A:$Z,ROW()-750,'List Setup'!$E$5)&amp;CHAR(10))</f>
        <v/>
      </c>
      <c r="I822" s="80" t="str">
        <f t="array" ref="I822">IF(OR(B822="",B822="(none)"),"",IF(ISNUMBER(SEARCH(CHAR(10)&amp;B822&amp;CHAR(10),H822)),B822,IFERROR(INDEX('Set Aliases'!$A$2:$A$501,MATCH(1,('Set Aliases'!$B$2:$B$501=B822)*ISNUMBER(SEARCH(CHAR(10)&amp;'Set Aliases'!$A$2:$A$501&amp;CHAR(10),H822)),0)),"")))</f>
        <v/>
      </c>
      <c r="J822" s="80" t="str">
        <f t="array" ref="J822">IF(I822="","",IFERROR(VALUE(TRIM(MID(SUBSTITUTE(INDEX('Deck 3'!$A:$Z,ROW()-750,'List Setup'!$G$5),CHAR(10),REPT(" ",100)),((SEARCH(CHAR(10)&amp;I822&amp;CHAR(10),H822)-LEN(SUBSTITUTE(LEFT(H822,SEARCH(CHAR(10)&amp;I822&amp;CHAR(10),H822)),CHAR(10),"")))-1)*100+1,100))),""))</f>
        <v/>
      </c>
      <c r="K822" s="80" t="str">
        <f t="array" ref="K822">IF(A822="","",IF(ISNUMBER(SEARCH("Land",LEFT(IFERROR(INDEX('Deck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22" s="80" t="str">
        <f t="shared" si="3"/>
        <v/>
      </c>
      <c r="M822" s="80" t="str">
        <f>IF(A822="","",IF(AND(E822="Y",B822='Use at Shop'!$B$4),K822*10000000000+(MAX(0,MIN(26,CODE(MID(UPPER(A822)&amp;"    ",1,1))-64))*19683+MAX(0,MIN(26,CODE(MID(UPPER(A822)&amp;"    ",2,1))-64))*729+MAX(0,MIN(26,CODE(MID(UPPER(A822)&amp;"    ",3,1))-64))*27+MAX(0,MIN(26,CODE(MID(UPPER(A822)&amp;"    ",4,1))-64))*1)*10000+ROW(),""))</f>
        <v/>
      </c>
      <c r="N822" s="80" t="str">
        <f t="shared" si="7"/>
        <v/>
      </c>
      <c r="O822" s="80" t="str">
        <f t="array" ref="O822">IF(A822="","",IFERROR(INDEX('Deck 3'!$A:$Z,ROW()-750,'List Setup'!$J$5)&amp;"",""))</f>
        <v/>
      </c>
      <c r="P822" s="2"/>
      <c r="Q822" s="80" t="str">
        <f>IF(A822="","",'List Setup'!$A$5)</f>
        <v/>
      </c>
      <c r="R822" s="80" t="str">
        <f t="array" ref="R822">IF(A822="","",IFERROR(OR(INDEX(Binders!$J$6:$J$30,MATCH(Q822,Binders!$I$6:$I$30,0))=TRUE(),UPPER(INDEX(Binders!$J$6:$J$30,MATCH(Q822,Binders!$I$6:$I$30,0))&amp;"")="TRUE"),FALSE()))</f>
        <v/>
      </c>
    </row>
    <row r="823" ht="15.75" customHeight="1">
      <c r="A823" s="80" t="str">
        <f t="array" ref="A823">IF(INDEX('Deck 3'!$A:$Z,ROW()-750,'List Setup'!$D$5)="","",INDEX('Deck 3'!$A:$Z,ROW()-750,'List Setup'!$D$5))</f>
        <v/>
      </c>
      <c r="B823" s="80" t="str">
        <f t="array" ref="B823">IF(A823="","",IFERROR(INDEX('Binder Setup'!$B$2:$B$401,MIN(IF(ISNUMBER(SEARCH(CHAR(10)&amp;'Binder Setup'!$B$2:$B$401&amp;CHAR(10),$H823)),'List Setup'!$Q$2:$Q$401,999),IF(ISNUMBER(SEARCH(CHAR(10)&amp;'Set Aliases'!$A$2:$A$501&amp;CHAR(10),$H823)),'Set Aliases'!$C$2:$C$501,999))),"(none)"))</f>
        <v/>
      </c>
      <c r="C823" s="80" t="str">
        <f t="shared" si="1"/>
        <v/>
      </c>
      <c r="D823" s="80" t="str">
        <f t="array" ref="D823">IF(A823="","",IF(ISLOGICAL(INDEX('Deck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23" s="80" t="str">
        <f t="shared" si="2"/>
        <v/>
      </c>
      <c r="F823" s="80" t="str">
        <f t="array" ref="F823">IF(A823="","",IF(ISNUMBER(J823),J823,IF(ISNUMBER(INDEX('Deck 3'!$A:$Z,ROW()-750,'List Setup'!$F$5)),INDEX('Deck 3'!$A:$Z,ROW()-750,'List Setup'!$F$5),0)))</f>
        <v/>
      </c>
      <c r="G823" s="80" t="str">
        <f t="array" ref="G823">IF(A823="","",A823&amp;IF(N(INDEX('Deck 3'!$A:$Z,ROW()-750,'List Setup'!$C$5))&gt;1," (x"&amp;INDEX('Deck 3'!$A:$Z,ROW()-750,'List Setup'!$C$5)&amp;")","")&amp;IF(COUNTIF(Binders!$J$6:$J$30,TRUE())&gt;1," ["&amp;Q823&amp;"]",""))</f>
        <v/>
      </c>
      <c r="H823" s="80" t="str">
        <f t="array" ref="H823">IF(A823="","",CHAR(10)&amp;INDEX('Deck 3'!$A:$Z,ROW()-750,'List Setup'!$E$5)&amp;CHAR(10))</f>
        <v/>
      </c>
      <c r="I823" s="80" t="str">
        <f t="array" ref="I823">IF(OR(B823="",B823="(none)"),"",IF(ISNUMBER(SEARCH(CHAR(10)&amp;B823&amp;CHAR(10),H823)),B823,IFERROR(INDEX('Set Aliases'!$A$2:$A$501,MATCH(1,('Set Aliases'!$B$2:$B$501=B823)*ISNUMBER(SEARCH(CHAR(10)&amp;'Set Aliases'!$A$2:$A$501&amp;CHAR(10),H823)),0)),"")))</f>
        <v/>
      </c>
      <c r="J823" s="80" t="str">
        <f t="array" ref="J823">IF(I823="","",IFERROR(VALUE(TRIM(MID(SUBSTITUTE(INDEX('Deck 3'!$A:$Z,ROW()-750,'List Setup'!$G$5),CHAR(10),REPT(" ",100)),((SEARCH(CHAR(10)&amp;I823&amp;CHAR(10),H823)-LEN(SUBSTITUTE(LEFT(H823,SEARCH(CHAR(10)&amp;I823&amp;CHAR(10),H823)),CHAR(10),"")))-1)*100+1,100))),""))</f>
        <v/>
      </c>
      <c r="K823" s="80" t="str">
        <f t="array" ref="K823">IF(A823="","",IF(ISNUMBER(SEARCH("Land",LEFT(IFERROR(INDEX('Deck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23" s="80" t="str">
        <f t="shared" si="3"/>
        <v/>
      </c>
      <c r="M823" s="80" t="str">
        <f>IF(A823="","",IF(AND(E823="Y",B823='Use at Shop'!$B$4),K823*10000000000+(MAX(0,MIN(26,CODE(MID(UPPER(A823)&amp;"    ",1,1))-64))*19683+MAX(0,MIN(26,CODE(MID(UPPER(A823)&amp;"    ",2,1))-64))*729+MAX(0,MIN(26,CODE(MID(UPPER(A823)&amp;"    ",3,1))-64))*27+MAX(0,MIN(26,CODE(MID(UPPER(A823)&amp;"    ",4,1))-64))*1)*10000+ROW(),""))</f>
        <v/>
      </c>
      <c r="N823" s="80" t="str">
        <f t="shared" si="7"/>
        <v/>
      </c>
      <c r="O823" s="80" t="str">
        <f t="array" ref="O823">IF(A823="","",IFERROR(INDEX('Deck 3'!$A:$Z,ROW()-750,'List Setup'!$J$5)&amp;"",""))</f>
        <v/>
      </c>
      <c r="P823" s="2"/>
      <c r="Q823" s="80" t="str">
        <f>IF(A823="","",'List Setup'!$A$5)</f>
        <v/>
      </c>
      <c r="R823" s="80" t="str">
        <f t="array" ref="R823">IF(A823="","",IFERROR(OR(INDEX(Binders!$J$6:$J$30,MATCH(Q823,Binders!$I$6:$I$30,0))=TRUE(),UPPER(INDEX(Binders!$J$6:$J$30,MATCH(Q823,Binders!$I$6:$I$30,0))&amp;"")="TRUE"),FALSE()))</f>
        <v/>
      </c>
    </row>
    <row r="824" ht="15.75" customHeight="1">
      <c r="A824" s="80" t="str">
        <f t="array" ref="A824">IF(INDEX('Deck 3'!$A:$Z,ROW()-750,'List Setup'!$D$5)="","",INDEX('Deck 3'!$A:$Z,ROW()-750,'List Setup'!$D$5))</f>
        <v/>
      </c>
      <c r="B824" s="80" t="str">
        <f t="array" ref="B824">IF(A824="","",IFERROR(INDEX('Binder Setup'!$B$2:$B$401,MIN(IF(ISNUMBER(SEARCH(CHAR(10)&amp;'Binder Setup'!$B$2:$B$401&amp;CHAR(10),$H824)),'List Setup'!$Q$2:$Q$401,999),IF(ISNUMBER(SEARCH(CHAR(10)&amp;'Set Aliases'!$A$2:$A$501&amp;CHAR(10),$H824)),'Set Aliases'!$C$2:$C$501,999))),"(none)"))</f>
        <v/>
      </c>
      <c r="C824" s="80" t="str">
        <f t="shared" si="1"/>
        <v/>
      </c>
      <c r="D824" s="80" t="str">
        <f t="array" ref="D824">IF(A824="","",IF(ISLOGICAL(INDEX('Deck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24" s="80" t="str">
        <f t="shared" si="2"/>
        <v/>
      </c>
      <c r="F824" s="80" t="str">
        <f t="array" ref="F824">IF(A824="","",IF(ISNUMBER(J824),J824,IF(ISNUMBER(INDEX('Deck 3'!$A:$Z,ROW()-750,'List Setup'!$F$5)),INDEX('Deck 3'!$A:$Z,ROW()-750,'List Setup'!$F$5),0)))</f>
        <v/>
      </c>
      <c r="G824" s="80" t="str">
        <f t="array" ref="G824">IF(A824="","",A824&amp;IF(N(INDEX('Deck 3'!$A:$Z,ROW()-750,'List Setup'!$C$5))&gt;1," (x"&amp;INDEX('Deck 3'!$A:$Z,ROW()-750,'List Setup'!$C$5)&amp;")","")&amp;IF(COUNTIF(Binders!$J$6:$J$30,TRUE())&gt;1," ["&amp;Q824&amp;"]",""))</f>
        <v/>
      </c>
      <c r="H824" s="80" t="str">
        <f t="array" ref="H824">IF(A824="","",CHAR(10)&amp;INDEX('Deck 3'!$A:$Z,ROW()-750,'List Setup'!$E$5)&amp;CHAR(10))</f>
        <v/>
      </c>
      <c r="I824" s="80" t="str">
        <f t="array" ref="I824">IF(OR(B824="",B824="(none)"),"",IF(ISNUMBER(SEARCH(CHAR(10)&amp;B824&amp;CHAR(10),H824)),B824,IFERROR(INDEX('Set Aliases'!$A$2:$A$501,MATCH(1,('Set Aliases'!$B$2:$B$501=B824)*ISNUMBER(SEARCH(CHAR(10)&amp;'Set Aliases'!$A$2:$A$501&amp;CHAR(10),H824)),0)),"")))</f>
        <v/>
      </c>
      <c r="J824" s="80" t="str">
        <f t="array" ref="J824">IF(I824="","",IFERROR(VALUE(TRIM(MID(SUBSTITUTE(INDEX('Deck 3'!$A:$Z,ROW()-750,'List Setup'!$G$5),CHAR(10),REPT(" ",100)),((SEARCH(CHAR(10)&amp;I824&amp;CHAR(10),H824)-LEN(SUBSTITUTE(LEFT(H824,SEARCH(CHAR(10)&amp;I824&amp;CHAR(10),H824)),CHAR(10),"")))-1)*100+1,100))),""))</f>
        <v/>
      </c>
      <c r="K824" s="80" t="str">
        <f t="array" ref="K824">IF(A824="","",IF(ISNUMBER(SEARCH("Land",LEFT(IFERROR(INDEX('Deck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24" s="80" t="str">
        <f t="shared" si="3"/>
        <v/>
      </c>
      <c r="M824" s="80" t="str">
        <f>IF(A824="","",IF(AND(E824="Y",B824='Use at Shop'!$B$4),K824*10000000000+(MAX(0,MIN(26,CODE(MID(UPPER(A824)&amp;"    ",1,1))-64))*19683+MAX(0,MIN(26,CODE(MID(UPPER(A824)&amp;"    ",2,1))-64))*729+MAX(0,MIN(26,CODE(MID(UPPER(A824)&amp;"    ",3,1))-64))*27+MAX(0,MIN(26,CODE(MID(UPPER(A824)&amp;"    ",4,1))-64))*1)*10000+ROW(),""))</f>
        <v/>
      </c>
      <c r="N824" s="80" t="str">
        <f t="shared" si="7"/>
        <v/>
      </c>
      <c r="O824" s="80" t="str">
        <f t="array" ref="O824">IF(A824="","",IFERROR(INDEX('Deck 3'!$A:$Z,ROW()-750,'List Setup'!$J$5)&amp;"",""))</f>
        <v/>
      </c>
      <c r="P824" s="2"/>
      <c r="Q824" s="80" t="str">
        <f>IF(A824="","",'List Setup'!$A$5)</f>
        <v/>
      </c>
      <c r="R824" s="80" t="str">
        <f t="array" ref="R824">IF(A824="","",IFERROR(OR(INDEX(Binders!$J$6:$J$30,MATCH(Q824,Binders!$I$6:$I$30,0))=TRUE(),UPPER(INDEX(Binders!$J$6:$J$30,MATCH(Q824,Binders!$I$6:$I$30,0))&amp;"")="TRUE"),FALSE()))</f>
        <v/>
      </c>
    </row>
    <row r="825" ht="15.75" customHeight="1">
      <c r="A825" s="80" t="str">
        <f t="array" ref="A825">IF(INDEX('Deck 3'!$A:$Z,ROW()-750,'List Setup'!$D$5)="","",INDEX('Deck 3'!$A:$Z,ROW()-750,'List Setup'!$D$5))</f>
        <v/>
      </c>
      <c r="B825" s="80" t="str">
        <f t="array" ref="B825">IF(A825="","",IFERROR(INDEX('Binder Setup'!$B$2:$B$401,MIN(IF(ISNUMBER(SEARCH(CHAR(10)&amp;'Binder Setup'!$B$2:$B$401&amp;CHAR(10),$H825)),'List Setup'!$Q$2:$Q$401,999),IF(ISNUMBER(SEARCH(CHAR(10)&amp;'Set Aliases'!$A$2:$A$501&amp;CHAR(10),$H825)),'Set Aliases'!$C$2:$C$501,999))),"(none)"))</f>
        <v/>
      </c>
      <c r="C825" s="80" t="str">
        <f t="shared" si="1"/>
        <v/>
      </c>
      <c r="D825" s="80" t="str">
        <f t="array" ref="D825">IF(A825="","",IF(ISLOGICAL(INDEX('Deck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25" s="80" t="str">
        <f t="shared" si="2"/>
        <v/>
      </c>
      <c r="F825" s="80" t="str">
        <f t="array" ref="F825">IF(A825="","",IF(ISNUMBER(J825),J825,IF(ISNUMBER(INDEX('Deck 3'!$A:$Z,ROW()-750,'List Setup'!$F$5)),INDEX('Deck 3'!$A:$Z,ROW()-750,'List Setup'!$F$5),0)))</f>
        <v/>
      </c>
      <c r="G825" s="80" t="str">
        <f t="array" ref="G825">IF(A825="","",A825&amp;IF(N(INDEX('Deck 3'!$A:$Z,ROW()-750,'List Setup'!$C$5))&gt;1," (x"&amp;INDEX('Deck 3'!$A:$Z,ROW()-750,'List Setup'!$C$5)&amp;")","")&amp;IF(COUNTIF(Binders!$J$6:$J$30,TRUE())&gt;1," ["&amp;Q825&amp;"]",""))</f>
        <v/>
      </c>
      <c r="H825" s="80" t="str">
        <f t="array" ref="H825">IF(A825="","",CHAR(10)&amp;INDEX('Deck 3'!$A:$Z,ROW()-750,'List Setup'!$E$5)&amp;CHAR(10))</f>
        <v/>
      </c>
      <c r="I825" s="80" t="str">
        <f t="array" ref="I825">IF(OR(B825="",B825="(none)"),"",IF(ISNUMBER(SEARCH(CHAR(10)&amp;B825&amp;CHAR(10),H825)),B825,IFERROR(INDEX('Set Aliases'!$A$2:$A$501,MATCH(1,('Set Aliases'!$B$2:$B$501=B825)*ISNUMBER(SEARCH(CHAR(10)&amp;'Set Aliases'!$A$2:$A$501&amp;CHAR(10),H825)),0)),"")))</f>
        <v/>
      </c>
      <c r="J825" s="80" t="str">
        <f t="array" ref="J825">IF(I825="","",IFERROR(VALUE(TRIM(MID(SUBSTITUTE(INDEX('Deck 3'!$A:$Z,ROW()-750,'List Setup'!$G$5),CHAR(10),REPT(" ",100)),((SEARCH(CHAR(10)&amp;I825&amp;CHAR(10),H825)-LEN(SUBSTITUTE(LEFT(H825,SEARCH(CHAR(10)&amp;I825&amp;CHAR(10),H825)),CHAR(10),"")))-1)*100+1,100))),""))</f>
        <v/>
      </c>
      <c r="K825" s="80" t="str">
        <f t="array" ref="K825">IF(A825="","",IF(ISNUMBER(SEARCH("Land",LEFT(IFERROR(INDEX('Deck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25" s="80" t="str">
        <f t="shared" si="3"/>
        <v/>
      </c>
      <c r="M825" s="80" t="str">
        <f>IF(A825="","",IF(AND(E825="Y",B825='Use at Shop'!$B$4),K825*10000000000+(MAX(0,MIN(26,CODE(MID(UPPER(A825)&amp;"    ",1,1))-64))*19683+MAX(0,MIN(26,CODE(MID(UPPER(A825)&amp;"    ",2,1))-64))*729+MAX(0,MIN(26,CODE(MID(UPPER(A825)&amp;"    ",3,1))-64))*27+MAX(0,MIN(26,CODE(MID(UPPER(A825)&amp;"    ",4,1))-64))*1)*10000+ROW(),""))</f>
        <v/>
      </c>
      <c r="N825" s="80" t="str">
        <f t="shared" si="7"/>
        <v/>
      </c>
      <c r="O825" s="80" t="str">
        <f t="array" ref="O825">IF(A825="","",IFERROR(INDEX('Deck 3'!$A:$Z,ROW()-750,'List Setup'!$J$5)&amp;"",""))</f>
        <v/>
      </c>
      <c r="P825" s="2"/>
      <c r="Q825" s="80" t="str">
        <f>IF(A825="","",'List Setup'!$A$5)</f>
        <v/>
      </c>
      <c r="R825" s="80" t="str">
        <f t="array" ref="R825">IF(A825="","",IFERROR(OR(INDEX(Binders!$J$6:$J$30,MATCH(Q825,Binders!$I$6:$I$30,0))=TRUE(),UPPER(INDEX(Binders!$J$6:$J$30,MATCH(Q825,Binders!$I$6:$I$30,0))&amp;"")="TRUE"),FALSE()))</f>
        <v/>
      </c>
    </row>
    <row r="826" ht="15.75" customHeight="1">
      <c r="A826" s="80" t="str">
        <f t="array" ref="A826">IF(INDEX('Deck 3'!$A:$Z,ROW()-750,'List Setup'!$D$5)="","",INDEX('Deck 3'!$A:$Z,ROW()-750,'List Setup'!$D$5))</f>
        <v/>
      </c>
      <c r="B826" s="80" t="str">
        <f t="array" ref="B826">IF(A826="","",IFERROR(INDEX('Binder Setup'!$B$2:$B$401,MIN(IF(ISNUMBER(SEARCH(CHAR(10)&amp;'Binder Setup'!$B$2:$B$401&amp;CHAR(10),$H826)),'List Setup'!$Q$2:$Q$401,999),IF(ISNUMBER(SEARCH(CHAR(10)&amp;'Set Aliases'!$A$2:$A$501&amp;CHAR(10),$H826)),'Set Aliases'!$C$2:$C$501,999))),"(none)"))</f>
        <v/>
      </c>
      <c r="C826" s="80" t="str">
        <f t="shared" si="1"/>
        <v/>
      </c>
      <c r="D826" s="80" t="str">
        <f t="array" ref="D826">IF(A826="","",IF(ISLOGICAL(INDEX('Deck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26" s="80" t="str">
        <f t="shared" si="2"/>
        <v/>
      </c>
      <c r="F826" s="80" t="str">
        <f t="array" ref="F826">IF(A826="","",IF(ISNUMBER(J826),J826,IF(ISNUMBER(INDEX('Deck 3'!$A:$Z,ROW()-750,'List Setup'!$F$5)),INDEX('Deck 3'!$A:$Z,ROW()-750,'List Setup'!$F$5),0)))</f>
        <v/>
      </c>
      <c r="G826" s="80" t="str">
        <f t="array" ref="G826">IF(A826="","",A826&amp;IF(N(INDEX('Deck 3'!$A:$Z,ROW()-750,'List Setup'!$C$5))&gt;1," (x"&amp;INDEX('Deck 3'!$A:$Z,ROW()-750,'List Setup'!$C$5)&amp;")","")&amp;IF(COUNTIF(Binders!$J$6:$J$30,TRUE())&gt;1," ["&amp;Q826&amp;"]",""))</f>
        <v/>
      </c>
      <c r="H826" s="80" t="str">
        <f t="array" ref="H826">IF(A826="","",CHAR(10)&amp;INDEX('Deck 3'!$A:$Z,ROW()-750,'List Setup'!$E$5)&amp;CHAR(10))</f>
        <v/>
      </c>
      <c r="I826" s="80" t="str">
        <f t="array" ref="I826">IF(OR(B826="",B826="(none)"),"",IF(ISNUMBER(SEARCH(CHAR(10)&amp;B826&amp;CHAR(10),H826)),B826,IFERROR(INDEX('Set Aliases'!$A$2:$A$501,MATCH(1,('Set Aliases'!$B$2:$B$501=B826)*ISNUMBER(SEARCH(CHAR(10)&amp;'Set Aliases'!$A$2:$A$501&amp;CHAR(10),H826)),0)),"")))</f>
        <v/>
      </c>
      <c r="J826" s="80" t="str">
        <f t="array" ref="J826">IF(I826="","",IFERROR(VALUE(TRIM(MID(SUBSTITUTE(INDEX('Deck 3'!$A:$Z,ROW()-750,'List Setup'!$G$5),CHAR(10),REPT(" ",100)),((SEARCH(CHAR(10)&amp;I826&amp;CHAR(10),H826)-LEN(SUBSTITUTE(LEFT(H826,SEARCH(CHAR(10)&amp;I826&amp;CHAR(10),H826)),CHAR(10),"")))-1)*100+1,100))),""))</f>
        <v/>
      </c>
      <c r="K826" s="80" t="str">
        <f t="array" ref="K826">IF(A826="","",IF(ISNUMBER(SEARCH("Land",LEFT(IFERROR(INDEX('Deck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26" s="80" t="str">
        <f t="shared" si="3"/>
        <v/>
      </c>
      <c r="M826" s="80" t="str">
        <f>IF(A826="","",IF(AND(E826="Y",B826='Use at Shop'!$B$4),K826*10000000000+(MAX(0,MIN(26,CODE(MID(UPPER(A826)&amp;"    ",1,1))-64))*19683+MAX(0,MIN(26,CODE(MID(UPPER(A826)&amp;"    ",2,1))-64))*729+MAX(0,MIN(26,CODE(MID(UPPER(A826)&amp;"    ",3,1))-64))*27+MAX(0,MIN(26,CODE(MID(UPPER(A826)&amp;"    ",4,1))-64))*1)*10000+ROW(),""))</f>
        <v/>
      </c>
      <c r="N826" s="80" t="str">
        <f t="shared" si="7"/>
        <v/>
      </c>
      <c r="O826" s="80" t="str">
        <f t="array" ref="O826">IF(A826="","",IFERROR(INDEX('Deck 3'!$A:$Z,ROW()-750,'List Setup'!$J$5)&amp;"",""))</f>
        <v/>
      </c>
      <c r="P826" s="2"/>
      <c r="Q826" s="80" t="str">
        <f>IF(A826="","",'List Setup'!$A$5)</f>
        <v/>
      </c>
      <c r="R826" s="80" t="str">
        <f t="array" ref="R826">IF(A826="","",IFERROR(OR(INDEX(Binders!$J$6:$J$30,MATCH(Q826,Binders!$I$6:$I$30,0))=TRUE(),UPPER(INDEX(Binders!$J$6:$J$30,MATCH(Q826,Binders!$I$6:$I$30,0))&amp;"")="TRUE"),FALSE()))</f>
        <v/>
      </c>
    </row>
    <row r="827" ht="15.75" customHeight="1">
      <c r="A827" s="80" t="str">
        <f t="array" ref="A827">IF(INDEX('Deck 3'!$A:$Z,ROW()-750,'List Setup'!$D$5)="","",INDEX('Deck 3'!$A:$Z,ROW()-750,'List Setup'!$D$5))</f>
        <v/>
      </c>
      <c r="B827" s="80" t="str">
        <f t="array" ref="B827">IF(A827="","",IFERROR(INDEX('Binder Setup'!$B$2:$B$401,MIN(IF(ISNUMBER(SEARCH(CHAR(10)&amp;'Binder Setup'!$B$2:$B$401&amp;CHAR(10),$H827)),'List Setup'!$Q$2:$Q$401,999),IF(ISNUMBER(SEARCH(CHAR(10)&amp;'Set Aliases'!$A$2:$A$501&amp;CHAR(10),$H827)),'Set Aliases'!$C$2:$C$501,999))),"(none)"))</f>
        <v/>
      </c>
      <c r="C827" s="80" t="str">
        <f t="shared" si="1"/>
        <v/>
      </c>
      <c r="D827" s="80" t="str">
        <f t="array" ref="D827">IF(A827="","",IF(ISLOGICAL(INDEX('Deck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27" s="80" t="str">
        <f t="shared" si="2"/>
        <v/>
      </c>
      <c r="F827" s="80" t="str">
        <f t="array" ref="F827">IF(A827="","",IF(ISNUMBER(J827),J827,IF(ISNUMBER(INDEX('Deck 3'!$A:$Z,ROW()-750,'List Setup'!$F$5)),INDEX('Deck 3'!$A:$Z,ROW()-750,'List Setup'!$F$5),0)))</f>
        <v/>
      </c>
      <c r="G827" s="80" t="str">
        <f t="array" ref="G827">IF(A827="","",A827&amp;IF(N(INDEX('Deck 3'!$A:$Z,ROW()-750,'List Setup'!$C$5))&gt;1," (x"&amp;INDEX('Deck 3'!$A:$Z,ROW()-750,'List Setup'!$C$5)&amp;")","")&amp;IF(COUNTIF(Binders!$J$6:$J$30,TRUE())&gt;1," ["&amp;Q827&amp;"]",""))</f>
        <v/>
      </c>
      <c r="H827" s="80" t="str">
        <f t="array" ref="H827">IF(A827="","",CHAR(10)&amp;INDEX('Deck 3'!$A:$Z,ROW()-750,'List Setup'!$E$5)&amp;CHAR(10))</f>
        <v/>
      </c>
      <c r="I827" s="80" t="str">
        <f t="array" ref="I827">IF(OR(B827="",B827="(none)"),"",IF(ISNUMBER(SEARCH(CHAR(10)&amp;B827&amp;CHAR(10),H827)),B827,IFERROR(INDEX('Set Aliases'!$A$2:$A$501,MATCH(1,('Set Aliases'!$B$2:$B$501=B827)*ISNUMBER(SEARCH(CHAR(10)&amp;'Set Aliases'!$A$2:$A$501&amp;CHAR(10),H827)),0)),"")))</f>
        <v/>
      </c>
      <c r="J827" s="80" t="str">
        <f t="array" ref="J827">IF(I827="","",IFERROR(VALUE(TRIM(MID(SUBSTITUTE(INDEX('Deck 3'!$A:$Z,ROW()-750,'List Setup'!$G$5),CHAR(10),REPT(" ",100)),((SEARCH(CHAR(10)&amp;I827&amp;CHAR(10),H827)-LEN(SUBSTITUTE(LEFT(H827,SEARCH(CHAR(10)&amp;I827&amp;CHAR(10),H827)),CHAR(10),"")))-1)*100+1,100))),""))</f>
        <v/>
      </c>
      <c r="K827" s="80" t="str">
        <f t="array" ref="K827">IF(A827="","",IF(ISNUMBER(SEARCH("Land",LEFT(IFERROR(INDEX('Deck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27" s="80" t="str">
        <f t="shared" si="3"/>
        <v/>
      </c>
      <c r="M827" s="80" t="str">
        <f>IF(A827="","",IF(AND(E827="Y",B827='Use at Shop'!$B$4),K827*10000000000+(MAX(0,MIN(26,CODE(MID(UPPER(A827)&amp;"    ",1,1))-64))*19683+MAX(0,MIN(26,CODE(MID(UPPER(A827)&amp;"    ",2,1))-64))*729+MAX(0,MIN(26,CODE(MID(UPPER(A827)&amp;"    ",3,1))-64))*27+MAX(0,MIN(26,CODE(MID(UPPER(A827)&amp;"    ",4,1))-64))*1)*10000+ROW(),""))</f>
        <v/>
      </c>
      <c r="N827" s="80" t="str">
        <f t="shared" si="7"/>
        <v/>
      </c>
      <c r="O827" s="80" t="str">
        <f t="array" ref="O827">IF(A827="","",IFERROR(INDEX('Deck 3'!$A:$Z,ROW()-750,'List Setup'!$J$5)&amp;"",""))</f>
        <v/>
      </c>
      <c r="P827" s="2"/>
      <c r="Q827" s="80" t="str">
        <f>IF(A827="","",'List Setup'!$A$5)</f>
        <v/>
      </c>
      <c r="R827" s="80" t="str">
        <f t="array" ref="R827">IF(A827="","",IFERROR(OR(INDEX(Binders!$J$6:$J$30,MATCH(Q827,Binders!$I$6:$I$30,0))=TRUE(),UPPER(INDEX(Binders!$J$6:$J$30,MATCH(Q827,Binders!$I$6:$I$30,0))&amp;"")="TRUE"),FALSE()))</f>
        <v/>
      </c>
    </row>
    <row r="828" ht="15.75" customHeight="1">
      <c r="A828" s="80" t="str">
        <f t="array" ref="A828">IF(INDEX('Deck 3'!$A:$Z,ROW()-750,'List Setup'!$D$5)="","",INDEX('Deck 3'!$A:$Z,ROW()-750,'List Setup'!$D$5))</f>
        <v/>
      </c>
      <c r="B828" s="80" t="str">
        <f t="array" ref="B828">IF(A828="","",IFERROR(INDEX('Binder Setup'!$B$2:$B$401,MIN(IF(ISNUMBER(SEARCH(CHAR(10)&amp;'Binder Setup'!$B$2:$B$401&amp;CHAR(10),$H828)),'List Setup'!$Q$2:$Q$401,999),IF(ISNUMBER(SEARCH(CHAR(10)&amp;'Set Aliases'!$A$2:$A$501&amp;CHAR(10),$H828)),'Set Aliases'!$C$2:$C$501,999))),"(none)"))</f>
        <v/>
      </c>
      <c r="C828" s="80" t="str">
        <f t="shared" si="1"/>
        <v/>
      </c>
      <c r="D828" s="80" t="str">
        <f t="array" ref="D828">IF(A828="","",IF(ISLOGICAL(INDEX('Deck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28" s="80" t="str">
        <f t="shared" si="2"/>
        <v/>
      </c>
      <c r="F828" s="80" t="str">
        <f t="array" ref="F828">IF(A828="","",IF(ISNUMBER(J828),J828,IF(ISNUMBER(INDEX('Deck 3'!$A:$Z,ROW()-750,'List Setup'!$F$5)),INDEX('Deck 3'!$A:$Z,ROW()-750,'List Setup'!$F$5),0)))</f>
        <v/>
      </c>
      <c r="G828" s="80" t="str">
        <f t="array" ref="G828">IF(A828="","",A828&amp;IF(N(INDEX('Deck 3'!$A:$Z,ROW()-750,'List Setup'!$C$5))&gt;1," (x"&amp;INDEX('Deck 3'!$A:$Z,ROW()-750,'List Setup'!$C$5)&amp;")","")&amp;IF(COUNTIF(Binders!$J$6:$J$30,TRUE())&gt;1," ["&amp;Q828&amp;"]",""))</f>
        <v/>
      </c>
      <c r="H828" s="80" t="str">
        <f t="array" ref="H828">IF(A828="","",CHAR(10)&amp;INDEX('Deck 3'!$A:$Z,ROW()-750,'List Setup'!$E$5)&amp;CHAR(10))</f>
        <v/>
      </c>
      <c r="I828" s="80" t="str">
        <f t="array" ref="I828">IF(OR(B828="",B828="(none)"),"",IF(ISNUMBER(SEARCH(CHAR(10)&amp;B828&amp;CHAR(10),H828)),B828,IFERROR(INDEX('Set Aliases'!$A$2:$A$501,MATCH(1,('Set Aliases'!$B$2:$B$501=B828)*ISNUMBER(SEARCH(CHAR(10)&amp;'Set Aliases'!$A$2:$A$501&amp;CHAR(10),H828)),0)),"")))</f>
        <v/>
      </c>
      <c r="J828" s="80" t="str">
        <f t="array" ref="J828">IF(I828="","",IFERROR(VALUE(TRIM(MID(SUBSTITUTE(INDEX('Deck 3'!$A:$Z,ROW()-750,'List Setup'!$G$5),CHAR(10),REPT(" ",100)),((SEARCH(CHAR(10)&amp;I828&amp;CHAR(10),H828)-LEN(SUBSTITUTE(LEFT(H828,SEARCH(CHAR(10)&amp;I828&amp;CHAR(10),H828)),CHAR(10),"")))-1)*100+1,100))),""))</f>
        <v/>
      </c>
      <c r="K828" s="80" t="str">
        <f t="array" ref="K828">IF(A828="","",IF(ISNUMBER(SEARCH("Land",LEFT(IFERROR(INDEX('Deck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28" s="80" t="str">
        <f t="shared" si="3"/>
        <v/>
      </c>
      <c r="M828" s="80" t="str">
        <f>IF(A828="","",IF(AND(E828="Y",B828='Use at Shop'!$B$4),K828*10000000000+(MAX(0,MIN(26,CODE(MID(UPPER(A828)&amp;"    ",1,1))-64))*19683+MAX(0,MIN(26,CODE(MID(UPPER(A828)&amp;"    ",2,1))-64))*729+MAX(0,MIN(26,CODE(MID(UPPER(A828)&amp;"    ",3,1))-64))*27+MAX(0,MIN(26,CODE(MID(UPPER(A828)&amp;"    ",4,1))-64))*1)*10000+ROW(),""))</f>
        <v/>
      </c>
      <c r="N828" s="80" t="str">
        <f t="shared" si="7"/>
        <v/>
      </c>
      <c r="O828" s="80" t="str">
        <f t="array" ref="O828">IF(A828="","",IFERROR(INDEX('Deck 3'!$A:$Z,ROW()-750,'List Setup'!$J$5)&amp;"",""))</f>
        <v/>
      </c>
      <c r="P828" s="2"/>
      <c r="Q828" s="80" t="str">
        <f>IF(A828="","",'List Setup'!$A$5)</f>
        <v/>
      </c>
      <c r="R828" s="80" t="str">
        <f t="array" ref="R828">IF(A828="","",IFERROR(OR(INDEX(Binders!$J$6:$J$30,MATCH(Q828,Binders!$I$6:$I$30,0))=TRUE(),UPPER(INDEX(Binders!$J$6:$J$30,MATCH(Q828,Binders!$I$6:$I$30,0))&amp;"")="TRUE"),FALSE()))</f>
        <v/>
      </c>
    </row>
    <row r="829" ht="15.75" customHeight="1">
      <c r="A829" s="80" t="str">
        <f t="array" ref="A829">IF(INDEX('Deck 3'!$A:$Z,ROW()-750,'List Setup'!$D$5)="","",INDEX('Deck 3'!$A:$Z,ROW()-750,'List Setup'!$D$5))</f>
        <v/>
      </c>
      <c r="B829" s="80" t="str">
        <f t="array" ref="B829">IF(A829="","",IFERROR(INDEX('Binder Setup'!$B$2:$B$401,MIN(IF(ISNUMBER(SEARCH(CHAR(10)&amp;'Binder Setup'!$B$2:$B$401&amp;CHAR(10),$H829)),'List Setup'!$Q$2:$Q$401,999),IF(ISNUMBER(SEARCH(CHAR(10)&amp;'Set Aliases'!$A$2:$A$501&amp;CHAR(10),$H829)),'Set Aliases'!$C$2:$C$501,999))),"(none)"))</f>
        <v/>
      </c>
      <c r="C829" s="80" t="str">
        <f t="shared" si="1"/>
        <v/>
      </c>
      <c r="D829" s="80" t="str">
        <f t="array" ref="D829">IF(A829="","",IF(ISLOGICAL(INDEX('Deck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29" s="80" t="str">
        <f t="shared" si="2"/>
        <v/>
      </c>
      <c r="F829" s="80" t="str">
        <f t="array" ref="F829">IF(A829="","",IF(ISNUMBER(J829),J829,IF(ISNUMBER(INDEX('Deck 3'!$A:$Z,ROW()-750,'List Setup'!$F$5)),INDEX('Deck 3'!$A:$Z,ROW()-750,'List Setup'!$F$5),0)))</f>
        <v/>
      </c>
      <c r="G829" s="80" t="str">
        <f t="array" ref="G829">IF(A829="","",A829&amp;IF(N(INDEX('Deck 3'!$A:$Z,ROW()-750,'List Setup'!$C$5))&gt;1," (x"&amp;INDEX('Deck 3'!$A:$Z,ROW()-750,'List Setup'!$C$5)&amp;")","")&amp;IF(COUNTIF(Binders!$J$6:$J$30,TRUE())&gt;1," ["&amp;Q829&amp;"]",""))</f>
        <v/>
      </c>
      <c r="H829" s="80" t="str">
        <f t="array" ref="H829">IF(A829="","",CHAR(10)&amp;INDEX('Deck 3'!$A:$Z,ROW()-750,'List Setup'!$E$5)&amp;CHAR(10))</f>
        <v/>
      </c>
      <c r="I829" s="80" t="str">
        <f t="array" ref="I829">IF(OR(B829="",B829="(none)"),"",IF(ISNUMBER(SEARCH(CHAR(10)&amp;B829&amp;CHAR(10),H829)),B829,IFERROR(INDEX('Set Aliases'!$A$2:$A$501,MATCH(1,('Set Aliases'!$B$2:$B$501=B829)*ISNUMBER(SEARCH(CHAR(10)&amp;'Set Aliases'!$A$2:$A$501&amp;CHAR(10),H829)),0)),"")))</f>
        <v/>
      </c>
      <c r="J829" s="80" t="str">
        <f t="array" ref="J829">IF(I829="","",IFERROR(VALUE(TRIM(MID(SUBSTITUTE(INDEX('Deck 3'!$A:$Z,ROW()-750,'List Setup'!$G$5),CHAR(10),REPT(" ",100)),((SEARCH(CHAR(10)&amp;I829&amp;CHAR(10),H829)-LEN(SUBSTITUTE(LEFT(H829,SEARCH(CHAR(10)&amp;I829&amp;CHAR(10),H829)),CHAR(10),"")))-1)*100+1,100))),""))</f>
        <v/>
      </c>
      <c r="K829" s="80" t="str">
        <f t="array" ref="K829">IF(A829="","",IF(ISNUMBER(SEARCH("Land",LEFT(IFERROR(INDEX('Deck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29" s="80" t="str">
        <f t="shared" si="3"/>
        <v/>
      </c>
      <c r="M829" s="80" t="str">
        <f>IF(A829="","",IF(AND(E829="Y",B829='Use at Shop'!$B$4),K829*10000000000+(MAX(0,MIN(26,CODE(MID(UPPER(A829)&amp;"    ",1,1))-64))*19683+MAX(0,MIN(26,CODE(MID(UPPER(A829)&amp;"    ",2,1))-64))*729+MAX(0,MIN(26,CODE(MID(UPPER(A829)&amp;"    ",3,1))-64))*27+MAX(0,MIN(26,CODE(MID(UPPER(A829)&amp;"    ",4,1))-64))*1)*10000+ROW(),""))</f>
        <v/>
      </c>
      <c r="N829" s="80" t="str">
        <f t="shared" si="7"/>
        <v/>
      </c>
      <c r="O829" s="80" t="str">
        <f t="array" ref="O829">IF(A829="","",IFERROR(INDEX('Deck 3'!$A:$Z,ROW()-750,'List Setup'!$J$5)&amp;"",""))</f>
        <v/>
      </c>
      <c r="P829" s="2"/>
      <c r="Q829" s="80" t="str">
        <f>IF(A829="","",'List Setup'!$A$5)</f>
        <v/>
      </c>
      <c r="R829" s="80" t="str">
        <f t="array" ref="R829">IF(A829="","",IFERROR(OR(INDEX(Binders!$J$6:$J$30,MATCH(Q829,Binders!$I$6:$I$30,0))=TRUE(),UPPER(INDEX(Binders!$J$6:$J$30,MATCH(Q829,Binders!$I$6:$I$30,0))&amp;"")="TRUE"),FALSE()))</f>
        <v/>
      </c>
    </row>
    <row r="830" ht="15.75" customHeight="1">
      <c r="A830" s="80" t="str">
        <f t="array" ref="A830">IF(INDEX('Deck 3'!$A:$Z,ROW()-750,'List Setup'!$D$5)="","",INDEX('Deck 3'!$A:$Z,ROW()-750,'List Setup'!$D$5))</f>
        <v/>
      </c>
      <c r="B830" s="80" t="str">
        <f t="array" ref="B830">IF(A830="","",IFERROR(INDEX('Binder Setup'!$B$2:$B$401,MIN(IF(ISNUMBER(SEARCH(CHAR(10)&amp;'Binder Setup'!$B$2:$B$401&amp;CHAR(10),$H830)),'List Setup'!$Q$2:$Q$401,999),IF(ISNUMBER(SEARCH(CHAR(10)&amp;'Set Aliases'!$A$2:$A$501&amp;CHAR(10),$H830)),'Set Aliases'!$C$2:$C$501,999))),"(none)"))</f>
        <v/>
      </c>
      <c r="C830" s="80" t="str">
        <f t="shared" si="1"/>
        <v/>
      </c>
      <c r="D830" s="80" t="str">
        <f t="array" ref="D830">IF(A830="","",IF(ISLOGICAL(INDEX('Deck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30" s="80" t="str">
        <f t="shared" si="2"/>
        <v/>
      </c>
      <c r="F830" s="80" t="str">
        <f t="array" ref="F830">IF(A830="","",IF(ISNUMBER(J830),J830,IF(ISNUMBER(INDEX('Deck 3'!$A:$Z,ROW()-750,'List Setup'!$F$5)),INDEX('Deck 3'!$A:$Z,ROW()-750,'List Setup'!$F$5),0)))</f>
        <v/>
      </c>
      <c r="G830" s="80" t="str">
        <f t="array" ref="G830">IF(A830="","",A830&amp;IF(N(INDEX('Deck 3'!$A:$Z,ROW()-750,'List Setup'!$C$5))&gt;1," (x"&amp;INDEX('Deck 3'!$A:$Z,ROW()-750,'List Setup'!$C$5)&amp;")","")&amp;IF(COUNTIF(Binders!$J$6:$J$30,TRUE())&gt;1," ["&amp;Q830&amp;"]",""))</f>
        <v/>
      </c>
      <c r="H830" s="80" t="str">
        <f t="array" ref="H830">IF(A830="","",CHAR(10)&amp;INDEX('Deck 3'!$A:$Z,ROW()-750,'List Setup'!$E$5)&amp;CHAR(10))</f>
        <v/>
      </c>
      <c r="I830" s="80" t="str">
        <f t="array" ref="I830">IF(OR(B830="",B830="(none)"),"",IF(ISNUMBER(SEARCH(CHAR(10)&amp;B830&amp;CHAR(10),H830)),B830,IFERROR(INDEX('Set Aliases'!$A$2:$A$501,MATCH(1,('Set Aliases'!$B$2:$B$501=B830)*ISNUMBER(SEARCH(CHAR(10)&amp;'Set Aliases'!$A$2:$A$501&amp;CHAR(10),H830)),0)),"")))</f>
        <v/>
      </c>
      <c r="J830" s="80" t="str">
        <f t="array" ref="J830">IF(I830="","",IFERROR(VALUE(TRIM(MID(SUBSTITUTE(INDEX('Deck 3'!$A:$Z,ROW()-750,'List Setup'!$G$5),CHAR(10),REPT(" ",100)),((SEARCH(CHAR(10)&amp;I830&amp;CHAR(10),H830)-LEN(SUBSTITUTE(LEFT(H830,SEARCH(CHAR(10)&amp;I830&amp;CHAR(10),H830)),CHAR(10),"")))-1)*100+1,100))),""))</f>
        <v/>
      </c>
      <c r="K830" s="80" t="str">
        <f t="array" ref="K830">IF(A830="","",IF(ISNUMBER(SEARCH("Land",LEFT(IFERROR(INDEX('Deck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30" s="80" t="str">
        <f t="shared" si="3"/>
        <v/>
      </c>
      <c r="M830" s="80" t="str">
        <f>IF(A830="","",IF(AND(E830="Y",B830='Use at Shop'!$B$4),K830*10000000000+(MAX(0,MIN(26,CODE(MID(UPPER(A830)&amp;"    ",1,1))-64))*19683+MAX(0,MIN(26,CODE(MID(UPPER(A830)&amp;"    ",2,1))-64))*729+MAX(0,MIN(26,CODE(MID(UPPER(A830)&amp;"    ",3,1))-64))*27+MAX(0,MIN(26,CODE(MID(UPPER(A830)&amp;"    ",4,1))-64))*1)*10000+ROW(),""))</f>
        <v/>
      </c>
      <c r="N830" s="80" t="str">
        <f t="shared" si="7"/>
        <v/>
      </c>
      <c r="O830" s="80" t="str">
        <f t="array" ref="O830">IF(A830="","",IFERROR(INDEX('Deck 3'!$A:$Z,ROW()-750,'List Setup'!$J$5)&amp;"",""))</f>
        <v/>
      </c>
      <c r="P830" s="2"/>
      <c r="Q830" s="80" t="str">
        <f>IF(A830="","",'List Setup'!$A$5)</f>
        <v/>
      </c>
      <c r="R830" s="80" t="str">
        <f t="array" ref="R830">IF(A830="","",IFERROR(OR(INDEX(Binders!$J$6:$J$30,MATCH(Q830,Binders!$I$6:$I$30,0))=TRUE(),UPPER(INDEX(Binders!$J$6:$J$30,MATCH(Q830,Binders!$I$6:$I$30,0))&amp;"")="TRUE"),FALSE()))</f>
        <v/>
      </c>
    </row>
    <row r="831" ht="15.75" customHeight="1">
      <c r="A831" s="80" t="str">
        <f t="array" ref="A831">IF(INDEX('Deck 3'!$A:$Z,ROW()-750,'List Setup'!$D$5)="","",INDEX('Deck 3'!$A:$Z,ROW()-750,'List Setup'!$D$5))</f>
        <v/>
      </c>
      <c r="B831" s="80" t="str">
        <f t="array" ref="B831">IF(A831="","",IFERROR(INDEX('Binder Setup'!$B$2:$B$401,MIN(IF(ISNUMBER(SEARCH(CHAR(10)&amp;'Binder Setup'!$B$2:$B$401&amp;CHAR(10),$H831)),'List Setup'!$Q$2:$Q$401,999),IF(ISNUMBER(SEARCH(CHAR(10)&amp;'Set Aliases'!$A$2:$A$501&amp;CHAR(10),$H831)),'Set Aliases'!$C$2:$C$501,999))),"(none)"))</f>
        <v/>
      </c>
      <c r="C831" s="80" t="str">
        <f t="shared" si="1"/>
        <v/>
      </c>
      <c r="D831" s="80" t="str">
        <f t="array" ref="D831">IF(A831="","",IF(ISLOGICAL(INDEX('Deck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31" s="80" t="str">
        <f t="shared" si="2"/>
        <v/>
      </c>
      <c r="F831" s="80" t="str">
        <f t="array" ref="F831">IF(A831="","",IF(ISNUMBER(J831),J831,IF(ISNUMBER(INDEX('Deck 3'!$A:$Z,ROW()-750,'List Setup'!$F$5)),INDEX('Deck 3'!$A:$Z,ROW()-750,'List Setup'!$F$5),0)))</f>
        <v/>
      </c>
      <c r="G831" s="80" t="str">
        <f t="array" ref="G831">IF(A831="","",A831&amp;IF(N(INDEX('Deck 3'!$A:$Z,ROW()-750,'List Setup'!$C$5))&gt;1," (x"&amp;INDEX('Deck 3'!$A:$Z,ROW()-750,'List Setup'!$C$5)&amp;")","")&amp;IF(COUNTIF(Binders!$J$6:$J$30,TRUE())&gt;1," ["&amp;Q831&amp;"]",""))</f>
        <v/>
      </c>
      <c r="H831" s="80" t="str">
        <f t="array" ref="H831">IF(A831="","",CHAR(10)&amp;INDEX('Deck 3'!$A:$Z,ROW()-750,'List Setup'!$E$5)&amp;CHAR(10))</f>
        <v/>
      </c>
      <c r="I831" s="80" t="str">
        <f t="array" ref="I831">IF(OR(B831="",B831="(none)"),"",IF(ISNUMBER(SEARCH(CHAR(10)&amp;B831&amp;CHAR(10),H831)),B831,IFERROR(INDEX('Set Aliases'!$A$2:$A$501,MATCH(1,('Set Aliases'!$B$2:$B$501=B831)*ISNUMBER(SEARCH(CHAR(10)&amp;'Set Aliases'!$A$2:$A$501&amp;CHAR(10),H831)),0)),"")))</f>
        <v/>
      </c>
      <c r="J831" s="80" t="str">
        <f t="array" ref="J831">IF(I831="","",IFERROR(VALUE(TRIM(MID(SUBSTITUTE(INDEX('Deck 3'!$A:$Z,ROW()-750,'List Setup'!$G$5),CHAR(10),REPT(" ",100)),((SEARCH(CHAR(10)&amp;I831&amp;CHAR(10),H831)-LEN(SUBSTITUTE(LEFT(H831,SEARCH(CHAR(10)&amp;I831&amp;CHAR(10),H831)),CHAR(10),"")))-1)*100+1,100))),""))</f>
        <v/>
      </c>
      <c r="K831" s="80" t="str">
        <f t="array" ref="K831">IF(A831="","",IF(ISNUMBER(SEARCH("Land",LEFT(IFERROR(INDEX('Deck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31" s="80" t="str">
        <f t="shared" si="3"/>
        <v/>
      </c>
      <c r="M831" s="80" t="str">
        <f>IF(A831="","",IF(AND(E831="Y",B831='Use at Shop'!$B$4),K831*10000000000+(MAX(0,MIN(26,CODE(MID(UPPER(A831)&amp;"    ",1,1))-64))*19683+MAX(0,MIN(26,CODE(MID(UPPER(A831)&amp;"    ",2,1))-64))*729+MAX(0,MIN(26,CODE(MID(UPPER(A831)&amp;"    ",3,1))-64))*27+MAX(0,MIN(26,CODE(MID(UPPER(A831)&amp;"    ",4,1))-64))*1)*10000+ROW(),""))</f>
        <v/>
      </c>
      <c r="N831" s="80" t="str">
        <f t="shared" si="7"/>
        <v/>
      </c>
      <c r="O831" s="80" t="str">
        <f t="array" ref="O831">IF(A831="","",IFERROR(INDEX('Deck 3'!$A:$Z,ROW()-750,'List Setup'!$J$5)&amp;"",""))</f>
        <v/>
      </c>
      <c r="P831" s="2"/>
      <c r="Q831" s="80" t="str">
        <f>IF(A831="","",'List Setup'!$A$5)</f>
        <v/>
      </c>
      <c r="R831" s="80" t="str">
        <f t="array" ref="R831">IF(A831="","",IFERROR(OR(INDEX(Binders!$J$6:$J$30,MATCH(Q831,Binders!$I$6:$I$30,0))=TRUE(),UPPER(INDEX(Binders!$J$6:$J$30,MATCH(Q831,Binders!$I$6:$I$30,0))&amp;"")="TRUE"),FALSE()))</f>
        <v/>
      </c>
    </row>
    <row r="832" ht="15.75" customHeight="1">
      <c r="A832" s="80" t="str">
        <f t="array" ref="A832">IF(INDEX('Deck 3'!$A:$Z,ROW()-750,'List Setup'!$D$5)="","",INDEX('Deck 3'!$A:$Z,ROW()-750,'List Setup'!$D$5))</f>
        <v/>
      </c>
      <c r="B832" s="80" t="str">
        <f t="array" ref="B832">IF(A832="","",IFERROR(INDEX('Binder Setup'!$B$2:$B$401,MIN(IF(ISNUMBER(SEARCH(CHAR(10)&amp;'Binder Setup'!$B$2:$B$401&amp;CHAR(10),$H832)),'List Setup'!$Q$2:$Q$401,999),IF(ISNUMBER(SEARCH(CHAR(10)&amp;'Set Aliases'!$A$2:$A$501&amp;CHAR(10),$H832)),'Set Aliases'!$C$2:$C$501,999))),"(none)"))</f>
        <v/>
      </c>
      <c r="C832" s="80" t="str">
        <f t="shared" si="1"/>
        <v/>
      </c>
      <c r="D832" s="80" t="str">
        <f t="array" ref="D832">IF(A832="","",IF(ISLOGICAL(INDEX('Deck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32" s="80" t="str">
        <f t="shared" si="2"/>
        <v/>
      </c>
      <c r="F832" s="80" t="str">
        <f t="array" ref="F832">IF(A832="","",IF(ISNUMBER(J832),J832,IF(ISNUMBER(INDEX('Deck 3'!$A:$Z,ROW()-750,'List Setup'!$F$5)),INDEX('Deck 3'!$A:$Z,ROW()-750,'List Setup'!$F$5),0)))</f>
        <v/>
      </c>
      <c r="G832" s="80" t="str">
        <f t="array" ref="G832">IF(A832="","",A832&amp;IF(N(INDEX('Deck 3'!$A:$Z,ROW()-750,'List Setup'!$C$5))&gt;1," (x"&amp;INDEX('Deck 3'!$A:$Z,ROW()-750,'List Setup'!$C$5)&amp;")","")&amp;IF(COUNTIF(Binders!$J$6:$J$30,TRUE())&gt;1," ["&amp;Q832&amp;"]",""))</f>
        <v/>
      </c>
      <c r="H832" s="80" t="str">
        <f t="array" ref="H832">IF(A832="","",CHAR(10)&amp;INDEX('Deck 3'!$A:$Z,ROW()-750,'List Setup'!$E$5)&amp;CHAR(10))</f>
        <v/>
      </c>
      <c r="I832" s="80" t="str">
        <f t="array" ref="I832">IF(OR(B832="",B832="(none)"),"",IF(ISNUMBER(SEARCH(CHAR(10)&amp;B832&amp;CHAR(10),H832)),B832,IFERROR(INDEX('Set Aliases'!$A$2:$A$501,MATCH(1,('Set Aliases'!$B$2:$B$501=B832)*ISNUMBER(SEARCH(CHAR(10)&amp;'Set Aliases'!$A$2:$A$501&amp;CHAR(10),H832)),0)),"")))</f>
        <v/>
      </c>
      <c r="J832" s="80" t="str">
        <f t="array" ref="J832">IF(I832="","",IFERROR(VALUE(TRIM(MID(SUBSTITUTE(INDEX('Deck 3'!$A:$Z,ROW()-750,'List Setup'!$G$5),CHAR(10),REPT(" ",100)),((SEARCH(CHAR(10)&amp;I832&amp;CHAR(10),H832)-LEN(SUBSTITUTE(LEFT(H832,SEARCH(CHAR(10)&amp;I832&amp;CHAR(10),H832)),CHAR(10),"")))-1)*100+1,100))),""))</f>
        <v/>
      </c>
      <c r="K832" s="80" t="str">
        <f t="array" ref="K832">IF(A832="","",IF(ISNUMBER(SEARCH("Land",LEFT(IFERROR(INDEX('Deck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32" s="80" t="str">
        <f t="shared" si="3"/>
        <v/>
      </c>
      <c r="M832" s="80" t="str">
        <f>IF(A832="","",IF(AND(E832="Y",B832='Use at Shop'!$B$4),K832*10000000000+(MAX(0,MIN(26,CODE(MID(UPPER(A832)&amp;"    ",1,1))-64))*19683+MAX(0,MIN(26,CODE(MID(UPPER(A832)&amp;"    ",2,1))-64))*729+MAX(0,MIN(26,CODE(MID(UPPER(A832)&amp;"    ",3,1))-64))*27+MAX(0,MIN(26,CODE(MID(UPPER(A832)&amp;"    ",4,1))-64))*1)*10000+ROW(),""))</f>
        <v/>
      </c>
      <c r="N832" s="80" t="str">
        <f t="shared" si="7"/>
        <v/>
      </c>
      <c r="O832" s="80" t="str">
        <f t="array" ref="O832">IF(A832="","",IFERROR(INDEX('Deck 3'!$A:$Z,ROW()-750,'List Setup'!$J$5)&amp;"",""))</f>
        <v/>
      </c>
      <c r="P832" s="2"/>
      <c r="Q832" s="80" t="str">
        <f>IF(A832="","",'List Setup'!$A$5)</f>
        <v/>
      </c>
      <c r="R832" s="80" t="str">
        <f t="array" ref="R832">IF(A832="","",IFERROR(OR(INDEX(Binders!$J$6:$J$30,MATCH(Q832,Binders!$I$6:$I$30,0))=TRUE(),UPPER(INDEX(Binders!$J$6:$J$30,MATCH(Q832,Binders!$I$6:$I$30,0))&amp;"")="TRUE"),FALSE()))</f>
        <v/>
      </c>
    </row>
    <row r="833" ht="15.75" customHeight="1">
      <c r="A833" s="80" t="str">
        <f t="array" ref="A833">IF(INDEX('Deck 3'!$A:$Z,ROW()-750,'List Setup'!$D$5)="","",INDEX('Deck 3'!$A:$Z,ROW()-750,'List Setup'!$D$5))</f>
        <v/>
      </c>
      <c r="B833" s="80" t="str">
        <f t="array" ref="B833">IF(A833="","",IFERROR(INDEX('Binder Setup'!$B$2:$B$401,MIN(IF(ISNUMBER(SEARCH(CHAR(10)&amp;'Binder Setup'!$B$2:$B$401&amp;CHAR(10),$H833)),'List Setup'!$Q$2:$Q$401,999),IF(ISNUMBER(SEARCH(CHAR(10)&amp;'Set Aliases'!$A$2:$A$501&amp;CHAR(10),$H833)),'Set Aliases'!$C$2:$C$501,999))),"(none)"))</f>
        <v/>
      </c>
      <c r="C833" s="80" t="str">
        <f t="shared" si="1"/>
        <v/>
      </c>
      <c r="D833" s="80" t="str">
        <f t="array" ref="D833">IF(A833="","",IF(ISLOGICAL(INDEX('Deck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33" s="80" t="str">
        <f t="shared" si="2"/>
        <v/>
      </c>
      <c r="F833" s="80" t="str">
        <f t="array" ref="F833">IF(A833="","",IF(ISNUMBER(J833),J833,IF(ISNUMBER(INDEX('Deck 3'!$A:$Z,ROW()-750,'List Setup'!$F$5)),INDEX('Deck 3'!$A:$Z,ROW()-750,'List Setup'!$F$5),0)))</f>
        <v/>
      </c>
      <c r="G833" s="80" t="str">
        <f t="array" ref="G833">IF(A833="","",A833&amp;IF(N(INDEX('Deck 3'!$A:$Z,ROW()-750,'List Setup'!$C$5))&gt;1," (x"&amp;INDEX('Deck 3'!$A:$Z,ROW()-750,'List Setup'!$C$5)&amp;")","")&amp;IF(COUNTIF(Binders!$J$6:$J$30,TRUE())&gt;1," ["&amp;Q833&amp;"]",""))</f>
        <v/>
      </c>
      <c r="H833" s="80" t="str">
        <f t="array" ref="H833">IF(A833="","",CHAR(10)&amp;INDEX('Deck 3'!$A:$Z,ROW()-750,'List Setup'!$E$5)&amp;CHAR(10))</f>
        <v/>
      </c>
      <c r="I833" s="80" t="str">
        <f t="array" ref="I833">IF(OR(B833="",B833="(none)"),"",IF(ISNUMBER(SEARCH(CHAR(10)&amp;B833&amp;CHAR(10),H833)),B833,IFERROR(INDEX('Set Aliases'!$A$2:$A$501,MATCH(1,('Set Aliases'!$B$2:$B$501=B833)*ISNUMBER(SEARCH(CHAR(10)&amp;'Set Aliases'!$A$2:$A$501&amp;CHAR(10),H833)),0)),"")))</f>
        <v/>
      </c>
      <c r="J833" s="80" t="str">
        <f t="array" ref="J833">IF(I833="","",IFERROR(VALUE(TRIM(MID(SUBSTITUTE(INDEX('Deck 3'!$A:$Z,ROW()-750,'List Setup'!$G$5),CHAR(10),REPT(" ",100)),((SEARCH(CHAR(10)&amp;I833&amp;CHAR(10),H833)-LEN(SUBSTITUTE(LEFT(H833,SEARCH(CHAR(10)&amp;I833&amp;CHAR(10),H833)),CHAR(10),"")))-1)*100+1,100))),""))</f>
        <v/>
      </c>
      <c r="K833" s="80" t="str">
        <f t="array" ref="K833">IF(A833="","",IF(ISNUMBER(SEARCH("Land",LEFT(IFERROR(INDEX('Deck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33" s="80" t="str">
        <f t="shared" si="3"/>
        <v/>
      </c>
      <c r="M833" s="80" t="str">
        <f>IF(A833="","",IF(AND(E833="Y",B833='Use at Shop'!$B$4),K833*10000000000+(MAX(0,MIN(26,CODE(MID(UPPER(A833)&amp;"    ",1,1))-64))*19683+MAX(0,MIN(26,CODE(MID(UPPER(A833)&amp;"    ",2,1))-64))*729+MAX(0,MIN(26,CODE(MID(UPPER(A833)&amp;"    ",3,1))-64))*27+MAX(0,MIN(26,CODE(MID(UPPER(A833)&amp;"    ",4,1))-64))*1)*10000+ROW(),""))</f>
        <v/>
      </c>
      <c r="N833" s="80" t="str">
        <f t="shared" si="7"/>
        <v/>
      </c>
      <c r="O833" s="80" t="str">
        <f t="array" ref="O833">IF(A833="","",IFERROR(INDEX('Deck 3'!$A:$Z,ROW()-750,'List Setup'!$J$5)&amp;"",""))</f>
        <v/>
      </c>
      <c r="P833" s="2"/>
      <c r="Q833" s="80" t="str">
        <f>IF(A833="","",'List Setup'!$A$5)</f>
        <v/>
      </c>
      <c r="R833" s="80" t="str">
        <f t="array" ref="R833">IF(A833="","",IFERROR(OR(INDEX(Binders!$J$6:$J$30,MATCH(Q833,Binders!$I$6:$I$30,0))=TRUE(),UPPER(INDEX(Binders!$J$6:$J$30,MATCH(Q833,Binders!$I$6:$I$30,0))&amp;"")="TRUE"),FALSE()))</f>
        <v/>
      </c>
    </row>
    <row r="834" ht="15.75" customHeight="1">
      <c r="A834" s="80" t="str">
        <f t="array" ref="A834">IF(INDEX('Deck 3'!$A:$Z,ROW()-750,'List Setup'!$D$5)="","",INDEX('Deck 3'!$A:$Z,ROW()-750,'List Setup'!$D$5))</f>
        <v/>
      </c>
      <c r="B834" s="80" t="str">
        <f t="array" ref="B834">IF(A834="","",IFERROR(INDEX('Binder Setup'!$B$2:$B$401,MIN(IF(ISNUMBER(SEARCH(CHAR(10)&amp;'Binder Setup'!$B$2:$B$401&amp;CHAR(10),$H834)),'List Setup'!$Q$2:$Q$401,999),IF(ISNUMBER(SEARCH(CHAR(10)&amp;'Set Aliases'!$A$2:$A$501&amp;CHAR(10),$H834)),'Set Aliases'!$C$2:$C$501,999))),"(none)"))</f>
        <v/>
      </c>
      <c r="C834" s="80" t="str">
        <f t="shared" si="1"/>
        <v/>
      </c>
      <c r="D834" s="80" t="str">
        <f t="array" ref="D834">IF(A834="","",IF(ISLOGICAL(INDEX('Deck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34" s="80" t="str">
        <f t="shared" si="2"/>
        <v/>
      </c>
      <c r="F834" s="80" t="str">
        <f t="array" ref="F834">IF(A834="","",IF(ISNUMBER(J834),J834,IF(ISNUMBER(INDEX('Deck 3'!$A:$Z,ROW()-750,'List Setup'!$F$5)),INDEX('Deck 3'!$A:$Z,ROW()-750,'List Setup'!$F$5),0)))</f>
        <v/>
      </c>
      <c r="G834" s="80" t="str">
        <f t="array" ref="G834">IF(A834="","",A834&amp;IF(N(INDEX('Deck 3'!$A:$Z,ROW()-750,'List Setup'!$C$5))&gt;1," (x"&amp;INDEX('Deck 3'!$A:$Z,ROW()-750,'List Setup'!$C$5)&amp;")","")&amp;IF(COUNTIF(Binders!$J$6:$J$30,TRUE())&gt;1," ["&amp;Q834&amp;"]",""))</f>
        <v/>
      </c>
      <c r="H834" s="80" t="str">
        <f t="array" ref="H834">IF(A834="","",CHAR(10)&amp;INDEX('Deck 3'!$A:$Z,ROW()-750,'List Setup'!$E$5)&amp;CHAR(10))</f>
        <v/>
      </c>
      <c r="I834" s="80" t="str">
        <f t="array" ref="I834">IF(OR(B834="",B834="(none)"),"",IF(ISNUMBER(SEARCH(CHAR(10)&amp;B834&amp;CHAR(10),H834)),B834,IFERROR(INDEX('Set Aliases'!$A$2:$A$501,MATCH(1,('Set Aliases'!$B$2:$B$501=B834)*ISNUMBER(SEARCH(CHAR(10)&amp;'Set Aliases'!$A$2:$A$501&amp;CHAR(10),H834)),0)),"")))</f>
        <v/>
      </c>
      <c r="J834" s="80" t="str">
        <f t="array" ref="J834">IF(I834="","",IFERROR(VALUE(TRIM(MID(SUBSTITUTE(INDEX('Deck 3'!$A:$Z,ROW()-750,'List Setup'!$G$5),CHAR(10),REPT(" ",100)),((SEARCH(CHAR(10)&amp;I834&amp;CHAR(10),H834)-LEN(SUBSTITUTE(LEFT(H834,SEARCH(CHAR(10)&amp;I834&amp;CHAR(10),H834)),CHAR(10),"")))-1)*100+1,100))),""))</f>
        <v/>
      </c>
      <c r="K834" s="80" t="str">
        <f t="array" ref="K834">IF(A834="","",IF(ISNUMBER(SEARCH("Land",LEFT(IFERROR(INDEX('Deck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34" s="80" t="str">
        <f t="shared" si="3"/>
        <v/>
      </c>
      <c r="M834" s="80" t="str">
        <f>IF(A834="","",IF(AND(E834="Y",B834='Use at Shop'!$B$4),K834*10000000000+(MAX(0,MIN(26,CODE(MID(UPPER(A834)&amp;"    ",1,1))-64))*19683+MAX(0,MIN(26,CODE(MID(UPPER(A834)&amp;"    ",2,1))-64))*729+MAX(0,MIN(26,CODE(MID(UPPER(A834)&amp;"    ",3,1))-64))*27+MAX(0,MIN(26,CODE(MID(UPPER(A834)&amp;"    ",4,1))-64))*1)*10000+ROW(),""))</f>
        <v/>
      </c>
      <c r="N834" s="80" t="str">
        <f t="shared" si="7"/>
        <v/>
      </c>
      <c r="O834" s="80" t="str">
        <f t="array" ref="O834">IF(A834="","",IFERROR(INDEX('Deck 3'!$A:$Z,ROW()-750,'List Setup'!$J$5)&amp;"",""))</f>
        <v/>
      </c>
      <c r="P834" s="2"/>
      <c r="Q834" s="80" t="str">
        <f>IF(A834="","",'List Setup'!$A$5)</f>
        <v/>
      </c>
      <c r="R834" s="80" t="str">
        <f t="array" ref="R834">IF(A834="","",IFERROR(OR(INDEX(Binders!$J$6:$J$30,MATCH(Q834,Binders!$I$6:$I$30,0))=TRUE(),UPPER(INDEX(Binders!$J$6:$J$30,MATCH(Q834,Binders!$I$6:$I$30,0))&amp;"")="TRUE"),FALSE()))</f>
        <v/>
      </c>
    </row>
    <row r="835" ht="15.75" customHeight="1">
      <c r="A835" s="80" t="str">
        <f t="array" ref="A835">IF(INDEX('Deck 3'!$A:$Z,ROW()-750,'List Setup'!$D$5)="","",INDEX('Deck 3'!$A:$Z,ROW()-750,'List Setup'!$D$5))</f>
        <v/>
      </c>
      <c r="B835" s="80" t="str">
        <f t="array" ref="B835">IF(A835="","",IFERROR(INDEX('Binder Setup'!$B$2:$B$401,MIN(IF(ISNUMBER(SEARCH(CHAR(10)&amp;'Binder Setup'!$B$2:$B$401&amp;CHAR(10),$H835)),'List Setup'!$Q$2:$Q$401,999),IF(ISNUMBER(SEARCH(CHAR(10)&amp;'Set Aliases'!$A$2:$A$501&amp;CHAR(10),$H835)),'Set Aliases'!$C$2:$C$501,999))),"(none)"))</f>
        <v/>
      </c>
      <c r="C835" s="80" t="str">
        <f t="shared" si="1"/>
        <v/>
      </c>
      <c r="D835" s="80" t="str">
        <f t="array" ref="D835">IF(A835="","",IF(ISLOGICAL(INDEX('Deck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35" s="80" t="str">
        <f t="shared" si="2"/>
        <v/>
      </c>
      <c r="F835" s="80" t="str">
        <f t="array" ref="F835">IF(A835="","",IF(ISNUMBER(J835),J835,IF(ISNUMBER(INDEX('Deck 3'!$A:$Z,ROW()-750,'List Setup'!$F$5)),INDEX('Deck 3'!$A:$Z,ROW()-750,'List Setup'!$F$5),0)))</f>
        <v/>
      </c>
      <c r="G835" s="80" t="str">
        <f t="array" ref="G835">IF(A835="","",A835&amp;IF(N(INDEX('Deck 3'!$A:$Z,ROW()-750,'List Setup'!$C$5))&gt;1," (x"&amp;INDEX('Deck 3'!$A:$Z,ROW()-750,'List Setup'!$C$5)&amp;")","")&amp;IF(COUNTIF(Binders!$J$6:$J$30,TRUE())&gt;1," ["&amp;Q835&amp;"]",""))</f>
        <v/>
      </c>
      <c r="H835" s="80" t="str">
        <f t="array" ref="H835">IF(A835="","",CHAR(10)&amp;INDEX('Deck 3'!$A:$Z,ROW()-750,'List Setup'!$E$5)&amp;CHAR(10))</f>
        <v/>
      </c>
      <c r="I835" s="80" t="str">
        <f t="array" ref="I835">IF(OR(B835="",B835="(none)"),"",IF(ISNUMBER(SEARCH(CHAR(10)&amp;B835&amp;CHAR(10),H835)),B835,IFERROR(INDEX('Set Aliases'!$A$2:$A$501,MATCH(1,('Set Aliases'!$B$2:$B$501=B835)*ISNUMBER(SEARCH(CHAR(10)&amp;'Set Aliases'!$A$2:$A$501&amp;CHAR(10),H835)),0)),"")))</f>
        <v/>
      </c>
      <c r="J835" s="80" t="str">
        <f t="array" ref="J835">IF(I835="","",IFERROR(VALUE(TRIM(MID(SUBSTITUTE(INDEX('Deck 3'!$A:$Z,ROW()-750,'List Setup'!$G$5),CHAR(10),REPT(" ",100)),((SEARCH(CHAR(10)&amp;I835&amp;CHAR(10),H835)-LEN(SUBSTITUTE(LEFT(H835,SEARCH(CHAR(10)&amp;I835&amp;CHAR(10),H835)),CHAR(10),"")))-1)*100+1,100))),""))</f>
        <v/>
      </c>
      <c r="K835" s="80" t="str">
        <f t="array" ref="K835">IF(A835="","",IF(ISNUMBER(SEARCH("Land",LEFT(IFERROR(INDEX('Deck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35" s="80" t="str">
        <f t="shared" si="3"/>
        <v/>
      </c>
      <c r="M835" s="80" t="str">
        <f>IF(A835="","",IF(AND(E835="Y",B835='Use at Shop'!$B$4),K835*10000000000+(MAX(0,MIN(26,CODE(MID(UPPER(A835)&amp;"    ",1,1))-64))*19683+MAX(0,MIN(26,CODE(MID(UPPER(A835)&amp;"    ",2,1))-64))*729+MAX(0,MIN(26,CODE(MID(UPPER(A835)&amp;"    ",3,1))-64))*27+MAX(0,MIN(26,CODE(MID(UPPER(A835)&amp;"    ",4,1))-64))*1)*10000+ROW(),""))</f>
        <v/>
      </c>
      <c r="N835" s="80" t="str">
        <f t="shared" si="7"/>
        <v/>
      </c>
      <c r="O835" s="80" t="str">
        <f t="array" ref="O835">IF(A835="","",IFERROR(INDEX('Deck 3'!$A:$Z,ROW()-750,'List Setup'!$J$5)&amp;"",""))</f>
        <v/>
      </c>
      <c r="P835" s="2"/>
      <c r="Q835" s="80" t="str">
        <f>IF(A835="","",'List Setup'!$A$5)</f>
        <v/>
      </c>
      <c r="R835" s="80" t="str">
        <f t="array" ref="R835">IF(A835="","",IFERROR(OR(INDEX(Binders!$J$6:$J$30,MATCH(Q835,Binders!$I$6:$I$30,0))=TRUE(),UPPER(INDEX(Binders!$J$6:$J$30,MATCH(Q835,Binders!$I$6:$I$30,0))&amp;"")="TRUE"),FALSE()))</f>
        <v/>
      </c>
    </row>
    <row r="836" ht="15.75" customHeight="1">
      <c r="A836" s="80" t="str">
        <f t="array" ref="A836">IF(INDEX('Deck 3'!$A:$Z,ROW()-750,'List Setup'!$D$5)="","",INDEX('Deck 3'!$A:$Z,ROW()-750,'List Setup'!$D$5))</f>
        <v/>
      </c>
      <c r="B836" s="80" t="str">
        <f t="array" ref="B836">IF(A836="","",IFERROR(INDEX('Binder Setup'!$B$2:$B$401,MIN(IF(ISNUMBER(SEARCH(CHAR(10)&amp;'Binder Setup'!$B$2:$B$401&amp;CHAR(10),$H836)),'List Setup'!$Q$2:$Q$401,999),IF(ISNUMBER(SEARCH(CHAR(10)&amp;'Set Aliases'!$A$2:$A$501&amp;CHAR(10),$H836)),'Set Aliases'!$C$2:$C$501,999))),"(none)"))</f>
        <v/>
      </c>
      <c r="C836" s="80" t="str">
        <f t="shared" si="1"/>
        <v/>
      </c>
      <c r="D836" s="80" t="str">
        <f t="array" ref="D836">IF(A836="","",IF(ISLOGICAL(INDEX('Deck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36" s="80" t="str">
        <f t="shared" si="2"/>
        <v/>
      </c>
      <c r="F836" s="80" t="str">
        <f t="array" ref="F836">IF(A836="","",IF(ISNUMBER(J836),J836,IF(ISNUMBER(INDEX('Deck 3'!$A:$Z,ROW()-750,'List Setup'!$F$5)),INDEX('Deck 3'!$A:$Z,ROW()-750,'List Setup'!$F$5),0)))</f>
        <v/>
      </c>
      <c r="G836" s="80" t="str">
        <f t="array" ref="G836">IF(A836="","",A836&amp;IF(N(INDEX('Deck 3'!$A:$Z,ROW()-750,'List Setup'!$C$5))&gt;1," (x"&amp;INDEX('Deck 3'!$A:$Z,ROW()-750,'List Setup'!$C$5)&amp;")","")&amp;IF(COUNTIF(Binders!$J$6:$J$30,TRUE())&gt;1," ["&amp;Q836&amp;"]",""))</f>
        <v/>
      </c>
      <c r="H836" s="80" t="str">
        <f t="array" ref="H836">IF(A836="","",CHAR(10)&amp;INDEX('Deck 3'!$A:$Z,ROW()-750,'List Setup'!$E$5)&amp;CHAR(10))</f>
        <v/>
      </c>
      <c r="I836" s="80" t="str">
        <f t="array" ref="I836">IF(OR(B836="",B836="(none)"),"",IF(ISNUMBER(SEARCH(CHAR(10)&amp;B836&amp;CHAR(10),H836)),B836,IFERROR(INDEX('Set Aliases'!$A$2:$A$501,MATCH(1,('Set Aliases'!$B$2:$B$501=B836)*ISNUMBER(SEARCH(CHAR(10)&amp;'Set Aliases'!$A$2:$A$501&amp;CHAR(10),H836)),0)),"")))</f>
        <v/>
      </c>
      <c r="J836" s="80" t="str">
        <f t="array" ref="J836">IF(I836="","",IFERROR(VALUE(TRIM(MID(SUBSTITUTE(INDEX('Deck 3'!$A:$Z,ROW()-750,'List Setup'!$G$5),CHAR(10),REPT(" ",100)),((SEARCH(CHAR(10)&amp;I836&amp;CHAR(10),H836)-LEN(SUBSTITUTE(LEFT(H836,SEARCH(CHAR(10)&amp;I836&amp;CHAR(10),H836)),CHAR(10),"")))-1)*100+1,100))),""))</f>
        <v/>
      </c>
      <c r="K836" s="80" t="str">
        <f t="array" ref="K836">IF(A836="","",IF(ISNUMBER(SEARCH("Land",LEFT(IFERROR(INDEX('Deck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36" s="80" t="str">
        <f t="shared" si="3"/>
        <v/>
      </c>
      <c r="M836" s="80" t="str">
        <f>IF(A836="","",IF(AND(E836="Y",B836='Use at Shop'!$B$4),K836*10000000000+(MAX(0,MIN(26,CODE(MID(UPPER(A836)&amp;"    ",1,1))-64))*19683+MAX(0,MIN(26,CODE(MID(UPPER(A836)&amp;"    ",2,1))-64))*729+MAX(0,MIN(26,CODE(MID(UPPER(A836)&amp;"    ",3,1))-64))*27+MAX(0,MIN(26,CODE(MID(UPPER(A836)&amp;"    ",4,1))-64))*1)*10000+ROW(),""))</f>
        <v/>
      </c>
      <c r="N836" s="80" t="str">
        <f t="shared" si="7"/>
        <v/>
      </c>
      <c r="O836" s="80" t="str">
        <f t="array" ref="O836">IF(A836="","",IFERROR(INDEX('Deck 3'!$A:$Z,ROW()-750,'List Setup'!$J$5)&amp;"",""))</f>
        <v/>
      </c>
      <c r="P836" s="2"/>
      <c r="Q836" s="80" t="str">
        <f>IF(A836="","",'List Setup'!$A$5)</f>
        <v/>
      </c>
      <c r="R836" s="80" t="str">
        <f t="array" ref="R836">IF(A836="","",IFERROR(OR(INDEX(Binders!$J$6:$J$30,MATCH(Q836,Binders!$I$6:$I$30,0))=TRUE(),UPPER(INDEX(Binders!$J$6:$J$30,MATCH(Q836,Binders!$I$6:$I$30,0))&amp;"")="TRUE"),FALSE()))</f>
        <v/>
      </c>
    </row>
    <row r="837" ht="15.75" customHeight="1">
      <c r="A837" s="80" t="str">
        <f t="array" ref="A837">IF(INDEX('Deck 3'!$A:$Z,ROW()-750,'List Setup'!$D$5)="","",INDEX('Deck 3'!$A:$Z,ROW()-750,'List Setup'!$D$5))</f>
        <v/>
      </c>
      <c r="B837" s="80" t="str">
        <f t="array" ref="B837">IF(A837="","",IFERROR(INDEX('Binder Setup'!$B$2:$B$401,MIN(IF(ISNUMBER(SEARCH(CHAR(10)&amp;'Binder Setup'!$B$2:$B$401&amp;CHAR(10),$H837)),'List Setup'!$Q$2:$Q$401,999),IF(ISNUMBER(SEARCH(CHAR(10)&amp;'Set Aliases'!$A$2:$A$501&amp;CHAR(10),$H837)),'Set Aliases'!$C$2:$C$501,999))),"(none)"))</f>
        <v/>
      </c>
      <c r="C837" s="80" t="str">
        <f t="shared" si="1"/>
        <v/>
      </c>
      <c r="D837" s="80" t="str">
        <f t="array" ref="D837">IF(A837="","",IF(ISLOGICAL(INDEX('Deck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37" s="80" t="str">
        <f t="shared" si="2"/>
        <v/>
      </c>
      <c r="F837" s="80" t="str">
        <f t="array" ref="F837">IF(A837="","",IF(ISNUMBER(J837),J837,IF(ISNUMBER(INDEX('Deck 3'!$A:$Z,ROW()-750,'List Setup'!$F$5)),INDEX('Deck 3'!$A:$Z,ROW()-750,'List Setup'!$F$5),0)))</f>
        <v/>
      </c>
      <c r="G837" s="80" t="str">
        <f t="array" ref="G837">IF(A837="","",A837&amp;IF(N(INDEX('Deck 3'!$A:$Z,ROW()-750,'List Setup'!$C$5))&gt;1," (x"&amp;INDEX('Deck 3'!$A:$Z,ROW()-750,'List Setup'!$C$5)&amp;")","")&amp;IF(COUNTIF(Binders!$J$6:$J$30,TRUE())&gt;1," ["&amp;Q837&amp;"]",""))</f>
        <v/>
      </c>
      <c r="H837" s="80" t="str">
        <f t="array" ref="H837">IF(A837="","",CHAR(10)&amp;INDEX('Deck 3'!$A:$Z,ROW()-750,'List Setup'!$E$5)&amp;CHAR(10))</f>
        <v/>
      </c>
      <c r="I837" s="80" t="str">
        <f t="array" ref="I837">IF(OR(B837="",B837="(none)"),"",IF(ISNUMBER(SEARCH(CHAR(10)&amp;B837&amp;CHAR(10),H837)),B837,IFERROR(INDEX('Set Aliases'!$A$2:$A$501,MATCH(1,('Set Aliases'!$B$2:$B$501=B837)*ISNUMBER(SEARCH(CHAR(10)&amp;'Set Aliases'!$A$2:$A$501&amp;CHAR(10),H837)),0)),"")))</f>
        <v/>
      </c>
      <c r="J837" s="80" t="str">
        <f t="array" ref="J837">IF(I837="","",IFERROR(VALUE(TRIM(MID(SUBSTITUTE(INDEX('Deck 3'!$A:$Z,ROW()-750,'List Setup'!$G$5),CHAR(10),REPT(" ",100)),((SEARCH(CHAR(10)&amp;I837&amp;CHAR(10),H837)-LEN(SUBSTITUTE(LEFT(H837,SEARCH(CHAR(10)&amp;I837&amp;CHAR(10),H837)),CHAR(10),"")))-1)*100+1,100))),""))</f>
        <v/>
      </c>
      <c r="K837" s="80" t="str">
        <f t="array" ref="K837">IF(A837="","",IF(ISNUMBER(SEARCH("Land",LEFT(IFERROR(INDEX('Deck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37" s="80" t="str">
        <f t="shared" si="3"/>
        <v/>
      </c>
      <c r="M837" s="80" t="str">
        <f>IF(A837="","",IF(AND(E837="Y",B837='Use at Shop'!$B$4),K837*10000000000+(MAX(0,MIN(26,CODE(MID(UPPER(A837)&amp;"    ",1,1))-64))*19683+MAX(0,MIN(26,CODE(MID(UPPER(A837)&amp;"    ",2,1))-64))*729+MAX(0,MIN(26,CODE(MID(UPPER(A837)&amp;"    ",3,1))-64))*27+MAX(0,MIN(26,CODE(MID(UPPER(A837)&amp;"    ",4,1))-64))*1)*10000+ROW(),""))</f>
        <v/>
      </c>
      <c r="N837" s="80" t="str">
        <f t="shared" si="7"/>
        <v/>
      </c>
      <c r="O837" s="80" t="str">
        <f t="array" ref="O837">IF(A837="","",IFERROR(INDEX('Deck 3'!$A:$Z,ROW()-750,'List Setup'!$J$5)&amp;"",""))</f>
        <v/>
      </c>
      <c r="P837" s="2"/>
      <c r="Q837" s="80" t="str">
        <f>IF(A837="","",'List Setup'!$A$5)</f>
        <v/>
      </c>
      <c r="R837" s="80" t="str">
        <f t="array" ref="R837">IF(A837="","",IFERROR(OR(INDEX(Binders!$J$6:$J$30,MATCH(Q837,Binders!$I$6:$I$30,0))=TRUE(),UPPER(INDEX(Binders!$J$6:$J$30,MATCH(Q837,Binders!$I$6:$I$30,0))&amp;"")="TRUE"),FALSE()))</f>
        <v/>
      </c>
    </row>
    <row r="838" ht="15.75" customHeight="1">
      <c r="A838" s="80" t="str">
        <f t="array" ref="A838">IF(INDEX('Deck 3'!$A:$Z,ROW()-750,'List Setup'!$D$5)="","",INDEX('Deck 3'!$A:$Z,ROW()-750,'List Setup'!$D$5))</f>
        <v/>
      </c>
      <c r="B838" s="80" t="str">
        <f t="array" ref="B838">IF(A838="","",IFERROR(INDEX('Binder Setup'!$B$2:$B$401,MIN(IF(ISNUMBER(SEARCH(CHAR(10)&amp;'Binder Setup'!$B$2:$B$401&amp;CHAR(10),$H838)),'List Setup'!$Q$2:$Q$401,999),IF(ISNUMBER(SEARCH(CHAR(10)&amp;'Set Aliases'!$A$2:$A$501&amp;CHAR(10),$H838)),'Set Aliases'!$C$2:$C$501,999))),"(none)"))</f>
        <v/>
      </c>
      <c r="C838" s="80" t="str">
        <f t="shared" si="1"/>
        <v/>
      </c>
      <c r="D838" s="80" t="str">
        <f t="array" ref="D838">IF(A838="","",IF(ISLOGICAL(INDEX('Deck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38" s="80" t="str">
        <f t="shared" si="2"/>
        <v/>
      </c>
      <c r="F838" s="80" t="str">
        <f t="array" ref="F838">IF(A838="","",IF(ISNUMBER(J838),J838,IF(ISNUMBER(INDEX('Deck 3'!$A:$Z,ROW()-750,'List Setup'!$F$5)),INDEX('Deck 3'!$A:$Z,ROW()-750,'List Setup'!$F$5),0)))</f>
        <v/>
      </c>
      <c r="G838" s="80" t="str">
        <f t="array" ref="G838">IF(A838="","",A838&amp;IF(N(INDEX('Deck 3'!$A:$Z,ROW()-750,'List Setup'!$C$5))&gt;1," (x"&amp;INDEX('Deck 3'!$A:$Z,ROW()-750,'List Setup'!$C$5)&amp;")","")&amp;IF(COUNTIF(Binders!$J$6:$J$30,TRUE())&gt;1," ["&amp;Q838&amp;"]",""))</f>
        <v/>
      </c>
      <c r="H838" s="80" t="str">
        <f t="array" ref="H838">IF(A838="","",CHAR(10)&amp;INDEX('Deck 3'!$A:$Z,ROW()-750,'List Setup'!$E$5)&amp;CHAR(10))</f>
        <v/>
      </c>
      <c r="I838" s="80" t="str">
        <f t="array" ref="I838">IF(OR(B838="",B838="(none)"),"",IF(ISNUMBER(SEARCH(CHAR(10)&amp;B838&amp;CHAR(10),H838)),B838,IFERROR(INDEX('Set Aliases'!$A$2:$A$501,MATCH(1,('Set Aliases'!$B$2:$B$501=B838)*ISNUMBER(SEARCH(CHAR(10)&amp;'Set Aliases'!$A$2:$A$501&amp;CHAR(10),H838)),0)),"")))</f>
        <v/>
      </c>
      <c r="J838" s="80" t="str">
        <f t="array" ref="J838">IF(I838="","",IFERROR(VALUE(TRIM(MID(SUBSTITUTE(INDEX('Deck 3'!$A:$Z,ROW()-750,'List Setup'!$G$5),CHAR(10),REPT(" ",100)),((SEARCH(CHAR(10)&amp;I838&amp;CHAR(10),H838)-LEN(SUBSTITUTE(LEFT(H838,SEARCH(CHAR(10)&amp;I838&amp;CHAR(10),H838)),CHAR(10),"")))-1)*100+1,100))),""))</f>
        <v/>
      </c>
      <c r="K838" s="80" t="str">
        <f t="array" ref="K838">IF(A838="","",IF(ISNUMBER(SEARCH("Land",LEFT(IFERROR(INDEX('Deck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38" s="80" t="str">
        <f t="shared" si="3"/>
        <v/>
      </c>
      <c r="M838" s="80" t="str">
        <f>IF(A838="","",IF(AND(E838="Y",B838='Use at Shop'!$B$4),K838*10000000000+(MAX(0,MIN(26,CODE(MID(UPPER(A838)&amp;"    ",1,1))-64))*19683+MAX(0,MIN(26,CODE(MID(UPPER(A838)&amp;"    ",2,1))-64))*729+MAX(0,MIN(26,CODE(MID(UPPER(A838)&amp;"    ",3,1))-64))*27+MAX(0,MIN(26,CODE(MID(UPPER(A838)&amp;"    ",4,1))-64))*1)*10000+ROW(),""))</f>
        <v/>
      </c>
      <c r="N838" s="80" t="str">
        <f t="shared" si="7"/>
        <v/>
      </c>
      <c r="O838" s="80" t="str">
        <f t="array" ref="O838">IF(A838="","",IFERROR(INDEX('Deck 3'!$A:$Z,ROW()-750,'List Setup'!$J$5)&amp;"",""))</f>
        <v/>
      </c>
      <c r="P838" s="2"/>
      <c r="Q838" s="80" t="str">
        <f>IF(A838="","",'List Setup'!$A$5)</f>
        <v/>
      </c>
      <c r="R838" s="80" t="str">
        <f t="array" ref="R838">IF(A838="","",IFERROR(OR(INDEX(Binders!$J$6:$J$30,MATCH(Q838,Binders!$I$6:$I$30,0))=TRUE(),UPPER(INDEX(Binders!$J$6:$J$30,MATCH(Q838,Binders!$I$6:$I$30,0))&amp;"")="TRUE"),FALSE()))</f>
        <v/>
      </c>
    </row>
    <row r="839" ht="15.75" customHeight="1">
      <c r="A839" s="80" t="str">
        <f t="array" ref="A839">IF(INDEX('Deck 3'!$A:$Z,ROW()-750,'List Setup'!$D$5)="","",INDEX('Deck 3'!$A:$Z,ROW()-750,'List Setup'!$D$5))</f>
        <v/>
      </c>
      <c r="B839" s="80" t="str">
        <f t="array" ref="B839">IF(A839="","",IFERROR(INDEX('Binder Setup'!$B$2:$B$401,MIN(IF(ISNUMBER(SEARCH(CHAR(10)&amp;'Binder Setup'!$B$2:$B$401&amp;CHAR(10),$H839)),'List Setup'!$Q$2:$Q$401,999),IF(ISNUMBER(SEARCH(CHAR(10)&amp;'Set Aliases'!$A$2:$A$501&amp;CHAR(10),$H839)),'Set Aliases'!$C$2:$C$501,999))),"(none)"))</f>
        <v/>
      </c>
      <c r="C839" s="80" t="str">
        <f t="shared" si="1"/>
        <v/>
      </c>
      <c r="D839" s="80" t="str">
        <f t="array" ref="D839">IF(A839="","",IF(ISLOGICAL(INDEX('Deck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39" s="80" t="str">
        <f t="shared" si="2"/>
        <v/>
      </c>
      <c r="F839" s="80" t="str">
        <f t="array" ref="F839">IF(A839="","",IF(ISNUMBER(J839),J839,IF(ISNUMBER(INDEX('Deck 3'!$A:$Z,ROW()-750,'List Setup'!$F$5)),INDEX('Deck 3'!$A:$Z,ROW()-750,'List Setup'!$F$5),0)))</f>
        <v/>
      </c>
      <c r="G839" s="80" t="str">
        <f t="array" ref="G839">IF(A839="","",A839&amp;IF(N(INDEX('Deck 3'!$A:$Z,ROW()-750,'List Setup'!$C$5))&gt;1," (x"&amp;INDEX('Deck 3'!$A:$Z,ROW()-750,'List Setup'!$C$5)&amp;")","")&amp;IF(COUNTIF(Binders!$J$6:$J$30,TRUE())&gt;1," ["&amp;Q839&amp;"]",""))</f>
        <v/>
      </c>
      <c r="H839" s="80" t="str">
        <f t="array" ref="H839">IF(A839="","",CHAR(10)&amp;INDEX('Deck 3'!$A:$Z,ROW()-750,'List Setup'!$E$5)&amp;CHAR(10))</f>
        <v/>
      </c>
      <c r="I839" s="80" t="str">
        <f t="array" ref="I839">IF(OR(B839="",B839="(none)"),"",IF(ISNUMBER(SEARCH(CHAR(10)&amp;B839&amp;CHAR(10),H839)),B839,IFERROR(INDEX('Set Aliases'!$A$2:$A$501,MATCH(1,('Set Aliases'!$B$2:$B$501=B839)*ISNUMBER(SEARCH(CHAR(10)&amp;'Set Aliases'!$A$2:$A$501&amp;CHAR(10),H839)),0)),"")))</f>
        <v/>
      </c>
      <c r="J839" s="80" t="str">
        <f t="array" ref="J839">IF(I839="","",IFERROR(VALUE(TRIM(MID(SUBSTITUTE(INDEX('Deck 3'!$A:$Z,ROW()-750,'List Setup'!$G$5),CHAR(10),REPT(" ",100)),((SEARCH(CHAR(10)&amp;I839&amp;CHAR(10),H839)-LEN(SUBSTITUTE(LEFT(H839,SEARCH(CHAR(10)&amp;I839&amp;CHAR(10),H839)),CHAR(10),"")))-1)*100+1,100))),""))</f>
        <v/>
      </c>
      <c r="K839" s="80" t="str">
        <f t="array" ref="K839">IF(A839="","",IF(ISNUMBER(SEARCH("Land",LEFT(IFERROR(INDEX('Deck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39" s="80" t="str">
        <f t="shared" si="3"/>
        <v/>
      </c>
      <c r="M839" s="80" t="str">
        <f>IF(A839="","",IF(AND(E839="Y",B839='Use at Shop'!$B$4),K839*10000000000+(MAX(0,MIN(26,CODE(MID(UPPER(A839)&amp;"    ",1,1))-64))*19683+MAX(0,MIN(26,CODE(MID(UPPER(A839)&amp;"    ",2,1))-64))*729+MAX(0,MIN(26,CODE(MID(UPPER(A839)&amp;"    ",3,1))-64))*27+MAX(0,MIN(26,CODE(MID(UPPER(A839)&amp;"    ",4,1))-64))*1)*10000+ROW(),""))</f>
        <v/>
      </c>
      <c r="N839" s="80" t="str">
        <f t="shared" si="7"/>
        <v/>
      </c>
      <c r="O839" s="80" t="str">
        <f t="array" ref="O839">IF(A839="","",IFERROR(INDEX('Deck 3'!$A:$Z,ROW()-750,'List Setup'!$J$5)&amp;"",""))</f>
        <v/>
      </c>
      <c r="P839" s="2"/>
      <c r="Q839" s="80" t="str">
        <f>IF(A839="","",'List Setup'!$A$5)</f>
        <v/>
      </c>
      <c r="R839" s="80" t="str">
        <f t="array" ref="R839">IF(A839="","",IFERROR(OR(INDEX(Binders!$J$6:$J$30,MATCH(Q839,Binders!$I$6:$I$30,0))=TRUE(),UPPER(INDEX(Binders!$J$6:$J$30,MATCH(Q839,Binders!$I$6:$I$30,0))&amp;"")="TRUE"),FALSE()))</f>
        <v/>
      </c>
    </row>
    <row r="840" ht="15.75" customHeight="1">
      <c r="A840" s="80" t="str">
        <f t="array" ref="A840">IF(INDEX('Deck 3'!$A:$Z,ROW()-750,'List Setup'!$D$5)="","",INDEX('Deck 3'!$A:$Z,ROW()-750,'List Setup'!$D$5))</f>
        <v/>
      </c>
      <c r="B840" s="80" t="str">
        <f t="array" ref="B840">IF(A840="","",IFERROR(INDEX('Binder Setup'!$B$2:$B$401,MIN(IF(ISNUMBER(SEARCH(CHAR(10)&amp;'Binder Setup'!$B$2:$B$401&amp;CHAR(10),$H840)),'List Setup'!$Q$2:$Q$401,999),IF(ISNUMBER(SEARCH(CHAR(10)&amp;'Set Aliases'!$A$2:$A$501&amp;CHAR(10),$H840)),'Set Aliases'!$C$2:$C$501,999))),"(none)"))</f>
        <v/>
      </c>
      <c r="C840" s="80" t="str">
        <f t="shared" si="1"/>
        <v/>
      </c>
      <c r="D840" s="80" t="str">
        <f t="array" ref="D840">IF(A840="","",IF(ISLOGICAL(INDEX('Deck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40" s="80" t="str">
        <f t="shared" si="2"/>
        <v/>
      </c>
      <c r="F840" s="80" t="str">
        <f t="array" ref="F840">IF(A840="","",IF(ISNUMBER(J840),J840,IF(ISNUMBER(INDEX('Deck 3'!$A:$Z,ROW()-750,'List Setup'!$F$5)),INDEX('Deck 3'!$A:$Z,ROW()-750,'List Setup'!$F$5),0)))</f>
        <v/>
      </c>
      <c r="G840" s="80" t="str">
        <f t="array" ref="G840">IF(A840="","",A840&amp;IF(N(INDEX('Deck 3'!$A:$Z,ROW()-750,'List Setup'!$C$5))&gt;1," (x"&amp;INDEX('Deck 3'!$A:$Z,ROW()-750,'List Setup'!$C$5)&amp;")","")&amp;IF(COUNTIF(Binders!$J$6:$J$30,TRUE())&gt;1," ["&amp;Q840&amp;"]",""))</f>
        <v/>
      </c>
      <c r="H840" s="80" t="str">
        <f t="array" ref="H840">IF(A840="","",CHAR(10)&amp;INDEX('Deck 3'!$A:$Z,ROW()-750,'List Setup'!$E$5)&amp;CHAR(10))</f>
        <v/>
      </c>
      <c r="I840" s="80" t="str">
        <f t="array" ref="I840">IF(OR(B840="",B840="(none)"),"",IF(ISNUMBER(SEARCH(CHAR(10)&amp;B840&amp;CHAR(10),H840)),B840,IFERROR(INDEX('Set Aliases'!$A$2:$A$501,MATCH(1,('Set Aliases'!$B$2:$B$501=B840)*ISNUMBER(SEARCH(CHAR(10)&amp;'Set Aliases'!$A$2:$A$501&amp;CHAR(10),H840)),0)),"")))</f>
        <v/>
      </c>
      <c r="J840" s="80" t="str">
        <f t="array" ref="J840">IF(I840="","",IFERROR(VALUE(TRIM(MID(SUBSTITUTE(INDEX('Deck 3'!$A:$Z,ROW()-750,'List Setup'!$G$5),CHAR(10),REPT(" ",100)),((SEARCH(CHAR(10)&amp;I840&amp;CHAR(10),H840)-LEN(SUBSTITUTE(LEFT(H840,SEARCH(CHAR(10)&amp;I840&amp;CHAR(10),H840)),CHAR(10),"")))-1)*100+1,100))),""))</f>
        <v/>
      </c>
      <c r="K840" s="80" t="str">
        <f t="array" ref="K840">IF(A840="","",IF(ISNUMBER(SEARCH("Land",LEFT(IFERROR(INDEX('Deck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40" s="80" t="str">
        <f t="shared" si="3"/>
        <v/>
      </c>
      <c r="M840" s="80" t="str">
        <f>IF(A840="","",IF(AND(E840="Y",B840='Use at Shop'!$B$4),K840*10000000000+(MAX(0,MIN(26,CODE(MID(UPPER(A840)&amp;"    ",1,1))-64))*19683+MAX(0,MIN(26,CODE(MID(UPPER(A840)&amp;"    ",2,1))-64))*729+MAX(0,MIN(26,CODE(MID(UPPER(A840)&amp;"    ",3,1))-64))*27+MAX(0,MIN(26,CODE(MID(UPPER(A840)&amp;"    ",4,1))-64))*1)*10000+ROW(),""))</f>
        <v/>
      </c>
      <c r="N840" s="80" t="str">
        <f t="shared" si="7"/>
        <v/>
      </c>
      <c r="O840" s="80" t="str">
        <f t="array" ref="O840">IF(A840="","",IFERROR(INDEX('Deck 3'!$A:$Z,ROW()-750,'List Setup'!$J$5)&amp;"",""))</f>
        <v/>
      </c>
      <c r="P840" s="2"/>
      <c r="Q840" s="80" t="str">
        <f>IF(A840="","",'List Setup'!$A$5)</f>
        <v/>
      </c>
      <c r="R840" s="80" t="str">
        <f t="array" ref="R840">IF(A840="","",IFERROR(OR(INDEX(Binders!$J$6:$J$30,MATCH(Q840,Binders!$I$6:$I$30,0))=TRUE(),UPPER(INDEX(Binders!$J$6:$J$30,MATCH(Q840,Binders!$I$6:$I$30,0))&amp;"")="TRUE"),FALSE()))</f>
        <v/>
      </c>
    </row>
    <row r="841" ht="15.75" customHeight="1">
      <c r="A841" s="80" t="str">
        <f t="array" ref="A841">IF(INDEX('Deck 3'!$A:$Z,ROW()-750,'List Setup'!$D$5)="","",INDEX('Deck 3'!$A:$Z,ROW()-750,'List Setup'!$D$5))</f>
        <v/>
      </c>
      <c r="B841" s="80" t="str">
        <f t="array" ref="B841">IF(A841="","",IFERROR(INDEX('Binder Setup'!$B$2:$B$401,MIN(IF(ISNUMBER(SEARCH(CHAR(10)&amp;'Binder Setup'!$B$2:$B$401&amp;CHAR(10),$H841)),'List Setup'!$Q$2:$Q$401,999),IF(ISNUMBER(SEARCH(CHAR(10)&amp;'Set Aliases'!$A$2:$A$501&amp;CHAR(10),$H841)),'Set Aliases'!$C$2:$C$501,999))),"(none)"))</f>
        <v/>
      </c>
      <c r="C841" s="80" t="str">
        <f t="shared" si="1"/>
        <v/>
      </c>
      <c r="D841" s="80" t="str">
        <f t="array" ref="D841">IF(A841="","",IF(ISLOGICAL(INDEX('Deck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41" s="80" t="str">
        <f t="shared" si="2"/>
        <v/>
      </c>
      <c r="F841" s="80" t="str">
        <f t="array" ref="F841">IF(A841="","",IF(ISNUMBER(J841),J841,IF(ISNUMBER(INDEX('Deck 3'!$A:$Z,ROW()-750,'List Setup'!$F$5)),INDEX('Deck 3'!$A:$Z,ROW()-750,'List Setup'!$F$5),0)))</f>
        <v/>
      </c>
      <c r="G841" s="80" t="str">
        <f t="array" ref="G841">IF(A841="","",A841&amp;IF(N(INDEX('Deck 3'!$A:$Z,ROW()-750,'List Setup'!$C$5))&gt;1," (x"&amp;INDEX('Deck 3'!$A:$Z,ROW()-750,'List Setup'!$C$5)&amp;")","")&amp;IF(COUNTIF(Binders!$J$6:$J$30,TRUE())&gt;1," ["&amp;Q841&amp;"]",""))</f>
        <v/>
      </c>
      <c r="H841" s="80" t="str">
        <f t="array" ref="H841">IF(A841="","",CHAR(10)&amp;INDEX('Deck 3'!$A:$Z,ROW()-750,'List Setup'!$E$5)&amp;CHAR(10))</f>
        <v/>
      </c>
      <c r="I841" s="80" t="str">
        <f t="array" ref="I841">IF(OR(B841="",B841="(none)"),"",IF(ISNUMBER(SEARCH(CHAR(10)&amp;B841&amp;CHAR(10),H841)),B841,IFERROR(INDEX('Set Aliases'!$A$2:$A$501,MATCH(1,('Set Aliases'!$B$2:$B$501=B841)*ISNUMBER(SEARCH(CHAR(10)&amp;'Set Aliases'!$A$2:$A$501&amp;CHAR(10),H841)),0)),"")))</f>
        <v/>
      </c>
      <c r="J841" s="80" t="str">
        <f t="array" ref="J841">IF(I841="","",IFERROR(VALUE(TRIM(MID(SUBSTITUTE(INDEX('Deck 3'!$A:$Z,ROW()-750,'List Setup'!$G$5),CHAR(10),REPT(" ",100)),((SEARCH(CHAR(10)&amp;I841&amp;CHAR(10),H841)-LEN(SUBSTITUTE(LEFT(H841,SEARCH(CHAR(10)&amp;I841&amp;CHAR(10),H841)),CHAR(10),"")))-1)*100+1,100))),""))</f>
        <v/>
      </c>
      <c r="K841" s="80" t="str">
        <f t="array" ref="K841">IF(A841="","",IF(ISNUMBER(SEARCH("Land",LEFT(IFERROR(INDEX('Deck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41" s="80" t="str">
        <f t="shared" si="3"/>
        <v/>
      </c>
      <c r="M841" s="80" t="str">
        <f>IF(A841="","",IF(AND(E841="Y",B841='Use at Shop'!$B$4),K841*10000000000+(MAX(0,MIN(26,CODE(MID(UPPER(A841)&amp;"    ",1,1))-64))*19683+MAX(0,MIN(26,CODE(MID(UPPER(A841)&amp;"    ",2,1))-64))*729+MAX(0,MIN(26,CODE(MID(UPPER(A841)&amp;"    ",3,1))-64))*27+MAX(0,MIN(26,CODE(MID(UPPER(A841)&amp;"    ",4,1))-64))*1)*10000+ROW(),""))</f>
        <v/>
      </c>
      <c r="N841" s="80" t="str">
        <f t="shared" si="7"/>
        <v/>
      </c>
      <c r="O841" s="80" t="str">
        <f t="array" ref="O841">IF(A841="","",IFERROR(INDEX('Deck 3'!$A:$Z,ROW()-750,'List Setup'!$J$5)&amp;"",""))</f>
        <v/>
      </c>
      <c r="P841" s="2"/>
      <c r="Q841" s="80" t="str">
        <f>IF(A841="","",'List Setup'!$A$5)</f>
        <v/>
      </c>
      <c r="R841" s="80" t="str">
        <f t="array" ref="R841">IF(A841="","",IFERROR(OR(INDEX(Binders!$J$6:$J$30,MATCH(Q841,Binders!$I$6:$I$30,0))=TRUE(),UPPER(INDEX(Binders!$J$6:$J$30,MATCH(Q841,Binders!$I$6:$I$30,0))&amp;"")="TRUE"),FALSE()))</f>
        <v/>
      </c>
    </row>
    <row r="842" ht="15.75" customHeight="1">
      <c r="A842" s="80" t="str">
        <f t="array" ref="A842">IF(INDEX('Deck 3'!$A:$Z,ROW()-750,'List Setup'!$D$5)="","",INDEX('Deck 3'!$A:$Z,ROW()-750,'List Setup'!$D$5))</f>
        <v/>
      </c>
      <c r="B842" s="80" t="str">
        <f t="array" ref="B842">IF(A842="","",IFERROR(INDEX('Binder Setup'!$B$2:$B$401,MIN(IF(ISNUMBER(SEARCH(CHAR(10)&amp;'Binder Setup'!$B$2:$B$401&amp;CHAR(10),$H842)),'List Setup'!$Q$2:$Q$401,999),IF(ISNUMBER(SEARCH(CHAR(10)&amp;'Set Aliases'!$A$2:$A$501&amp;CHAR(10),$H842)),'Set Aliases'!$C$2:$C$501,999))),"(none)"))</f>
        <v/>
      </c>
      <c r="C842" s="80" t="str">
        <f t="shared" si="1"/>
        <v/>
      </c>
      <c r="D842" s="80" t="str">
        <f t="array" ref="D842">IF(A842="","",IF(ISLOGICAL(INDEX('Deck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42" s="80" t="str">
        <f t="shared" si="2"/>
        <v/>
      </c>
      <c r="F842" s="80" t="str">
        <f t="array" ref="F842">IF(A842="","",IF(ISNUMBER(J842),J842,IF(ISNUMBER(INDEX('Deck 3'!$A:$Z,ROW()-750,'List Setup'!$F$5)),INDEX('Deck 3'!$A:$Z,ROW()-750,'List Setup'!$F$5),0)))</f>
        <v/>
      </c>
      <c r="G842" s="80" t="str">
        <f t="array" ref="G842">IF(A842="","",A842&amp;IF(N(INDEX('Deck 3'!$A:$Z,ROW()-750,'List Setup'!$C$5))&gt;1," (x"&amp;INDEX('Deck 3'!$A:$Z,ROW()-750,'List Setup'!$C$5)&amp;")","")&amp;IF(COUNTIF(Binders!$J$6:$J$30,TRUE())&gt;1," ["&amp;Q842&amp;"]",""))</f>
        <v/>
      </c>
      <c r="H842" s="80" t="str">
        <f t="array" ref="H842">IF(A842="","",CHAR(10)&amp;INDEX('Deck 3'!$A:$Z,ROW()-750,'List Setup'!$E$5)&amp;CHAR(10))</f>
        <v/>
      </c>
      <c r="I842" s="80" t="str">
        <f t="array" ref="I842">IF(OR(B842="",B842="(none)"),"",IF(ISNUMBER(SEARCH(CHAR(10)&amp;B842&amp;CHAR(10),H842)),B842,IFERROR(INDEX('Set Aliases'!$A$2:$A$501,MATCH(1,('Set Aliases'!$B$2:$B$501=B842)*ISNUMBER(SEARCH(CHAR(10)&amp;'Set Aliases'!$A$2:$A$501&amp;CHAR(10),H842)),0)),"")))</f>
        <v/>
      </c>
      <c r="J842" s="80" t="str">
        <f t="array" ref="J842">IF(I842="","",IFERROR(VALUE(TRIM(MID(SUBSTITUTE(INDEX('Deck 3'!$A:$Z,ROW()-750,'List Setup'!$G$5),CHAR(10),REPT(" ",100)),((SEARCH(CHAR(10)&amp;I842&amp;CHAR(10),H842)-LEN(SUBSTITUTE(LEFT(H842,SEARCH(CHAR(10)&amp;I842&amp;CHAR(10),H842)),CHAR(10),"")))-1)*100+1,100))),""))</f>
        <v/>
      </c>
      <c r="K842" s="80" t="str">
        <f t="array" ref="K842">IF(A842="","",IF(ISNUMBER(SEARCH("Land",LEFT(IFERROR(INDEX('Deck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42" s="80" t="str">
        <f t="shared" si="3"/>
        <v/>
      </c>
      <c r="M842" s="80" t="str">
        <f>IF(A842="","",IF(AND(E842="Y",B842='Use at Shop'!$B$4),K842*10000000000+(MAX(0,MIN(26,CODE(MID(UPPER(A842)&amp;"    ",1,1))-64))*19683+MAX(0,MIN(26,CODE(MID(UPPER(A842)&amp;"    ",2,1))-64))*729+MAX(0,MIN(26,CODE(MID(UPPER(A842)&amp;"    ",3,1))-64))*27+MAX(0,MIN(26,CODE(MID(UPPER(A842)&amp;"    ",4,1))-64))*1)*10000+ROW(),""))</f>
        <v/>
      </c>
      <c r="N842" s="80" t="str">
        <f t="shared" si="7"/>
        <v/>
      </c>
      <c r="O842" s="80" t="str">
        <f t="array" ref="O842">IF(A842="","",IFERROR(INDEX('Deck 3'!$A:$Z,ROW()-750,'List Setup'!$J$5)&amp;"",""))</f>
        <v/>
      </c>
      <c r="P842" s="2"/>
      <c r="Q842" s="80" t="str">
        <f>IF(A842="","",'List Setup'!$A$5)</f>
        <v/>
      </c>
      <c r="R842" s="80" t="str">
        <f t="array" ref="R842">IF(A842="","",IFERROR(OR(INDEX(Binders!$J$6:$J$30,MATCH(Q842,Binders!$I$6:$I$30,0))=TRUE(),UPPER(INDEX(Binders!$J$6:$J$30,MATCH(Q842,Binders!$I$6:$I$30,0))&amp;"")="TRUE"),FALSE()))</f>
        <v/>
      </c>
    </row>
    <row r="843" ht="15.75" customHeight="1">
      <c r="A843" s="80" t="str">
        <f t="array" ref="A843">IF(INDEX('Deck 3'!$A:$Z,ROW()-750,'List Setup'!$D$5)="","",INDEX('Deck 3'!$A:$Z,ROW()-750,'List Setup'!$D$5))</f>
        <v/>
      </c>
      <c r="B843" s="80" t="str">
        <f t="array" ref="B843">IF(A843="","",IFERROR(INDEX('Binder Setup'!$B$2:$B$401,MIN(IF(ISNUMBER(SEARCH(CHAR(10)&amp;'Binder Setup'!$B$2:$B$401&amp;CHAR(10),$H843)),'List Setup'!$Q$2:$Q$401,999),IF(ISNUMBER(SEARCH(CHAR(10)&amp;'Set Aliases'!$A$2:$A$501&amp;CHAR(10),$H843)),'Set Aliases'!$C$2:$C$501,999))),"(none)"))</f>
        <v/>
      </c>
      <c r="C843" s="80" t="str">
        <f t="shared" si="1"/>
        <v/>
      </c>
      <c r="D843" s="80" t="str">
        <f t="array" ref="D843">IF(A843="","",IF(ISLOGICAL(INDEX('Deck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43" s="80" t="str">
        <f t="shared" si="2"/>
        <v/>
      </c>
      <c r="F843" s="80" t="str">
        <f t="array" ref="F843">IF(A843="","",IF(ISNUMBER(J843),J843,IF(ISNUMBER(INDEX('Deck 3'!$A:$Z,ROW()-750,'List Setup'!$F$5)),INDEX('Deck 3'!$A:$Z,ROW()-750,'List Setup'!$F$5),0)))</f>
        <v/>
      </c>
      <c r="G843" s="80" t="str">
        <f t="array" ref="G843">IF(A843="","",A843&amp;IF(N(INDEX('Deck 3'!$A:$Z,ROW()-750,'List Setup'!$C$5))&gt;1," (x"&amp;INDEX('Deck 3'!$A:$Z,ROW()-750,'List Setup'!$C$5)&amp;")","")&amp;IF(COUNTIF(Binders!$J$6:$J$30,TRUE())&gt;1," ["&amp;Q843&amp;"]",""))</f>
        <v/>
      </c>
      <c r="H843" s="80" t="str">
        <f t="array" ref="H843">IF(A843="","",CHAR(10)&amp;INDEX('Deck 3'!$A:$Z,ROW()-750,'List Setup'!$E$5)&amp;CHAR(10))</f>
        <v/>
      </c>
      <c r="I843" s="80" t="str">
        <f t="array" ref="I843">IF(OR(B843="",B843="(none)"),"",IF(ISNUMBER(SEARCH(CHAR(10)&amp;B843&amp;CHAR(10),H843)),B843,IFERROR(INDEX('Set Aliases'!$A$2:$A$501,MATCH(1,('Set Aliases'!$B$2:$B$501=B843)*ISNUMBER(SEARCH(CHAR(10)&amp;'Set Aliases'!$A$2:$A$501&amp;CHAR(10),H843)),0)),"")))</f>
        <v/>
      </c>
      <c r="J843" s="80" t="str">
        <f t="array" ref="J843">IF(I843="","",IFERROR(VALUE(TRIM(MID(SUBSTITUTE(INDEX('Deck 3'!$A:$Z,ROW()-750,'List Setup'!$G$5),CHAR(10),REPT(" ",100)),((SEARCH(CHAR(10)&amp;I843&amp;CHAR(10),H843)-LEN(SUBSTITUTE(LEFT(H843,SEARCH(CHAR(10)&amp;I843&amp;CHAR(10),H843)),CHAR(10),"")))-1)*100+1,100))),""))</f>
        <v/>
      </c>
      <c r="K843" s="80" t="str">
        <f t="array" ref="K843">IF(A843="","",IF(ISNUMBER(SEARCH("Land",LEFT(IFERROR(INDEX('Deck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43" s="80" t="str">
        <f t="shared" si="3"/>
        <v/>
      </c>
      <c r="M843" s="80" t="str">
        <f>IF(A843="","",IF(AND(E843="Y",B843='Use at Shop'!$B$4),K843*10000000000+(MAX(0,MIN(26,CODE(MID(UPPER(A843)&amp;"    ",1,1))-64))*19683+MAX(0,MIN(26,CODE(MID(UPPER(A843)&amp;"    ",2,1))-64))*729+MAX(0,MIN(26,CODE(MID(UPPER(A843)&amp;"    ",3,1))-64))*27+MAX(0,MIN(26,CODE(MID(UPPER(A843)&amp;"    ",4,1))-64))*1)*10000+ROW(),""))</f>
        <v/>
      </c>
      <c r="N843" s="80" t="str">
        <f t="shared" si="7"/>
        <v/>
      </c>
      <c r="O843" s="80" t="str">
        <f t="array" ref="O843">IF(A843="","",IFERROR(INDEX('Deck 3'!$A:$Z,ROW()-750,'List Setup'!$J$5)&amp;"",""))</f>
        <v/>
      </c>
      <c r="P843" s="2"/>
      <c r="Q843" s="80" t="str">
        <f>IF(A843="","",'List Setup'!$A$5)</f>
        <v/>
      </c>
      <c r="R843" s="80" t="str">
        <f t="array" ref="R843">IF(A843="","",IFERROR(OR(INDEX(Binders!$J$6:$J$30,MATCH(Q843,Binders!$I$6:$I$30,0))=TRUE(),UPPER(INDEX(Binders!$J$6:$J$30,MATCH(Q843,Binders!$I$6:$I$30,0))&amp;"")="TRUE"),FALSE()))</f>
        <v/>
      </c>
    </row>
    <row r="844" ht="15.75" customHeight="1">
      <c r="A844" s="80" t="str">
        <f t="array" ref="A844">IF(INDEX('Deck 3'!$A:$Z,ROW()-750,'List Setup'!$D$5)="","",INDEX('Deck 3'!$A:$Z,ROW()-750,'List Setup'!$D$5))</f>
        <v/>
      </c>
      <c r="B844" s="80" t="str">
        <f t="array" ref="B844">IF(A844="","",IFERROR(INDEX('Binder Setup'!$B$2:$B$401,MIN(IF(ISNUMBER(SEARCH(CHAR(10)&amp;'Binder Setup'!$B$2:$B$401&amp;CHAR(10),$H844)),'List Setup'!$Q$2:$Q$401,999),IF(ISNUMBER(SEARCH(CHAR(10)&amp;'Set Aliases'!$A$2:$A$501&amp;CHAR(10),$H844)),'Set Aliases'!$C$2:$C$501,999))),"(none)"))</f>
        <v/>
      </c>
      <c r="C844" s="80" t="str">
        <f t="shared" si="1"/>
        <v/>
      </c>
      <c r="D844" s="80" t="str">
        <f t="array" ref="D844">IF(A844="","",IF(ISLOGICAL(INDEX('Deck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44" s="80" t="str">
        <f t="shared" si="2"/>
        <v/>
      </c>
      <c r="F844" s="80" t="str">
        <f t="array" ref="F844">IF(A844="","",IF(ISNUMBER(J844),J844,IF(ISNUMBER(INDEX('Deck 3'!$A:$Z,ROW()-750,'List Setup'!$F$5)),INDEX('Deck 3'!$A:$Z,ROW()-750,'List Setup'!$F$5),0)))</f>
        <v/>
      </c>
      <c r="G844" s="80" t="str">
        <f t="array" ref="G844">IF(A844="","",A844&amp;IF(N(INDEX('Deck 3'!$A:$Z,ROW()-750,'List Setup'!$C$5))&gt;1," (x"&amp;INDEX('Deck 3'!$A:$Z,ROW()-750,'List Setup'!$C$5)&amp;")","")&amp;IF(COUNTIF(Binders!$J$6:$J$30,TRUE())&gt;1," ["&amp;Q844&amp;"]",""))</f>
        <v/>
      </c>
      <c r="H844" s="80" t="str">
        <f t="array" ref="H844">IF(A844="","",CHAR(10)&amp;INDEX('Deck 3'!$A:$Z,ROW()-750,'List Setup'!$E$5)&amp;CHAR(10))</f>
        <v/>
      </c>
      <c r="I844" s="80" t="str">
        <f t="array" ref="I844">IF(OR(B844="",B844="(none)"),"",IF(ISNUMBER(SEARCH(CHAR(10)&amp;B844&amp;CHAR(10),H844)),B844,IFERROR(INDEX('Set Aliases'!$A$2:$A$501,MATCH(1,('Set Aliases'!$B$2:$B$501=B844)*ISNUMBER(SEARCH(CHAR(10)&amp;'Set Aliases'!$A$2:$A$501&amp;CHAR(10),H844)),0)),"")))</f>
        <v/>
      </c>
      <c r="J844" s="80" t="str">
        <f t="array" ref="J844">IF(I844="","",IFERROR(VALUE(TRIM(MID(SUBSTITUTE(INDEX('Deck 3'!$A:$Z,ROW()-750,'List Setup'!$G$5),CHAR(10),REPT(" ",100)),((SEARCH(CHAR(10)&amp;I844&amp;CHAR(10),H844)-LEN(SUBSTITUTE(LEFT(H844,SEARCH(CHAR(10)&amp;I844&amp;CHAR(10),H844)),CHAR(10),"")))-1)*100+1,100))),""))</f>
        <v/>
      </c>
      <c r="K844" s="80" t="str">
        <f t="array" ref="K844">IF(A844="","",IF(ISNUMBER(SEARCH("Land",LEFT(IFERROR(INDEX('Deck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44" s="80" t="str">
        <f t="shared" si="3"/>
        <v/>
      </c>
      <c r="M844" s="80" t="str">
        <f>IF(A844="","",IF(AND(E844="Y",B844='Use at Shop'!$B$4),K844*10000000000+(MAX(0,MIN(26,CODE(MID(UPPER(A844)&amp;"    ",1,1))-64))*19683+MAX(0,MIN(26,CODE(MID(UPPER(A844)&amp;"    ",2,1))-64))*729+MAX(0,MIN(26,CODE(MID(UPPER(A844)&amp;"    ",3,1))-64))*27+MAX(0,MIN(26,CODE(MID(UPPER(A844)&amp;"    ",4,1))-64))*1)*10000+ROW(),""))</f>
        <v/>
      </c>
      <c r="N844" s="80" t="str">
        <f t="shared" si="7"/>
        <v/>
      </c>
      <c r="O844" s="80" t="str">
        <f t="array" ref="O844">IF(A844="","",IFERROR(INDEX('Deck 3'!$A:$Z,ROW()-750,'List Setup'!$J$5)&amp;"",""))</f>
        <v/>
      </c>
      <c r="P844" s="2"/>
      <c r="Q844" s="80" t="str">
        <f>IF(A844="","",'List Setup'!$A$5)</f>
        <v/>
      </c>
      <c r="R844" s="80" t="str">
        <f t="array" ref="R844">IF(A844="","",IFERROR(OR(INDEX(Binders!$J$6:$J$30,MATCH(Q844,Binders!$I$6:$I$30,0))=TRUE(),UPPER(INDEX(Binders!$J$6:$J$30,MATCH(Q844,Binders!$I$6:$I$30,0))&amp;"")="TRUE"),FALSE()))</f>
        <v/>
      </c>
    </row>
    <row r="845" ht="15.75" customHeight="1">
      <c r="A845" s="80" t="str">
        <f t="array" ref="A845">IF(INDEX('Deck 3'!$A:$Z,ROW()-750,'List Setup'!$D$5)="","",INDEX('Deck 3'!$A:$Z,ROW()-750,'List Setup'!$D$5))</f>
        <v/>
      </c>
      <c r="B845" s="80" t="str">
        <f t="array" ref="B845">IF(A845="","",IFERROR(INDEX('Binder Setup'!$B$2:$B$401,MIN(IF(ISNUMBER(SEARCH(CHAR(10)&amp;'Binder Setup'!$B$2:$B$401&amp;CHAR(10),$H845)),'List Setup'!$Q$2:$Q$401,999),IF(ISNUMBER(SEARCH(CHAR(10)&amp;'Set Aliases'!$A$2:$A$501&amp;CHAR(10),$H845)),'Set Aliases'!$C$2:$C$501,999))),"(none)"))</f>
        <v/>
      </c>
      <c r="C845" s="80" t="str">
        <f t="shared" si="1"/>
        <v/>
      </c>
      <c r="D845" s="80" t="str">
        <f t="array" ref="D845">IF(A845="","",IF(ISLOGICAL(INDEX('Deck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45" s="80" t="str">
        <f t="shared" si="2"/>
        <v/>
      </c>
      <c r="F845" s="80" t="str">
        <f t="array" ref="F845">IF(A845="","",IF(ISNUMBER(J845),J845,IF(ISNUMBER(INDEX('Deck 3'!$A:$Z,ROW()-750,'List Setup'!$F$5)),INDEX('Deck 3'!$A:$Z,ROW()-750,'List Setup'!$F$5),0)))</f>
        <v/>
      </c>
      <c r="G845" s="80" t="str">
        <f t="array" ref="G845">IF(A845="","",A845&amp;IF(N(INDEX('Deck 3'!$A:$Z,ROW()-750,'List Setup'!$C$5))&gt;1," (x"&amp;INDEX('Deck 3'!$A:$Z,ROW()-750,'List Setup'!$C$5)&amp;")","")&amp;IF(COUNTIF(Binders!$J$6:$J$30,TRUE())&gt;1," ["&amp;Q845&amp;"]",""))</f>
        <v/>
      </c>
      <c r="H845" s="80" t="str">
        <f t="array" ref="H845">IF(A845="","",CHAR(10)&amp;INDEX('Deck 3'!$A:$Z,ROW()-750,'List Setup'!$E$5)&amp;CHAR(10))</f>
        <v/>
      </c>
      <c r="I845" s="80" t="str">
        <f t="array" ref="I845">IF(OR(B845="",B845="(none)"),"",IF(ISNUMBER(SEARCH(CHAR(10)&amp;B845&amp;CHAR(10),H845)),B845,IFERROR(INDEX('Set Aliases'!$A$2:$A$501,MATCH(1,('Set Aliases'!$B$2:$B$501=B845)*ISNUMBER(SEARCH(CHAR(10)&amp;'Set Aliases'!$A$2:$A$501&amp;CHAR(10),H845)),0)),"")))</f>
        <v/>
      </c>
      <c r="J845" s="80" t="str">
        <f t="array" ref="J845">IF(I845="","",IFERROR(VALUE(TRIM(MID(SUBSTITUTE(INDEX('Deck 3'!$A:$Z,ROW()-750,'List Setup'!$G$5),CHAR(10),REPT(" ",100)),((SEARCH(CHAR(10)&amp;I845&amp;CHAR(10),H845)-LEN(SUBSTITUTE(LEFT(H845,SEARCH(CHAR(10)&amp;I845&amp;CHAR(10),H845)),CHAR(10),"")))-1)*100+1,100))),""))</f>
        <v/>
      </c>
      <c r="K845" s="80" t="str">
        <f t="array" ref="K845">IF(A845="","",IF(ISNUMBER(SEARCH("Land",LEFT(IFERROR(INDEX('Deck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45" s="80" t="str">
        <f t="shared" si="3"/>
        <v/>
      </c>
      <c r="M845" s="80" t="str">
        <f>IF(A845="","",IF(AND(E845="Y",B845='Use at Shop'!$B$4),K845*10000000000+(MAX(0,MIN(26,CODE(MID(UPPER(A845)&amp;"    ",1,1))-64))*19683+MAX(0,MIN(26,CODE(MID(UPPER(A845)&amp;"    ",2,1))-64))*729+MAX(0,MIN(26,CODE(MID(UPPER(A845)&amp;"    ",3,1))-64))*27+MAX(0,MIN(26,CODE(MID(UPPER(A845)&amp;"    ",4,1))-64))*1)*10000+ROW(),""))</f>
        <v/>
      </c>
      <c r="N845" s="80" t="str">
        <f t="shared" si="7"/>
        <v/>
      </c>
      <c r="O845" s="80" t="str">
        <f t="array" ref="O845">IF(A845="","",IFERROR(INDEX('Deck 3'!$A:$Z,ROW()-750,'List Setup'!$J$5)&amp;"",""))</f>
        <v/>
      </c>
      <c r="P845" s="2"/>
      <c r="Q845" s="80" t="str">
        <f>IF(A845="","",'List Setup'!$A$5)</f>
        <v/>
      </c>
      <c r="R845" s="80" t="str">
        <f t="array" ref="R845">IF(A845="","",IFERROR(OR(INDEX(Binders!$J$6:$J$30,MATCH(Q845,Binders!$I$6:$I$30,0))=TRUE(),UPPER(INDEX(Binders!$J$6:$J$30,MATCH(Q845,Binders!$I$6:$I$30,0))&amp;"")="TRUE"),FALSE()))</f>
        <v/>
      </c>
    </row>
    <row r="846" ht="15.75" customHeight="1">
      <c r="A846" s="80" t="str">
        <f t="array" ref="A846">IF(INDEX('Deck 3'!$A:$Z,ROW()-750,'List Setup'!$D$5)="","",INDEX('Deck 3'!$A:$Z,ROW()-750,'List Setup'!$D$5))</f>
        <v/>
      </c>
      <c r="B846" s="80" t="str">
        <f t="array" ref="B846">IF(A846="","",IFERROR(INDEX('Binder Setup'!$B$2:$B$401,MIN(IF(ISNUMBER(SEARCH(CHAR(10)&amp;'Binder Setup'!$B$2:$B$401&amp;CHAR(10),$H846)),'List Setup'!$Q$2:$Q$401,999),IF(ISNUMBER(SEARCH(CHAR(10)&amp;'Set Aliases'!$A$2:$A$501&amp;CHAR(10),$H846)),'Set Aliases'!$C$2:$C$501,999))),"(none)"))</f>
        <v/>
      </c>
      <c r="C846" s="80" t="str">
        <f t="shared" si="1"/>
        <v/>
      </c>
      <c r="D846" s="80" t="str">
        <f t="array" ref="D846">IF(A846="","",IF(ISLOGICAL(INDEX('Deck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46" s="80" t="str">
        <f t="shared" si="2"/>
        <v/>
      </c>
      <c r="F846" s="80" t="str">
        <f t="array" ref="F846">IF(A846="","",IF(ISNUMBER(J846),J846,IF(ISNUMBER(INDEX('Deck 3'!$A:$Z,ROW()-750,'List Setup'!$F$5)),INDEX('Deck 3'!$A:$Z,ROW()-750,'List Setup'!$F$5),0)))</f>
        <v/>
      </c>
      <c r="G846" s="80" t="str">
        <f t="array" ref="G846">IF(A846="","",A846&amp;IF(N(INDEX('Deck 3'!$A:$Z,ROW()-750,'List Setup'!$C$5))&gt;1," (x"&amp;INDEX('Deck 3'!$A:$Z,ROW()-750,'List Setup'!$C$5)&amp;")","")&amp;IF(COUNTIF(Binders!$J$6:$J$30,TRUE())&gt;1," ["&amp;Q846&amp;"]",""))</f>
        <v/>
      </c>
      <c r="H846" s="80" t="str">
        <f t="array" ref="H846">IF(A846="","",CHAR(10)&amp;INDEX('Deck 3'!$A:$Z,ROW()-750,'List Setup'!$E$5)&amp;CHAR(10))</f>
        <v/>
      </c>
      <c r="I846" s="80" t="str">
        <f t="array" ref="I846">IF(OR(B846="",B846="(none)"),"",IF(ISNUMBER(SEARCH(CHAR(10)&amp;B846&amp;CHAR(10),H846)),B846,IFERROR(INDEX('Set Aliases'!$A$2:$A$501,MATCH(1,('Set Aliases'!$B$2:$B$501=B846)*ISNUMBER(SEARCH(CHAR(10)&amp;'Set Aliases'!$A$2:$A$501&amp;CHAR(10),H846)),0)),"")))</f>
        <v/>
      </c>
      <c r="J846" s="80" t="str">
        <f t="array" ref="J846">IF(I846="","",IFERROR(VALUE(TRIM(MID(SUBSTITUTE(INDEX('Deck 3'!$A:$Z,ROW()-750,'List Setup'!$G$5),CHAR(10),REPT(" ",100)),((SEARCH(CHAR(10)&amp;I846&amp;CHAR(10),H846)-LEN(SUBSTITUTE(LEFT(H846,SEARCH(CHAR(10)&amp;I846&amp;CHAR(10),H846)),CHAR(10),"")))-1)*100+1,100))),""))</f>
        <v/>
      </c>
      <c r="K846" s="80" t="str">
        <f t="array" ref="K846">IF(A846="","",IF(ISNUMBER(SEARCH("Land",LEFT(IFERROR(INDEX('Deck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46" s="80" t="str">
        <f t="shared" si="3"/>
        <v/>
      </c>
      <c r="M846" s="80" t="str">
        <f>IF(A846="","",IF(AND(E846="Y",B846='Use at Shop'!$B$4),K846*10000000000+(MAX(0,MIN(26,CODE(MID(UPPER(A846)&amp;"    ",1,1))-64))*19683+MAX(0,MIN(26,CODE(MID(UPPER(A846)&amp;"    ",2,1))-64))*729+MAX(0,MIN(26,CODE(MID(UPPER(A846)&amp;"    ",3,1))-64))*27+MAX(0,MIN(26,CODE(MID(UPPER(A846)&amp;"    ",4,1))-64))*1)*10000+ROW(),""))</f>
        <v/>
      </c>
      <c r="N846" s="80" t="str">
        <f t="shared" si="7"/>
        <v/>
      </c>
      <c r="O846" s="80" t="str">
        <f t="array" ref="O846">IF(A846="","",IFERROR(INDEX('Deck 3'!$A:$Z,ROW()-750,'List Setup'!$J$5)&amp;"",""))</f>
        <v/>
      </c>
      <c r="P846" s="2"/>
      <c r="Q846" s="80" t="str">
        <f>IF(A846="","",'List Setup'!$A$5)</f>
        <v/>
      </c>
      <c r="R846" s="80" t="str">
        <f t="array" ref="R846">IF(A846="","",IFERROR(OR(INDEX(Binders!$J$6:$J$30,MATCH(Q846,Binders!$I$6:$I$30,0))=TRUE(),UPPER(INDEX(Binders!$J$6:$J$30,MATCH(Q846,Binders!$I$6:$I$30,0))&amp;"")="TRUE"),FALSE()))</f>
        <v/>
      </c>
    </row>
    <row r="847" ht="15.75" customHeight="1">
      <c r="A847" s="80" t="str">
        <f t="array" ref="A847">IF(INDEX('Deck 3'!$A:$Z,ROW()-750,'List Setup'!$D$5)="","",INDEX('Deck 3'!$A:$Z,ROW()-750,'List Setup'!$D$5))</f>
        <v/>
      </c>
      <c r="B847" s="80" t="str">
        <f t="array" ref="B847">IF(A847="","",IFERROR(INDEX('Binder Setup'!$B$2:$B$401,MIN(IF(ISNUMBER(SEARCH(CHAR(10)&amp;'Binder Setup'!$B$2:$B$401&amp;CHAR(10),$H847)),'List Setup'!$Q$2:$Q$401,999),IF(ISNUMBER(SEARCH(CHAR(10)&amp;'Set Aliases'!$A$2:$A$501&amp;CHAR(10),$H847)),'Set Aliases'!$C$2:$C$501,999))),"(none)"))</f>
        <v/>
      </c>
      <c r="C847" s="80" t="str">
        <f t="shared" si="1"/>
        <v/>
      </c>
      <c r="D847" s="80" t="str">
        <f t="array" ref="D847">IF(A847="","",IF(ISLOGICAL(INDEX('Deck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47" s="80" t="str">
        <f t="shared" si="2"/>
        <v/>
      </c>
      <c r="F847" s="80" t="str">
        <f t="array" ref="F847">IF(A847="","",IF(ISNUMBER(J847),J847,IF(ISNUMBER(INDEX('Deck 3'!$A:$Z,ROW()-750,'List Setup'!$F$5)),INDEX('Deck 3'!$A:$Z,ROW()-750,'List Setup'!$F$5),0)))</f>
        <v/>
      </c>
      <c r="G847" s="80" t="str">
        <f t="array" ref="G847">IF(A847="","",A847&amp;IF(N(INDEX('Deck 3'!$A:$Z,ROW()-750,'List Setup'!$C$5))&gt;1," (x"&amp;INDEX('Deck 3'!$A:$Z,ROW()-750,'List Setup'!$C$5)&amp;")","")&amp;IF(COUNTIF(Binders!$J$6:$J$30,TRUE())&gt;1," ["&amp;Q847&amp;"]",""))</f>
        <v/>
      </c>
      <c r="H847" s="80" t="str">
        <f t="array" ref="H847">IF(A847="","",CHAR(10)&amp;INDEX('Deck 3'!$A:$Z,ROW()-750,'List Setup'!$E$5)&amp;CHAR(10))</f>
        <v/>
      </c>
      <c r="I847" s="80" t="str">
        <f t="array" ref="I847">IF(OR(B847="",B847="(none)"),"",IF(ISNUMBER(SEARCH(CHAR(10)&amp;B847&amp;CHAR(10),H847)),B847,IFERROR(INDEX('Set Aliases'!$A$2:$A$501,MATCH(1,('Set Aliases'!$B$2:$B$501=B847)*ISNUMBER(SEARCH(CHAR(10)&amp;'Set Aliases'!$A$2:$A$501&amp;CHAR(10),H847)),0)),"")))</f>
        <v/>
      </c>
      <c r="J847" s="80" t="str">
        <f t="array" ref="J847">IF(I847="","",IFERROR(VALUE(TRIM(MID(SUBSTITUTE(INDEX('Deck 3'!$A:$Z,ROW()-750,'List Setup'!$G$5),CHAR(10),REPT(" ",100)),((SEARCH(CHAR(10)&amp;I847&amp;CHAR(10),H847)-LEN(SUBSTITUTE(LEFT(H847,SEARCH(CHAR(10)&amp;I847&amp;CHAR(10),H847)),CHAR(10),"")))-1)*100+1,100))),""))</f>
        <v/>
      </c>
      <c r="K847" s="80" t="str">
        <f t="array" ref="K847">IF(A847="","",IF(ISNUMBER(SEARCH("Land",LEFT(IFERROR(INDEX('Deck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47" s="80" t="str">
        <f t="shared" si="3"/>
        <v/>
      </c>
      <c r="M847" s="80" t="str">
        <f>IF(A847="","",IF(AND(E847="Y",B847='Use at Shop'!$B$4),K847*10000000000+(MAX(0,MIN(26,CODE(MID(UPPER(A847)&amp;"    ",1,1))-64))*19683+MAX(0,MIN(26,CODE(MID(UPPER(A847)&amp;"    ",2,1))-64))*729+MAX(0,MIN(26,CODE(MID(UPPER(A847)&amp;"    ",3,1))-64))*27+MAX(0,MIN(26,CODE(MID(UPPER(A847)&amp;"    ",4,1))-64))*1)*10000+ROW(),""))</f>
        <v/>
      </c>
      <c r="N847" s="80" t="str">
        <f t="shared" si="7"/>
        <v/>
      </c>
      <c r="O847" s="80" t="str">
        <f t="array" ref="O847">IF(A847="","",IFERROR(INDEX('Deck 3'!$A:$Z,ROW()-750,'List Setup'!$J$5)&amp;"",""))</f>
        <v/>
      </c>
      <c r="P847" s="2"/>
      <c r="Q847" s="80" t="str">
        <f>IF(A847="","",'List Setup'!$A$5)</f>
        <v/>
      </c>
      <c r="R847" s="80" t="str">
        <f t="array" ref="R847">IF(A847="","",IFERROR(OR(INDEX(Binders!$J$6:$J$30,MATCH(Q847,Binders!$I$6:$I$30,0))=TRUE(),UPPER(INDEX(Binders!$J$6:$J$30,MATCH(Q847,Binders!$I$6:$I$30,0))&amp;"")="TRUE"),FALSE()))</f>
        <v/>
      </c>
    </row>
    <row r="848" ht="15.75" customHeight="1">
      <c r="A848" s="80" t="str">
        <f t="array" ref="A848">IF(INDEX('Deck 3'!$A:$Z,ROW()-750,'List Setup'!$D$5)="","",INDEX('Deck 3'!$A:$Z,ROW()-750,'List Setup'!$D$5))</f>
        <v/>
      </c>
      <c r="B848" s="80" t="str">
        <f t="array" ref="B848">IF(A848="","",IFERROR(INDEX('Binder Setup'!$B$2:$B$401,MIN(IF(ISNUMBER(SEARCH(CHAR(10)&amp;'Binder Setup'!$B$2:$B$401&amp;CHAR(10),$H848)),'List Setup'!$Q$2:$Q$401,999),IF(ISNUMBER(SEARCH(CHAR(10)&amp;'Set Aliases'!$A$2:$A$501&amp;CHAR(10),$H848)),'Set Aliases'!$C$2:$C$501,999))),"(none)"))</f>
        <v/>
      </c>
      <c r="C848" s="80" t="str">
        <f t="shared" si="1"/>
        <v/>
      </c>
      <c r="D848" s="80" t="str">
        <f t="array" ref="D848">IF(A848="","",IF(ISLOGICAL(INDEX('Deck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48" s="80" t="str">
        <f t="shared" si="2"/>
        <v/>
      </c>
      <c r="F848" s="80" t="str">
        <f t="array" ref="F848">IF(A848="","",IF(ISNUMBER(J848),J848,IF(ISNUMBER(INDEX('Deck 3'!$A:$Z,ROW()-750,'List Setup'!$F$5)),INDEX('Deck 3'!$A:$Z,ROW()-750,'List Setup'!$F$5),0)))</f>
        <v/>
      </c>
      <c r="G848" s="80" t="str">
        <f t="array" ref="G848">IF(A848="","",A848&amp;IF(N(INDEX('Deck 3'!$A:$Z,ROW()-750,'List Setup'!$C$5))&gt;1," (x"&amp;INDEX('Deck 3'!$A:$Z,ROW()-750,'List Setup'!$C$5)&amp;")","")&amp;IF(COUNTIF(Binders!$J$6:$J$30,TRUE())&gt;1," ["&amp;Q848&amp;"]",""))</f>
        <v/>
      </c>
      <c r="H848" s="80" t="str">
        <f t="array" ref="H848">IF(A848="","",CHAR(10)&amp;INDEX('Deck 3'!$A:$Z,ROW()-750,'List Setup'!$E$5)&amp;CHAR(10))</f>
        <v/>
      </c>
      <c r="I848" s="80" t="str">
        <f t="array" ref="I848">IF(OR(B848="",B848="(none)"),"",IF(ISNUMBER(SEARCH(CHAR(10)&amp;B848&amp;CHAR(10),H848)),B848,IFERROR(INDEX('Set Aliases'!$A$2:$A$501,MATCH(1,('Set Aliases'!$B$2:$B$501=B848)*ISNUMBER(SEARCH(CHAR(10)&amp;'Set Aliases'!$A$2:$A$501&amp;CHAR(10),H848)),0)),"")))</f>
        <v/>
      </c>
      <c r="J848" s="80" t="str">
        <f t="array" ref="J848">IF(I848="","",IFERROR(VALUE(TRIM(MID(SUBSTITUTE(INDEX('Deck 3'!$A:$Z,ROW()-750,'List Setup'!$G$5),CHAR(10),REPT(" ",100)),((SEARCH(CHAR(10)&amp;I848&amp;CHAR(10),H848)-LEN(SUBSTITUTE(LEFT(H848,SEARCH(CHAR(10)&amp;I848&amp;CHAR(10),H848)),CHAR(10),"")))-1)*100+1,100))),""))</f>
        <v/>
      </c>
      <c r="K848" s="80" t="str">
        <f t="array" ref="K848">IF(A848="","",IF(ISNUMBER(SEARCH("Land",LEFT(IFERROR(INDEX('Deck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48" s="80" t="str">
        <f t="shared" si="3"/>
        <v/>
      </c>
      <c r="M848" s="80" t="str">
        <f>IF(A848="","",IF(AND(E848="Y",B848='Use at Shop'!$B$4),K848*10000000000+(MAX(0,MIN(26,CODE(MID(UPPER(A848)&amp;"    ",1,1))-64))*19683+MAX(0,MIN(26,CODE(MID(UPPER(A848)&amp;"    ",2,1))-64))*729+MAX(0,MIN(26,CODE(MID(UPPER(A848)&amp;"    ",3,1))-64))*27+MAX(0,MIN(26,CODE(MID(UPPER(A848)&amp;"    ",4,1))-64))*1)*10000+ROW(),""))</f>
        <v/>
      </c>
      <c r="N848" s="80" t="str">
        <f t="shared" si="7"/>
        <v/>
      </c>
      <c r="O848" s="80" t="str">
        <f t="array" ref="O848">IF(A848="","",IFERROR(INDEX('Deck 3'!$A:$Z,ROW()-750,'List Setup'!$J$5)&amp;"",""))</f>
        <v/>
      </c>
      <c r="P848" s="2"/>
      <c r="Q848" s="80" t="str">
        <f>IF(A848="","",'List Setup'!$A$5)</f>
        <v/>
      </c>
      <c r="R848" s="80" t="str">
        <f t="array" ref="R848">IF(A848="","",IFERROR(OR(INDEX(Binders!$J$6:$J$30,MATCH(Q848,Binders!$I$6:$I$30,0))=TRUE(),UPPER(INDEX(Binders!$J$6:$J$30,MATCH(Q848,Binders!$I$6:$I$30,0))&amp;"")="TRUE"),FALSE()))</f>
        <v/>
      </c>
    </row>
    <row r="849" ht="15.75" customHeight="1">
      <c r="A849" s="80" t="str">
        <f t="array" ref="A849">IF(INDEX('Deck 3'!$A:$Z,ROW()-750,'List Setup'!$D$5)="","",INDEX('Deck 3'!$A:$Z,ROW()-750,'List Setup'!$D$5))</f>
        <v/>
      </c>
      <c r="B849" s="80" t="str">
        <f t="array" ref="B849">IF(A849="","",IFERROR(INDEX('Binder Setup'!$B$2:$B$401,MIN(IF(ISNUMBER(SEARCH(CHAR(10)&amp;'Binder Setup'!$B$2:$B$401&amp;CHAR(10),$H849)),'List Setup'!$Q$2:$Q$401,999),IF(ISNUMBER(SEARCH(CHAR(10)&amp;'Set Aliases'!$A$2:$A$501&amp;CHAR(10),$H849)),'Set Aliases'!$C$2:$C$501,999))),"(none)"))</f>
        <v/>
      </c>
      <c r="C849" s="80" t="str">
        <f t="shared" si="1"/>
        <v/>
      </c>
      <c r="D849" s="80" t="str">
        <f t="array" ref="D849">IF(A849="","",IF(ISLOGICAL(INDEX('Deck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49" s="80" t="str">
        <f t="shared" si="2"/>
        <v/>
      </c>
      <c r="F849" s="80" t="str">
        <f t="array" ref="F849">IF(A849="","",IF(ISNUMBER(J849),J849,IF(ISNUMBER(INDEX('Deck 3'!$A:$Z,ROW()-750,'List Setup'!$F$5)),INDEX('Deck 3'!$A:$Z,ROW()-750,'List Setup'!$F$5),0)))</f>
        <v/>
      </c>
      <c r="G849" s="80" t="str">
        <f t="array" ref="G849">IF(A849="","",A849&amp;IF(N(INDEX('Deck 3'!$A:$Z,ROW()-750,'List Setup'!$C$5))&gt;1," (x"&amp;INDEX('Deck 3'!$A:$Z,ROW()-750,'List Setup'!$C$5)&amp;")","")&amp;IF(COUNTIF(Binders!$J$6:$J$30,TRUE())&gt;1," ["&amp;Q849&amp;"]",""))</f>
        <v/>
      </c>
      <c r="H849" s="80" t="str">
        <f t="array" ref="H849">IF(A849="","",CHAR(10)&amp;INDEX('Deck 3'!$A:$Z,ROW()-750,'List Setup'!$E$5)&amp;CHAR(10))</f>
        <v/>
      </c>
      <c r="I849" s="80" t="str">
        <f t="array" ref="I849">IF(OR(B849="",B849="(none)"),"",IF(ISNUMBER(SEARCH(CHAR(10)&amp;B849&amp;CHAR(10),H849)),B849,IFERROR(INDEX('Set Aliases'!$A$2:$A$501,MATCH(1,('Set Aliases'!$B$2:$B$501=B849)*ISNUMBER(SEARCH(CHAR(10)&amp;'Set Aliases'!$A$2:$A$501&amp;CHAR(10),H849)),0)),"")))</f>
        <v/>
      </c>
      <c r="J849" s="80" t="str">
        <f t="array" ref="J849">IF(I849="","",IFERROR(VALUE(TRIM(MID(SUBSTITUTE(INDEX('Deck 3'!$A:$Z,ROW()-750,'List Setup'!$G$5),CHAR(10),REPT(" ",100)),((SEARCH(CHAR(10)&amp;I849&amp;CHAR(10),H849)-LEN(SUBSTITUTE(LEFT(H849,SEARCH(CHAR(10)&amp;I849&amp;CHAR(10),H849)),CHAR(10),"")))-1)*100+1,100))),""))</f>
        <v/>
      </c>
      <c r="K849" s="80" t="str">
        <f t="array" ref="K849">IF(A849="","",IF(ISNUMBER(SEARCH("Land",LEFT(IFERROR(INDEX('Deck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49" s="80" t="str">
        <f t="shared" si="3"/>
        <v/>
      </c>
      <c r="M849" s="80" t="str">
        <f>IF(A849="","",IF(AND(E849="Y",B849='Use at Shop'!$B$4),K849*10000000000+(MAX(0,MIN(26,CODE(MID(UPPER(A849)&amp;"    ",1,1))-64))*19683+MAX(0,MIN(26,CODE(MID(UPPER(A849)&amp;"    ",2,1))-64))*729+MAX(0,MIN(26,CODE(MID(UPPER(A849)&amp;"    ",3,1))-64))*27+MAX(0,MIN(26,CODE(MID(UPPER(A849)&amp;"    ",4,1))-64))*1)*10000+ROW(),""))</f>
        <v/>
      </c>
      <c r="N849" s="80" t="str">
        <f t="shared" si="7"/>
        <v/>
      </c>
      <c r="O849" s="80" t="str">
        <f t="array" ref="O849">IF(A849="","",IFERROR(INDEX('Deck 3'!$A:$Z,ROW()-750,'List Setup'!$J$5)&amp;"",""))</f>
        <v/>
      </c>
      <c r="P849" s="2"/>
      <c r="Q849" s="80" t="str">
        <f>IF(A849="","",'List Setup'!$A$5)</f>
        <v/>
      </c>
      <c r="R849" s="80" t="str">
        <f t="array" ref="R849">IF(A849="","",IFERROR(OR(INDEX(Binders!$J$6:$J$30,MATCH(Q849,Binders!$I$6:$I$30,0))=TRUE(),UPPER(INDEX(Binders!$J$6:$J$30,MATCH(Q849,Binders!$I$6:$I$30,0))&amp;"")="TRUE"),FALSE()))</f>
        <v/>
      </c>
    </row>
    <row r="850" ht="15.75" customHeight="1">
      <c r="A850" s="80" t="str">
        <f t="array" ref="A850">IF(INDEX('Deck 3'!$A:$Z,ROW()-750,'List Setup'!$D$5)="","",INDEX('Deck 3'!$A:$Z,ROW()-750,'List Setup'!$D$5))</f>
        <v/>
      </c>
      <c r="B850" s="80" t="str">
        <f t="array" ref="B850">IF(A850="","",IFERROR(INDEX('Binder Setup'!$B$2:$B$401,MIN(IF(ISNUMBER(SEARCH(CHAR(10)&amp;'Binder Setup'!$B$2:$B$401&amp;CHAR(10),$H850)),'List Setup'!$Q$2:$Q$401,999),IF(ISNUMBER(SEARCH(CHAR(10)&amp;'Set Aliases'!$A$2:$A$501&amp;CHAR(10),$H850)),'Set Aliases'!$C$2:$C$501,999))),"(none)"))</f>
        <v/>
      </c>
      <c r="C850" s="80" t="str">
        <f t="shared" si="1"/>
        <v/>
      </c>
      <c r="D850" s="80" t="str">
        <f t="array" ref="D850">IF(A850="","",IF(ISLOGICAL(INDEX('Deck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50" s="80" t="str">
        <f t="shared" si="2"/>
        <v/>
      </c>
      <c r="F850" s="80" t="str">
        <f t="array" ref="F850">IF(A850="","",IF(ISNUMBER(J850),J850,IF(ISNUMBER(INDEX('Deck 3'!$A:$Z,ROW()-750,'List Setup'!$F$5)),INDEX('Deck 3'!$A:$Z,ROW()-750,'List Setup'!$F$5),0)))</f>
        <v/>
      </c>
      <c r="G850" s="80" t="str">
        <f t="array" ref="G850">IF(A850="","",A850&amp;IF(N(INDEX('Deck 3'!$A:$Z,ROW()-750,'List Setup'!$C$5))&gt;1," (x"&amp;INDEX('Deck 3'!$A:$Z,ROW()-750,'List Setup'!$C$5)&amp;")","")&amp;IF(COUNTIF(Binders!$J$6:$J$30,TRUE())&gt;1," ["&amp;Q850&amp;"]",""))</f>
        <v/>
      </c>
      <c r="H850" s="80" t="str">
        <f t="array" ref="H850">IF(A850="","",CHAR(10)&amp;INDEX('Deck 3'!$A:$Z,ROW()-750,'List Setup'!$E$5)&amp;CHAR(10))</f>
        <v/>
      </c>
      <c r="I850" s="80" t="str">
        <f t="array" ref="I850">IF(OR(B850="",B850="(none)"),"",IF(ISNUMBER(SEARCH(CHAR(10)&amp;B850&amp;CHAR(10),H850)),B850,IFERROR(INDEX('Set Aliases'!$A$2:$A$501,MATCH(1,('Set Aliases'!$B$2:$B$501=B850)*ISNUMBER(SEARCH(CHAR(10)&amp;'Set Aliases'!$A$2:$A$501&amp;CHAR(10),H850)),0)),"")))</f>
        <v/>
      </c>
      <c r="J850" s="80" t="str">
        <f t="array" ref="J850">IF(I850="","",IFERROR(VALUE(TRIM(MID(SUBSTITUTE(INDEX('Deck 3'!$A:$Z,ROW()-750,'List Setup'!$G$5),CHAR(10),REPT(" ",100)),((SEARCH(CHAR(10)&amp;I850&amp;CHAR(10),H850)-LEN(SUBSTITUTE(LEFT(H850,SEARCH(CHAR(10)&amp;I850&amp;CHAR(10),H850)),CHAR(10),"")))-1)*100+1,100))),""))</f>
        <v/>
      </c>
      <c r="K850" s="80" t="str">
        <f t="array" ref="K850">IF(A850="","",IF(ISNUMBER(SEARCH("Land",LEFT(IFERROR(INDEX('Deck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50" s="80" t="str">
        <f t="shared" si="3"/>
        <v/>
      </c>
      <c r="M850" s="80" t="str">
        <f>IF(A850="","",IF(AND(E850="Y",B850='Use at Shop'!$B$4),K850*10000000000+(MAX(0,MIN(26,CODE(MID(UPPER(A850)&amp;"    ",1,1))-64))*19683+MAX(0,MIN(26,CODE(MID(UPPER(A850)&amp;"    ",2,1))-64))*729+MAX(0,MIN(26,CODE(MID(UPPER(A850)&amp;"    ",3,1))-64))*27+MAX(0,MIN(26,CODE(MID(UPPER(A850)&amp;"    ",4,1))-64))*1)*10000+ROW(),""))</f>
        <v/>
      </c>
      <c r="N850" s="80" t="str">
        <f t="shared" si="7"/>
        <v/>
      </c>
      <c r="O850" s="80" t="str">
        <f t="array" ref="O850">IF(A850="","",IFERROR(INDEX('Deck 3'!$A:$Z,ROW()-750,'List Setup'!$J$5)&amp;"",""))</f>
        <v/>
      </c>
      <c r="P850" s="2"/>
      <c r="Q850" s="80" t="str">
        <f>IF(A850="","",'List Setup'!$A$5)</f>
        <v/>
      </c>
      <c r="R850" s="80" t="str">
        <f t="array" ref="R850">IF(A850="","",IFERROR(OR(INDEX(Binders!$J$6:$J$30,MATCH(Q850,Binders!$I$6:$I$30,0))=TRUE(),UPPER(INDEX(Binders!$J$6:$J$30,MATCH(Q850,Binders!$I$6:$I$30,0))&amp;"")="TRUE"),FALSE()))</f>
        <v/>
      </c>
    </row>
    <row r="851" ht="15.75" customHeight="1">
      <c r="A851" s="80" t="str">
        <f t="array" ref="A851">IF(INDEX('Deck 3'!$A:$Z,ROW()-750,'List Setup'!$D$5)="","",INDEX('Deck 3'!$A:$Z,ROW()-750,'List Setup'!$D$5))</f>
        <v/>
      </c>
      <c r="B851" s="80" t="str">
        <f t="array" ref="B851">IF(A851="","",IFERROR(INDEX('Binder Setup'!$B$2:$B$401,MIN(IF(ISNUMBER(SEARCH(CHAR(10)&amp;'Binder Setup'!$B$2:$B$401&amp;CHAR(10),$H851)),'List Setup'!$Q$2:$Q$401,999),IF(ISNUMBER(SEARCH(CHAR(10)&amp;'Set Aliases'!$A$2:$A$501&amp;CHAR(10),$H851)),'Set Aliases'!$C$2:$C$501,999))),"(none)"))</f>
        <v/>
      </c>
      <c r="C851" s="80" t="str">
        <f t="shared" si="1"/>
        <v/>
      </c>
      <c r="D851" s="80" t="str">
        <f t="array" ref="D851">IF(A851="","",IF(ISLOGICAL(INDEX('Deck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51" s="80" t="str">
        <f t="shared" si="2"/>
        <v/>
      </c>
      <c r="F851" s="80" t="str">
        <f t="array" ref="F851">IF(A851="","",IF(ISNUMBER(J851),J851,IF(ISNUMBER(INDEX('Deck 3'!$A:$Z,ROW()-750,'List Setup'!$F$5)),INDEX('Deck 3'!$A:$Z,ROW()-750,'List Setup'!$F$5),0)))</f>
        <v/>
      </c>
      <c r="G851" s="80" t="str">
        <f t="array" ref="G851">IF(A851="","",A851&amp;IF(N(INDEX('Deck 3'!$A:$Z,ROW()-750,'List Setup'!$C$5))&gt;1," (x"&amp;INDEX('Deck 3'!$A:$Z,ROW()-750,'List Setup'!$C$5)&amp;")","")&amp;IF(COUNTIF(Binders!$J$6:$J$30,TRUE())&gt;1," ["&amp;Q851&amp;"]",""))</f>
        <v/>
      </c>
      <c r="H851" s="80" t="str">
        <f t="array" ref="H851">IF(A851="","",CHAR(10)&amp;INDEX('Deck 3'!$A:$Z,ROW()-750,'List Setup'!$E$5)&amp;CHAR(10))</f>
        <v/>
      </c>
      <c r="I851" s="80" t="str">
        <f t="array" ref="I851">IF(OR(B851="",B851="(none)"),"",IF(ISNUMBER(SEARCH(CHAR(10)&amp;B851&amp;CHAR(10),H851)),B851,IFERROR(INDEX('Set Aliases'!$A$2:$A$501,MATCH(1,('Set Aliases'!$B$2:$B$501=B851)*ISNUMBER(SEARCH(CHAR(10)&amp;'Set Aliases'!$A$2:$A$501&amp;CHAR(10),H851)),0)),"")))</f>
        <v/>
      </c>
      <c r="J851" s="80" t="str">
        <f t="array" ref="J851">IF(I851="","",IFERROR(VALUE(TRIM(MID(SUBSTITUTE(INDEX('Deck 3'!$A:$Z,ROW()-750,'List Setup'!$G$5),CHAR(10),REPT(" ",100)),((SEARCH(CHAR(10)&amp;I851&amp;CHAR(10),H851)-LEN(SUBSTITUTE(LEFT(H851,SEARCH(CHAR(10)&amp;I851&amp;CHAR(10),H851)),CHAR(10),"")))-1)*100+1,100))),""))</f>
        <v/>
      </c>
      <c r="K851" s="80" t="str">
        <f t="array" ref="K851">IF(A851="","",IF(ISNUMBER(SEARCH("Land",LEFT(IFERROR(INDEX('Deck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51" s="80" t="str">
        <f t="shared" si="3"/>
        <v/>
      </c>
      <c r="M851" s="80" t="str">
        <f>IF(A851="","",IF(AND(E851="Y",B851='Use at Shop'!$B$4),K851*10000000000+(MAX(0,MIN(26,CODE(MID(UPPER(A851)&amp;"    ",1,1))-64))*19683+MAX(0,MIN(26,CODE(MID(UPPER(A851)&amp;"    ",2,1))-64))*729+MAX(0,MIN(26,CODE(MID(UPPER(A851)&amp;"    ",3,1))-64))*27+MAX(0,MIN(26,CODE(MID(UPPER(A851)&amp;"    ",4,1))-64))*1)*10000+ROW(),""))</f>
        <v/>
      </c>
      <c r="N851" s="80" t="str">
        <f t="shared" si="7"/>
        <v/>
      </c>
      <c r="O851" s="80" t="str">
        <f t="array" ref="O851">IF(A851="","",IFERROR(INDEX('Deck 3'!$A:$Z,ROW()-750,'List Setup'!$J$5)&amp;"",""))</f>
        <v/>
      </c>
      <c r="P851" s="2"/>
      <c r="Q851" s="80" t="str">
        <f>IF(A851="","",'List Setup'!$A$5)</f>
        <v/>
      </c>
      <c r="R851" s="80" t="str">
        <f t="array" ref="R851">IF(A851="","",IFERROR(OR(INDEX(Binders!$J$6:$J$30,MATCH(Q851,Binders!$I$6:$I$30,0))=TRUE(),UPPER(INDEX(Binders!$J$6:$J$30,MATCH(Q851,Binders!$I$6:$I$30,0))&amp;"")="TRUE"),FALSE()))</f>
        <v/>
      </c>
    </row>
    <row r="852" ht="15.75" customHeight="1">
      <c r="A852" s="80" t="str">
        <f t="array" ref="A852">IF(INDEX('Deck 3'!$A:$Z,ROW()-750,'List Setup'!$D$5)="","",INDEX('Deck 3'!$A:$Z,ROW()-750,'List Setup'!$D$5))</f>
        <v/>
      </c>
      <c r="B852" s="80" t="str">
        <f t="array" ref="B852">IF(A852="","",IFERROR(INDEX('Binder Setup'!$B$2:$B$401,MIN(IF(ISNUMBER(SEARCH(CHAR(10)&amp;'Binder Setup'!$B$2:$B$401&amp;CHAR(10),$H852)),'List Setup'!$Q$2:$Q$401,999),IF(ISNUMBER(SEARCH(CHAR(10)&amp;'Set Aliases'!$A$2:$A$501&amp;CHAR(10),$H852)),'Set Aliases'!$C$2:$C$501,999))),"(none)"))</f>
        <v/>
      </c>
      <c r="C852" s="80" t="str">
        <f t="shared" si="1"/>
        <v/>
      </c>
      <c r="D852" s="80" t="str">
        <f t="array" ref="D852">IF(A852="","",IF(ISLOGICAL(INDEX('Deck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52" s="80" t="str">
        <f t="shared" si="2"/>
        <v/>
      </c>
      <c r="F852" s="80" t="str">
        <f t="array" ref="F852">IF(A852="","",IF(ISNUMBER(J852),J852,IF(ISNUMBER(INDEX('Deck 3'!$A:$Z,ROW()-750,'List Setup'!$F$5)),INDEX('Deck 3'!$A:$Z,ROW()-750,'List Setup'!$F$5),0)))</f>
        <v/>
      </c>
      <c r="G852" s="80" t="str">
        <f t="array" ref="G852">IF(A852="","",A852&amp;IF(N(INDEX('Deck 3'!$A:$Z,ROW()-750,'List Setup'!$C$5))&gt;1," (x"&amp;INDEX('Deck 3'!$A:$Z,ROW()-750,'List Setup'!$C$5)&amp;")","")&amp;IF(COUNTIF(Binders!$J$6:$J$30,TRUE())&gt;1," ["&amp;Q852&amp;"]",""))</f>
        <v/>
      </c>
      <c r="H852" s="80" t="str">
        <f t="array" ref="H852">IF(A852="","",CHAR(10)&amp;INDEX('Deck 3'!$A:$Z,ROW()-750,'List Setup'!$E$5)&amp;CHAR(10))</f>
        <v/>
      </c>
      <c r="I852" s="80" t="str">
        <f t="array" ref="I852">IF(OR(B852="",B852="(none)"),"",IF(ISNUMBER(SEARCH(CHAR(10)&amp;B852&amp;CHAR(10),H852)),B852,IFERROR(INDEX('Set Aliases'!$A$2:$A$501,MATCH(1,('Set Aliases'!$B$2:$B$501=B852)*ISNUMBER(SEARCH(CHAR(10)&amp;'Set Aliases'!$A$2:$A$501&amp;CHAR(10),H852)),0)),"")))</f>
        <v/>
      </c>
      <c r="J852" s="80" t="str">
        <f t="array" ref="J852">IF(I852="","",IFERROR(VALUE(TRIM(MID(SUBSTITUTE(INDEX('Deck 3'!$A:$Z,ROW()-750,'List Setup'!$G$5),CHAR(10),REPT(" ",100)),((SEARCH(CHAR(10)&amp;I852&amp;CHAR(10),H852)-LEN(SUBSTITUTE(LEFT(H852,SEARCH(CHAR(10)&amp;I852&amp;CHAR(10),H852)),CHAR(10),"")))-1)*100+1,100))),""))</f>
        <v/>
      </c>
      <c r="K852" s="80" t="str">
        <f t="array" ref="K852">IF(A852="","",IF(ISNUMBER(SEARCH("Land",LEFT(IFERROR(INDEX('Deck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52" s="80" t="str">
        <f t="shared" si="3"/>
        <v/>
      </c>
      <c r="M852" s="80" t="str">
        <f>IF(A852="","",IF(AND(E852="Y",B852='Use at Shop'!$B$4),K852*10000000000+(MAX(0,MIN(26,CODE(MID(UPPER(A852)&amp;"    ",1,1))-64))*19683+MAX(0,MIN(26,CODE(MID(UPPER(A852)&amp;"    ",2,1))-64))*729+MAX(0,MIN(26,CODE(MID(UPPER(A852)&amp;"    ",3,1))-64))*27+MAX(0,MIN(26,CODE(MID(UPPER(A852)&amp;"    ",4,1))-64))*1)*10000+ROW(),""))</f>
        <v/>
      </c>
      <c r="N852" s="80" t="str">
        <f t="shared" si="7"/>
        <v/>
      </c>
      <c r="O852" s="80" t="str">
        <f t="array" ref="O852">IF(A852="","",IFERROR(INDEX('Deck 3'!$A:$Z,ROW()-750,'List Setup'!$J$5)&amp;"",""))</f>
        <v/>
      </c>
      <c r="P852" s="2"/>
      <c r="Q852" s="80" t="str">
        <f>IF(A852="","",'List Setup'!$A$5)</f>
        <v/>
      </c>
      <c r="R852" s="80" t="str">
        <f t="array" ref="R852">IF(A852="","",IFERROR(OR(INDEX(Binders!$J$6:$J$30,MATCH(Q852,Binders!$I$6:$I$30,0))=TRUE(),UPPER(INDEX(Binders!$J$6:$J$30,MATCH(Q852,Binders!$I$6:$I$30,0))&amp;"")="TRUE"),FALSE()))</f>
        <v/>
      </c>
    </row>
    <row r="853" ht="15.75" customHeight="1">
      <c r="A853" s="80" t="str">
        <f t="array" ref="A853">IF(INDEX('Deck 3'!$A:$Z,ROW()-750,'List Setup'!$D$5)="","",INDEX('Deck 3'!$A:$Z,ROW()-750,'List Setup'!$D$5))</f>
        <v/>
      </c>
      <c r="B853" s="80" t="str">
        <f t="array" ref="B853">IF(A853="","",IFERROR(INDEX('Binder Setup'!$B$2:$B$401,MIN(IF(ISNUMBER(SEARCH(CHAR(10)&amp;'Binder Setup'!$B$2:$B$401&amp;CHAR(10),$H853)),'List Setup'!$Q$2:$Q$401,999),IF(ISNUMBER(SEARCH(CHAR(10)&amp;'Set Aliases'!$A$2:$A$501&amp;CHAR(10),$H853)),'Set Aliases'!$C$2:$C$501,999))),"(none)"))</f>
        <v/>
      </c>
      <c r="C853" s="80" t="str">
        <f t="shared" si="1"/>
        <v/>
      </c>
      <c r="D853" s="80" t="str">
        <f t="array" ref="D853">IF(A853="","",IF(ISLOGICAL(INDEX('Deck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53" s="80" t="str">
        <f t="shared" si="2"/>
        <v/>
      </c>
      <c r="F853" s="80" t="str">
        <f t="array" ref="F853">IF(A853="","",IF(ISNUMBER(J853),J853,IF(ISNUMBER(INDEX('Deck 3'!$A:$Z,ROW()-750,'List Setup'!$F$5)),INDEX('Deck 3'!$A:$Z,ROW()-750,'List Setup'!$F$5),0)))</f>
        <v/>
      </c>
      <c r="G853" s="80" t="str">
        <f t="array" ref="G853">IF(A853="","",A853&amp;IF(N(INDEX('Deck 3'!$A:$Z,ROW()-750,'List Setup'!$C$5))&gt;1," (x"&amp;INDEX('Deck 3'!$A:$Z,ROW()-750,'List Setup'!$C$5)&amp;")","")&amp;IF(COUNTIF(Binders!$J$6:$J$30,TRUE())&gt;1," ["&amp;Q853&amp;"]",""))</f>
        <v/>
      </c>
      <c r="H853" s="80" t="str">
        <f t="array" ref="H853">IF(A853="","",CHAR(10)&amp;INDEX('Deck 3'!$A:$Z,ROW()-750,'List Setup'!$E$5)&amp;CHAR(10))</f>
        <v/>
      </c>
      <c r="I853" s="80" t="str">
        <f t="array" ref="I853">IF(OR(B853="",B853="(none)"),"",IF(ISNUMBER(SEARCH(CHAR(10)&amp;B853&amp;CHAR(10),H853)),B853,IFERROR(INDEX('Set Aliases'!$A$2:$A$501,MATCH(1,('Set Aliases'!$B$2:$B$501=B853)*ISNUMBER(SEARCH(CHAR(10)&amp;'Set Aliases'!$A$2:$A$501&amp;CHAR(10),H853)),0)),"")))</f>
        <v/>
      </c>
      <c r="J853" s="80" t="str">
        <f t="array" ref="J853">IF(I853="","",IFERROR(VALUE(TRIM(MID(SUBSTITUTE(INDEX('Deck 3'!$A:$Z,ROW()-750,'List Setup'!$G$5),CHAR(10),REPT(" ",100)),((SEARCH(CHAR(10)&amp;I853&amp;CHAR(10),H853)-LEN(SUBSTITUTE(LEFT(H853,SEARCH(CHAR(10)&amp;I853&amp;CHAR(10),H853)),CHAR(10),"")))-1)*100+1,100))),""))</f>
        <v/>
      </c>
      <c r="K853" s="80" t="str">
        <f t="array" ref="K853">IF(A853="","",IF(ISNUMBER(SEARCH("Land",LEFT(IFERROR(INDEX('Deck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53" s="80" t="str">
        <f t="shared" si="3"/>
        <v/>
      </c>
      <c r="M853" s="80" t="str">
        <f>IF(A853="","",IF(AND(E853="Y",B853='Use at Shop'!$B$4),K853*10000000000+(MAX(0,MIN(26,CODE(MID(UPPER(A853)&amp;"    ",1,1))-64))*19683+MAX(0,MIN(26,CODE(MID(UPPER(A853)&amp;"    ",2,1))-64))*729+MAX(0,MIN(26,CODE(MID(UPPER(A853)&amp;"    ",3,1))-64))*27+MAX(0,MIN(26,CODE(MID(UPPER(A853)&amp;"    ",4,1))-64))*1)*10000+ROW(),""))</f>
        <v/>
      </c>
      <c r="N853" s="80" t="str">
        <f t="shared" si="7"/>
        <v/>
      </c>
      <c r="O853" s="80" t="str">
        <f t="array" ref="O853">IF(A853="","",IFERROR(INDEX('Deck 3'!$A:$Z,ROW()-750,'List Setup'!$J$5)&amp;"",""))</f>
        <v/>
      </c>
      <c r="P853" s="2"/>
      <c r="Q853" s="80" t="str">
        <f>IF(A853="","",'List Setup'!$A$5)</f>
        <v/>
      </c>
      <c r="R853" s="80" t="str">
        <f t="array" ref="R853">IF(A853="","",IFERROR(OR(INDEX(Binders!$J$6:$J$30,MATCH(Q853,Binders!$I$6:$I$30,0))=TRUE(),UPPER(INDEX(Binders!$J$6:$J$30,MATCH(Q853,Binders!$I$6:$I$30,0))&amp;"")="TRUE"),FALSE()))</f>
        <v/>
      </c>
    </row>
    <row r="854" ht="15.75" customHeight="1">
      <c r="A854" s="80" t="str">
        <f t="array" ref="A854">IF(INDEX('Deck 3'!$A:$Z,ROW()-750,'List Setup'!$D$5)="","",INDEX('Deck 3'!$A:$Z,ROW()-750,'List Setup'!$D$5))</f>
        <v/>
      </c>
      <c r="B854" s="80" t="str">
        <f t="array" ref="B854">IF(A854="","",IFERROR(INDEX('Binder Setup'!$B$2:$B$401,MIN(IF(ISNUMBER(SEARCH(CHAR(10)&amp;'Binder Setup'!$B$2:$B$401&amp;CHAR(10),$H854)),'List Setup'!$Q$2:$Q$401,999),IF(ISNUMBER(SEARCH(CHAR(10)&amp;'Set Aliases'!$A$2:$A$501&amp;CHAR(10),$H854)),'Set Aliases'!$C$2:$C$501,999))),"(none)"))</f>
        <v/>
      </c>
      <c r="C854" s="80" t="str">
        <f t="shared" si="1"/>
        <v/>
      </c>
      <c r="D854" s="80" t="str">
        <f t="array" ref="D854">IF(A854="","",IF(ISLOGICAL(INDEX('Deck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54" s="80" t="str">
        <f t="shared" si="2"/>
        <v/>
      </c>
      <c r="F854" s="80" t="str">
        <f t="array" ref="F854">IF(A854="","",IF(ISNUMBER(J854),J854,IF(ISNUMBER(INDEX('Deck 3'!$A:$Z,ROW()-750,'List Setup'!$F$5)),INDEX('Deck 3'!$A:$Z,ROW()-750,'List Setup'!$F$5),0)))</f>
        <v/>
      </c>
      <c r="G854" s="80" t="str">
        <f t="array" ref="G854">IF(A854="","",A854&amp;IF(N(INDEX('Deck 3'!$A:$Z,ROW()-750,'List Setup'!$C$5))&gt;1," (x"&amp;INDEX('Deck 3'!$A:$Z,ROW()-750,'List Setup'!$C$5)&amp;")","")&amp;IF(COUNTIF(Binders!$J$6:$J$30,TRUE())&gt;1," ["&amp;Q854&amp;"]",""))</f>
        <v/>
      </c>
      <c r="H854" s="80" t="str">
        <f t="array" ref="H854">IF(A854="","",CHAR(10)&amp;INDEX('Deck 3'!$A:$Z,ROW()-750,'List Setup'!$E$5)&amp;CHAR(10))</f>
        <v/>
      </c>
      <c r="I854" s="80" t="str">
        <f t="array" ref="I854">IF(OR(B854="",B854="(none)"),"",IF(ISNUMBER(SEARCH(CHAR(10)&amp;B854&amp;CHAR(10),H854)),B854,IFERROR(INDEX('Set Aliases'!$A$2:$A$501,MATCH(1,('Set Aliases'!$B$2:$B$501=B854)*ISNUMBER(SEARCH(CHAR(10)&amp;'Set Aliases'!$A$2:$A$501&amp;CHAR(10),H854)),0)),"")))</f>
        <v/>
      </c>
      <c r="J854" s="80" t="str">
        <f t="array" ref="J854">IF(I854="","",IFERROR(VALUE(TRIM(MID(SUBSTITUTE(INDEX('Deck 3'!$A:$Z,ROW()-750,'List Setup'!$G$5),CHAR(10),REPT(" ",100)),((SEARCH(CHAR(10)&amp;I854&amp;CHAR(10),H854)-LEN(SUBSTITUTE(LEFT(H854,SEARCH(CHAR(10)&amp;I854&amp;CHAR(10),H854)),CHAR(10),"")))-1)*100+1,100))),""))</f>
        <v/>
      </c>
      <c r="K854" s="80" t="str">
        <f t="array" ref="K854">IF(A854="","",IF(ISNUMBER(SEARCH("Land",LEFT(IFERROR(INDEX('Deck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54" s="80" t="str">
        <f t="shared" si="3"/>
        <v/>
      </c>
      <c r="M854" s="80" t="str">
        <f>IF(A854="","",IF(AND(E854="Y",B854='Use at Shop'!$B$4),K854*10000000000+(MAX(0,MIN(26,CODE(MID(UPPER(A854)&amp;"    ",1,1))-64))*19683+MAX(0,MIN(26,CODE(MID(UPPER(A854)&amp;"    ",2,1))-64))*729+MAX(0,MIN(26,CODE(MID(UPPER(A854)&amp;"    ",3,1))-64))*27+MAX(0,MIN(26,CODE(MID(UPPER(A854)&amp;"    ",4,1))-64))*1)*10000+ROW(),""))</f>
        <v/>
      </c>
      <c r="N854" s="80" t="str">
        <f t="shared" si="7"/>
        <v/>
      </c>
      <c r="O854" s="80" t="str">
        <f t="array" ref="O854">IF(A854="","",IFERROR(INDEX('Deck 3'!$A:$Z,ROW()-750,'List Setup'!$J$5)&amp;"",""))</f>
        <v/>
      </c>
      <c r="P854" s="2"/>
      <c r="Q854" s="80" t="str">
        <f>IF(A854="","",'List Setup'!$A$5)</f>
        <v/>
      </c>
      <c r="R854" s="80" t="str">
        <f t="array" ref="R854">IF(A854="","",IFERROR(OR(INDEX(Binders!$J$6:$J$30,MATCH(Q854,Binders!$I$6:$I$30,0))=TRUE(),UPPER(INDEX(Binders!$J$6:$J$30,MATCH(Q854,Binders!$I$6:$I$30,0))&amp;"")="TRUE"),FALSE()))</f>
        <v/>
      </c>
    </row>
    <row r="855" ht="15.75" customHeight="1">
      <c r="A855" s="80" t="str">
        <f t="array" ref="A855">IF(INDEX('Deck 3'!$A:$Z,ROW()-750,'List Setup'!$D$5)="","",INDEX('Deck 3'!$A:$Z,ROW()-750,'List Setup'!$D$5))</f>
        <v/>
      </c>
      <c r="B855" s="80" t="str">
        <f t="array" ref="B855">IF(A855="","",IFERROR(INDEX('Binder Setup'!$B$2:$B$401,MIN(IF(ISNUMBER(SEARCH(CHAR(10)&amp;'Binder Setup'!$B$2:$B$401&amp;CHAR(10),$H855)),'List Setup'!$Q$2:$Q$401,999),IF(ISNUMBER(SEARCH(CHAR(10)&amp;'Set Aliases'!$A$2:$A$501&amp;CHAR(10),$H855)),'Set Aliases'!$C$2:$C$501,999))),"(none)"))</f>
        <v/>
      </c>
      <c r="C855" s="80" t="str">
        <f t="shared" si="1"/>
        <v/>
      </c>
      <c r="D855" s="80" t="str">
        <f t="array" ref="D855">IF(A855="","",IF(ISLOGICAL(INDEX('Deck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55" s="80" t="str">
        <f t="shared" si="2"/>
        <v/>
      </c>
      <c r="F855" s="80" t="str">
        <f t="array" ref="F855">IF(A855="","",IF(ISNUMBER(J855),J855,IF(ISNUMBER(INDEX('Deck 3'!$A:$Z,ROW()-750,'List Setup'!$F$5)),INDEX('Deck 3'!$A:$Z,ROW()-750,'List Setup'!$F$5),0)))</f>
        <v/>
      </c>
      <c r="G855" s="80" t="str">
        <f t="array" ref="G855">IF(A855="","",A855&amp;IF(N(INDEX('Deck 3'!$A:$Z,ROW()-750,'List Setup'!$C$5))&gt;1," (x"&amp;INDEX('Deck 3'!$A:$Z,ROW()-750,'List Setup'!$C$5)&amp;")","")&amp;IF(COUNTIF(Binders!$J$6:$J$30,TRUE())&gt;1," ["&amp;Q855&amp;"]",""))</f>
        <v/>
      </c>
      <c r="H855" s="80" t="str">
        <f t="array" ref="H855">IF(A855="","",CHAR(10)&amp;INDEX('Deck 3'!$A:$Z,ROW()-750,'List Setup'!$E$5)&amp;CHAR(10))</f>
        <v/>
      </c>
      <c r="I855" s="80" t="str">
        <f t="array" ref="I855">IF(OR(B855="",B855="(none)"),"",IF(ISNUMBER(SEARCH(CHAR(10)&amp;B855&amp;CHAR(10),H855)),B855,IFERROR(INDEX('Set Aliases'!$A$2:$A$501,MATCH(1,('Set Aliases'!$B$2:$B$501=B855)*ISNUMBER(SEARCH(CHAR(10)&amp;'Set Aliases'!$A$2:$A$501&amp;CHAR(10),H855)),0)),"")))</f>
        <v/>
      </c>
      <c r="J855" s="80" t="str">
        <f t="array" ref="J855">IF(I855="","",IFERROR(VALUE(TRIM(MID(SUBSTITUTE(INDEX('Deck 3'!$A:$Z,ROW()-750,'List Setup'!$G$5),CHAR(10),REPT(" ",100)),((SEARCH(CHAR(10)&amp;I855&amp;CHAR(10),H855)-LEN(SUBSTITUTE(LEFT(H855,SEARCH(CHAR(10)&amp;I855&amp;CHAR(10),H855)),CHAR(10),"")))-1)*100+1,100))),""))</f>
        <v/>
      </c>
      <c r="K855" s="80" t="str">
        <f t="array" ref="K855">IF(A855="","",IF(ISNUMBER(SEARCH("Land",LEFT(IFERROR(INDEX('Deck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55" s="80" t="str">
        <f t="shared" si="3"/>
        <v/>
      </c>
      <c r="M855" s="80" t="str">
        <f>IF(A855="","",IF(AND(E855="Y",B855='Use at Shop'!$B$4),K855*10000000000+(MAX(0,MIN(26,CODE(MID(UPPER(A855)&amp;"    ",1,1))-64))*19683+MAX(0,MIN(26,CODE(MID(UPPER(A855)&amp;"    ",2,1))-64))*729+MAX(0,MIN(26,CODE(MID(UPPER(A855)&amp;"    ",3,1))-64))*27+MAX(0,MIN(26,CODE(MID(UPPER(A855)&amp;"    ",4,1))-64))*1)*10000+ROW(),""))</f>
        <v/>
      </c>
      <c r="N855" s="80" t="str">
        <f t="shared" si="7"/>
        <v/>
      </c>
      <c r="O855" s="80" t="str">
        <f t="array" ref="O855">IF(A855="","",IFERROR(INDEX('Deck 3'!$A:$Z,ROW()-750,'List Setup'!$J$5)&amp;"",""))</f>
        <v/>
      </c>
      <c r="P855" s="2"/>
      <c r="Q855" s="80" t="str">
        <f>IF(A855="","",'List Setup'!$A$5)</f>
        <v/>
      </c>
      <c r="R855" s="80" t="str">
        <f t="array" ref="R855">IF(A855="","",IFERROR(OR(INDEX(Binders!$J$6:$J$30,MATCH(Q855,Binders!$I$6:$I$30,0))=TRUE(),UPPER(INDEX(Binders!$J$6:$J$30,MATCH(Q855,Binders!$I$6:$I$30,0))&amp;"")="TRUE"),FALSE()))</f>
        <v/>
      </c>
    </row>
    <row r="856" ht="15.75" customHeight="1">
      <c r="A856" s="80" t="str">
        <f t="array" ref="A856">IF(INDEX('Deck 3'!$A:$Z,ROW()-750,'List Setup'!$D$5)="","",INDEX('Deck 3'!$A:$Z,ROW()-750,'List Setup'!$D$5))</f>
        <v/>
      </c>
      <c r="B856" s="80" t="str">
        <f t="array" ref="B856">IF(A856="","",IFERROR(INDEX('Binder Setup'!$B$2:$B$401,MIN(IF(ISNUMBER(SEARCH(CHAR(10)&amp;'Binder Setup'!$B$2:$B$401&amp;CHAR(10),$H856)),'List Setup'!$Q$2:$Q$401,999),IF(ISNUMBER(SEARCH(CHAR(10)&amp;'Set Aliases'!$A$2:$A$501&amp;CHAR(10),$H856)),'Set Aliases'!$C$2:$C$501,999))),"(none)"))</f>
        <v/>
      </c>
      <c r="C856" s="80" t="str">
        <f t="shared" si="1"/>
        <v/>
      </c>
      <c r="D856" s="80" t="str">
        <f t="array" ref="D856">IF(A856="","",IF(ISLOGICAL(INDEX('Deck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56" s="80" t="str">
        <f t="shared" si="2"/>
        <v/>
      </c>
      <c r="F856" s="80" t="str">
        <f t="array" ref="F856">IF(A856="","",IF(ISNUMBER(J856),J856,IF(ISNUMBER(INDEX('Deck 3'!$A:$Z,ROW()-750,'List Setup'!$F$5)),INDEX('Deck 3'!$A:$Z,ROW()-750,'List Setup'!$F$5),0)))</f>
        <v/>
      </c>
      <c r="G856" s="80" t="str">
        <f t="array" ref="G856">IF(A856="","",A856&amp;IF(N(INDEX('Deck 3'!$A:$Z,ROW()-750,'List Setup'!$C$5))&gt;1," (x"&amp;INDEX('Deck 3'!$A:$Z,ROW()-750,'List Setup'!$C$5)&amp;")","")&amp;IF(COUNTIF(Binders!$J$6:$J$30,TRUE())&gt;1," ["&amp;Q856&amp;"]",""))</f>
        <v/>
      </c>
      <c r="H856" s="80" t="str">
        <f t="array" ref="H856">IF(A856="","",CHAR(10)&amp;INDEX('Deck 3'!$A:$Z,ROW()-750,'List Setup'!$E$5)&amp;CHAR(10))</f>
        <v/>
      </c>
      <c r="I856" s="80" t="str">
        <f t="array" ref="I856">IF(OR(B856="",B856="(none)"),"",IF(ISNUMBER(SEARCH(CHAR(10)&amp;B856&amp;CHAR(10),H856)),B856,IFERROR(INDEX('Set Aliases'!$A$2:$A$501,MATCH(1,('Set Aliases'!$B$2:$B$501=B856)*ISNUMBER(SEARCH(CHAR(10)&amp;'Set Aliases'!$A$2:$A$501&amp;CHAR(10),H856)),0)),"")))</f>
        <v/>
      </c>
      <c r="J856" s="80" t="str">
        <f t="array" ref="J856">IF(I856="","",IFERROR(VALUE(TRIM(MID(SUBSTITUTE(INDEX('Deck 3'!$A:$Z,ROW()-750,'List Setup'!$G$5),CHAR(10),REPT(" ",100)),((SEARCH(CHAR(10)&amp;I856&amp;CHAR(10),H856)-LEN(SUBSTITUTE(LEFT(H856,SEARCH(CHAR(10)&amp;I856&amp;CHAR(10),H856)),CHAR(10),"")))-1)*100+1,100))),""))</f>
        <v/>
      </c>
      <c r="K856" s="80" t="str">
        <f t="array" ref="K856">IF(A856="","",IF(ISNUMBER(SEARCH("Land",LEFT(IFERROR(INDEX('Deck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56" s="80" t="str">
        <f t="shared" si="3"/>
        <v/>
      </c>
      <c r="M856" s="80" t="str">
        <f>IF(A856="","",IF(AND(E856="Y",B856='Use at Shop'!$B$4),K856*10000000000+(MAX(0,MIN(26,CODE(MID(UPPER(A856)&amp;"    ",1,1))-64))*19683+MAX(0,MIN(26,CODE(MID(UPPER(A856)&amp;"    ",2,1))-64))*729+MAX(0,MIN(26,CODE(MID(UPPER(A856)&amp;"    ",3,1))-64))*27+MAX(0,MIN(26,CODE(MID(UPPER(A856)&amp;"    ",4,1))-64))*1)*10000+ROW(),""))</f>
        <v/>
      </c>
      <c r="N856" s="80" t="str">
        <f t="shared" si="7"/>
        <v/>
      </c>
      <c r="O856" s="80" t="str">
        <f t="array" ref="O856">IF(A856="","",IFERROR(INDEX('Deck 3'!$A:$Z,ROW()-750,'List Setup'!$J$5)&amp;"",""))</f>
        <v/>
      </c>
      <c r="P856" s="2"/>
      <c r="Q856" s="80" t="str">
        <f>IF(A856="","",'List Setup'!$A$5)</f>
        <v/>
      </c>
      <c r="R856" s="80" t="str">
        <f t="array" ref="R856">IF(A856="","",IFERROR(OR(INDEX(Binders!$J$6:$J$30,MATCH(Q856,Binders!$I$6:$I$30,0))=TRUE(),UPPER(INDEX(Binders!$J$6:$J$30,MATCH(Q856,Binders!$I$6:$I$30,0))&amp;"")="TRUE"),FALSE()))</f>
        <v/>
      </c>
    </row>
    <row r="857" ht="15.75" customHeight="1">
      <c r="A857" s="80" t="str">
        <f t="array" ref="A857">IF(INDEX('Deck 3'!$A:$Z,ROW()-750,'List Setup'!$D$5)="","",INDEX('Deck 3'!$A:$Z,ROW()-750,'List Setup'!$D$5))</f>
        <v/>
      </c>
      <c r="B857" s="80" t="str">
        <f t="array" ref="B857">IF(A857="","",IFERROR(INDEX('Binder Setup'!$B$2:$B$401,MIN(IF(ISNUMBER(SEARCH(CHAR(10)&amp;'Binder Setup'!$B$2:$B$401&amp;CHAR(10),$H857)),'List Setup'!$Q$2:$Q$401,999),IF(ISNUMBER(SEARCH(CHAR(10)&amp;'Set Aliases'!$A$2:$A$501&amp;CHAR(10),$H857)),'Set Aliases'!$C$2:$C$501,999))),"(none)"))</f>
        <v/>
      </c>
      <c r="C857" s="80" t="str">
        <f t="shared" si="1"/>
        <v/>
      </c>
      <c r="D857" s="80" t="str">
        <f t="array" ref="D857">IF(A857="","",IF(ISLOGICAL(INDEX('Deck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57" s="80" t="str">
        <f t="shared" si="2"/>
        <v/>
      </c>
      <c r="F857" s="80" t="str">
        <f t="array" ref="F857">IF(A857="","",IF(ISNUMBER(J857),J857,IF(ISNUMBER(INDEX('Deck 3'!$A:$Z,ROW()-750,'List Setup'!$F$5)),INDEX('Deck 3'!$A:$Z,ROW()-750,'List Setup'!$F$5),0)))</f>
        <v/>
      </c>
      <c r="G857" s="80" t="str">
        <f t="array" ref="G857">IF(A857="","",A857&amp;IF(N(INDEX('Deck 3'!$A:$Z,ROW()-750,'List Setup'!$C$5))&gt;1," (x"&amp;INDEX('Deck 3'!$A:$Z,ROW()-750,'List Setup'!$C$5)&amp;")","")&amp;IF(COUNTIF(Binders!$J$6:$J$30,TRUE())&gt;1," ["&amp;Q857&amp;"]",""))</f>
        <v/>
      </c>
      <c r="H857" s="80" t="str">
        <f t="array" ref="H857">IF(A857="","",CHAR(10)&amp;INDEX('Deck 3'!$A:$Z,ROW()-750,'List Setup'!$E$5)&amp;CHAR(10))</f>
        <v/>
      </c>
      <c r="I857" s="80" t="str">
        <f t="array" ref="I857">IF(OR(B857="",B857="(none)"),"",IF(ISNUMBER(SEARCH(CHAR(10)&amp;B857&amp;CHAR(10),H857)),B857,IFERROR(INDEX('Set Aliases'!$A$2:$A$501,MATCH(1,('Set Aliases'!$B$2:$B$501=B857)*ISNUMBER(SEARCH(CHAR(10)&amp;'Set Aliases'!$A$2:$A$501&amp;CHAR(10),H857)),0)),"")))</f>
        <v/>
      </c>
      <c r="J857" s="80" t="str">
        <f t="array" ref="J857">IF(I857="","",IFERROR(VALUE(TRIM(MID(SUBSTITUTE(INDEX('Deck 3'!$A:$Z,ROW()-750,'List Setup'!$G$5),CHAR(10),REPT(" ",100)),((SEARCH(CHAR(10)&amp;I857&amp;CHAR(10),H857)-LEN(SUBSTITUTE(LEFT(H857,SEARCH(CHAR(10)&amp;I857&amp;CHAR(10),H857)),CHAR(10),"")))-1)*100+1,100))),""))</f>
        <v/>
      </c>
      <c r="K857" s="80" t="str">
        <f t="array" ref="K857">IF(A857="","",IF(ISNUMBER(SEARCH("Land",LEFT(IFERROR(INDEX('Deck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57" s="80" t="str">
        <f t="shared" si="3"/>
        <v/>
      </c>
      <c r="M857" s="80" t="str">
        <f>IF(A857="","",IF(AND(E857="Y",B857='Use at Shop'!$B$4),K857*10000000000+(MAX(0,MIN(26,CODE(MID(UPPER(A857)&amp;"    ",1,1))-64))*19683+MAX(0,MIN(26,CODE(MID(UPPER(A857)&amp;"    ",2,1))-64))*729+MAX(0,MIN(26,CODE(MID(UPPER(A857)&amp;"    ",3,1))-64))*27+MAX(0,MIN(26,CODE(MID(UPPER(A857)&amp;"    ",4,1))-64))*1)*10000+ROW(),""))</f>
        <v/>
      </c>
      <c r="N857" s="80" t="str">
        <f t="shared" si="7"/>
        <v/>
      </c>
      <c r="O857" s="80" t="str">
        <f t="array" ref="O857">IF(A857="","",IFERROR(INDEX('Deck 3'!$A:$Z,ROW()-750,'List Setup'!$J$5)&amp;"",""))</f>
        <v/>
      </c>
      <c r="P857" s="2"/>
      <c r="Q857" s="80" t="str">
        <f>IF(A857="","",'List Setup'!$A$5)</f>
        <v/>
      </c>
      <c r="R857" s="80" t="str">
        <f t="array" ref="R857">IF(A857="","",IFERROR(OR(INDEX(Binders!$J$6:$J$30,MATCH(Q857,Binders!$I$6:$I$30,0))=TRUE(),UPPER(INDEX(Binders!$J$6:$J$30,MATCH(Q857,Binders!$I$6:$I$30,0))&amp;"")="TRUE"),FALSE()))</f>
        <v/>
      </c>
    </row>
    <row r="858" ht="15.75" customHeight="1">
      <c r="A858" s="80" t="str">
        <f t="array" ref="A858">IF(INDEX('Deck 3'!$A:$Z,ROW()-750,'List Setup'!$D$5)="","",INDEX('Deck 3'!$A:$Z,ROW()-750,'List Setup'!$D$5))</f>
        <v/>
      </c>
      <c r="B858" s="80" t="str">
        <f t="array" ref="B858">IF(A858="","",IFERROR(INDEX('Binder Setup'!$B$2:$B$401,MIN(IF(ISNUMBER(SEARCH(CHAR(10)&amp;'Binder Setup'!$B$2:$B$401&amp;CHAR(10),$H858)),'List Setup'!$Q$2:$Q$401,999),IF(ISNUMBER(SEARCH(CHAR(10)&amp;'Set Aliases'!$A$2:$A$501&amp;CHAR(10),$H858)),'Set Aliases'!$C$2:$C$501,999))),"(none)"))</f>
        <v/>
      </c>
      <c r="C858" s="80" t="str">
        <f t="shared" si="1"/>
        <v/>
      </c>
      <c r="D858" s="80" t="str">
        <f t="array" ref="D858">IF(A858="","",IF(ISLOGICAL(INDEX('Deck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58" s="80" t="str">
        <f t="shared" si="2"/>
        <v/>
      </c>
      <c r="F858" s="80" t="str">
        <f t="array" ref="F858">IF(A858="","",IF(ISNUMBER(J858),J858,IF(ISNUMBER(INDEX('Deck 3'!$A:$Z,ROW()-750,'List Setup'!$F$5)),INDEX('Deck 3'!$A:$Z,ROW()-750,'List Setup'!$F$5),0)))</f>
        <v/>
      </c>
      <c r="G858" s="80" t="str">
        <f t="array" ref="G858">IF(A858="","",A858&amp;IF(N(INDEX('Deck 3'!$A:$Z,ROW()-750,'List Setup'!$C$5))&gt;1," (x"&amp;INDEX('Deck 3'!$A:$Z,ROW()-750,'List Setup'!$C$5)&amp;")","")&amp;IF(COUNTIF(Binders!$J$6:$J$30,TRUE())&gt;1," ["&amp;Q858&amp;"]",""))</f>
        <v/>
      </c>
      <c r="H858" s="80" t="str">
        <f t="array" ref="H858">IF(A858="","",CHAR(10)&amp;INDEX('Deck 3'!$A:$Z,ROW()-750,'List Setup'!$E$5)&amp;CHAR(10))</f>
        <v/>
      </c>
      <c r="I858" s="80" t="str">
        <f t="array" ref="I858">IF(OR(B858="",B858="(none)"),"",IF(ISNUMBER(SEARCH(CHAR(10)&amp;B858&amp;CHAR(10),H858)),B858,IFERROR(INDEX('Set Aliases'!$A$2:$A$501,MATCH(1,('Set Aliases'!$B$2:$B$501=B858)*ISNUMBER(SEARCH(CHAR(10)&amp;'Set Aliases'!$A$2:$A$501&amp;CHAR(10),H858)),0)),"")))</f>
        <v/>
      </c>
      <c r="J858" s="80" t="str">
        <f t="array" ref="J858">IF(I858="","",IFERROR(VALUE(TRIM(MID(SUBSTITUTE(INDEX('Deck 3'!$A:$Z,ROW()-750,'List Setup'!$G$5),CHAR(10),REPT(" ",100)),((SEARCH(CHAR(10)&amp;I858&amp;CHAR(10),H858)-LEN(SUBSTITUTE(LEFT(H858,SEARCH(CHAR(10)&amp;I858&amp;CHAR(10),H858)),CHAR(10),"")))-1)*100+1,100))),""))</f>
        <v/>
      </c>
      <c r="K858" s="80" t="str">
        <f t="array" ref="K858">IF(A858="","",IF(ISNUMBER(SEARCH("Land",LEFT(IFERROR(INDEX('Deck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58" s="80" t="str">
        <f t="shared" si="3"/>
        <v/>
      </c>
      <c r="M858" s="80" t="str">
        <f>IF(A858="","",IF(AND(E858="Y",B858='Use at Shop'!$B$4),K858*10000000000+(MAX(0,MIN(26,CODE(MID(UPPER(A858)&amp;"    ",1,1))-64))*19683+MAX(0,MIN(26,CODE(MID(UPPER(A858)&amp;"    ",2,1))-64))*729+MAX(0,MIN(26,CODE(MID(UPPER(A858)&amp;"    ",3,1))-64))*27+MAX(0,MIN(26,CODE(MID(UPPER(A858)&amp;"    ",4,1))-64))*1)*10000+ROW(),""))</f>
        <v/>
      </c>
      <c r="N858" s="80" t="str">
        <f t="shared" si="7"/>
        <v/>
      </c>
      <c r="O858" s="80" t="str">
        <f t="array" ref="O858">IF(A858="","",IFERROR(INDEX('Deck 3'!$A:$Z,ROW()-750,'List Setup'!$J$5)&amp;"",""))</f>
        <v/>
      </c>
      <c r="P858" s="2"/>
      <c r="Q858" s="80" t="str">
        <f>IF(A858="","",'List Setup'!$A$5)</f>
        <v/>
      </c>
      <c r="R858" s="80" t="str">
        <f t="array" ref="R858">IF(A858="","",IFERROR(OR(INDEX(Binders!$J$6:$J$30,MATCH(Q858,Binders!$I$6:$I$30,0))=TRUE(),UPPER(INDEX(Binders!$J$6:$J$30,MATCH(Q858,Binders!$I$6:$I$30,0))&amp;"")="TRUE"),FALSE()))</f>
        <v/>
      </c>
    </row>
    <row r="859" ht="15.75" customHeight="1">
      <c r="A859" s="80" t="str">
        <f t="array" ref="A859">IF(INDEX('Deck 3'!$A:$Z,ROW()-750,'List Setup'!$D$5)="","",INDEX('Deck 3'!$A:$Z,ROW()-750,'List Setup'!$D$5))</f>
        <v/>
      </c>
      <c r="B859" s="80" t="str">
        <f t="array" ref="B859">IF(A859="","",IFERROR(INDEX('Binder Setup'!$B$2:$B$401,MIN(IF(ISNUMBER(SEARCH(CHAR(10)&amp;'Binder Setup'!$B$2:$B$401&amp;CHAR(10),$H859)),'List Setup'!$Q$2:$Q$401,999),IF(ISNUMBER(SEARCH(CHAR(10)&amp;'Set Aliases'!$A$2:$A$501&amp;CHAR(10),$H859)),'Set Aliases'!$C$2:$C$501,999))),"(none)"))</f>
        <v/>
      </c>
      <c r="C859" s="80" t="str">
        <f t="shared" si="1"/>
        <v/>
      </c>
      <c r="D859" s="80" t="str">
        <f t="array" ref="D859">IF(A859="","",IF(ISLOGICAL(INDEX('Deck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59" s="80" t="str">
        <f t="shared" si="2"/>
        <v/>
      </c>
      <c r="F859" s="80" t="str">
        <f t="array" ref="F859">IF(A859="","",IF(ISNUMBER(J859),J859,IF(ISNUMBER(INDEX('Deck 3'!$A:$Z,ROW()-750,'List Setup'!$F$5)),INDEX('Deck 3'!$A:$Z,ROW()-750,'List Setup'!$F$5),0)))</f>
        <v/>
      </c>
      <c r="G859" s="80" t="str">
        <f t="array" ref="G859">IF(A859="","",A859&amp;IF(N(INDEX('Deck 3'!$A:$Z,ROW()-750,'List Setup'!$C$5))&gt;1," (x"&amp;INDEX('Deck 3'!$A:$Z,ROW()-750,'List Setup'!$C$5)&amp;")","")&amp;IF(COUNTIF(Binders!$J$6:$J$30,TRUE())&gt;1," ["&amp;Q859&amp;"]",""))</f>
        <v/>
      </c>
      <c r="H859" s="80" t="str">
        <f t="array" ref="H859">IF(A859="","",CHAR(10)&amp;INDEX('Deck 3'!$A:$Z,ROW()-750,'List Setup'!$E$5)&amp;CHAR(10))</f>
        <v/>
      </c>
      <c r="I859" s="80" t="str">
        <f t="array" ref="I859">IF(OR(B859="",B859="(none)"),"",IF(ISNUMBER(SEARCH(CHAR(10)&amp;B859&amp;CHAR(10),H859)),B859,IFERROR(INDEX('Set Aliases'!$A$2:$A$501,MATCH(1,('Set Aliases'!$B$2:$B$501=B859)*ISNUMBER(SEARCH(CHAR(10)&amp;'Set Aliases'!$A$2:$A$501&amp;CHAR(10),H859)),0)),"")))</f>
        <v/>
      </c>
      <c r="J859" s="80" t="str">
        <f t="array" ref="J859">IF(I859="","",IFERROR(VALUE(TRIM(MID(SUBSTITUTE(INDEX('Deck 3'!$A:$Z,ROW()-750,'List Setup'!$G$5),CHAR(10),REPT(" ",100)),((SEARCH(CHAR(10)&amp;I859&amp;CHAR(10),H859)-LEN(SUBSTITUTE(LEFT(H859,SEARCH(CHAR(10)&amp;I859&amp;CHAR(10),H859)),CHAR(10),"")))-1)*100+1,100))),""))</f>
        <v/>
      </c>
      <c r="K859" s="80" t="str">
        <f t="array" ref="K859">IF(A859="","",IF(ISNUMBER(SEARCH("Land",LEFT(IFERROR(INDEX('Deck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59" s="80" t="str">
        <f t="shared" si="3"/>
        <v/>
      </c>
      <c r="M859" s="80" t="str">
        <f>IF(A859="","",IF(AND(E859="Y",B859='Use at Shop'!$B$4),K859*10000000000+(MAX(0,MIN(26,CODE(MID(UPPER(A859)&amp;"    ",1,1))-64))*19683+MAX(0,MIN(26,CODE(MID(UPPER(A859)&amp;"    ",2,1))-64))*729+MAX(0,MIN(26,CODE(MID(UPPER(A859)&amp;"    ",3,1))-64))*27+MAX(0,MIN(26,CODE(MID(UPPER(A859)&amp;"    ",4,1))-64))*1)*10000+ROW(),""))</f>
        <v/>
      </c>
      <c r="N859" s="80" t="str">
        <f t="shared" si="7"/>
        <v/>
      </c>
      <c r="O859" s="80" t="str">
        <f t="array" ref="O859">IF(A859="","",IFERROR(INDEX('Deck 3'!$A:$Z,ROW()-750,'List Setup'!$J$5)&amp;"",""))</f>
        <v/>
      </c>
      <c r="P859" s="2"/>
      <c r="Q859" s="80" t="str">
        <f>IF(A859="","",'List Setup'!$A$5)</f>
        <v/>
      </c>
      <c r="R859" s="80" t="str">
        <f t="array" ref="R859">IF(A859="","",IFERROR(OR(INDEX(Binders!$J$6:$J$30,MATCH(Q859,Binders!$I$6:$I$30,0))=TRUE(),UPPER(INDEX(Binders!$J$6:$J$30,MATCH(Q859,Binders!$I$6:$I$30,0))&amp;"")="TRUE"),FALSE()))</f>
        <v/>
      </c>
    </row>
    <row r="860" ht="15.75" customHeight="1">
      <c r="A860" s="80" t="str">
        <f t="array" ref="A860">IF(INDEX('Deck 3'!$A:$Z,ROW()-750,'List Setup'!$D$5)="","",INDEX('Deck 3'!$A:$Z,ROW()-750,'List Setup'!$D$5))</f>
        <v/>
      </c>
      <c r="B860" s="80" t="str">
        <f t="array" ref="B860">IF(A860="","",IFERROR(INDEX('Binder Setup'!$B$2:$B$401,MIN(IF(ISNUMBER(SEARCH(CHAR(10)&amp;'Binder Setup'!$B$2:$B$401&amp;CHAR(10),$H860)),'List Setup'!$Q$2:$Q$401,999),IF(ISNUMBER(SEARCH(CHAR(10)&amp;'Set Aliases'!$A$2:$A$501&amp;CHAR(10),$H860)),'Set Aliases'!$C$2:$C$501,999))),"(none)"))</f>
        <v/>
      </c>
      <c r="C860" s="80" t="str">
        <f t="shared" si="1"/>
        <v/>
      </c>
      <c r="D860" s="80" t="str">
        <f t="array" ref="D860">IF(A860="","",IF(ISLOGICAL(INDEX('Deck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60" s="80" t="str">
        <f t="shared" si="2"/>
        <v/>
      </c>
      <c r="F860" s="80" t="str">
        <f t="array" ref="F860">IF(A860="","",IF(ISNUMBER(J860),J860,IF(ISNUMBER(INDEX('Deck 3'!$A:$Z,ROW()-750,'List Setup'!$F$5)),INDEX('Deck 3'!$A:$Z,ROW()-750,'List Setup'!$F$5),0)))</f>
        <v/>
      </c>
      <c r="G860" s="80" t="str">
        <f t="array" ref="G860">IF(A860="","",A860&amp;IF(N(INDEX('Deck 3'!$A:$Z,ROW()-750,'List Setup'!$C$5))&gt;1," (x"&amp;INDEX('Deck 3'!$A:$Z,ROW()-750,'List Setup'!$C$5)&amp;")","")&amp;IF(COUNTIF(Binders!$J$6:$J$30,TRUE())&gt;1," ["&amp;Q860&amp;"]",""))</f>
        <v/>
      </c>
      <c r="H860" s="80" t="str">
        <f t="array" ref="H860">IF(A860="","",CHAR(10)&amp;INDEX('Deck 3'!$A:$Z,ROW()-750,'List Setup'!$E$5)&amp;CHAR(10))</f>
        <v/>
      </c>
      <c r="I860" s="80" t="str">
        <f t="array" ref="I860">IF(OR(B860="",B860="(none)"),"",IF(ISNUMBER(SEARCH(CHAR(10)&amp;B860&amp;CHAR(10),H860)),B860,IFERROR(INDEX('Set Aliases'!$A$2:$A$501,MATCH(1,('Set Aliases'!$B$2:$B$501=B860)*ISNUMBER(SEARCH(CHAR(10)&amp;'Set Aliases'!$A$2:$A$501&amp;CHAR(10),H860)),0)),"")))</f>
        <v/>
      </c>
      <c r="J860" s="80" t="str">
        <f t="array" ref="J860">IF(I860="","",IFERROR(VALUE(TRIM(MID(SUBSTITUTE(INDEX('Deck 3'!$A:$Z,ROW()-750,'List Setup'!$G$5),CHAR(10),REPT(" ",100)),((SEARCH(CHAR(10)&amp;I860&amp;CHAR(10),H860)-LEN(SUBSTITUTE(LEFT(H860,SEARCH(CHAR(10)&amp;I860&amp;CHAR(10),H860)),CHAR(10),"")))-1)*100+1,100))),""))</f>
        <v/>
      </c>
      <c r="K860" s="80" t="str">
        <f t="array" ref="K860">IF(A860="","",IF(ISNUMBER(SEARCH("Land",LEFT(IFERROR(INDEX('Deck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60" s="80" t="str">
        <f t="shared" si="3"/>
        <v/>
      </c>
      <c r="M860" s="80" t="str">
        <f>IF(A860="","",IF(AND(E860="Y",B860='Use at Shop'!$B$4),K860*10000000000+(MAX(0,MIN(26,CODE(MID(UPPER(A860)&amp;"    ",1,1))-64))*19683+MAX(0,MIN(26,CODE(MID(UPPER(A860)&amp;"    ",2,1))-64))*729+MAX(0,MIN(26,CODE(MID(UPPER(A860)&amp;"    ",3,1))-64))*27+MAX(0,MIN(26,CODE(MID(UPPER(A860)&amp;"    ",4,1))-64))*1)*10000+ROW(),""))</f>
        <v/>
      </c>
      <c r="N860" s="80" t="str">
        <f t="shared" si="7"/>
        <v/>
      </c>
      <c r="O860" s="80" t="str">
        <f t="array" ref="O860">IF(A860="","",IFERROR(INDEX('Deck 3'!$A:$Z,ROW()-750,'List Setup'!$J$5)&amp;"",""))</f>
        <v/>
      </c>
      <c r="P860" s="2"/>
      <c r="Q860" s="80" t="str">
        <f>IF(A860="","",'List Setup'!$A$5)</f>
        <v/>
      </c>
      <c r="R860" s="80" t="str">
        <f t="array" ref="R860">IF(A860="","",IFERROR(OR(INDEX(Binders!$J$6:$J$30,MATCH(Q860,Binders!$I$6:$I$30,0))=TRUE(),UPPER(INDEX(Binders!$J$6:$J$30,MATCH(Q860,Binders!$I$6:$I$30,0))&amp;"")="TRUE"),FALSE()))</f>
        <v/>
      </c>
    </row>
    <row r="861" ht="15.75" customHeight="1">
      <c r="A861" s="80" t="str">
        <f t="array" ref="A861">IF(INDEX('Deck 3'!$A:$Z,ROW()-750,'List Setup'!$D$5)="","",INDEX('Deck 3'!$A:$Z,ROW()-750,'List Setup'!$D$5))</f>
        <v/>
      </c>
      <c r="B861" s="80" t="str">
        <f t="array" ref="B861">IF(A861="","",IFERROR(INDEX('Binder Setup'!$B$2:$B$401,MIN(IF(ISNUMBER(SEARCH(CHAR(10)&amp;'Binder Setup'!$B$2:$B$401&amp;CHAR(10),$H861)),'List Setup'!$Q$2:$Q$401,999),IF(ISNUMBER(SEARCH(CHAR(10)&amp;'Set Aliases'!$A$2:$A$501&amp;CHAR(10),$H861)),'Set Aliases'!$C$2:$C$501,999))),"(none)"))</f>
        <v/>
      </c>
      <c r="C861" s="80" t="str">
        <f t="shared" si="1"/>
        <v/>
      </c>
      <c r="D861" s="80" t="str">
        <f t="array" ref="D861">IF(A861="","",IF(ISLOGICAL(INDEX('Deck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61" s="80" t="str">
        <f t="shared" si="2"/>
        <v/>
      </c>
      <c r="F861" s="80" t="str">
        <f t="array" ref="F861">IF(A861="","",IF(ISNUMBER(J861),J861,IF(ISNUMBER(INDEX('Deck 3'!$A:$Z,ROW()-750,'List Setup'!$F$5)),INDEX('Deck 3'!$A:$Z,ROW()-750,'List Setup'!$F$5),0)))</f>
        <v/>
      </c>
      <c r="G861" s="80" t="str">
        <f t="array" ref="G861">IF(A861="","",A861&amp;IF(N(INDEX('Deck 3'!$A:$Z,ROW()-750,'List Setup'!$C$5))&gt;1," (x"&amp;INDEX('Deck 3'!$A:$Z,ROW()-750,'List Setup'!$C$5)&amp;")","")&amp;IF(COUNTIF(Binders!$J$6:$J$30,TRUE())&gt;1," ["&amp;Q861&amp;"]",""))</f>
        <v/>
      </c>
      <c r="H861" s="80" t="str">
        <f t="array" ref="H861">IF(A861="","",CHAR(10)&amp;INDEX('Deck 3'!$A:$Z,ROW()-750,'List Setup'!$E$5)&amp;CHAR(10))</f>
        <v/>
      </c>
      <c r="I861" s="80" t="str">
        <f t="array" ref="I861">IF(OR(B861="",B861="(none)"),"",IF(ISNUMBER(SEARCH(CHAR(10)&amp;B861&amp;CHAR(10),H861)),B861,IFERROR(INDEX('Set Aliases'!$A$2:$A$501,MATCH(1,('Set Aliases'!$B$2:$B$501=B861)*ISNUMBER(SEARCH(CHAR(10)&amp;'Set Aliases'!$A$2:$A$501&amp;CHAR(10),H861)),0)),"")))</f>
        <v/>
      </c>
      <c r="J861" s="80" t="str">
        <f t="array" ref="J861">IF(I861="","",IFERROR(VALUE(TRIM(MID(SUBSTITUTE(INDEX('Deck 3'!$A:$Z,ROW()-750,'List Setup'!$G$5),CHAR(10),REPT(" ",100)),((SEARCH(CHAR(10)&amp;I861&amp;CHAR(10),H861)-LEN(SUBSTITUTE(LEFT(H861,SEARCH(CHAR(10)&amp;I861&amp;CHAR(10),H861)),CHAR(10),"")))-1)*100+1,100))),""))</f>
        <v/>
      </c>
      <c r="K861" s="80" t="str">
        <f t="array" ref="K861">IF(A861="","",IF(ISNUMBER(SEARCH("Land",LEFT(IFERROR(INDEX('Deck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61" s="80" t="str">
        <f t="shared" si="3"/>
        <v/>
      </c>
      <c r="M861" s="80" t="str">
        <f>IF(A861="","",IF(AND(E861="Y",B861='Use at Shop'!$B$4),K861*10000000000+(MAX(0,MIN(26,CODE(MID(UPPER(A861)&amp;"    ",1,1))-64))*19683+MAX(0,MIN(26,CODE(MID(UPPER(A861)&amp;"    ",2,1))-64))*729+MAX(0,MIN(26,CODE(MID(UPPER(A861)&amp;"    ",3,1))-64))*27+MAX(0,MIN(26,CODE(MID(UPPER(A861)&amp;"    ",4,1))-64))*1)*10000+ROW(),""))</f>
        <v/>
      </c>
      <c r="N861" s="80" t="str">
        <f t="shared" si="7"/>
        <v/>
      </c>
      <c r="O861" s="80" t="str">
        <f t="array" ref="O861">IF(A861="","",IFERROR(INDEX('Deck 3'!$A:$Z,ROW()-750,'List Setup'!$J$5)&amp;"",""))</f>
        <v/>
      </c>
      <c r="P861" s="2"/>
      <c r="Q861" s="80" t="str">
        <f>IF(A861="","",'List Setup'!$A$5)</f>
        <v/>
      </c>
      <c r="R861" s="80" t="str">
        <f t="array" ref="R861">IF(A861="","",IFERROR(OR(INDEX(Binders!$J$6:$J$30,MATCH(Q861,Binders!$I$6:$I$30,0))=TRUE(),UPPER(INDEX(Binders!$J$6:$J$30,MATCH(Q861,Binders!$I$6:$I$30,0))&amp;"")="TRUE"),FALSE()))</f>
        <v/>
      </c>
    </row>
    <row r="862" ht="15.75" customHeight="1">
      <c r="A862" s="80" t="str">
        <f t="array" ref="A862">IF(INDEX('Deck 3'!$A:$Z,ROW()-750,'List Setup'!$D$5)="","",INDEX('Deck 3'!$A:$Z,ROW()-750,'List Setup'!$D$5))</f>
        <v/>
      </c>
      <c r="B862" s="80" t="str">
        <f t="array" ref="B862">IF(A862="","",IFERROR(INDEX('Binder Setup'!$B$2:$B$401,MIN(IF(ISNUMBER(SEARCH(CHAR(10)&amp;'Binder Setup'!$B$2:$B$401&amp;CHAR(10),$H862)),'List Setup'!$Q$2:$Q$401,999),IF(ISNUMBER(SEARCH(CHAR(10)&amp;'Set Aliases'!$A$2:$A$501&amp;CHAR(10),$H862)),'Set Aliases'!$C$2:$C$501,999))),"(none)"))</f>
        <v/>
      </c>
      <c r="C862" s="80" t="str">
        <f t="shared" si="1"/>
        <v/>
      </c>
      <c r="D862" s="80" t="str">
        <f t="array" ref="D862">IF(A862="","",IF(ISLOGICAL(INDEX('Deck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62" s="80" t="str">
        <f t="shared" si="2"/>
        <v/>
      </c>
      <c r="F862" s="80" t="str">
        <f t="array" ref="F862">IF(A862="","",IF(ISNUMBER(J862),J862,IF(ISNUMBER(INDEX('Deck 3'!$A:$Z,ROW()-750,'List Setup'!$F$5)),INDEX('Deck 3'!$A:$Z,ROW()-750,'List Setup'!$F$5),0)))</f>
        <v/>
      </c>
      <c r="G862" s="80" t="str">
        <f t="array" ref="G862">IF(A862="","",A862&amp;IF(N(INDEX('Deck 3'!$A:$Z,ROW()-750,'List Setup'!$C$5))&gt;1," (x"&amp;INDEX('Deck 3'!$A:$Z,ROW()-750,'List Setup'!$C$5)&amp;")","")&amp;IF(COUNTIF(Binders!$J$6:$J$30,TRUE())&gt;1," ["&amp;Q862&amp;"]",""))</f>
        <v/>
      </c>
      <c r="H862" s="80" t="str">
        <f t="array" ref="H862">IF(A862="","",CHAR(10)&amp;INDEX('Deck 3'!$A:$Z,ROW()-750,'List Setup'!$E$5)&amp;CHAR(10))</f>
        <v/>
      </c>
      <c r="I862" s="80" t="str">
        <f t="array" ref="I862">IF(OR(B862="",B862="(none)"),"",IF(ISNUMBER(SEARCH(CHAR(10)&amp;B862&amp;CHAR(10),H862)),B862,IFERROR(INDEX('Set Aliases'!$A$2:$A$501,MATCH(1,('Set Aliases'!$B$2:$B$501=B862)*ISNUMBER(SEARCH(CHAR(10)&amp;'Set Aliases'!$A$2:$A$501&amp;CHAR(10),H862)),0)),"")))</f>
        <v/>
      </c>
      <c r="J862" s="80" t="str">
        <f t="array" ref="J862">IF(I862="","",IFERROR(VALUE(TRIM(MID(SUBSTITUTE(INDEX('Deck 3'!$A:$Z,ROW()-750,'List Setup'!$G$5),CHAR(10),REPT(" ",100)),((SEARCH(CHAR(10)&amp;I862&amp;CHAR(10),H862)-LEN(SUBSTITUTE(LEFT(H862,SEARCH(CHAR(10)&amp;I862&amp;CHAR(10),H862)),CHAR(10),"")))-1)*100+1,100))),""))</f>
        <v/>
      </c>
      <c r="K862" s="80" t="str">
        <f t="array" ref="K862">IF(A862="","",IF(ISNUMBER(SEARCH("Land",LEFT(IFERROR(INDEX('Deck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62" s="80" t="str">
        <f t="shared" si="3"/>
        <v/>
      </c>
      <c r="M862" s="80" t="str">
        <f>IF(A862="","",IF(AND(E862="Y",B862='Use at Shop'!$B$4),K862*10000000000+(MAX(0,MIN(26,CODE(MID(UPPER(A862)&amp;"    ",1,1))-64))*19683+MAX(0,MIN(26,CODE(MID(UPPER(A862)&amp;"    ",2,1))-64))*729+MAX(0,MIN(26,CODE(MID(UPPER(A862)&amp;"    ",3,1))-64))*27+MAX(0,MIN(26,CODE(MID(UPPER(A862)&amp;"    ",4,1))-64))*1)*10000+ROW(),""))</f>
        <v/>
      </c>
      <c r="N862" s="80" t="str">
        <f t="shared" si="7"/>
        <v/>
      </c>
      <c r="O862" s="80" t="str">
        <f t="array" ref="O862">IF(A862="","",IFERROR(INDEX('Deck 3'!$A:$Z,ROW()-750,'List Setup'!$J$5)&amp;"",""))</f>
        <v/>
      </c>
      <c r="P862" s="2"/>
      <c r="Q862" s="80" t="str">
        <f>IF(A862="","",'List Setup'!$A$5)</f>
        <v/>
      </c>
      <c r="R862" s="80" t="str">
        <f t="array" ref="R862">IF(A862="","",IFERROR(OR(INDEX(Binders!$J$6:$J$30,MATCH(Q862,Binders!$I$6:$I$30,0))=TRUE(),UPPER(INDEX(Binders!$J$6:$J$30,MATCH(Q862,Binders!$I$6:$I$30,0))&amp;"")="TRUE"),FALSE()))</f>
        <v/>
      </c>
    </row>
    <row r="863" ht="15.75" customHeight="1">
      <c r="A863" s="80" t="str">
        <f t="array" ref="A863">IF(INDEX('Deck 3'!$A:$Z,ROW()-750,'List Setup'!$D$5)="","",INDEX('Deck 3'!$A:$Z,ROW()-750,'List Setup'!$D$5))</f>
        <v/>
      </c>
      <c r="B863" s="80" t="str">
        <f t="array" ref="B863">IF(A863="","",IFERROR(INDEX('Binder Setup'!$B$2:$B$401,MIN(IF(ISNUMBER(SEARCH(CHAR(10)&amp;'Binder Setup'!$B$2:$B$401&amp;CHAR(10),$H863)),'List Setup'!$Q$2:$Q$401,999),IF(ISNUMBER(SEARCH(CHAR(10)&amp;'Set Aliases'!$A$2:$A$501&amp;CHAR(10),$H863)),'Set Aliases'!$C$2:$C$501,999))),"(none)"))</f>
        <v/>
      </c>
      <c r="C863" s="80" t="str">
        <f t="shared" si="1"/>
        <v/>
      </c>
      <c r="D863" s="80" t="str">
        <f t="array" ref="D863">IF(A863="","",IF(ISLOGICAL(INDEX('Deck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63" s="80" t="str">
        <f t="shared" si="2"/>
        <v/>
      </c>
      <c r="F863" s="80" t="str">
        <f t="array" ref="F863">IF(A863="","",IF(ISNUMBER(J863),J863,IF(ISNUMBER(INDEX('Deck 3'!$A:$Z,ROW()-750,'List Setup'!$F$5)),INDEX('Deck 3'!$A:$Z,ROW()-750,'List Setup'!$F$5),0)))</f>
        <v/>
      </c>
      <c r="G863" s="80" t="str">
        <f t="array" ref="G863">IF(A863="","",A863&amp;IF(N(INDEX('Deck 3'!$A:$Z,ROW()-750,'List Setup'!$C$5))&gt;1," (x"&amp;INDEX('Deck 3'!$A:$Z,ROW()-750,'List Setup'!$C$5)&amp;")","")&amp;IF(COUNTIF(Binders!$J$6:$J$30,TRUE())&gt;1," ["&amp;Q863&amp;"]",""))</f>
        <v/>
      </c>
      <c r="H863" s="80" t="str">
        <f t="array" ref="H863">IF(A863="","",CHAR(10)&amp;INDEX('Deck 3'!$A:$Z,ROW()-750,'List Setup'!$E$5)&amp;CHAR(10))</f>
        <v/>
      </c>
      <c r="I863" s="80" t="str">
        <f t="array" ref="I863">IF(OR(B863="",B863="(none)"),"",IF(ISNUMBER(SEARCH(CHAR(10)&amp;B863&amp;CHAR(10),H863)),B863,IFERROR(INDEX('Set Aliases'!$A$2:$A$501,MATCH(1,('Set Aliases'!$B$2:$B$501=B863)*ISNUMBER(SEARCH(CHAR(10)&amp;'Set Aliases'!$A$2:$A$501&amp;CHAR(10),H863)),0)),"")))</f>
        <v/>
      </c>
      <c r="J863" s="80" t="str">
        <f t="array" ref="J863">IF(I863="","",IFERROR(VALUE(TRIM(MID(SUBSTITUTE(INDEX('Deck 3'!$A:$Z,ROW()-750,'List Setup'!$G$5),CHAR(10),REPT(" ",100)),((SEARCH(CHAR(10)&amp;I863&amp;CHAR(10),H863)-LEN(SUBSTITUTE(LEFT(H863,SEARCH(CHAR(10)&amp;I863&amp;CHAR(10),H863)),CHAR(10),"")))-1)*100+1,100))),""))</f>
        <v/>
      </c>
      <c r="K863" s="80" t="str">
        <f t="array" ref="K863">IF(A863="","",IF(ISNUMBER(SEARCH("Land",LEFT(IFERROR(INDEX('Deck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63" s="80" t="str">
        <f t="shared" si="3"/>
        <v/>
      </c>
      <c r="M863" s="80" t="str">
        <f>IF(A863="","",IF(AND(E863="Y",B863='Use at Shop'!$B$4),K863*10000000000+(MAX(0,MIN(26,CODE(MID(UPPER(A863)&amp;"    ",1,1))-64))*19683+MAX(0,MIN(26,CODE(MID(UPPER(A863)&amp;"    ",2,1))-64))*729+MAX(0,MIN(26,CODE(MID(UPPER(A863)&amp;"    ",3,1))-64))*27+MAX(0,MIN(26,CODE(MID(UPPER(A863)&amp;"    ",4,1))-64))*1)*10000+ROW(),""))</f>
        <v/>
      </c>
      <c r="N863" s="80" t="str">
        <f t="shared" si="7"/>
        <v/>
      </c>
      <c r="O863" s="80" t="str">
        <f t="array" ref="O863">IF(A863="","",IFERROR(INDEX('Deck 3'!$A:$Z,ROW()-750,'List Setup'!$J$5)&amp;"",""))</f>
        <v/>
      </c>
      <c r="P863" s="2"/>
      <c r="Q863" s="80" t="str">
        <f>IF(A863="","",'List Setup'!$A$5)</f>
        <v/>
      </c>
      <c r="R863" s="80" t="str">
        <f t="array" ref="R863">IF(A863="","",IFERROR(OR(INDEX(Binders!$J$6:$J$30,MATCH(Q863,Binders!$I$6:$I$30,0))=TRUE(),UPPER(INDEX(Binders!$J$6:$J$30,MATCH(Q863,Binders!$I$6:$I$30,0))&amp;"")="TRUE"),FALSE()))</f>
        <v/>
      </c>
    </row>
    <row r="864" ht="15.75" customHeight="1">
      <c r="A864" s="80" t="str">
        <f t="array" ref="A864">IF(INDEX('Deck 3'!$A:$Z,ROW()-750,'List Setup'!$D$5)="","",INDEX('Deck 3'!$A:$Z,ROW()-750,'List Setup'!$D$5))</f>
        <v/>
      </c>
      <c r="B864" s="80" t="str">
        <f t="array" ref="B864">IF(A864="","",IFERROR(INDEX('Binder Setup'!$B$2:$B$401,MIN(IF(ISNUMBER(SEARCH(CHAR(10)&amp;'Binder Setup'!$B$2:$B$401&amp;CHAR(10),$H864)),'List Setup'!$Q$2:$Q$401,999),IF(ISNUMBER(SEARCH(CHAR(10)&amp;'Set Aliases'!$A$2:$A$501&amp;CHAR(10),$H864)),'Set Aliases'!$C$2:$C$501,999))),"(none)"))</f>
        <v/>
      </c>
      <c r="C864" s="80" t="str">
        <f t="shared" si="1"/>
        <v/>
      </c>
      <c r="D864" s="80" t="str">
        <f t="array" ref="D864">IF(A864="","",IF(ISLOGICAL(INDEX('Deck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64" s="80" t="str">
        <f t="shared" si="2"/>
        <v/>
      </c>
      <c r="F864" s="80" t="str">
        <f t="array" ref="F864">IF(A864="","",IF(ISNUMBER(J864),J864,IF(ISNUMBER(INDEX('Deck 3'!$A:$Z,ROW()-750,'List Setup'!$F$5)),INDEX('Deck 3'!$A:$Z,ROW()-750,'List Setup'!$F$5),0)))</f>
        <v/>
      </c>
      <c r="G864" s="80" t="str">
        <f t="array" ref="G864">IF(A864="","",A864&amp;IF(N(INDEX('Deck 3'!$A:$Z,ROW()-750,'List Setup'!$C$5))&gt;1," (x"&amp;INDEX('Deck 3'!$A:$Z,ROW()-750,'List Setup'!$C$5)&amp;")","")&amp;IF(COUNTIF(Binders!$J$6:$J$30,TRUE())&gt;1," ["&amp;Q864&amp;"]",""))</f>
        <v/>
      </c>
      <c r="H864" s="80" t="str">
        <f t="array" ref="H864">IF(A864="","",CHAR(10)&amp;INDEX('Deck 3'!$A:$Z,ROW()-750,'List Setup'!$E$5)&amp;CHAR(10))</f>
        <v/>
      </c>
      <c r="I864" s="80" t="str">
        <f t="array" ref="I864">IF(OR(B864="",B864="(none)"),"",IF(ISNUMBER(SEARCH(CHAR(10)&amp;B864&amp;CHAR(10),H864)),B864,IFERROR(INDEX('Set Aliases'!$A$2:$A$501,MATCH(1,('Set Aliases'!$B$2:$B$501=B864)*ISNUMBER(SEARCH(CHAR(10)&amp;'Set Aliases'!$A$2:$A$501&amp;CHAR(10),H864)),0)),"")))</f>
        <v/>
      </c>
      <c r="J864" s="80" t="str">
        <f t="array" ref="J864">IF(I864="","",IFERROR(VALUE(TRIM(MID(SUBSTITUTE(INDEX('Deck 3'!$A:$Z,ROW()-750,'List Setup'!$G$5),CHAR(10),REPT(" ",100)),((SEARCH(CHAR(10)&amp;I864&amp;CHAR(10),H864)-LEN(SUBSTITUTE(LEFT(H864,SEARCH(CHAR(10)&amp;I864&amp;CHAR(10),H864)),CHAR(10),"")))-1)*100+1,100))),""))</f>
        <v/>
      </c>
      <c r="K864" s="80" t="str">
        <f t="array" ref="K864">IF(A864="","",IF(ISNUMBER(SEARCH("Land",LEFT(IFERROR(INDEX('Deck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64" s="80" t="str">
        <f t="shared" si="3"/>
        <v/>
      </c>
      <c r="M864" s="80" t="str">
        <f>IF(A864="","",IF(AND(E864="Y",B864='Use at Shop'!$B$4),K864*10000000000+(MAX(0,MIN(26,CODE(MID(UPPER(A864)&amp;"    ",1,1))-64))*19683+MAX(0,MIN(26,CODE(MID(UPPER(A864)&amp;"    ",2,1))-64))*729+MAX(0,MIN(26,CODE(MID(UPPER(A864)&amp;"    ",3,1))-64))*27+MAX(0,MIN(26,CODE(MID(UPPER(A864)&amp;"    ",4,1))-64))*1)*10000+ROW(),""))</f>
        <v/>
      </c>
      <c r="N864" s="80" t="str">
        <f t="shared" si="7"/>
        <v/>
      </c>
      <c r="O864" s="80" t="str">
        <f t="array" ref="O864">IF(A864="","",IFERROR(INDEX('Deck 3'!$A:$Z,ROW()-750,'List Setup'!$J$5)&amp;"",""))</f>
        <v/>
      </c>
      <c r="P864" s="2"/>
      <c r="Q864" s="80" t="str">
        <f>IF(A864="","",'List Setup'!$A$5)</f>
        <v/>
      </c>
      <c r="R864" s="80" t="str">
        <f t="array" ref="R864">IF(A864="","",IFERROR(OR(INDEX(Binders!$J$6:$J$30,MATCH(Q864,Binders!$I$6:$I$30,0))=TRUE(),UPPER(INDEX(Binders!$J$6:$J$30,MATCH(Q864,Binders!$I$6:$I$30,0))&amp;"")="TRUE"),FALSE()))</f>
        <v/>
      </c>
    </row>
    <row r="865" ht="15.75" customHeight="1">
      <c r="A865" s="80" t="str">
        <f t="array" ref="A865">IF(INDEX('Deck 3'!$A:$Z,ROW()-750,'List Setup'!$D$5)="","",INDEX('Deck 3'!$A:$Z,ROW()-750,'List Setup'!$D$5))</f>
        <v/>
      </c>
      <c r="B865" s="80" t="str">
        <f t="array" ref="B865">IF(A865="","",IFERROR(INDEX('Binder Setup'!$B$2:$B$401,MIN(IF(ISNUMBER(SEARCH(CHAR(10)&amp;'Binder Setup'!$B$2:$B$401&amp;CHAR(10),$H865)),'List Setup'!$Q$2:$Q$401,999),IF(ISNUMBER(SEARCH(CHAR(10)&amp;'Set Aliases'!$A$2:$A$501&amp;CHAR(10),$H865)),'Set Aliases'!$C$2:$C$501,999))),"(none)"))</f>
        <v/>
      </c>
      <c r="C865" s="80" t="str">
        <f t="shared" si="1"/>
        <v/>
      </c>
      <c r="D865" s="80" t="str">
        <f t="array" ref="D865">IF(A865="","",IF(ISLOGICAL(INDEX('Deck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65" s="80" t="str">
        <f t="shared" si="2"/>
        <v/>
      </c>
      <c r="F865" s="80" t="str">
        <f t="array" ref="F865">IF(A865="","",IF(ISNUMBER(J865),J865,IF(ISNUMBER(INDEX('Deck 3'!$A:$Z,ROW()-750,'List Setup'!$F$5)),INDEX('Deck 3'!$A:$Z,ROW()-750,'List Setup'!$F$5),0)))</f>
        <v/>
      </c>
      <c r="G865" s="80" t="str">
        <f t="array" ref="G865">IF(A865="","",A865&amp;IF(N(INDEX('Deck 3'!$A:$Z,ROW()-750,'List Setup'!$C$5))&gt;1," (x"&amp;INDEX('Deck 3'!$A:$Z,ROW()-750,'List Setup'!$C$5)&amp;")","")&amp;IF(COUNTIF(Binders!$J$6:$J$30,TRUE())&gt;1," ["&amp;Q865&amp;"]",""))</f>
        <v/>
      </c>
      <c r="H865" s="80" t="str">
        <f t="array" ref="H865">IF(A865="","",CHAR(10)&amp;INDEX('Deck 3'!$A:$Z,ROW()-750,'List Setup'!$E$5)&amp;CHAR(10))</f>
        <v/>
      </c>
      <c r="I865" s="80" t="str">
        <f t="array" ref="I865">IF(OR(B865="",B865="(none)"),"",IF(ISNUMBER(SEARCH(CHAR(10)&amp;B865&amp;CHAR(10),H865)),B865,IFERROR(INDEX('Set Aliases'!$A$2:$A$501,MATCH(1,('Set Aliases'!$B$2:$B$501=B865)*ISNUMBER(SEARCH(CHAR(10)&amp;'Set Aliases'!$A$2:$A$501&amp;CHAR(10),H865)),0)),"")))</f>
        <v/>
      </c>
      <c r="J865" s="80" t="str">
        <f t="array" ref="J865">IF(I865="","",IFERROR(VALUE(TRIM(MID(SUBSTITUTE(INDEX('Deck 3'!$A:$Z,ROW()-750,'List Setup'!$G$5),CHAR(10),REPT(" ",100)),((SEARCH(CHAR(10)&amp;I865&amp;CHAR(10),H865)-LEN(SUBSTITUTE(LEFT(H865,SEARCH(CHAR(10)&amp;I865&amp;CHAR(10),H865)),CHAR(10),"")))-1)*100+1,100))),""))</f>
        <v/>
      </c>
      <c r="K865" s="80" t="str">
        <f t="array" ref="K865">IF(A865="","",IF(ISNUMBER(SEARCH("Land",LEFT(IFERROR(INDEX('Deck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65" s="80" t="str">
        <f t="shared" si="3"/>
        <v/>
      </c>
      <c r="M865" s="80" t="str">
        <f>IF(A865="","",IF(AND(E865="Y",B865='Use at Shop'!$B$4),K865*10000000000+(MAX(0,MIN(26,CODE(MID(UPPER(A865)&amp;"    ",1,1))-64))*19683+MAX(0,MIN(26,CODE(MID(UPPER(A865)&amp;"    ",2,1))-64))*729+MAX(0,MIN(26,CODE(MID(UPPER(A865)&amp;"    ",3,1))-64))*27+MAX(0,MIN(26,CODE(MID(UPPER(A865)&amp;"    ",4,1))-64))*1)*10000+ROW(),""))</f>
        <v/>
      </c>
      <c r="N865" s="80" t="str">
        <f t="shared" si="7"/>
        <v/>
      </c>
      <c r="O865" s="80" t="str">
        <f t="array" ref="O865">IF(A865="","",IFERROR(INDEX('Deck 3'!$A:$Z,ROW()-750,'List Setup'!$J$5)&amp;"",""))</f>
        <v/>
      </c>
      <c r="P865" s="2"/>
      <c r="Q865" s="80" t="str">
        <f>IF(A865="","",'List Setup'!$A$5)</f>
        <v/>
      </c>
      <c r="R865" s="80" t="str">
        <f t="array" ref="R865">IF(A865="","",IFERROR(OR(INDEX(Binders!$J$6:$J$30,MATCH(Q865,Binders!$I$6:$I$30,0))=TRUE(),UPPER(INDEX(Binders!$J$6:$J$30,MATCH(Q865,Binders!$I$6:$I$30,0))&amp;"")="TRUE"),FALSE()))</f>
        <v/>
      </c>
    </row>
    <row r="866" ht="15.75" customHeight="1">
      <c r="A866" s="80" t="str">
        <f t="array" ref="A866">IF(INDEX('Deck 3'!$A:$Z,ROW()-750,'List Setup'!$D$5)="","",INDEX('Deck 3'!$A:$Z,ROW()-750,'List Setup'!$D$5))</f>
        <v/>
      </c>
      <c r="B866" s="80" t="str">
        <f t="array" ref="B866">IF(A866="","",IFERROR(INDEX('Binder Setup'!$B$2:$B$401,MIN(IF(ISNUMBER(SEARCH(CHAR(10)&amp;'Binder Setup'!$B$2:$B$401&amp;CHAR(10),$H866)),'List Setup'!$Q$2:$Q$401,999),IF(ISNUMBER(SEARCH(CHAR(10)&amp;'Set Aliases'!$A$2:$A$501&amp;CHAR(10),$H866)),'Set Aliases'!$C$2:$C$501,999))),"(none)"))</f>
        <v/>
      </c>
      <c r="C866" s="80" t="str">
        <f t="shared" si="1"/>
        <v/>
      </c>
      <c r="D866" s="80" t="str">
        <f t="array" ref="D866">IF(A866="","",IF(ISLOGICAL(INDEX('Deck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66" s="80" t="str">
        <f t="shared" si="2"/>
        <v/>
      </c>
      <c r="F866" s="80" t="str">
        <f t="array" ref="F866">IF(A866="","",IF(ISNUMBER(J866),J866,IF(ISNUMBER(INDEX('Deck 3'!$A:$Z,ROW()-750,'List Setup'!$F$5)),INDEX('Deck 3'!$A:$Z,ROW()-750,'List Setup'!$F$5),0)))</f>
        <v/>
      </c>
      <c r="G866" s="80" t="str">
        <f t="array" ref="G866">IF(A866="","",A866&amp;IF(N(INDEX('Deck 3'!$A:$Z,ROW()-750,'List Setup'!$C$5))&gt;1," (x"&amp;INDEX('Deck 3'!$A:$Z,ROW()-750,'List Setup'!$C$5)&amp;")","")&amp;IF(COUNTIF(Binders!$J$6:$J$30,TRUE())&gt;1," ["&amp;Q866&amp;"]",""))</f>
        <v/>
      </c>
      <c r="H866" s="80" t="str">
        <f t="array" ref="H866">IF(A866="","",CHAR(10)&amp;INDEX('Deck 3'!$A:$Z,ROW()-750,'List Setup'!$E$5)&amp;CHAR(10))</f>
        <v/>
      </c>
      <c r="I866" s="80" t="str">
        <f t="array" ref="I866">IF(OR(B866="",B866="(none)"),"",IF(ISNUMBER(SEARCH(CHAR(10)&amp;B866&amp;CHAR(10),H866)),B866,IFERROR(INDEX('Set Aliases'!$A$2:$A$501,MATCH(1,('Set Aliases'!$B$2:$B$501=B866)*ISNUMBER(SEARCH(CHAR(10)&amp;'Set Aliases'!$A$2:$A$501&amp;CHAR(10),H866)),0)),"")))</f>
        <v/>
      </c>
      <c r="J866" s="80" t="str">
        <f t="array" ref="J866">IF(I866="","",IFERROR(VALUE(TRIM(MID(SUBSTITUTE(INDEX('Deck 3'!$A:$Z,ROW()-750,'List Setup'!$G$5),CHAR(10),REPT(" ",100)),((SEARCH(CHAR(10)&amp;I866&amp;CHAR(10),H866)-LEN(SUBSTITUTE(LEFT(H866,SEARCH(CHAR(10)&amp;I866&amp;CHAR(10),H866)),CHAR(10),"")))-1)*100+1,100))),""))</f>
        <v/>
      </c>
      <c r="K866" s="80" t="str">
        <f t="array" ref="K866">IF(A866="","",IF(ISNUMBER(SEARCH("Land",LEFT(IFERROR(INDEX('Deck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66" s="80" t="str">
        <f t="shared" si="3"/>
        <v/>
      </c>
      <c r="M866" s="80" t="str">
        <f>IF(A866="","",IF(AND(E866="Y",B866='Use at Shop'!$B$4),K866*10000000000+(MAX(0,MIN(26,CODE(MID(UPPER(A866)&amp;"    ",1,1))-64))*19683+MAX(0,MIN(26,CODE(MID(UPPER(A866)&amp;"    ",2,1))-64))*729+MAX(0,MIN(26,CODE(MID(UPPER(A866)&amp;"    ",3,1))-64))*27+MAX(0,MIN(26,CODE(MID(UPPER(A866)&amp;"    ",4,1))-64))*1)*10000+ROW(),""))</f>
        <v/>
      </c>
      <c r="N866" s="80" t="str">
        <f t="shared" si="7"/>
        <v/>
      </c>
      <c r="O866" s="80" t="str">
        <f t="array" ref="O866">IF(A866="","",IFERROR(INDEX('Deck 3'!$A:$Z,ROW()-750,'List Setup'!$J$5)&amp;"",""))</f>
        <v/>
      </c>
      <c r="P866" s="2"/>
      <c r="Q866" s="80" t="str">
        <f>IF(A866="","",'List Setup'!$A$5)</f>
        <v/>
      </c>
      <c r="R866" s="80" t="str">
        <f t="array" ref="R866">IF(A866="","",IFERROR(OR(INDEX(Binders!$J$6:$J$30,MATCH(Q866,Binders!$I$6:$I$30,0))=TRUE(),UPPER(INDEX(Binders!$J$6:$J$30,MATCH(Q866,Binders!$I$6:$I$30,0))&amp;"")="TRUE"),FALSE()))</f>
        <v/>
      </c>
    </row>
    <row r="867" ht="15.75" customHeight="1">
      <c r="A867" s="80" t="str">
        <f t="array" ref="A867">IF(INDEX('Deck 3'!$A:$Z,ROW()-750,'List Setup'!$D$5)="","",INDEX('Deck 3'!$A:$Z,ROW()-750,'List Setup'!$D$5))</f>
        <v/>
      </c>
      <c r="B867" s="80" t="str">
        <f t="array" ref="B867">IF(A867="","",IFERROR(INDEX('Binder Setup'!$B$2:$B$401,MIN(IF(ISNUMBER(SEARCH(CHAR(10)&amp;'Binder Setup'!$B$2:$B$401&amp;CHAR(10),$H867)),'List Setup'!$Q$2:$Q$401,999),IF(ISNUMBER(SEARCH(CHAR(10)&amp;'Set Aliases'!$A$2:$A$501&amp;CHAR(10),$H867)),'Set Aliases'!$C$2:$C$501,999))),"(none)"))</f>
        <v/>
      </c>
      <c r="C867" s="80" t="str">
        <f t="shared" si="1"/>
        <v/>
      </c>
      <c r="D867" s="80" t="str">
        <f t="array" ref="D867">IF(A867="","",IF(ISLOGICAL(INDEX('Deck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67" s="80" t="str">
        <f t="shared" si="2"/>
        <v/>
      </c>
      <c r="F867" s="80" t="str">
        <f t="array" ref="F867">IF(A867="","",IF(ISNUMBER(J867),J867,IF(ISNUMBER(INDEX('Deck 3'!$A:$Z,ROW()-750,'List Setup'!$F$5)),INDEX('Deck 3'!$A:$Z,ROW()-750,'List Setup'!$F$5),0)))</f>
        <v/>
      </c>
      <c r="G867" s="80" t="str">
        <f t="array" ref="G867">IF(A867="","",A867&amp;IF(N(INDEX('Deck 3'!$A:$Z,ROW()-750,'List Setup'!$C$5))&gt;1," (x"&amp;INDEX('Deck 3'!$A:$Z,ROW()-750,'List Setup'!$C$5)&amp;")","")&amp;IF(COUNTIF(Binders!$J$6:$J$30,TRUE())&gt;1," ["&amp;Q867&amp;"]",""))</f>
        <v/>
      </c>
      <c r="H867" s="80" t="str">
        <f t="array" ref="H867">IF(A867="","",CHAR(10)&amp;INDEX('Deck 3'!$A:$Z,ROW()-750,'List Setup'!$E$5)&amp;CHAR(10))</f>
        <v/>
      </c>
      <c r="I867" s="80" t="str">
        <f t="array" ref="I867">IF(OR(B867="",B867="(none)"),"",IF(ISNUMBER(SEARCH(CHAR(10)&amp;B867&amp;CHAR(10),H867)),B867,IFERROR(INDEX('Set Aliases'!$A$2:$A$501,MATCH(1,('Set Aliases'!$B$2:$B$501=B867)*ISNUMBER(SEARCH(CHAR(10)&amp;'Set Aliases'!$A$2:$A$501&amp;CHAR(10),H867)),0)),"")))</f>
        <v/>
      </c>
      <c r="J867" s="80" t="str">
        <f t="array" ref="J867">IF(I867="","",IFERROR(VALUE(TRIM(MID(SUBSTITUTE(INDEX('Deck 3'!$A:$Z,ROW()-750,'List Setup'!$G$5),CHAR(10),REPT(" ",100)),((SEARCH(CHAR(10)&amp;I867&amp;CHAR(10),H867)-LEN(SUBSTITUTE(LEFT(H867,SEARCH(CHAR(10)&amp;I867&amp;CHAR(10),H867)),CHAR(10),"")))-1)*100+1,100))),""))</f>
        <v/>
      </c>
      <c r="K867" s="80" t="str">
        <f t="array" ref="K867">IF(A867="","",IF(ISNUMBER(SEARCH("Land",LEFT(IFERROR(INDEX('Deck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67" s="80" t="str">
        <f t="shared" si="3"/>
        <v/>
      </c>
      <c r="M867" s="80" t="str">
        <f>IF(A867="","",IF(AND(E867="Y",B867='Use at Shop'!$B$4),K867*10000000000+(MAX(0,MIN(26,CODE(MID(UPPER(A867)&amp;"    ",1,1))-64))*19683+MAX(0,MIN(26,CODE(MID(UPPER(A867)&amp;"    ",2,1))-64))*729+MAX(0,MIN(26,CODE(MID(UPPER(A867)&amp;"    ",3,1))-64))*27+MAX(0,MIN(26,CODE(MID(UPPER(A867)&amp;"    ",4,1))-64))*1)*10000+ROW(),""))</f>
        <v/>
      </c>
      <c r="N867" s="80" t="str">
        <f t="shared" si="7"/>
        <v/>
      </c>
      <c r="O867" s="80" t="str">
        <f t="array" ref="O867">IF(A867="","",IFERROR(INDEX('Deck 3'!$A:$Z,ROW()-750,'List Setup'!$J$5)&amp;"",""))</f>
        <v/>
      </c>
      <c r="P867" s="2"/>
      <c r="Q867" s="80" t="str">
        <f>IF(A867="","",'List Setup'!$A$5)</f>
        <v/>
      </c>
      <c r="R867" s="80" t="str">
        <f t="array" ref="R867">IF(A867="","",IFERROR(OR(INDEX(Binders!$J$6:$J$30,MATCH(Q867,Binders!$I$6:$I$30,0))=TRUE(),UPPER(INDEX(Binders!$J$6:$J$30,MATCH(Q867,Binders!$I$6:$I$30,0))&amp;"")="TRUE"),FALSE()))</f>
        <v/>
      </c>
    </row>
    <row r="868" ht="15.75" customHeight="1">
      <c r="A868" s="80" t="str">
        <f t="array" ref="A868">IF(INDEX('Deck 3'!$A:$Z,ROW()-750,'List Setup'!$D$5)="","",INDEX('Deck 3'!$A:$Z,ROW()-750,'List Setup'!$D$5))</f>
        <v/>
      </c>
      <c r="B868" s="80" t="str">
        <f t="array" ref="B868">IF(A868="","",IFERROR(INDEX('Binder Setup'!$B$2:$B$401,MIN(IF(ISNUMBER(SEARCH(CHAR(10)&amp;'Binder Setup'!$B$2:$B$401&amp;CHAR(10),$H868)),'List Setup'!$Q$2:$Q$401,999),IF(ISNUMBER(SEARCH(CHAR(10)&amp;'Set Aliases'!$A$2:$A$501&amp;CHAR(10),$H868)),'Set Aliases'!$C$2:$C$501,999))),"(none)"))</f>
        <v/>
      </c>
      <c r="C868" s="80" t="str">
        <f t="shared" si="1"/>
        <v/>
      </c>
      <c r="D868" s="80" t="str">
        <f t="array" ref="D868">IF(A868="","",IF(ISLOGICAL(INDEX('Deck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68" s="80" t="str">
        <f t="shared" si="2"/>
        <v/>
      </c>
      <c r="F868" s="80" t="str">
        <f t="array" ref="F868">IF(A868="","",IF(ISNUMBER(J868),J868,IF(ISNUMBER(INDEX('Deck 3'!$A:$Z,ROW()-750,'List Setup'!$F$5)),INDEX('Deck 3'!$A:$Z,ROW()-750,'List Setup'!$F$5),0)))</f>
        <v/>
      </c>
      <c r="G868" s="80" t="str">
        <f t="array" ref="G868">IF(A868="","",A868&amp;IF(N(INDEX('Deck 3'!$A:$Z,ROW()-750,'List Setup'!$C$5))&gt;1," (x"&amp;INDEX('Deck 3'!$A:$Z,ROW()-750,'List Setup'!$C$5)&amp;")","")&amp;IF(COUNTIF(Binders!$J$6:$J$30,TRUE())&gt;1," ["&amp;Q868&amp;"]",""))</f>
        <v/>
      </c>
      <c r="H868" s="80" t="str">
        <f t="array" ref="H868">IF(A868="","",CHAR(10)&amp;INDEX('Deck 3'!$A:$Z,ROW()-750,'List Setup'!$E$5)&amp;CHAR(10))</f>
        <v/>
      </c>
      <c r="I868" s="80" t="str">
        <f t="array" ref="I868">IF(OR(B868="",B868="(none)"),"",IF(ISNUMBER(SEARCH(CHAR(10)&amp;B868&amp;CHAR(10),H868)),B868,IFERROR(INDEX('Set Aliases'!$A$2:$A$501,MATCH(1,('Set Aliases'!$B$2:$B$501=B868)*ISNUMBER(SEARCH(CHAR(10)&amp;'Set Aliases'!$A$2:$A$501&amp;CHAR(10),H868)),0)),"")))</f>
        <v/>
      </c>
      <c r="J868" s="80" t="str">
        <f t="array" ref="J868">IF(I868="","",IFERROR(VALUE(TRIM(MID(SUBSTITUTE(INDEX('Deck 3'!$A:$Z,ROW()-750,'List Setup'!$G$5),CHAR(10),REPT(" ",100)),((SEARCH(CHAR(10)&amp;I868&amp;CHAR(10),H868)-LEN(SUBSTITUTE(LEFT(H868,SEARCH(CHAR(10)&amp;I868&amp;CHAR(10),H868)),CHAR(10),"")))-1)*100+1,100))),""))</f>
        <v/>
      </c>
      <c r="K868" s="80" t="str">
        <f t="array" ref="K868">IF(A868="","",IF(ISNUMBER(SEARCH("Land",LEFT(IFERROR(INDEX('Deck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68" s="80" t="str">
        <f t="shared" si="3"/>
        <v/>
      </c>
      <c r="M868" s="80" t="str">
        <f>IF(A868="","",IF(AND(E868="Y",B868='Use at Shop'!$B$4),K868*10000000000+(MAX(0,MIN(26,CODE(MID(UPPER(A868)&amp;"    ",1,1))-64))*19683+MAX(0,MIN(26,CODE(MID(UPPER(A868)&amp;"    ",2,1))-64))*729+MAX(0,MIN(26,CODE(MID(UPPER(A868)&amp;"    ",3,1))-64))*27+MAX(0,MIN(26,CODE(MID(UPPER(A868)&amp;"    ",4,1))-64))*1)*10000+ROW(),""))</f>
        <v/>
      </c>
      <c r="N868" s="80" t="str">
        <f t="shared" si="7"/>
        <v/>
      </c>
      <c r="O868" s="80" t="str">
        <f t="array" ref="O868">IF(A868="","",IFERROR(INDEX('Deck 3'!$A:$Z,ROW()-750,'List Setup'!$J$5)&amp;"",""))</f>
        <v/>
      </c>
      <c r="P868" s="2"/>
      <c r="Q868" s="80" t="str">
        <f>IF(A868="","",'List Setup'!$A$5)</f>
        <v/>
      </c>
      <c r="R868" s="80" t="str">
        <f t="array" ref="R868">IF(A868="","",IFERROR(OR(INDEX(Binders!$J$6:$J$30,MATCH(Q868,Binders!$I$6:$I$30,0))=TRUE(),UPPER(INDEX(Binders!$J$6:$J$30,MATCH(Q868,Binders!$I$6:$I$30,0))&amp;"")="TRUE"),FALSE()))</f>
        <v/>
      </c>
    </row>
    <row r="869" ht="15.75" customHeight="1">
      <c r="A869" s="80" t="str">
        <f t="array" ref="A869">IF(INDEX('Deck 3'!$A:$Z,ROW()-750,'List Setup'!$D$5)="","",INDEX('Deck 3'!$A:$Z,ROW()-750,'List Setup'!$D$5))</f>
        <v/>
      </c>
      <c r="B869" s="80" t="str">
        <f t="array" ref="B869">IF(A869="","",IFERROR(INDEX('Binder Setup'!$B$2:$B$401,MIN(IF(ISNUMBER(SEARCH(CHAR(10)&amp;'Binder Setup'!$B$2:$B$401&amp;CHAR(10),$H869)),'List Setup'!$Q$2:$Q$401,999),IF(ISNUMBER(SEARCH(CHAR(10)&amp;'Set Aliases'!$A$2:$A$501&amp;CHAR(10),$H869)),'Set Aliases'!$C$2:$C$501,999))),"(none)"))</f>
        <v/>
      </c>
      <c r="C869" s="80" t="str">
        <f t="shared" si="1"/>
        <v/>
      </c>
      <c r="D869" s="80" t="str">
        <f t="array" ref="D869">IF(A869="","",IF(ISLOGICAL(INDEX('Deck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69" s="80" t="str">
        <f t="shared" si="2"/>
        <v/>
      </c>
      <c r="F869" s="80" t="str">
        <f t="array" ref="F869">IF(A869="","",IF(ISNUMBER(J869),J869,IF(ISNUMBER(INDEX('Deck 3'!$A:$Z,ROW()-750,'List Setup'!$F$5)),INDEX('Deck 3'!$A:$Z,ROW()-750,'List Setup'!$F$5),0)))</f>
        <v/>
      </c>
      <c r="G869" s="80" t="str">
        <f t="array" ref="G869">IF(A869="","",A869&amp;IF(N(INDEX('Deck 3'!$A:$Z,ROW()-750,'List Setup'!$C$5))&gt;1," (x"&amp;INDEX('Deck 3'!$A:$Z,ROW()-750,'List Setup'!$C$5)&amp;")","")&amp;IF(COUNTIF(Binders!$J$6:$J$30,TRUE())&gt;1," ["&amp;Q869&amp;"]",""))</f>
        <v/>
      </c>
      <c r="H869" s="80" t="str">
        <f t="array" ref="H869">IF(A869="","",CHAR(10)&amp;INDEX('Deck 3'!$A:$Z,ROW()-750,'List Setup'!$E$5)&amp;CHAR(10))</f>
        <v/>
      </c>
      <c r="I869" s="80" t="str">
        <f t="array" ref="I869">IF(OR(B869="",B869="(none)"),"",IF(ISNUMBER(SEARCH(CHAR(10)&amp;B869&amp;CHAR(10),H869)),B869,IFERROR(INDEX('Set Aliases'!$A$2:$A$501,MATCH(1,('Set Aliases'!$B$2:$B$501=B869)*ISNUMBER(SEARCH(CHAR(10)&amp;'Set Aliases'!$A$2:$A$501&amp;CHAR(10),H869)),0)),"")))</f>
        <v/>
      </c>
      <c r="J869" s="80" t="str">
        <f t="array" ref="J869">IF(I869="","",IFERROR(VALUE(TRIM(MID(SUBSTITUTE(INDEX('Deck 3'!$A:$Z,ROW()-750,'List Setup'!$G$5),CHAR(10),REPT(" ",100)),((SEARCH(CHAR(10)&amp;I869&amp;CHAR(10),H869)-LEN(SUBSTITUTE(LEFT(H869,SEARCH(CHAR(10)&amp;I869&amp;CHAR(10),H869)),CHAR(10),"")))-1)*100+1,100))),""))</f>
        <v/>
      </c>
      <c r="K869" s="80" t="str">
        <f t="array" ref="K869">IF(A869="","",IF(ISNUMBER(SEARCH("Land",LEFT(IFERROR(INDEX('Deck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69" s="80" t="str">
        <f t="shared" si="3"/>
        <v/>
      </c>
      <c r="M869" s="80" t="str">
        <f>IF(A869="","",IF(AND(E869="Y",B869='Use at Shop'!$B$4),K869*10000000000+(MAX(0,MIN(26,CODE(MID(UPPER(A869)&amp;"    ",1,1))-64))*19683+MAX(0,MIN(26,CODE(MID(UPPER(A869)&amp;"    ",2,1))-64))*729+MAX(0,MIN(26,CODE(MID(UPPER(A869)&amp;"    ",3,1))-64))*27+MAX(0,MIN(26,CODE(MID(UPPER(A869)&amp;"    ",4,1))-64))*1)*10000+ROW(),""))</f>
        <v/>
      </c>
      <c r="N869" s="80" t="str">
        <f t="shared" si="7"/>
        <v/>
      </c>
      <c r="O869" s="80" t="str">
        <f t="array" ref="O869">IF(A869="","",IFERROR(INDEX('Deck 3'!$A:$Z,ROW()-750,'List Setup'!$J$5)&amp;"",""))</f>
        <v/>
      </c>
      <c r="P869" s="2"/>
      <c r="Q869" s="80" t="str">
        <f>IF(A869="","",'List Setup'!$A$5)</f>
        <v/>
      </c>
      <c r="R869" s="80" t="str">
        <f t="array" ref="R869">IF(A869="","",IFERROR(OR(INDEX(Binders!$J$6:$J$30,MATCH(Q869,Binders!$I$6:$I$30,0))=TRUE(),UPPER(INDEX(Binders!$J$6:$J$30,MATCH(Q869,Binders!$I$6:$I$30,0))&amp;"")="TRUE"),FALSE()))</f>
        <v/>
      </c>
    </row>
    <row r="870" ht="15.75" customHeight="1">
      <c r="A870" s="80" t="str">
        <f t="array" ref="A870">IF(INDEX('Deck 3'!$A:$Z,ROW()-750,'List Setup'!$D$5)="","",INDEX('Deck 3'!$A:$Z,ROW()-750,'List Setup'!$D$5))</f>
        <v/>
      </c>
      <c r="B870" s="80" t="str">
        <f t="array" ref="B870">IF(A870="","",IFERROR(INDEX('Binder Setup'!$B$2:$B$401,MIN(IF(ISNUMBER(SEARCH(CHAR(10)&amp;'Binder Setup'!$B$2:$B$401&amp;CHAR(10),$H870)),'List Setup'!$Q$2:$Q$401,999),IF(ISNUMBER(SEARCH(CHAR(10)&amp;'Set Aliases'!$A$2:$A$501&amp;CHAR(10),$H870)),'Set Aliases'!$C$2:$C$501,999))),"(none)"))</f>
        <v/>
      </c>
      <c r="C870" s="80" t="str">
        <f t="shared" si="1"/>
        <v/>
      </c>
      <c r="D870" s="80" t="str">
        <f t="array" ref="D870">IF(A870="","",IF(ISLOGICAL(INDEX('Deck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70" s="80" t="str">
        <f t="shared" si="2"/>
        <v/>
      </c>
      <c r="F870" s="80" t="str">
        <f t="array" ref="F870">IF(A870="","",IF(ISNUMBER(J870),J870,IF(ISNUMBER(INDEX('Deck 3'!$A:$Z,ROW()-750,'List Setup'!$F$5)),INDEX('Deck 3'!$A:$Z,ROW()-750,'List Setup'!$F$5),0)))</f>
        <v/>
      </c>
      <c r="G870" s="80" t="str">
        <f t="array" ref="G870">IF(A870="","",A870&amp;IF(N(INDEX('Deck 3'!$A:$Z,ROW()-750,'List Setup'!$C$5))&gt;1," (x"&amp;INDEX('Deck 3'!$A:$Z,ROW()-750,'List Setup'!$C$5)&amp;")","")&amp;IF(COUNTIF(Binders!$J$6:$J$30,TRUE())&gt;1," ["&amp;Q870&amp;"]",""))</f>
        <v/>
      </c>
      <c r="H870" s="80" t="str">
        <f t="array" ref="H870">IF(A870="","",CHAR(10)&amp;INDEX('Deck 3'!$A:$Z,ROW()-750,'List Setup'!$E$5)&amp;CHAR(10))</f>
        <v/>
      </c>
      <c r="I870" s="80" t="str">
        <f t="array" ref="I870">IF(OR(B870="",B870="(none)"),"",IF(ISNUMBER(SEARCH(CHAR(10)&amp;B870&amp;CHAR(10),H870)),B870,IFERROR(INDEX('Set Aliases'!$A$2:$A$501,MATCH(1,('Set Aliases'!$B$2:$B$501=B870)*ISNUMBER(SEARCH(CHAR(10)&amp;'Set Aliases'!$A$2:$A$501&amp;CHAR(10),H870)),0)),"")))</f>
        <v/>
      </c>
      <c r="J870" s="80" t="str">
        <f t="array" ref="J870">IF(I870="","",IFERROR(VALUE(TRIM(MID(SUBSTITUTE(INDEX('Deck 3'!$A:$Z,ROW()-750,'List Setup'!$G$5),CHAR(10),REPT(" ",100)),((SEARCH(CHAR(10)&amp;I870&amp;CHAR(10),H870)-LEN(SUBSTITUTE(LEFT(H870,SEARCH(CHAR(10)&amp;I870&amp;CHAR(10),H870)),CHAR(10),"")))-1)*100+1,100))),""))</f>
        <v/>
      </c>
      <c r="K870" s="80" t="str">
        <f t="array" ref="K870">IF(A870="","",IF(ISNUMBER(SEARCH("Land",LEFT(IFERROR(INDEX('Deck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70" s="80" t="str">
        <f t="shared" si="3"/>
        <v/>
      </c>
      <c r="M870" s="80" t="str">
        <f>IF(A870="","",IF(AND(E870="Y",B870='Use at Shop'!$B$4),K870*10000000000+(MAX(0,MIN(26,CODE(MID(UPPER(A870)&amp;"    ",1,1))-64))*19683+MAX(0,MIN(26,CODE(MID(UPPER(A870)&amp;"    ",2,1))-64))*729+MAX(0,MIN(26,CODE(MID(UPPER(A870)&amp;"    ",3,1))-64))*27+MAX(0,MIN(26,CODE(MID(UPPER(A870)&amp;"    ",4,1))-64))*1)*10000+ROW(),""))</f>
        <v/>
      </c>
      <c r="N870" s="80" t="str">
        <f t="shared" si="7"/>
        <v/>
      </c>
      <c r="O870" s="80" t="str">
        <f t="array" ref="O870">IF(A870="","",IFERROR(INDEX('Deck 3'!$A:$Z,ROW()-750,'List Setup'!$J$5)&amp;"",""))</f>
        <v/>
      </c>
      <c r="P870" s="2"/>
      <c r="Q870" s="80" t="str">
        <f>IF(A870="","",'List Setup'!$A$5)</f>
        <v/>
      </c>
      <c r="R870" s="80" t="str">
        <f t="array" ref="R870">IF(A870="","",IFERROR(OR(INDEX(Binders!$J$6:$J$30,MATCH(Q870,Binders!$I$6:$I$30,0))=TRUE(),UPPER(INDEX(Binders!$J$6:$J$30,MATCH(Q870,Binders!$I$6:$I$30,0))&amp;"")="TRUE"),FALSE()))</f>
        <v/>
      </c>
    </row>
    <row r="871" ht="15.75" customHeight="1">
      <c r="A871" s="80" t="str">
        <f t="array" ref="A871">IF(INDEX('Deck 3'!$A:$Z,ROW()-750,'List Setup'!$D$5)="","",INDEX('Deck 3'!$A:$Z,ROW()-750,'List Setup'!$D$5))</f>
        <v/>
      </c>
      <c r="B871" s="80" t="str">
        <f t="array" ref="B871">IF(A871="","",IFERROR(INDEX('Binder Setup'!$B$2:$B$401,MIN(IF(ISNUMBER(SEARCH(CHAR(10)&amp;'Binder Setup'!$B$2:$B$401&amp;CHAR(10),$H871)),'List Setup'!$Q$2:$Q$401,999),IF(ISNUMBER(SEARCH(CHAR(10)&amp;'Set Aliases'!$A$2:$A$501&amp;CHAR(10),$H871)),'Set Aliases'!$C$2:$C$501,999))),"(none)"))</f>
        <v/>
      </c>
      <c r="C871" s="80" t="str">
        <f t="shared" si="1"/>
        <v/>
      </c>
      <c r="D871" s="80" t="str">
        <f t="array" ref="D871">IF(A871="","",IF(ISLOGICAL(INDEX('Deck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71" s="80" t="str">
        <f t="shared" si="2"/>
        <v/>
      </c>
      <c r="F871" s="80" t="str">
        <f t="array" ref="F871">IF(A871="","",IF(ISNUMBER(J871),J871,IF(ISNUMBER(INDEX('Deck 3'!$A:$Z,ROW()-750,'List Setup'!$F$5)),INDEX('Deck 3'!$A:$Z,ROW()-750,'List Setup'!$F$5),0)))</f>
        <v/>
      </c>
      <c r="G871" s="80" t="str">
        <f t="array" ref="G871">IF(A871="","",A871&amp;IF(N(INDEX('Deck 3'!$A:$Z,ROW()-750,'List Setup'!$C$5))&gt;1," (x"&amp;INDEX('Deck 3'!$A:$Z,ROW()-750,'List Setup'!$C$5)&amp;")","")&amp;IF(COUNTIF(Binders!$J$6:$J$30,TRUE())&gt;1," ["&amp;Q871&amp;"]",""))</f>
        <v/>
      </c>
      <c r="H871" s="80" t="str">
        <f t="array" ref="H871">IF(A871="","",CHAR(10)&amp;INDEX('Deck 3'!$A:$Z,ROW()-750,'List Setup'!$E$5)&amp;CHAR(10))</f>
        <v/>
      </c>
      <c r="I871" s="80" t="str">
        <f t="array" ref="I871">IF(OR(B871="",B871="(none)"),"",IF(ISNUMBER(SEARCH(CHAR(10)&amp;B871&amp;CHAR(10),H871)),B871,IFERROR(INDEX('Set Aliases'!$A$2:$A$501,MATCH(1,('Set Aliases'!$B$2:$B$501=B871)*ISNUMBER(SEARCH(CHAR(10)&amp;'Set Aliases'!$A$2:$A$501&amp;CHAR(10),H871)),0)),"")))</f>
        <v/>
      </c>
      <c r="J871" s="80" t="str">
        <f t="array" ref="J871">IF(I871="","",IFERROR(VALUE(TRIM(MID(SUBSTITUTE(INDEX('Deck 3'!$A:$Z,ROW()-750,'List Setup'!$G$5),CHAR(10),REPT(" ",100)),((SEARCH(CHAR(10)&amp;I871&amp;CHAR(10),H871)-LEN(SUBSTITUTE(LEFT(H871,SEARCH(CHAR(10)&amp;I871&amp;CHAR(10),H871)),CHAR(10),"")))-1)*100+1,100))),""))</f>
        <v/>
      </c>
      <c r="K871" s="80" t="str">
        <f t="array" ref="K871">IF(A871="","",IF(ISNUMBER(SEARCH("Land",LEFT(IFERROR(INDEX('Deck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71" s="80" t="str">
        <f t="shared" si="3"/>
        <v/>
      </c>
      <c r="M871" s="80" t="str">
        <f>IF(A871="","",IF(AND(E871="Y",B871='Use at Shop'!$B$4),K871*10000000000+(MAX(0,MIN(26,CODE(MID(UPPER(A871)&amp;"    ",1,1))-64))*19683+MAX(0,MIN(26,CODE(MID(UPPER(A871)&amp;"    ",2,1))-64))*729+MAX(0,MIN(26,CODE(MID(UPPER(A871)&amp;"    ",3,1))-64))*27+MAX(0,MIN(26,CODE(MID(UPPER(A871)&amp;"    ",4,1))-64))*1)*10000+ROW(),""))</f>
        <v/>
      </c>
      <c r="N871" s="80" t="str">
        <f t="shared" si="7"/>
        <v/>
      </c>
      <c r="O871" s="80" t="str">
        <f t="array" ref="O871">IF(A871="","",IFERROR(INDEX('Deck 3'!$A:$Z,ROW()-750,'List Setup'!$J$5)&amp;"",""))</f>
        <v/>
      </c>
      <c r="P871" s="2"/>
      <c r="Q871" s="80" t="str">
        <f>IF(A871="","",'List Setup'!$A$5)</f>
        <v/>
      </c>
      <c r="R871" s="80" t="str">
        <f t="array" ref="R871">IF(A871="","",IFERROR(OR(INDEX(Binders!$J$6:$J$30,MATCH(Q871,Binders!$I$6:$I$30,0))=TRUE(),UPPER(INDEX(Binders!$J$6:$J$30,MATCH(Q871,Binders!$I$6:$I$30,0))&amp;"")="TRUE"),FALSE()))</f>
        <v/>
      </c>
    </row>
    <row r="872" ht="15.75" customHeight="1">
      <c r="A872" s="80" t="str">
        <f t="array" ref="A872">IF(INDEX('Deck 3'!$A:$Z,ROW()-750,'List Setup'!$D$5)="","",INDEX('Deck 3'!$A:$Z,ROW()-750,'List Setup'!$D$5))</f>
        <v/>
      </c>
      <c r="B872" s="80" t="str">
        <f t="array" ref="B872">IF(A872="","",IFERROR(INDEX('Binder Setup'!$B$2:$B$401,MIN(IF(ISNUMBER(SEARCH(CHAR(10)&amp;'Binder Setup'!$B$2:$B$401&amp;CHAR(10),$H872)),'List Setup'!$Q$2:$Q$401,999),IF(ISNUMBER(SEARCH(CHAR(10)&amp;'Set Aliases'!$A$2:$A$501&amp;CHAR(10),$H872)),'Set Aliases'!$C$2:$C$501,999))),"(none)"))</f>
        <v/>
      </c>
      <c r="C872" s="80" t="str">
        <f t="shared" si="1"/>
        <v/>
      </c>
      <c r="D872" s="80" t="str">
        <f t="array" ref="D872">IF(A872="","",IF(ISLOGICAL(INDEX('Deck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72" s="80" t="str">
        <f t="shared" si="2"/>
        <v/>
      </c>
      <c r="F872" s="80" t="str">
        <f t="array" ref="F872">IF(A872="","",IF(ISNUMBER(J872),J872,IF(ISNUMBER(INDEX('Deck 3'!$A:$Z,ROW()-750,'List Setup'!$F$5)),INDEX('Deck 3'!$A:$Z,ROW()-750,'List Setup'!$F$5),0)))</f>
        <v/>
      </c>
      <c r="G872" s="80" t="str">
        <f t="array" ref="G872">IF(A872="","",A872&amp;IF(N(INDEX('Deck 3'!$A:$Z,ROW()-750,'List Setup'!$C$5))&gt;1," (x"&amp;INDEX('Deck 3'!$A:$Z,ROW()-750,'List Setup'!$C$5)&amp;")","")&amp;IF(COUNTIF(Binders!$J$6:$J$30,TRUE())&gt;1," ["&amp;Q872&amp;"]",""))</f>
        <v/>
      </c>
      <c r="H872" s="80" t="str">
        <f t="array" ref="H872">IF(A872="","",CHAR(10)&amp;INDEX('Deck 3'!$A:$Z,ROW()-750,'List Setup'!$E$5)&amp;CHAR(10))</f>
        <v/>
      </c>
      <c r="I872" s="80" t="str">
        <f t="array" ref="I872">IF(OR(B872="",B872="(none)"),"",IF(ISNUMBER(SEARCH(CHAR(10)&amp;B872&amp;CHAR(10),H872)),B872,IFERROR(INDEX('Set Aliases'!$A$2:$A$501,MATCH(1,('Set Aliases'!$B$2:$B$501=B872)*ISNUMBER(SEARCH(CHAR(10)&amp;'Set Aliases'!$A$2:$A$501&amp;CHAR(10),H872)),0)),"")))</f>
        <v/>
      </c>
      <c r="J872" s="80" t="str">
        <f t="array" ref="J872">IF(I872="","",IFERROR(VALUE(TRIM(MID(SUBSTITUTE(INDEX('Deck 3'!$A:$Z,ROW()-750,'List Setup'!$G$5),CHAR(10),REPT(" ",100)),((SEARCH(CHAR(10)&amp;I872&amp;CHAR(10),H872)-LEN(SUBSTITUTE(LEFT(H872,SEARCH(CHAR(10)&amp;I872&amp;CHAR(10),H872)),CHAR(10),"")))-1)*100+1,100))),""))</f>
        <v/>
      </c>
      <c r="K872" s="80" t="str">
        <f t="array" ref="K872">IF(A872="","",IF(ISNUMBER(SEARCH("Land",LEFT(IFERROR(INDEX('Deck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72" s="80" t="str">
        <f t="shared" si="3"/>
        <v/>
      </c>
      <c r="M872" s="80" t="str">
        <f>IF(A872="","",IF(AND(E872="Y",B872='Use at Shop'!$B$4),K872*10000000000+(MAX(0,MIN(26,CODE(MID(UPPER(A872)&amp;"    ",1,1))-64))*19683+MAX(0,MIN(26,CODE(MID(UPPER(A872)&amp;"    ",2,1))-64))*729+MAX(0,MIN(26,CODE(MID(UPPER(A872)&amp;"    ",3,1))-64))*27+MAX(0,MIN(26,CODE(MID(UPPER(A872)&amp;"    ",4,1))-64))*1)*10000+ROW(),""))</f>
        <v/>
      </c>
      <c r="N872" s="80" t="str">
        <f t="shared" si="7"/>
        <v/>
      </c>
      <c r="O872" s="80" t="str">
        <f t="array" ref="O872">IF(A872="","",IFERROR(INDEX('Deck 3'!$A:$Z,ROW()-750,'List Setup'!$J$5)&amp;"",""))</f>
        <v/>
      </c>
      <c r="P872" s="2"/>
      <c r="Q872" s="80" t="str">
        <f>IF(A872="","",'List Setup'!$A$5)</f>
        <v/>
      </c>
      <c r="R872" s="80" t="str">
        <f t="array" ref="R872">IF(A872="","",IFERROR(OR(INDEX(Binders!$J$6:$J$30,MATCH(Q872,Binders!$I$6:$I$30,0))=TRUE(),UPPER(INDEX(Binders!$J$6:$J$30,MATCH(Q872,Binders!$I$6:$I$30,0))&amp;"")="TRUE"),FALSE()))</f>
        <v/>
      </c>
    </row>
    <row r="873" ht="15.75" customHeight="1">
      <c r="A873" s="80" t="str">
        <f t="array" ref="A873">IF(INDEX('Deck 3'!$A:$Z,ROW()-750,'List Setup'!$D$5)="","",INDEX('Deck 3'!$A:$Z,ROW()-750,'List Setup'!$D$5))</f>
        <v/>
      </c>
      <c r="B873" s="80" t="str">
        <f t="array" ref="B873">IF(A873="","",IFERROR(INDEX('Binder Setup'!$B$2:$B$401,MIN(IF(ISNUMBER(SEARCH(CHAR(10)&amp;'Binder Setup'!$B$2:$B$401&amp;CHAR(10),$H873)),'List Setup'!$Q$2:$Q$401,999),IF(ISNUMBER(SEARCH(CHAR(10)&amp;'Set Aliases'!$A$2:$A$501&amp;CHAR(10),$H873)),'Set Aliases'!$C$2:$C$501,999))),"(none)"))</f>
        <v/>
      </c>
      <c r="C873" s="80" t="str">
        <f t="shared" si="1"/>
        <v/>
      </c>
      <c r="D873" s="80" t="str">
        <f t="array" ref="D873">IF(A873="","",IF(ISLOGICAL(INDEX('Deck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73" s="80" t="str">
        <f t="shared" si="2"/>
        <v/>
      </c>
      <c r="F873" s="80" t="str">
        <f t="array" ref="F873">IF(A873="","",IF(ISNUMBER(J873),J873,IF(ISNUMBER(INDEX('Deck 3'!$A:$Z,ROW()-750,'List Setup'!$F$5)),INDEX('Deck 3'!$A:$Z,ROW()-750,'List Setup'!$F$5),0)))</f>
        <v/>
      </c>
      <c r="G873" s="80" t="str">
        <f t="array" ref="G873">IF(A873="","",A873&amp;IF(N(INDEX('Deck 3'!$A:$Z,ROW()-750,'List Setup'!$C$5))&gt;1," (x"&amp;INDEX('Deck 3'!$A:$Z,ROW()-750,'List Setup'!$C$5)&amp;")","")&amp;IF(COUNTIF(Binders!$J$6:$J$30,TRUE())&gt;1," ["&amp;Q873&amp;"]",""))</f>
        <v/>
      </c>
      <c r="H873" s="80" t="str">
        <f t="array" ref="H873">IF(A873="","",CHAR(10)&amp;INDEX('Deck 3'!$A:$Z,ROW()-750,'List Setup'!$E$5)&amp;CHAR(10))</f>
        <v/>
      </c>
      <c r="I873" s="80" t="str">
        <f t="array" ref="I873">IF(OR(B873="",B873="(none)"),"",IF(ISNUMBER(SEARCH(CHAR(10)&amp;B873&amp;CHAR(10),H873)),B873,IFERROR(INDEX('Set Aliases'!$A$2:$A$501,MATCH(1,('Set Aliases'!$B$2:$B$501=B873)*ISNUMBER(SEARCH(CHAR(10)&amp;'Set Aliases'!$A$2:$A$501&amp;CHAR(10),H873)),0)),"")))</f>
        <v/>
      </c>
      <c r="J873" s="80" t="str">
        <f t="array" ref="J873">IF(I873="","",IFERROR(VALUE(TRIM(MID(SUBSTITUTE(INDEX('Deck 3'!$A:$Z,ROW()-750,'List Setup'!$G$5),CHAR(10),REPT(" ",100)),((SEARCH(CHAR(10)&amp;I873&amp;CHAR(10),H873)-LEN(SUBSTITUTE(LEFT(H873,SEARCH(CHAR(10)&amp;I873&amp;CHAR(10),H873)),CHAR(10),"")))-1)*100+1,100))),""))</f>
        <v/>
      </c>
      <c r="K873" s="80" t="str">
        <f t="array" ref="K873">IF(A873="","",IF(ISNUMBER(SEARCH("Land",LEFT(IFERROR(INDEX('Deck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73" s="80" t="str">
        <f t="shared" si="3"/>
        <v/>
      </c>
      <c r="M873" s="80" t="str">
        <f>IF(A873="","",IF(AND(E873="Y",B873='Use at Shop'!$B$4),K873*10000000000+(MAX(0,MIN(26,CODE(MID(UPPER(A873)&amp;"    ",1,1))-64))*19683+MAX(0,MIN(26,CODE(MID(UPPER(A873)&amp;"    ",2,1))-64))*729+MAX(0,MIN(26,CODE(MID(UPPER(A873)&amp;"    ",3,1))-64))*27+MAX(0,MIN(26,CODE(MID(UPPER(A873)&amp;"    ",4,1))-64))*1)*10000+ROW(),""))</f>
        <v/>
      </c>
      <c r="N873" s="80" t="str">
        <f t="shared" si="7"/>
        <v/>
      </c>
      <c r="O873" s="80" t="str">
        <f t="array" ref="O873">IF(A873="","",IFERROR(INDEX('Deck 3'!$A:$Z,ROW()-750,'List Setup'!$J$5)&amp;"",""))</f>
        <v/>
      </c>
      <c r="P873" s="2"/>
      <c r="Q873" s="80" t="str">
        <f>IF(A873="","",'List Setup'!$A$5)</f>
        <v/>
      </c>
      <c r="R873" s="80" t="str">
        <f t="array" ref="R873">IF(A873="","",IFERROR(OR(INDEX(Binders!$J$6:$J$30,MATCH(Q873,Binders!$I$6:$I$30,0))=TRUE(),UPPER(INDEX(Binders!$J$6:$J$30,MATCH(Q873,Binders!$I$6:$I$30,0))&amp;"")="TRUE"),FALSE()))</f>
        <v/>
      </c>
    </row>
    <row r="874" ht="15.75" customHeight="1">
      <c r="A874" s="80" t="str">
        <f t="array" ref="A874">IF(INDEX('Deck 3'!$A:$Z,ROW()-750,'List Setup'!$D$5)="","",INDEX('Deck 3'!$A:$Z,ROW()-750,'List Setup'!$D$5))</f>
        <v/>
      </c>
      <c r="B874" s="80" t="str">
        <f t="array" ref="B874">IF(A874="","",IFERROR(INDEX('Binder Setup'!$B$2:$B$401,MIN(IF(ISNUMBER(SEARCH(CHAR(10)&amp;'Binder Setup'!$B$2:$B$401&amp;CHAR(10),$H874)),'List Setup'!$Q$2:$Q$401,999),IF(ISNUMBER(SEARCH(CHAR(10)&amp;'Set Aliases'!$A$2:$A$501&amp;CHAR(10),$H874)),'Set Aliases'!$C$2:$C$501,999))),"(none)"))</f>
        <v/>
      </c>
      <c r="C874" s="80" t="str">
        <f t="shared" si="1"/>
        <v/>
      </c>
      <c r="D874" s="80" t="str">
        <f t="array" ref="D874">IF(A874="","",IF(ISLOGICAL(INDEX('Deck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74" s="80" t="str">
        <f t="shared" si="2"/>
        <v/>
      </c>
      <c r="F874" s="80" t="str">
        <f t="array" ref="F874">IF(A874="","",IF(ISNUMBER(J874),J874,IF(ISNUMBER(INDEX('Deck 3'!$A:$Z,ROW()-750,'List Setup'!$F$5)),INDEX('Deck 3'!$A:$Z,ROW()-750,'List Setup'!$F$5),0)))</f>
        <v/>
      </c>
      <c r="G874" s="80" t="str">
        <f t="array" ref="G874">IF(A874="","",A874&amp;IF(N(INDEX('Deck 3'!$A:$Z,ROW()-750,'List Setup'!$C$5))&gt;1," (x"&amp;INDEX('Deck 3'!$A:$Z,ROW()-750,'List Setup'!$C$5)&amp;")","")&amp;IF(COUNTIF(Binders!$J$6:$J$30,TRUE())&gt;1," ["&amp;Q874&amp;"]",""))</f>
        <v/>
      </c>
      <c r="H874" s="80" t="str">
        <f t="array" ref="H874">IF(A874="","",CHAR(10)&amp;INDEX('Deck 3'!$A:$Z,ROW()-750,'List Setup'!$E$5)&amp;CHAR(10))</f>
        <v/>
      </c>
      <c r="I874" s="80" t="str">
        <f t="array" ref="I874">IF(OR(B874="",B874="(none)"),"",IF(ISNUMBER(SEARCH(CHAR(10)&amp;B874&amp;CHAR(10),H874)),B874,IFERROR(INDEX('Set Aliases'!$A$2:$A$501,MATCH(1,('Set Aliases'!$B$2:$B$501=B874)*ISNUMBER(SEARCH(CHAR(10)&amp;'Set Aliases'!$A$2:$A$501&amp;CHAR(10),H874)),0)),"")))</f>
        <v/>
      </c>
      <c r="J874" s="80" t="str">
        <f t="array" ref="J874">IF(I874="","",IFERROR(VALUE(TRIM(MID(SUBSTITUTE(INDEX('Deck 3'!$A:$Z,ROW()-750,'List Setup'!$G$5),CHAR(10),REPT(" ",100)),((SEARCH(CHAR(10)&amp;I874&amp;CHAR(10),H874)-LEN(SUBSTITUTE(LEFT(H874,SEARCH(CHAR(10)&amp;I874&amp;CHAR(10),H874)),CHAR(10),"")))-1)*100+1,100))),""))</f>
        <v/>
      </c>
      <c r="K874" s="80" t="str">
        <f t="array" ref="K874">IF(A874="","",IF(ISNUMBER(SEARCH("Land",LEFT(IFERROR(INDEX('Deck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74" s="80" t="str">
        <f t="shared" si="3"/>
        <v/>
      </c>
      <c r="M874" s="80" t="str">
        <f>IF(A874="","",IF(AND(E874="Y",B874='Use at Shop'!$B$4),K874*10000000000+(MAX(0,MIN(26,CODE(MID(UPPER(A874)&amp;"    ",1,1))-64))*19683+MAX(0,MIN(26,CODE(MID(UPPER(A874)&amp;"    ",2,1))-64))*729+MAX(0,MIN(26,CODE(MID(UPPER(A874)&amp;"    ",3,1))-64))*27+MAX(0,MIN(26,CODE(MID(UPPER(A874)&amp;"    ",4,1))-64))*1)*10000+ROW(),""))</f>
        <v/>
      </c>
      <c r="N874" s="80" t="str">
        <f t="shared" si="7"/>
        <v/>
      </c>
      <c r="O874" s="80" t="str">
        <f t="array" ref="O874">IF(A874="","",IFERROR(INDEX('Deck 3'!$A:$Z,ROW()-750,'List Setup'!$J$5)&amp;"",""))</f>
        <v/>
      </c>
      <c r="P874" s="2"/>
      <c r="Q874" s="80" t="str">
        <f>IF(A874="","",'List Setup'!$A$5)</f>
        <v/>
      </c>
      <c r="R874" s="80" t="str">
        <f t="array" ref="R874">IF(A874="","",IFERROR(OR(INDEX(Binders!$J$6:$J$30,MATCH(Q874,Binders!$I$6:$I$30,0))=TRUE(),UPPER(INDEX(Binders!$J$6:$J$30,MATCH(Q874,Binders!$I$6:$I$30,0))&amp;"")="TRUE"),FALSE()))</f>
        <v/>
      </c>
    </row>
    <row r="875" ht="15.75" customHeight="1">
      <c r="A875" s="80" t="str">
        <f t="array" ref="A875">IF(INDEX('Deck 3'!$A:$Z,ROW()-750,'List Setup'!$D$5)="","",INDEX('Deck 3'!$A:$Z,ROW()-750,'List Setup'!$D$5))</f>
        <v/>
      </c>
      <c r="B875" s="80" t="str">
        <f t="array" ref="B875">IF(A875="","",IFERROR(INDEX('Binder Setup'!$B$2:$B$401,MIN(IF(ISNUMBER(SEARCH(CHAR(10)&amp;'Binder Setup'!$B$2:$B$401&amp;CHAR(10),$H875)),'List Setup'!$Q$2:$Q$401,999),IF(ISNUMBER(SEARCH(CHAR(10)&amp;'Set Aliases'!$A$2:$A$501&amp;CHAR(10),$H875)),'Set Aliases'!$C$2:$C$501,999))),"(none)"))</f>
        <v/>
      </c>
      <c r="C875" s="80" t="str">
        <f t="shared" si="1"/>
        <v/>
      </c>
      <c r="D875" s="80" t="str">
        <f t="array" ref="D875">IF(A875="","",IF(ISLOGICAL(INDEX('Deck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75" s="80" t="str">
        <f t="shared" si="2"/>
        <v/>
      </c>
      <c r="F875" s="80" t="str">
        <f t="array" ref="F875">IF(A875="","",IF(ISNUMBER(J875),J875,IF(ISNUMBER(INDEX('Deck 3'!$A:$Z,ROW()-750,'List Setup'!$F$5)),INDEX('Deck 3'!$A:$Z,ROW()-750,'List Setup'!$F$5),0)))</f>
        <v/>
      </c>
      <c r="G875" s="80" t="str">
        <f t="array" ref="G875">IF(A875="","",A875&amp;IF(N(INDEX('Deck 3'!$A:$Z,ROW()-750,'List Setup'!$C$5))&gt;1," (x"&amp;INDEX('Deck 3'!$A:$Z,ROW()-750,'List Setup'!$C$5)&amp;")","")&amp;IF(COUNTIF(Binders!$J$6:$J$30,TRUE())&gt;1," ["&amp;Q875&amp;"]",""))</f>
        <v/>
      </c>
      <c r="H875" s="80" t="str">
        <f t="array" ref="H875">IF(A875="","",CHAR(10)&amp;INDEX('Deck 3'!$A:$Z,ROW()-750,'List Setup'!$E$5)&amp;CHAR(10))</f>
        <v/>
      </c>
      <c r="I875" s="80" t="str">
        <f t="array" ref="I875">IF(OR(B875="",B875="(none)"),"",IF(ISNUMBER(SEARCH(CHAR(10)&amp;B875&amp;CHAR(10),H875)),B875,IFERROR(INDEX('Set Aliases'!$A$2:$A$501,MATCH(1,('Set Aliases'!$B$2:$B$501=B875)*ISNUMBER(SEARCH(CHAR(10)&amp;'Set Aliases'!$A$2:$A$501&amp;CHAR(10),H875)),0)),"")))</f>
        <v/>
      </c>
      <c r="J875" s="80" t="str">
        <f t="array" ref="J875">IF(I875="","",IFERROR(VALUE(TRIM(MID(SUBSTITUTE(INDEX('Deck 3'!$A:$Z,ROW()-750,'List Setup'!$G$5),CHAR(10),REPT(" ",100)),((SEARCH(CHAR(10)&amp;I875&amp;CHAR(10),H875)-LEN(SUBSTITUTE(LEFT(H875,SEARCH(CHAR(10)&amp;I875&amp;CHAR(10),H875)),CHAR(10),"")))-1)*100+1,100))),""))</f>
        <v/>
      </c>
      <c r="K875" s="80" t="str">
        <f t="array" ref="K875">IF(A875="","",IF(ISNUMBER(SEARCH("Land",LEFT(IFERROR(INDEX('Deck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75" s="80" t="str">
        <f t="shared" si="3"/>
        <v/>
      </c>
      <c r="M875" s="80" t="str">
        <f>IF(A875="","",IF(AND(E875="Y",B875='Use at Shop'!$B$4),K875*10000000000+(MAX(0,MIN(26,CODE(MID(UPPER(A875)&amp;"    ",1,1))-64))*19683+MAX(0,MIN(26,CODE(MID(UPPER(A875)&amp;"    ",2,1))-64))*729+MAX(0,MIN(26,CODE(MID(UPPER(A875)&amp;"    ",3,1))-64))*27+MAX(0,MIN(26,CODE(MID(UPPER(A875)&amp;"    ",4,1))-64))*1)*10000+ROW(),""))</f>
        <v/>
      </c>
      <c r="N875" s="80" t="str">
        <f t="shared" si="7"/>
        <v/>
      </c>
      <c r="O875" s="80" t="str">
        <f t="array" ref="O875">IF(A875="","",IFERROR(INDEX('Deck 3'!$A:$Z,ROW()-750,'List Setup'!$J$5)&amp;"",""))</f>
        <v/>
      </c>
      <c r="P875" s="2"/>
      <c r="Q875" s="80" t="str">
        <f>IF(A875="","",'List Setup'!$A$5)</f>
        <v/>
      </c>
      <c r="R875" s="80" t="str">
        <f t="array" ref="R875">IF(A875="","",IFERROR(OR(INDEX(Binders!$J$6:$J$30,MATCH(Q875,Binders!$I$6:$I$30,0))=TRUE(),UPPER(INDEX(Binders!$J$6:$J$30,MATCH(Q875,Binders!$I$6:$I$30,0))&amp;"")="TRUE"),FALSE()))</f>
        <v/>
      </c>
    </row>
    <row r="876" ht="15.75" customHeight="1">
      <c r="A876" s="80" t="str">
        <f t="array" ref="A876">IF(INDEX('Deck 3'!$A:$Z,ROW()-750,'List Setup'!$D$5)="","",INDEX('Deck 3'!$A:$Z,ROW()-750,'List Setup'!$D$5))</f>
        <v/>
      </c>
      <c r="B876" s="80" t="str">
        <f t="array" ref="B876">IF(A876="","",IFERROR(INDEX('Binder Setup'!$B$2:$B$401,MIN(IF(ISNUMBER(SEARCH(CHAR(10)&amp;'Binder Setup'!$B$2:$B$401&amp;CHAR(10),$H876)),'List Setup'!$Q$2:$Q$401,999),IF(ISNUMBER(SEARCH(CHAR(10)&amp;'Set Aliases'!$A$2:$A$501&amp;CHAR(10),$H876)),'Set Aliases'!$C$2:$C$501,999))),"(none)"))</f>
        <v/>
      </c>
      <c r="C876" s="80" t="str">
        <f t="shared" si="1"/>
        <v/>
      </c>
      <c r="D876" s="80" t="str">
        <f t="array" ref="D876">IF(A876="","",IF(ISLOGICAL(INDEX('Deck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76" s="80" t="str">
        <f t="shared" si="2"/>
        <v/>
      </c>
      <c r="F876" s="80" t="str">
        <f t="array" ref="F876">IF(A876="","",IF(ISNUMBER(J876),J876,IF(ISNUMBER(INDEX('Deck 3'!$A:$Z,ROW()-750,'List Setup'!$F$5)),INDEX('Deck 3'!$A:$Z,ROW()-750,'List Setup'!$F$5),0)))</f>
        <v/>
      </c>
      <c r="G876" s="80" t="str">
        <f t="array" ref="G876">IF(A876="","",A876&amp;IF(N(INDEX('Deck 3'!$A:$Z,ROW()-750,'List Setup'!$C$5))&gt;1," (x"&amp;INDEX('Deck 3'!$A:$Z,ROW()-750,'List Setup'!$C$5)&amp;")","")&amp;IF(COUNTIF(Binders!$J$6:$J$30,TRUE())&gt;1," ["&amp;Q876&amp;"]",""))</f>
        <v/>
      </c>
      <c r="H876" s="80" t="str">
        <f t="array" ref="H876">IF(A876="","",CHAR(10)&amp;INDEX('Deck 3'!$A:$Z,ROW()-750,'List Setup'!$E$5)&amp;CHAR(10))</f>
        <v/>
      </c>
      <c r="I876" s="80" t="str">
        <f t="array" ref="I876">IF(OR(B876="",B876="(none)"),"",IF(ISNUMBER(SEARCH(CHAR(10)&amp;B876&amp;CHAR(10),H876)),B876,IFERROR(INDEX('Set Aliases'!$A$2:$A$501,MATCH(1,('Set Aliases'!$B$2:$B$501=B876)*ISNUMBER(SEARCH(CHAR(10)&amp;'Set Aliases'!$A$2:$A$501&amp;CHAR(10),H876)),0)),"")))</f>
        <v/>
      </c>
      <c r="J876" s="80" t="str">
        <f t="array" ref="J876">IF(I876="","",IFERROR(VALUE(TRIM(MID(SUBSTITUTE(INDEX('Deck 3'!$A:$Z,ROW()-750,'List Setup'!$G$5),CHAR(10),REPT(" ",100)),((SEARCH(CHAR(10)&amp;I876&amp;CHAR(10),H876)-LEN(SUBSTITUTE(LEFT(H876,SEARCH(CHAR(10)&amp;I876&amp;CHAR(10),H876)),CHAR(10),"")))-1)*100+1,100))),""))</f>
        <v/>
      </c>
      <c r="K876" s="80" t="str">
        <f t="array" ref="K876">IF(A876="","",IF(ISNUMBER(SEARCH("Land",LEFT(IFERROR(INDEX('Deck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76" s="80" t="str">
        <f t="shared" si="3"/>
        <v/>
      </c>
      <c r="M876" s="80" t="str">
        <f>IF(A876="","",IF(AND(E876="Y",B876='Use at Shop'!$B$4),K876*10000000000+(MAX(0,MIN(26,CODE(MID(UPPER(A876)&amp;"    ",1,1))-64))*19683+MAX(0,MIN(26,CODE(MID(UPPER(A876)&amp;"    ",2,1))-64))*729+MAX(0,MIN(26,CODE(MID(UPPER(A876)&amp;"    ",3,1))-64))*27+MAX(0,MIN(26,CODE(MID(UPPER(A876)&amp;"    ",4,1))-64))*1)*10000+ROW(),""))</f>
        <v/>
      </c>
      <c r="N876" s="80" t="str">
        <f t="shared" si="7"/>
        <v/>
      </c>
      <c r="O876" s="80" t="str">
        <f t="array" ref="O876">IF(A876="","",IFERROR(INDEX('Deck 3'!$A:$Z,ROW()-750,'List Setup'!$J$5)&amp;"",""))</f>
        <v/>
      </c>
      <c r="P876" s="2"/>
      <c r="Q876" s="80" t="str">
        <f>IF(A876="","",'List Setup'!$A$5)</f>
        <v/>
      </c>
      <c r="R876" s="80" t="str">
        <f t="array" ref="R876">IF(A876="","",IFERROR(OR(INDEX(Binders!$J$6:$J$30,MATCH(Q876,Binders!$I$6:$I$30,0))=TRUE(),UPPER(INDEX(Binders!$J$6:$J$30,MATCH(Q876,Binders!$I$6:$I$30,0))&amp;"")="TRUE"),FALSE()))</f>
        <v/>
      </c>
    </row>
    <row r="877" ht="15.75" customHeight="1">
      <c r="A877" s="80" t="str">
        <f t="array" ref="A877">IF(INDEX('Deck 3'!$A:$Z,ROW()-750,'List Setup'!$D$5)="","",INDEX('Deck 3'!$A:$Z,ROW()-750,'List Setup'!$D$5))</f>
        <v/>
      </c>
      <c r="B877" s="80" t="str">
        <f t="array" ref="B877">IF(A877="","",IFERROR(INDEX('Binder Setup'!$B$2:$B$401,MIN(IF(ISNUMBER(SEARCH(CHAR(10)&amp;'Binder Setup'!$B$2:$B$401&amp;CHAR(10),$H877)),'List Setup'!$Q$2:$Q$401,999),IF(ISNUMBER(SEARCH(CHAR(10)&amp;'Set Aliases'!$A$2:$A$501&amp;CHAR(10),$H877)),'Set Aliases'!$C$2:$C$501,999))),"(none)"))</f>
        <v/>
      </c>
      <c r="C877" s="80" t="str">
        <f t="shared" si="1"/>
        <v/>
      </c>
      <c r="D877" s="80" t="str">
        <f t="array" ref="D877">IF(A877="","",IF(ISLOGICAL(INDEX('Deck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77" s="80" t="str">
        <f t="shared" si="2"/>
        <v/>
      </c>
      <c r="F877" s="80" t="str">
        <f t="array" ref="F877">IF(A877="","",IF(ISNUMBER(J877),J877,IF(ISNUMBER(INDEX('Deck 3'!$A:$Z,ROW()-750,'List Setup'!$F$5)),INDEX('Deck 3'!$A:$Z,ROW()-750,'List Setup'!$F$5),0)))</f>
        <v/>
      </c>
      <c r="G877" s="80" t="str">
        <f t="array" ref="G877">IF(A877="","",A877&amp;IF(N(INDEX('Deck 3'!$A:$Z,ROW()-750,'List Setup'!$C$5))&gt;1," (x"&amp;INDEX('Deck 3'!$A:$Z,ROW()-750,'List Setup'!$C$5)&amp;")","")&amp;IF(COUNTIF(Binders!$J$6:$J$30,TRUE())&gt;1," ["&amp;Q877&amp;"]",""))</f>
        <v/>
      </c>
      <c r="H877" s="80" t="str">
        <f t="array" ref="H877">IF(A877="","",CHAR(10)&amp;INDEX('Deck 3'!$A:$Z,ROW()-750,'List Setup'!$E$5)&amp;CHAR(10))</f>
        <v/>
      </c>
      <c r="I877" s="80" t="str">
        <f t="array" ref="I877">IF(OR(B877="",B877="(none)"),"",IF(ISNUMBER(SEARCH(CHAR(10)&amp;B877&amp;CHAR(10),H877)),B877,IFERROR(INDEX('Set Aliases'!$A$2:$A$501,MATCH(1,('Set Aliases'!$B$2:$B$501=B877)*ISNUMBER(SEARCH(CHAR(10)&amp;'Set Aliases'!$A$2:$A$501&amp;CHAR(10),H877)),0)),"")))</f>
        <v/>
      </c>
      <c r="J877" s="80" t="str">
        <f t="array" ref="J877">IF(I877="","",IFERROR(VALUE(TRIM(MID(SUBSTITUTE(INDEX('Deck 3'!$A:$Z,ROW()-750,'List Setup'!$G$5),CHAR(10),REPT(" ",100)),((SEARCH(CHAR(10)&amp;I877&amp;CHAR(10),H877)-LEN(SUBSTITUTE(LEFT(H877,SEARCH(CHAR(10)&amp;I877&amp;CHAR(10),H877)),CHAR(10),"")))-1)*100+1,100))),""))</f>
        <v/>
      </c>
      <c r="K877" s="80" t="str">
        <f t="array" ref="K877">IF(A877="","",IF(ISNUMBER(SEARCH("Land",LEFT(IFERROR(INDEX('Deck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77" s="80" t="str">
        <f t="shared" si="3"/>
        <v/>
      </c>
      <c r="M877" s="80" t="str">
        <f>IF(A877="","",IF(AND(E877="Y",B877='Use at Shop'!$B$4),K877*10000000000+(MAX(0,MIN(26,CODE(MID(UPPER(A877)&amp;"    ",1,1))-64))*19683+MAX(0,MIN(26,CODE(MID(UPPER(A877)&amp;"    ",2,1))-64))*729+MAX(0,MIN(26,CODE(MID(UPPER(A877)&amp;"    ",3,1))-64))*27+MAX(0,MIN(26,CODE(MID(UPPER(A877)&amp;"    ",4,1))-64))*1)*10000+ROW(),""))</f>
        <v/>
      </c>
      <c r="N877" s="80" t="str">
        <f t="shared" si="7"/>
        <v/>
      </c>
      <c r="O877" s="80" t="str">
        <f t="array" ref="O877">IF(A877="","",IFERROR(INDEX('Deck 3'!$A:$Z,ROW()-750,'List Setup'!$J$5)&amp;"",""))</f>
        <v/>
      </c>
      <c r="P877" s="2"/>
      <c r="Q877" s="80" t="str">
        <f>IF(A877="","",'List Setup'!$A$5)</f>
        <v/>
      </c>
      <c r="R877" s="80" t="str">
        <f t="array" ref="R877">IF(A877="","",IFERROR(OR(INDEX(Binders!$J$6:$J$30,MATCH(Q877,Binders!$I$6:$I$30,0))=TRUE(),UPPER(INDEX(Binders!$J$6:$J$30,MATCH(Q877,Binders!$I$6:$I$30,0))&amp;"")="TRUE"),FALSE()))</f>
        <v/>
      </c>
    </row>
    <row r="878" ht="15.75" customHeight="1">
      <c r="A878" s="80" t="str">
        <f t="array" ref="A878">IF(INDEX('Deck 3'!$A:$Z,ROW()-750,'List Setup'!$D$5)="","",INDEX('Deck 3'!$A:$Z,ROW()-750,'List Setup'!$D$5))</f>
        <v/>
      </c>
      <c r="B878" s="80" t="str">
        <f t="array" ref="B878">IF(A878="","",IFERROR(INDEX('Binder Setup'!$B$2:$B$401,MIN(IF(ISNUMBER(SEARCH(CHAR(10)&amp;'Binder Setup'!$B$2:$B$401&amp;CHAR(10),$H878)),'List Setup'!$Q$2:$Q$401,999),IF(ISNUMBER(SEARCH(CHAR(10)&amp;'Set Aliases'!$A$2:$A$501&amp;CHAR(10),$H878)),'Set Aliases'!$C$2:$C$501,999))),"(none)"))</f>
        <v/>
      </c>
      <c r="C878" s="80" t="str">
        <f t="shared" si="1"/>
        <v/>
      </c>
      <c r="D878" s="80" t="str">
        <f t="array" ref="D878">IF(A878="","",IF(ISLOGICAL(INDEX('Deck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78" s="80" t="str">
        <f t="shared" si="2"/>
        <v/>
      </c>
      <c r="F878" s="80" t="str">
        <f t="array" ref="F878">IF(A878="","",IF(ISNUMBER(J878),J878,IF(ISNUMBER(INDEX('Deck 3'!$A:$Z,ROW()-750,'List Setup'!$F$5)),INDEX('Deck 3'!$A:$Z,ROW()-750,'List Setup'!$F$5),0)))</f>
        <v/>
      </c>
      <c r="G878" s="80" t="str">
        <f t="array" ref="G878">IF(A878="","",A878&amp;IF(N(INDEX('Deck 3'!$A:$Z,ROW()-750,'List Setup'!$C$5))&gt;1," (x"&amp;INDEX('Deck 3'!$A:$Z,ROW()-750,'List Setup'!$C$5)&amp;")","")&amp;IF(COUNTIF(Binders!$J$6:$J$30,TRUE())&gt;1," ["&amp;Q878&amp;"]",""))</f>
        <v/>
      </c>
      <c r="H878" s="80" t="str">
        <f t="array" ref="H878">IF(A878="","",CHAR(10)&amp;INDEX('Deck 3'!$A:$Z,ROW()-750,'List Setup'!$E$5)&amp;CHAR(10))</f>
        <v/>
      </c>
      <c r="I878" s="80" t="str">
        <f t="array" ref="I878">IF(OR(B878="",B878="(none)"),"",IF(ISNUMBER(SEARCH(CHAR(10)&amp;B878&amp;CHAR(10),H878)),B878,IFERROR(INDEX('Set Aliases'!$A$2:$A$501,MATCH(1,('Set Aliases'!$B$2:$B$501=B878)*ISNUMBER(SEARCH(CHAR(10)&amp;'Set Aliases'!$A$2:$A$501&amp;CHAR(10),H878)),0)),"")))</f>
        <v/>
      </c>
      <c r="J878" s="80" t="str">
        <f t="array" ref="J878">IF(I878="","",IFERROR(VALUE(TRIM(MID(SUBSTITUTE(INDEX('Deck 3'!$A:$Z,ROW()-750,'List Setup'!$G$5),CHAR(10),REPT(" ",100)),((SEARCH(CHAR(10)&amp;I878&amp;CHAR(10),H878)-LEN(SUBSTITUTE(LEFT(H878,SEARCH(CHAR(10)&amp;I878&amp;CHAR(10),H878)),CHAR(10),"")))-1)*100+1,100))),""))</f>
        <v/>
      </c>
      <c r="K878" s="80" t="str">
        <f t="array" ref="K878">IF(A878="","",IF(ISNUMBER(SEARCH("Land",LEFT(IFERROR(INDEX('Deck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78" s="80" t="str">
        <f t="shared" si="3"/>
        <v/>
      </c>
      <c r="M878" s="80" t="str">
        <f>IF(A878="","",IF(AND(E878="Y",B878='Use at Shop'!$B$4),K878*10000000000+(MAX(0,MIN(26,CODE(MID(UPPER(A878)&amp;"    ",1,1))-64))*19683+MAX(0,MIN(26,CODE(MID(UPPER(A878)&amp;"    ",2,1))-64))*729+MAX(0,MIN(26,CODE(MID(UPPER(A878)&amp;"    ",3,1))-64))*27+MAX(0,MIN(26,CODE(MID(UPPER(A878)&amp;"    ",4,1))-64))*1)*10000+ROW(),""))</f>
        <v/>
      </c>
      <c r="N878" s="80" t="str">
        <f t="shared" si="7"/>
        <v/>
      </c>
      <c r="O878" s="80" t="str">
        <f t="array" ref="O878">IF(A878="","",IFERROR(INDEX('Deck 3'!$A:$Z,ROW()-750,'List Setup'!$J$5)&amp;"",""))</f>
        <v/>
      </c>
      <c r="P878" s="2"/>
      <c r="Q878" s="80" t="str">
        <f>IF(A878="","",'List Setup'!$A$5)</f>
        <v/>
      </c>
      <c r="R878" s="80" t="str">
        <f t="array" ref="R878">IF(A878="","",IFERROR(OR(INDEX(Binders!$J$6:$J$30,MATCH(Q878,Binders!$I$6:$I$30,0))=TRUE(),UPPER(INDEX(Binders!$J$6:$J$30,MATCH(Q878,Binders!$I$6:$I$30,0))&amp;"")="TRUE"),FALSE()))</f>
        <v/>
      </c>
    </row>
    <row r="879" ht="15.75" customHeight="1">
      <c r="A879" s="80" t="str">
        <f t="array" ref="A879">IF(INDEX('Deck 3'!$A:$Z,ROW()-750,'List Setup'!$D$5)="","",INDEX('Deck 3'!$A:$Z,ROW()-750,'List Setup'!$D$5))</f>
        <v/>
      </c>
      <c r="B879" s="80" t="str">
        <f t="array" ref="B879">IF(A879="","",IFERROR(INDEX('Binder Setup'!$B$2:$B$401,MIN(IF(ISNUMBER(SEARCH(CHAR(10)&amp;'Binder Setup'!$B$2:$B$401&amp;CHAR(10),$H879)),'List Setup'!$Q$2:$Q$401,999),IF(ISNUMBER(SEARCH(CHAR(10)&amp;'Set Aliases'!$A$2:$A$501&amp;CHAR(10),$H879)),'Set Aliases'!$C$2:$C$501,999))),"(none)"))</f>
        <v/>
      </c>
      <c r="C879" s="80" t="str">
        <f t="shared" si="1"/>
        <v/>
      </c>
      <c r="D879" s="80" t="str">
        <f t="array" ref="D879">IF(A879="","",IF(ISLOGICAL(INDEX('Deck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79" s="80" t="str">
        <f t="shared" si="2"/>
        <v/>
      </c>
      <c r="F879" s="80" t="str">
        <f t="array" ref="F879">IF(A879="","",IF(ISNUMBER(J879),J879,IF(ISNUMBER(INDEX('Deck 3'!$A:$Z,ROW()-750,'List Setup'!$F$5)),INDEX('Deck 3'!$A:$Z,ROW()-750,'List Setup'!$F$5),0)))</f>
        <v/>
      </c>
      <c r="G879" s="80" t="str">
        <f t="array" ref="G879">IF(A879="","",A879&amp;IF(N(INDEX('Deck 3'!$A:$Z,ROW()-750,'List Setup'!$C$5))&gt;1," (x"&amp;INDEX('Deck 3'!$A:$Z,ROW()-750,'List Setup'!$C$5)&amp;")","")&amp;IF(COUNTIF(Binders!$J$6:$J$30,TRUE())&gt;1," ["&amp;Q879&amp;"]",""))</f>
        <v/>
      </c>
      <c r="H879" s="80" t="str">
        <f t="array" ref="H879">IF(A879="","",CHAR(10)&amp;INDEX('Deck 3'!$A:$Z,ROW()-750,'List Setup'!$E$5)&amp;CHAR(10))</f>
        <v/>
      </c>
      <c r="I879" s="80" t="str">
        <f t="array" ref="I879">IF(OR(B879="",B879="(none)"),"",IF(ISNUMBER(SEARCH(CHAR(10)&amp;B879&amp;CHAR(10),H879)),B879,IFERROR(INDEX('Set Aliases'!$A$2:$A$501,MATCH(1,('Set Aliases'!$B$2:$B$501=B879)*ISNUMBER(SEARCH(CHAR(10)&amp;'Set Aliases'!$A$2:$A$501&amp;CHAR(10),H879)),0)),"")))</f>
        <v/>
      </c>
      <c r="J879" s="80" t="str">
        <f t="array" ref="J879">IF(I879="","",IFERROR(VALUE(TRIM(MID(SUBSTITUTE(INDEX('Deck 3'!$A:$Z,ROW()-750,'List Setup'!$G$5),CHAR(10),REPT(" ",100)),((SEARCH(CHAR(10)&amp;I879&amp;CHAR(10),H879)-LEN(SUBSTITUTE(LEFT(H879,SEARCH(CHAR(10)&amp;I879&amp;CHAR(10),H879)),CHAR(10),"")))-1)*100+1,100))),""))</f>
        <v/>
      </c>
      <c r="K879" s="80" t="str">
        <f t="array" ref="K879">IF(A879="","",IF(ISNUMBER(SEARCH("Land",LEFT(IFERROR(INDEX('Deck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79" s="80" t="str">
        <f t="shared" si="3"/>
        <v/>
      </c>
      <c r="M879" s="80" t="str">
        <f>IF(A879="","",IF(AND(E879="Y",B879='Use at Shop'!$B$4),K879*10000000000+(MAX(0,MIN(26,CODE(MID(UPPER(A879)&amp;"    ",1,1))-64))*19683+MAX(0,MIN(26,CODE(MID(UPPER(A879)&amp;"    ",2,1))-64))*729+MAX(0,MIN(26,CODE(MID(UPPER(A879)&amp;"    ",3,1))-64))*27+MAX(0,MIN(26,CODE(MID(UPPER(A879)&amp;"    ",4,1))-64))*1)*10000+ROW(),""))</f>
        <v/>
      </c>
      <c r="N879" s="80" t="str">
        <f t="shared" si="7"/>
        <v/>
      </c>
      <c r="O879" s="80" t="str">
        <f t="array" ref="O879">IF(A879="","",IFERROR(INDEX('Deck 3'!$A:$Z,ROW()-750,'List Setup'!$J$5)&amp;"",""))</f>
        <v/>
      </c>
      <c r="P879" s="2"/>
      <c r="Q879" s="80" t="str">
        <f>IF(A879="","",'List Setup'!$A$5)</f>
        <v/>
      </c>
      <c r="R879" s="80" t="str">
        <f t="array" ref="R879">IF(A879="","",IFERROR(OR(INDEX(Binders!$J$6:$J$30,MATCH(Q879,Binders!$I$6:$I$30,0))=TRUE(),UPPER(INDEX(Binders!$J$6:$J$30,MATCH(Q879,Binders!$I$6:$I$30,0))&amp;"")="TRUE"),FALSE()))</f>
        <v/>
      </c>
    </row>
    <row r="880" ht="15.75" customHeight="1">
      <c r="A880" s="80" t="str">
        <f t="array" ref="A880">IF(INDEX('Deck 3'!$A:$Z,ROW()-750,'List Setup'!$D$5)="","",INDEX('Deck 3'!$A:$Z,ROW()-750,'List Setup'!$D$5))</f>
        <v/>
      </c>
      <c r="B880" s="80" t="str">
        <f t="array" ref="B880">IF(A880="","",IFERROR(INDEX('Binder Setup'!$B$2:$B$401,MIN(IF(ISNUMBER(SEARCH(CHAR(10)&amp;'Binder Setup'!$B$2:$B$401&amp;CHAR(10),$H880)),'List Setup'!$Q$2:$Q$401,999),IF(ISNUMBER(SEARCH(CHAR(10)&amp;'Set Aliases'!$A$2:$A$501&amp;CHAR(10),$H880)),'Set Aliases'!$C$2:$C$501,999))),"(none)"))</f>
        <v/>
      </c>
      <c r="C880" s="80" t="str">
        <f t="shared" si="1"/>
        <v/>
      </c>
      <c r="D880" s="80" t="str">
        <f t="array" ref="D880">IF(A880="","",IF(ISLOGICAL(INDEX('Deck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80" s="80" t="str">
        <f t="shared" si="2"/>
        <v/>
      </c>
      <c r="F880" s="80" t="str">
        <f t="array" ref="F880">IF(A880="","",IF(ISNUMBER(J880),J880,IF(ISNUMBER(INDEX('Deck 3'!$A:$Z,ROW()-750,'List Setup'!$F$5)),INDEX('Deck 3'!$A:$Z,ROW()-750,'List Setup'!$F$5),0)))</f>
        <v/>
      </c>
      <c r="G880" s="80" t="str">
        <f t="array" ref="G880">IF(A880="","",A880&amp;IF(N(INDEX('Deck 3'!$A:$Z,ROW()-750,'List Setup'!$C$5))&gt;1," (x"&amp;INDEX('Deck 3'!$A:$Z,ROW()-750,'List Setup'!$C$5)&amp;")","")&amp;IF(COUNTIF(Binders!$J$6:$J$30,TRUE())&gt;1," ["&amp;Q880&amp;"]",""))</f>
        <v/>
      </c>
      <c r="H880" s="80" t="str">
        <f t="array" ref="H880">IF(A880="","",CHAR(10)&amp;INDEX('Deck 3'!$A:$Z,ROW()-750,'List Setup'!$E$5)&amp;CHAR(10))</f>
        <v/>
      </c>
      <c r="I880" s="80" t="str">
        <f t="array" ref="I880">IF(OR(B880="",B880="(none)"),"",IF(ISNUMBER(SEARCH(CHAR(10)&amp;B880&amp;CHAR(10),H880)),B880,IFERROR(INDEX('Set Aliases'!$A$2:$A$501,MATCH(1,('Set Aliases'!$B$2:$B$501=B880)*ISNUMBER(SEARCH(CHAR(10)&amp;'Set Aliases'!$A$2:$A$501&amp;CHAR(10),H880)),0)),"")))</f>
        <v/>
      </c>
      <c r="J880" s="80" t="str">
        <f t="array" ref="J880">IF(I880="","",IFERROR(VALUE(TRIM(MID(SUBSTITUTE(INDEX('Deck 3'!$A:$Z,ROW()-750,'List Setup'!$G$5),CHAR(10),REPT(" ",100)),((SEARCH(CHAR(10)&amp;I880&amp;CHAR(10),H880)-LEN(SUBSTITUTE(LEFT(H880,SEARCH(CHAR(10)&amp;I880&amp;CHAR(10),H880)),CHAR(10),"")))-1)*100+1,100))),""))</f>
        <v/>
      </c>
      <c r="K880" s="80" t="str">
        <f t="array" ref="K880">IF(A880="","",IF(ISNUMBER(SEARCH("Land",LEFT(IFERROR(INDEX('Deck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80" s="80" t="str">
        <f t="shared" si="3"/>
        <v/>
      </c>
      <c r="M880" s="80" t="str">
        <f>IF(A880="","",IF(AND(E880="Y",B880='Use at Shop'!$B$4),K880*10000000000+(MAX(0,MIN(26,CODE(MID(UPPER(A880)&amp;"    ",1,1))-64))*19683+MAX(0,MIN(26,CODE(MID(UPPER(A880)&amp;"    ",2,1))-64))*729+MAX(0,MIN(26,CODE(MID(UPPER(A880)&amp;"    ",3,1))-64))*27+MAX(0,MIN(26,CODE(MID(UPPER(A880)&amp;"    ",4,1))-64))*1)*10000+ROW(),""))</f>
        <v/>
      </c>
      <c r="N880" s="80" t="str">
        <f t="shared" si="7"/>
        <v/>
      </c>
      <c r="O880" s="80" t="str">
        <f t="array" ref="O880">IF(A880="","",IFERROR(INDEX('Deck 3'!$A:$Z,ROW()-750,'List Setup'!$J$5)&amp;"",""))</f>
        <v/>
      </c>
      <c r="P880" s="2"/>
      <c r="Q880" s="80" t="str">
        <f>IF(A880="","",'List Setup'!$A$5)</f>
        <v/>
      </c>
      <c r="R880" s="80" t="str">
        <f t="array" ref="R880">IF(A880="","",IFERROR(OR(INDEX(Binders!$J$6:$J$30,MATCH(Q880,Binders!$I$6:$I$30,0))=TRUE(),UPPER(INDEX(Binders!$J$6:$J$30,MATCH(Q880,Binders!$I$6:$I$30,0))&amp;"")="TRUE"),FALSE()))</f>
        <v/>
      </c>
    </row>
    <row r="881" ht="15.75" customHeight="1">
      <c r="A881" s="80" t="str">
        <f t="array" ref="A881">IF(INDEX('Deck 3'!$A:$Z,ROW()-750,'List Setup'!$D$5)="","",INDEX('Deck 3'!$A:$Z,ROW()-750,'List Setup'!$D$5))</f>
        <v/>
      </c>
      <c r="B881" s="80" t="str">
        <f t="array" ref="B881">IF(A881="","",IFERROR(INDEX('Binder Setup'!$B$2:$B$401,MIN(IF(ISNUMBER(SEARCH(CHAR(10)&amp;'Binder Setup'!$B$2:$B$401&amp;CHAR(10),$H881)),'List Setup'!$Q$2:$Q$401,999),IF(ISNUMBER(SEARCH(CHAR(10)&amp;'Set Aliases'!$A$2:$A$501&amp;CHAR(10),$H881)),'Set Aliases'!$C$2:$C$501,999))),"(none)"))</f>
        <v/>
      </c>
      <c r="C881" s="80" t="str">
        <f t="shared" si="1"/>
        <v/>
      </c>
      <c r="D881" s="80" t="str">
        <f t="array" ref="D881">IF(A881="","",IF(ISLOGICAL(INDEX('Deck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81" s="80" t="str">
        <f t="shared" si="2"/>
        <v/>
      </c>
      <c r="F881" s="80" t="str">
        <f t="array" ref="F881">IF(A881="","",IF(ISNUMBER(J881),J881,IF(ISNUMBER(INDEX('Deck 3'!$A:$Z,ROW()-750,'List Setup'!$F$5)),INDEX('Deck 3'!$A:$Z,ROW()-750,'List Setup'!$F$5),0)))</f>
        <v/>
      </c>
      <c r="G881" s="80" t="str">
        <f t="array" ref="G881">IF(A881="","",A881&amp;IF(N(INDEX('Deck 3'!$A:$Z,ROW()-750,'List Setup'!$C$5))&gt;1," (x"&amp;INDEX('Deck 3'!$A:$Z,ROW()-750,'List Setup'!$C$5)&amp;")","")&amp;IF(COUNTIF(Binders!$J$6:$J$30,TRUE())&gt;1," ["&amp;Q881&amp;"]",""))</f>
        <v/>
      </c>
      <c r="H881" s="80" t="str">
        <f t="array" ref="H881">IF(A881="","",CHAR(10)&amp;INDEX('Deck 3'!$A:$Z,ROW()-750,'List Setup'!$E$5)&amp;CHAR(10))</f>
        <v/>
      </c>
      <c r="I881" s="80" t="str">
        <f t="array" ref="I881">IF(OR(B881="",B881="(none)"),"",IF(ISNUMBER(SEARCH(CHAR(10)&amp;B881&amp;CHAR(10),H881)),B881,IFERROR(INDEX('Set Aliases'!$A$2:$A$501,MATCH(1,('Set Aliases'!$B$2:$B$501=B881)*ISNUMBER(SEARCH(CHAR(10)&amp;'Set Aliases'!$A$2:$A$501&amp;CHAR(10),H881)),0)),"")))</f>
        <v/>
      </c>
      <c r="J881" s="80" t="str">
        <f t="array" ref="J881">IF(I881="","",IFERROR(VALUE(TRIM(MID(SUBSTITUTE(INDEX('Deck 3'!$A:$Z,ROW()-750,'List Setup'!$G$5),CHAR(10),REPT(" ",100)),((SEARCH(CHAR(10)&amp;I881&amp;CHAR(10),H881)-LEN(SUBSTITUTE(LEFT(H881,SEARCH(CHAR(10)&amp;I881&amp;CHAR(10),H881)),CHAR(10),"")))-1)*100+1,100))),""))</f>
        <v/>
      </c>
      <c r="K881" s="80" t="str">
        <f t="array" ref="K881">IF(A881="","",IF(ISNUMBER(SEARCH("Land",LEFT(IFERROR(INDEX('Deck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81" s="80" t="str">
        <f t="shared" si="3"/>
        <v/>
      </c>
      <c r="M881" s="80" t="str">
        <f>IF(A881="","",IF(AND(E881="Y",B881='Use at Shop'!$B$4),K881*10000000000+(MAX(0,MIN(26,CODE(MID(UPPER(A881)&amp;"    ",1,1))-64))*19683+MAX(0,MIN(26,CODE(MID(UPPER(A881)&amp;"    ",2,1))-64))*729+MAX(0,MIN(26,CODE(MID(UPPER(A881)&amp;"    ",3,1))-64))*27+MAX(0,MIN(26,CODE(MID(UPPER(A881)&amp;"    ",4,1))-64))*1)*10000+ROW(),""))</f>
        <v/>
      </c>
      <c r="N881" s="80" t="str">
        <f t="shared" si="7"/>
        <v/>
      </c>
      <c r="O881" s="80" t="str">
        <f t="array" ref="O881">IF(A881="","",IFERROR(INDEX('Deck 3'!$A:$Z,ROW()-750,'List Setup'!$J$5)&amp;"",""))</f>
        <v/>
      </c>
      <c r="P881" s="2"/>
      <c r="Q881" s="80" t="str">
        <f>IF(A881="","",'List Setup'!$A$5)</f>
        <v/>
      </c>
      <c r="R881" s="80" t="str">
        <f t="array" ref="R881">IF(A881="","",IFERROR(OR(INDEX(Binders!$J$6:$J$30,MATCH(Q881,Binders!$I$6:$I$30,0))=TRUE(),UPPER(INDEX(Binders!$J$6:$J$30,MATCH(Q881,Binders!$I$6:$I$30,0))&amp;"")="TRUE"),FALSE()))</f>
        <v/>
      </c>
    </row>
    <row r="882" ht="15.75" customHeight="1">
      <c r="A882" s="80" t="str">
        <f t="array" ref="A882">IF(INDEX('Deck 3'!$A:$Z,ROW()-750,'List Setup'!$D$5)="","",INDEX('Deck 3'!$A:$Z,ROW()-750,'List Setup'!$D$5))</f>
        <v/>
      </c>
      <c r="B882" s="80" t="str">
        <f t="array" ref="B882">IF(A882="","",IFERROR(INDEX('Binder Setup'!$B$2:$B$401,MIN(IF(ISNUMBER(SEARCH(CHAR(10)&amp;'Binder Setup'!$B$2:$B$401&amp;CHAR(10),$H882)),'List Setup'!$Q$2:$Q$401,999),IF(ISNUMBER(SEARCH(CHAR(10)&amp;'Set Aliases'!$A$2:$A$501&amp;CHAR(10),$H882)),'Set Aliases'!$C$2:$C$501,999))),"(none)"))</f>
        <v/>
      </c>
      <c r="C882" s="80" t="str">
        <f t="shared" si="1"/>
        <v/>
      </c>
      <c r="D882" s="80" t="str">
        <f t="array" ref="D882">IF(A882="","",IF(ISLOGICAL(INDEX('Deck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82" s="80" t="str">
        <f t="shared" si="2"/>
        <v/>
      </c>
      <c r="F882" s="80" t="str">
        <f t="array" ref="F882">IF(A882="","",IF(ISNUMBER(J882),J882,IF(ISNUMBER(INDEX('Deck 3'!$A:$Z,ROW()-750,'List Setup'!$F$5)),INDEX('Deck 3'!$A:$Z,ROW()-750,'List Setup'!$F$5),0)))</f>
        <v/>
      </c>
      <c r="G882" s="80" t="str">
        <f t="array" ref="G882">IF(A882="","",A882&amp;IF(N(INDEX('Deck 3'!$A:$Z,ROW()-750,'List Setup'!$C$5))&gt;1," (x"&amp;INDEX('Deck 3'!$A:$Z,ROW()-750,'List Setup'!$C$5)&amp;")","")&amp;IF(COUNTIF(Binders!$J$6:$J$30,TRUE())&gt;1," ["&amp;Q882&amp;"]",""))</f>
        <v/>
      </c>
      <c r="H882" s="80" t="str">
        <f t="array" ref="H882">IF(A882="","",CHAR(10)&amp;INDEX('Deck 3'!$A:$Z,ROW()-750,'List Setup'!$E$5)&amp;CHAR(10))</f>
        <v/>
      </c>
      <c r="I882" s="80" t="str">
        <f t="array" ref="I882">IF(OR(B882="",B882="(none)"),"",IF(ISNUMBER(SEARCH(CHAR(10)&amp;B882&amp;CHAR(10),H882)),B882,IFERROR(INDEX('Set Aliases'!$A$2:$A$501,MATCH(1,('Set Aliases'!$B$2:$B$501=B882)*ISNUMBER(SEARCH(CHAR(10)&amp;'Set Aliases'!$A$2:$A$501&amp;CHAR(10),H882)),0)),"")))</f>
        <v/>
      </c>
      <c r="J882" s="80" t="str">
        <f t="array" ref="J882">IF(I882="","",IFERROR(VALUE(TRIM(MID(SUBSTITUTE(INDEX('Deck 3'!$A:$Z,ROW()-750,'List Setup'!$G$5),CHAR(10),REPT(" ",100)),((SEARCH(CHAR(10)&amp;I882&amp;CHAR(10),H882)-LEN(SUBSTITUTE(LEFT(H882,SEARCH(CHAR(10)&amp;I882&amp;CHAR(10),H882)),CHAR(10),"")))-1)*100+1,100))),""))</f>
        <v/>
      </c>
      <c r="K882" s="80" t="str">
        <f t="array" ref="K882">IF(A882="","",IF(ISNUMBER(SEARCH("Land",LEFT(IFERROR(INDEX('Deck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82" s="80" t="str">
        <f t="shared" si="3"/>
        <v/>
      </c>
      <c r="M882" s="80" t="str">
        <f>IF(A882="","",IF(AND(E882="Y",B882='Use at Shop'!$B$4),K882*10000000000+(MAX(0,MIN(26,CODE(MID(UPPER(A882)&amp;"    ",1,1))-64))*19683+MAX(0,MIN(26,CODE(MID(UPPER(A882)&amp;"    ",2,1))-64))*729+MAX(0,MIN(26,CODE(MID(UPPER(A882)&amp;"    ",3,1))-64))*27+MAX(0,MIN(26,CODE(MID(UPPER(A882)&amp;"    ",4,1))-64))*1)*10000+ROW(),""))</f>
        <v/>
      </c>
      <c r="N882" s="80" t="str">
        <f t="shared" si="7"/>
        <v/>
      </c>
      <c r="O882" s="80" t="str">
        <f t="array" ref="O882">IF(A882="","",IFERROR(INDEX('Deck 3'!$A:$Z,ROW()-750,'List Setup'!$J$5)&amp;"",""))</f>
        <v/>
      </c>
      <c r="P882" s="2"/>
      <c r="Q882" s="80" t="str">
        <f>IF(A882="","",'List Setup'!$A$5)</f>
        <v/>
      </c>
      <c r="R882" s="80" t="str">
        <f t="array" ref="R882">IF(A882="","",IFERROR(OR(INDEX(Binders!$J$6:$J$30,MATCH(Q882,Binders!$I$6:$I$30,0))=TRUE(),UPPER(INDEX(Binders!$J$6:$J$30,MATCH(Q882,Binders!$I$6:$I$30,0))&amp;"")="TRUE"),FALSE()))</f>
        <v/>
      </c>
    </row>
    <row r="883" ht="15.75" customHeight="1">
      <c r="A883" s="80" t="str">
        <f t="array" ref="A883">IF(INDEX('Deck 3'!$A:$Z,ROW()-750,'List Setup'!$D$5)="","",INDEX('Deck 3'!$A:$Z,ROW()-750,'List Setup'!$D$5))</f>
        <v/>
      </c>
      <c r="B883" s="80" t="str">
        <f t="array" ref="B883">IF(A883="","",IFERROR(INDEX('Binder Setup'!$B$2:$B$401,MIN(IF(ISNUMBER(SEARCH(CHAR(10)&amp;'Binder Setup'!$B$2:$B$401&amp;CHAR(10),$H883)),'List Setup'!$Q$2:$Q$401,999),IF(ISNUMBER(SEARCH(CHAR(10)&amp;'Set Aliases'!$A$2:$A$501&amp;CHAR(10),$H883)),'Set Aliases'!$C$2:$C$501,999))),"(none)"))</f>
        <v/>
      </c>
      <c r="C883" s="80" t="str">
        <f t="shared" si="1"/>
        <v/>
      </c>
      <c r="D883" s="80" t="str">
        <f t="array" ref="D883">IF(A883="","",IF(ISLOGICAL(INDEX('Deck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83" s="80" t="str">
        <f t="shared" si="2"/>
        <v/>
      </c>
      <c r="F883" s="80" t="str">
        <f t="array" ref="F883">IF(A883="","",IF(ISNUMBER(J883),J883,IF(ISNUMBER(INDEX('Deck 3'!$A:$Z,ROW()-750,'List Setup'!$F$5)),INDEX('Deck 3'!$A:$Z,ROW()-750,'List Setup'!$F$5),0)))</f>
        <v/>
      </c>
      <c r="G883" s="80" t="str">
        <f t="array" ref="G883">IF(A883="","",A883&amp;IF(N(INDEX('Deck 3'!$A:$Z,ROW()-750,'List Setup'!$C$5))&gt;1," (x"&amp;INDEX('Deck 3'!$A:$Z,ROW()-750,'List Setup'!$C$5)&amp;")","")&amp;IF(COUNTIF(Binders!$J$6:$J$30,TRUE())&gt;1," ["&amp;Q883&amp;"]",""))</f>
        <v/>
      </c>
      <c r="H883" s="80" t="str">
        <f t="array" ref="H883">IF(A883="","",CHAR(10)&amp;INDEX('Deck 3'!$A:$Z,ROW()-750,'List Setup'!$E$5)&amp;CHAR(10))</f>
        <v/>
      </c>
      <c r="I883" s="80" t="str">
        <f t="array" ref="I883">IF(OR(B883="",B883="(none)"),"",IF(ISNUMBER(SEARCH(CHAR(10)&amp;B883&amp;CHAR(10),H883)),B883,IFERROR(INDEX('Set Aliases'!$A$2:$A$501,MATCH(1,('Set Aliases'!$B$2:$B$501=B883)*ISNUMBER(SEARCH(CHAR(10)&amp;'Set Aliases'!$A$2:$A$501&amp;CHAR(10),H883)),0)),"")))</f>
        <v/>
      </c>
      <c r="J883" s="80" t="str">
        <f t="array" ref="J883">IF(I883="","",IFERROR(VALUE(TRIM(MID(SUBSTITUTE(INDEX('Deck 3'!$A:$Z,ROW()-750,'List Setup'!$G$5),CHAR(10),REPT(" ",100)),((SEARCH(CHAR(10)&amp;I883&amp;CHAR(10),H883)-LEN(SUBSTITUTE(LEFT(H883,SEARCH(CHAR(10)&amp;I883&amp;CHAR(10),H883)),CHAR(10),"")))-1)*100+1,100))),""))</f>
        <v/>
      </c>
      <c r="K883" s="80" t="str">
        <f t="array" ref="K883">IF(A883="","",IF(ISNUMBER(SEARCH("Land",LEFT(IFERROR(INDEX('Deck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83" s="80" t="str">
        <f t="shared" si="3"/>
        <v/>
      </c>
      <c r="M883" s="80" t="str">
        <f>IF(A883="","",IF(AND(E883="Y",B883='Use at Shop'!$B$4),K883*10000000000+(MAX(0,MIN(26,CODE(MID(UPPER(A883)&amp;"    ",1,1))-64))*19683+MAX(0,MIN(26,CODE(MID(UPPER(A883)&amp;"    ",2,1))-64))*729+MAX(0,MIN(26,CODE(MID(UPPER(A883)&amp;"    ",3,1))-64))*27+MAX(0,MIN(26,CODE(MID(UPPER(A883)&amp;"    ",4,1))-64))*1)*10000+ROW(),""))</f>
        <v/>
      </c>
      <c r="N883" s="80" t="str">
        <f t="shared" si="7"/>
        <v/>
      </c>
      <c r="O883" s="80" t="str">
        <f t="array" ref="O883">IF(A883="","",IFERROR(INDEX('Deck 3'!$A:$Z,ROW()-750,'List Setup'!$J$5)&amp;"",""))</f>
        <v/>
      </c>
      <c r="P883" s="2"/>
      <c r="Q883" s="80" t="str">
        <f>IF(A883="","",'List Setup'!$A$5)</f>
        <v/>
      </c>
      <c r="R883" s="80" t="str">
        <f t="array" ref="R883">IF(A883="","",IFERROR(OR(INDEX(Binders!$J$6:$J$30,MATCH(Q883,Binders!$I$6:$I$30,0))=TRUE(),UPPER(INDEX(Binders!$J$6:$J$30,MATCH(Q883,Binders!$I$6:$I$30,0))&amp;"")="TRUE"),FALSE()))</f>
        <v/>
      </c>
    </row>
    <row r="884" ht="15.75" customHeight="1">
      <c r="A884" s="80" t="str">
        <f t="array" ref="A884">IF(INDEX('Deck 3'!$A:$Z,ROW()-750,'List Setup'!$D$5)="","",INDEX('Deck 3'!$A:$Z,ROW()-750,'List Setup'!$D$5))</f>
        <v/>
      </c>
      <c r="B884" s="80" t="str">
        <f t="array" ref="B884">IF(A884="","",IFERROR(INDEX('Binder Setup'!$B$2:$B$401,MIN(IF(ISNUMBER(SEARCH(CHAR(10)&amp;'Binder Setup'!$B$2:$B$401&amp;CHAR(10),$H884)),'List Setup'!$Q$2:$Q$401,999),IF(ISNUMBER(SEARCH(CHAR(10)&amp;'Set Aliases'!$A$2:$A$501&amp;CHAR(10),$H884)),'Set Aliases'!$C$2:$C$501,999))),"(none)"))</f>
        <v/>
      </c>
      <c r="C884" s="80" t="str">
        <f t="shared" si="1"/>
        <v/>
      </c>
      <c r="D884" s="80" t="str">
        <f t="array" ref="D884">IF(A884="","",IF(ISLOGICAL(INDEX('Deck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84" s="80" t="str">
        <f t="shared" si="2"/>
        <v/>
      </c>
      <c r="F884" s="80" t="str">
        <f t="array" ref="F884">IF(A884="","",IF(ISNUMBER(J884),J884,IF(ISNUMBER(INDEX('Deck 3'!$A:$Z,ROW()-750,'List Setup'!$F$5)),INDEX('Deck 3'!$A:$Z,ROW()-750,'List Setup'!$F$5),0)))</f>
        <v/>
      </c>
      <c r="G884" s="80" t="str">
        <f t="array" ref="G884">IF(A884="","",A884&amp;IF(N(INDEX('Deck 3'!$A:$Z,ROW()-750,'List Setup'!$C$5))&gt;1," (x"&amp;INDEX('Deck 3'!$A:$Z,ROW()-750,'List Setup'!$C$5)&amp;")","")&amp;IF(COUNTIF(Binders!$J$6:$J$30,TRUE())&gt;1," ["&amp;Q884&amp;"]",""))</f>
        <v/>
      </c>
      <c r="H884" s="80" t="str">
        <f t="array" ref="H884">IF(A884="","",CHAR(10)&amp;INDEX('Deck 3'!$A:$Z,ROW()-750,'List Setup'!$E$5)&amp;CHAR(10))</f>
        <v/>
      </c>
      <c r="I884" s="80" t="str">
        <f t="array" ref="I884">IF(OR(B884="",B884="(none)"),"",IF(ISNUMBER(SEARCH(CHAR(10)&amp;B884&amp;CHAR(10),H884)),B884,IFERROR(INDEX('Set Aliases'!$A$2:$A$501,MATCH(1,('Set Aliases'!$B$2:$B$501=B884)*ISNUMBER(SEARCH(CHAR(10)&amp;'Set Aliases'!$A$2:$A$501&amp;CHAR(10),H884)),0)),"")))</f>
        <v/>
      </c>
      <c r="J884" s="80" t="str">
        <f t="array" ref="J884">IF(I884="","",IFERROR(VALUE(TRIM(MID(SUBSTITUTE(INDEX('Deck 3'!$A:$Z,ROW()-750,'List Setup'!$G$5),CHAR(10),REPT(" ",100)),((SEARCH(CHAR(10)&amp;I884&amp;CHAR(10),H884)-LEN(SUBSTITUTE(LEFT(H884,SEARCH(CHAR(10)&amp;I884&amp;CHAR(10),H884)),CHAR(10),"")))-1)*100+1,100))),""))</f>
        <v/>
      </c>
      <c r="K884" s="80" t="str">
        <f t="array" ref="K884">IF(A884="","",IF(ISNUMBER(SEARCH("Land",LEFT(IFERROR(INDEX('Deck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84" s="80" t="str">
        <f t="shared" si="3"/>
        <v/>
      </c>
      <c r="M884" s="80" t="str">
        <f>IF(A884="","",IF(AND(E884="Y",B884='Use at Shop'!$B$4),K884*10000000000+(MAX(0,MIN(26,CODE(MID(UPPER(A884)&amp;"    ",1,1))-64))*19683+MAX(0,MIN(26,CODE(MID(UPPER(A884)&amp;"    ",2,1))-64))*729+MAX(0,MIN(26,CODE(MID(UPPER(A884)&amp;"    ",3,1))-64))*27+MAX(0,MIN(26,CODE(MID(UPPER(A884)&amp;"    ",4,1))-64))*1)*10000+ROW(),""))</f>
        <v/>
      </c>
      <c r="N884" s="80" t="str">
        <f t="shared" si="7"/>
        <v/>
      </c>
      <c r="O884" s="80" t="str">
        <f t="array" ref="O884">IF(A884="","",IFERROR(INDEX('Deck 3'!$A:$Z,ROW()-750,'List Setup'!$J$5)&amp;"",""))</f>
        <v/>
      </c>
      <c r="P884" s="2"/>
      <c r="Q884" s="80" t="str">
        <f>IF(A884="","",'List Setup'!$A$5)</f>
        <v/>
      </c>
      <c r="R884" s="80" t="str">
        <f t="array" ref="R884">IF(A884="","",IFERROR(OR(INDEX(Binders!$J$6:$J$30,MATCH(Q884,Binders!$I$6:$I$30,0))=TRUE(),UPPER(INDEX(Binders!$J$6:$J$30,MATCH(Q884,Binders!$I$6:$I$30,0))&amp;"")="TRUE"),FALSE()))</f>
        <v/>
      </c>
    </row>
    <row r="885" ht="15.75" customHeight="1">
      <c r="A885" s="80" t="str">
        <f t="array" ref="A885">IF(INDEX('Deck 3'!$A:$Z,ROW()-750,'List Setup'!$D$5)="","",INDEX('Deck 3'!$A:$Z,ROW()-750,'List Setup'!$D$5))</f>
        <v/>
      </c>
      <c r="B885" s="80" t="str">
        <f t="array" ref="B885">IF(A885="","",IFERROR(INDEX('Binder Setup'!$B$2:$B$401,MIN(IF(ISNUMBER(SEARCH(CHAR(10)&amp;'Binder Setup'!$B$2:$B$401&amp;CHAR(10),$H885)),'List Setup'!$Q$2:$Q$401,999),IF(ISNUMBER(SEARCH(CHAR(10)&amp;'Set Aliases'!$A$2:$A$501&amp;CHAR(10),$H885)),'Set Aliases'!$C$2:$C$501,999))),"(none)"))</f>
        <v/>
      </c>
      <c r="C885" s="80" t="str">
        <f t="shared" si="1"/>
        <v/>
      </c>
      <c r="D885" s="80" t="str">
        <f t="array" ref="D885">IF(A885="","",IF(ISLOGICAL(INDEX('Deck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85" s="80" t="str">
        <f t="shared" si="2"/>
        <v/>
      </c>
      <c r="F885" s="80" t="str">
        <f t="array" ref="F885">IF(A885="","",IF(ISNUMBER(J885),J885,IF(ISNUMBER(INDEX('Deck 3'!$A:$Z,ROW()-750,'List Setup'!$F$5)),INDEX('Deck 3'!$A:$Z,ROW()-750,'List Setup'!$F$5),0)))</f>
        <v/>
      </c>
      <c r="G885" s="80" t="str">
        <f t="array" ref="G885">IF(A885="","",A885&amp;IF(N(INDEX('Deck 3'!$A:$Z,ROW()-750,'List Setup'!$C$5))&gt;1," (x"&amp;INDEX('Deck 3'!$A:$Z,ROW()-750,'List Setup'!$C$5)&amp;")","")&amp;IF(COUNTIF(Binders!$J$6:$J$30,TRUE())&gt;1," ["&amp;Q885&amp;"]",""))</f>
        <v/>
      </c>
      <c r="H885" s="80" t="str">
        <f t="array" ref="H885">IF(A885="","",CHAR(10)&amp;INDEX('Deck 3'!$A:$Z,ROW()-750,'List Setup'!$E$5)&amp;CHAR(10))</f>
        <v/>
      </c>
      <c r="I885" s="80" t="str">
        <f t="array" ref="I885">IF(OR(B885="",B885="(none)"),"",IF(ISNUMBER(SEARCH(CHAR(10)&amp;B885&amp;CHAR(10),H885)),B885,IFERROR(INDEX('Set Aliases'!$A$2:$A$501,MATCH(1,('Set Aliases'!$B$2:$B$501=B885)*ISNUMBER(SEARCH(CHAR(10)&amp;'Set Aliases'!$A$2:$A$501&amp;CHAR(10),H885)),0)),"")))</f>
        <v/>
      </c>
      <c r="J885" s="80" t="str">
        <f t="array" ref="J885">IF(I885="","",IFERROR(VALUE(TRIM(MID(SUBSTITUTE(INDEX('Deck 3'!$A:$Z,ROW()-750,'List Setup'!$G$5),CHAR(10),REPT(" ",100)),((SEARCH(CHAR(10)&amp;I885&amp;CHAR(10),H885)-LEN(SUBSTITUTE(LEFT(H885,SEARCH(CHAR(10)&amp;I885&amp;CHAR(10),H885)),CHAR(10),"")))-1)*100+1,100))),""))</f>
        <v/>
      </c>
      <c r="K885" s="80" t="str">
        <f t="array" ref="K885">IF(A885="","",IF(ISNUMBER(SEARCH("Land",LEFT(IFERROR(INDEX('Deck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85" s="80" t="str">
        <f t="shared" si="3"/>
        <v/>
      </c>
      <c r="M885" s="80" t="str">
        <f>IF(A885="","",IF(AND(E885="Y",B885='Use at Shop'!$B$4),K885*10000000000+(MAX(0,MIN(26,CODE(MID(UPPER(A885)&amp;"    ",1,1))-64))*19683+MAX(0,MIN(26,CODE(MID(UPPER(A885)&amp;"    ",2,1))-64))*729+MAX(0,MIN(26,CODE(MID(UPPER(A885)&amp;"    ",3,1))-64))*27+MAX(0,MIN(26,CODE(MID(UPPER(A885)&amp;"    ",4,1))-64))*1)*10000+ROW(),""))</f>
        <v/>
      </c>
      <c r="N885" s="80" t="str">
        <f t="shared" si="7"/>
        <v/>
      </c>
      <c r="O885" s="80" t="str">
        <f t="array" ref="O885">IF(A885="","",IFERROR(INDEX('Deck 3'!$A:$Z,ROW()-750,'List Setup'!$J$5)&amp;"",""))</f>
        <v/>
      </c>
      <c r="P885" s="2"/>
      <c r="Q885" s="80" t="str">
        <f>IF(A885="","",'List Setup'!$A$5)</f>
        <v/>
      </c>
      <c r="R885" s="80" t="str">
        <f t="array" ref="R885">IF(A885="","",IFERROR(OR(INDEX(Binders!$J$6:$J$30,MATCH(Q885,Binders!$I$6:$I$30,0))=TRUE(),UPPER(INDEX(Binders!$J$6:$J$30,MATCH(Q885,Binders!$I$6:$I$30,0))&amp;"")="TRUE"),FALSE()))</f>
        <v/>
      </c>
    </row>
    <row r="886" ht="15.75" customHeight="1">
      <c r="A886" s="80" t="str">
        <f t="array" ref="A886">IF(INDEX('Deck 3'!$A:$Z,ROW()-750,'List Setup'!$D$5)="","",INDEX('Deck 3'!$A:$Z,ROW()-750,'List Setup'!$D$5))</f>
        <v/>
      </c>
      <c r="B886" s="80" t="str">
        <f t="array" ref="B886">IF(A886="","",IFERROR(INDEX('Binder Setup'!$B$2:$B$401,MIN(IF(ISNUMBER(SEARCH(CHAR(10)&amp;'Binder Setup'!$B$2:$B$401&amp;CHAR(10),$H886)),'List Setup'!$Q$2:$Q$401,999),IF(ISNUMBER(SEARCH(CHAR(10)&amp;'Set Aliases'!$A$2:$A$501&amp;CHAR(10),$H886)),'Set Aliases'!$C$2:$C$501,999))),"(none)"))</f>
        <v/>
      </c>
      <c r="C886" s="80" t="str">
        <f t="shared" si="1"/>
        <v/>
      </c>
      <c r="D886" s="80" t="str">
        <f t="array" ref="D886">IF(A886="","",IF(ISLOGICAL(INDEX('Deck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86" s="80" t="str">
        <f t="shared" si="2"/>
        <v/>
      </c>
      <c r="F886" s="80" t="str">
        <f t="array" ref="F886">IF(A886="","",IF(ISNUMBER(J886),J886,IF(ISNUMBER(INDEX('Deck 3'!$A:$Z,ROW()-750,'List Setup'!$F$5)),INDEX('Deck 3'!$A:$Z,ROW()-750,'List Setup'!$F$5),0)))</f>
        <v/>
      </c>
      <c r="G886" s="80" t="str">
        <f t="array" ref="G886">IF(A886="","",A886&amp;IF(N(INDEX('Deck 3'!$A:$Z,ROW()-750,'List Setup'!$C$5))&gt;1," (x"&amp;INDEX('Deck 3'!$A:$Z,ROW()-750,'List Setup'!$C$5)&amp;")","")&amp;IF(COUNTIF(Binders!$J$6:$J$30,TRUE())&gt;1," ["&amp;Q886&amp;"]",""))</f>
        <v/>
      </c>
      <c r="H886" s="80" t="str">
        <f t="array" ref="H886">IF(A886="","",CHAR(10)&amp;INDEX('Deck 3'!$A:$Z,ROW()-750,'List Setup'!$E$5)&amp;CHAR(10))</f>
        <v/>
      </c>
      <c r="I886" s="80" t="str">
        <f t="array" ref="I886">IF(OR(B886="",B886="(none)"),"",IF(ISNUMBER(SEARCH(CHAR(10)&amp;B886&amp;CHAR(10),H886)),B886,IFERROR(INDEX('Set Aliases'!$A$2:$A$501,MATCH(1,('Set Aliases'!$B$2:$B$501=B886)*ISNUMBER(SEARCH(CHAR(10)&amp;'Set Aliases'!$A$2:$A$501&amp;CHAR(10),H886)),0)),"")))</f>
        <v/>
      </c>
      <c r="J886" s="80" t="str">
        <f t="array" ref="J886">IF(I886="","",IFERROR(VALUE(TRIM(MID(SUBSTITUTE(INDEX('Deck 3'!$A:$Z,ROW()-750,'List Setup'!$G$5),CHAR(10),REPT(" ",100)),((SEARCH(CHAR(10)&amp;I886&amp;CHAR(10),H886)-LEN(SUBSTITUTE(LEFT(H886,SEARCH(CHAR(10)&amp;I886&amp;CHAR(10),H886)),CHAR(10),"")))-1)*100+1,100))),""))</f>
        <v/>
      </c>
      <c r="K886" s="80" t="str">
        <f t="array" ref="K886">IF(A886="","",IF(ISNUMBER(SEARCH("Land",LEFT(IFERROR(INDEX('Deck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86" s="80" t="str">
        <f t="shared" si="3"/>
        <v/>
      </c>
      <c r="M886" s="80" t="str">
        <f>IF(A886="","",IF(AND(E886="Y",B886='Use at Shop'!$B$4),K886*10000000000+(MAX(0,MIN(26,CODE(MID(UPPER(A886)&amp;"    ",1,1))-64))*19683+MAX(0,MIN(26,CODE(MID(UPPER(A886)&amp;"    ",2,1))-64))*729+MAX(0,MIN(26,CODE(MID(UPPER(A886)&amp;"    ",3,1))-64))*27+MAX(0,MIN(26,CODE(MID(UPPER(A886)&amp;"    ",4,1))-64))*1)*10000+ROW(),""))</f>
        <v/>
      </c>
      <c r="N886" s="80" t="str">
        <f t="shared" si="7"/>
        <v/>
      </c>
      <c r="O886" s="80" t="str">
        <f t="array" ref="O886">IF(A886="","",IFERROR(INDEX('Deck 3'!$A:$Z,ROW()-750,'List Setup'!$J$5)&amp;"",""))</f>
        <v/>
      </c>
      <c r="P886" s="2"/>
      <c r="Q886" s="80" t="str">
        <f>IF(A886="","",'List Setup'!$A$5)</f>
        <v/>
      </c>
      <c r="R886" s="80" t="str">
        <f t="array" ref="R886">IF(A886="","",IFERROR(OR(INDEX(Binders!$J$6:$J$30,MATCH(Q886,Binders!$I$6:$I$30,0))=TRUE(),UPPER(INDEX(Binders!$J$6:$J$30,MATCH(Q886,Binders!$I$6:$I$30,0))&amp;"")="TRUE"),FALSE()))</f>
        <v/>
      </c>
    </row>
    <row r="887" ht="15.75" customHeight="1">
      <c r="A887" s="80" t="str">
        <f t="array" ref="A887">IF(INDEX('Deck 3'!$A:$Z,ROW()-750,'List Setup'!$D$5)="","",INDEX('Deck 3'!$A:$Z,ROW()-750,'List Setup'!$D$5))</f>
        <v/>
      </c>
      <c r="B887" s="80" t="str">
        <f t="array" ref="B887">IF(A887="","",IFERROR(INDEX('Binder Setup'!$B$2:$B$401,MIN(IF(ISNUMBER(SEARCH(CHAR(10)&amp;'Binder Setup'!$B$2:$B$401&amp;CHAR(10),$H887)),'List Setup'!$Q$2:$Q$401,999),IF(ISNUMBER(SEARCH(CHAR(10)&amp;'Set Aliases'!$A$2:$A$501&amp;CHAR(10),$H887)),'Set Aliases'!$C$2:$C$501,999))),"(none)"))</f>
        <v/>
      </c>
      <c r="C887" s="80" t="str">
        <f t="shared" si="1"/>
        <v/>
      </c>
      <c r="D887" s="80" t="str">
        <f t="array" ref="D887">IF(A887="","",IF(ISLOGICAL(INDEX('Deck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87" s="80" t="str">
        <f t="shared" si="2"/>
        <v/>
      </c>
      <c r="F887" s="80" t="str">
        <f t="array" ref="F887">IF(A887="","",IF(ISNUMBER(J887),J887,IF(ISNUMBER(INDEX('Deck 3'!$A:$Z,ROW()-750,'List Setup'!$F$5)),INDEX('Deck 3'!$A:$Z,ROW()-750,'List Setup'!$F$5),0)))</f>
        <v/>
      </c>
      <c r="G887" s="80" t="str">
        <f t="array" ref="G887">IF(A887="","",A887&amp;IF(N(INDEX('Deck 3'!$A:$Z,ROW()-750,'List Setup'!$C$5))&gt;1," (x"&amp;INDEX('Deck 3'!$A:$Z,ROW()-750,'List Setup'!$C$5)&amp;")","")&amp;IF(COUNTIF(Binders!$J$6:$J$30,TRUE())&gt;1," ["&amp;Q887&amp;"]",""))</f>
        <v/>
      </c>
      <c r="H887" s="80" t="str">
        <f t="array" ref="H887">IF(A887="","",CHAR(10)&amp;INDEX('Deck 3'!$A:$Z,ROW()-750,'List Setup'!$E$5)&amp;CHAR(10))</f>
        <v/>
      </c>
      <c r="I887" s="80" t="str">
        <f t="array" ref="I887">IF(OR(B887="",B887="(none)"),"",IF(ISNUMBER(SEARCH(CHAR(10)&amp;B887&amp;CHAR(10),H887)),B887,IFERROR(INDEX('Set Aliases'!$A$2:$A$501,MATCH(1,('Set Aliases'!$B$2:$B$501=B887)*ISNUMBER(SEARCH(CHAR(10)&amp;'Set Aliases'!$A$2:$A$501&amp;CHAR(10),H887)),0)),"")))</f>
        <v/>
      </c>
      <c r="J887" s="80" t="str">
        <f t="array" ref="J887">IF(I887="","",IFERROR(VALUE(TRIM(MID(SUBSTITUTE(INDEX('Deck 3'!$A:$Z,ROW()-750,'List Setup'!$G$5),CHAR(10),REPT(" ",100)),((SEARCH(CHAR(10)&amp;I887&amp;CHAR(10),H887)-LEN(SUBSTITUTE(LEFT(H887,SEARCH(CHAR(10)&amp;I887&amp;CHAR(10),H887)),CHAR(10),"")))-1)*100+1,100))),""))</f>
        <v/>
      </c>
      <c r="K887" s="80" t="str">
        <f t="array" ref="K887">IF(A887="","",IF(ISNUMBER(SEARCH("Land",LEFT(IFERROR(INDEX('Deck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87" s="80" t="str">
        <f t="shared" si="3"/>
        <v/>
      </c>
      <c r="M887" s="80" t="str">
        <f>IF(A887="","",IF(AND(E887="Y",B887='Use at Shop'!$B$4),K887*10000000000+(MAX(0,MIN(26,CODE(MID(UPPER(A887)&amp;"    ",1,1))-64))*19683+MAX(0,MIN(26,CODE(MID(UPPER(A887)&amp;"    ",2,1))-64))*729+MAX(0,MIN(26,CODE(MID(UPPER(A887)&amp;"    ",3,1))-64))*27+MAX(0,MIN(26,CODE(MID(UPPER(A887)&amp;"    ",4,1))-64))*1)*10000+ROW(),""))</f>
        <v/>
      </c>
      <c r="N887" s="80" t="str">
        <f t="shared" si="7"/>
        <v/>
      </c>
      <c r="O887" s="80" t="str">
        <f t="array" ref="O887">IF(A887="","",IFERROR(INDEX('Deck 3'!$A:$Z,ROW()-750,'List Setup'!$J$5)&amp;"",""))</f>
        <v/>
      </c>
      <c r="P887" s="2"/>
      <c r="Q887" s="80" t="str">
        <f>IF(A887="","",'List Setup'!$A$5)</f>
        <v/>
      </c>
      <c r="R887" s="80" t="str">
        <f t="array" ref="R887">IF(A887="","",IFERROR(OR(INDEX(Binders!$J$6:$J$30,MATCH(Q887,Binders!$I$6:$I$30,0))=TRUE(),UPPER(INDEX(Binders!$J$6:$J$30,MATCH(Q887,Binders!$I$6:$I$30,0))&amp;"")="TRUE"),FALSE()))</f>
        <v/>
      </c>
    </row>
    <row r="888" ht="15.75" customHeight="1">
      <c r="A888" s="80" t="str">
        <f t="array" ref="A888">IF(INDEX('Deck 3'!$A:$Z,ROW()-750,'List Setup'!$D$5)="","",INDEX('Deck 3'!$A:$Z,ROW()-750,'List Setup'!$D$5))</f>
        <v/>
      </c>
      <c r="B888" s="80" t="str">
        <f t="array" ref="B888">IF(A888="","",IFERROR(INDEX('Binder Setup'!$B$2:$B$401,MIN(IF(ISNUMBER(SEARCH(CHAR(10)&amp;'Binder Setup'!$B$2:$B$401&amp;CHAR(10),$H888)),'List Setup'!$Q$2:$Q$401,999),IF(ISNUMBER(SEARCH(CHAR(10)&amp;'Set Aliases'!$A$2:$A$501&amp;CHAR(10),$H888)),'Set Aliases'!$C$2:$C$501,999))),"(none)"))</f>
        <v/>
      </c>
      <c r="C888" s="80" t="str">
        <f t="shared" si="1"/>
        <v/>
      </c>
      <c r="D888" s="80" t="str">
        <f t="array" ref="D888">IF(A888="","",IF(ISLOGICAL(INDEX('Deck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88" s="80" t="str">
        <f t="shared" si="2"/>
        <v/>
      </c>
      <c r="F888" s="80" t="str">
        <f t="array" ref="F888">IF(A888="","",IF(ISNUMBER(J888),J888,IF(ISNUMBER(INDEX('Deck 3'!$A:$Z,ROW()-750,'List Setup'!$F$5)),INDEX('Deck 3'!$A:$Z,ROW()-750,'List Setup'!$F$5),0)))</f>
        <v/>
      </c>
      <c r="G888" s="80" t="str">
        <f t="array" ref="G888">IF(A888="","",A888&amp;IF(N(INDEX('Deck 3'!$A:$Z,ROW()-750,'List Setup'!$C$5))&gt;1," (x"&amp;INDEX('Deck 3'!$A:$Z,ROW()-750,'List Setup'!$C$5)&amp;")","")&amp;IF(COUNTIF(Binders!$J$6:$J$30,TRUE())&gt;1," ["&amp;Q888&amp;"]",""))</f>
        <v/>
      </c>
      <c r="H888" s="80" t="str">
        <f t="array" ref="H888">IF(A888="","",CHAR(10)&amp;INDEX('Deck 3'!$A:$Z,ROW()-750,'List Setup'!$E$5)&amp;CHAR(10))</f>
        <v/>
      </c>
      <c r="I888" s="80" t="str">
        <f t="array" ref="I888">IF(OR(B888="",B888="(none)"),"",IF(ISNUMBER(SEARCH(CHAR(10)&amp;B888&amp;CHAR(10),H888)),B888,IFERROR(INDEX('Set Aliases'!$A$2:$A$501,MATCH(1,('Set Aliases'!$B$2:$B$501=B888)*ISNUMBER(SEARCH(CHAR(10)&amp;'Set Aliases'!$A$2:$A$501&amp;CHAR(10),H888)),0)),"")))</f>
        <v/>
      </c>
      <c r="J888" s="80" t="str">
        <f t="array" ref="J888">IF(I888="","",IFERROR(VALUE(TRIM(MID(SUBSTITUTE(INDEX('Deck 3'!$A:$Z,ROW()-750,'List Setup'!$G$5),CHAR(10),REPT(" ",100)),((SEARCH(CHAR(10)&amp;I888&amp;CHAR(10),H888)-LEN(SUBSTITUTE(LEFT(H888,SEARCH(CHAR(10)&amp;I888&amp;CHAR(10),H888)),CHAR(10),"")))-1)*100+1,100))),""))</f>
        <v/>
      </c>
      <c r="K888" s="80" t="str">
        <f t="array" ref="K888">IF(A888="","",IF(ISNUMBER(SEARCH("Land",LEFT(IFERROR(INDEX('Deck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88" s="80" t="str">
        <f t="shared" si="3"/>
        <v/>
      </c>
      <c r="M888" s="80" t="str">
        <f>IF(A888="","",IF(AND(E888="Y",B888='Use at Shop'!$B$4),K888*10000000000+(MAX(0,MIN(26,CODE(MID(UPPER(A888)&amp;"    ",1,1))-64))*19683+MAX(0,MIN(26,CODE(MID(UPPER(A888)&amp;"    ",2,1))-64))*729+MAX(0,MIN(26,CODE(MID(UPPER(A888)&amp;"    ",3,1))-64))*27+MAX(0,MIN(26,CODE(MID(UPPER(A888)&amp;"    ",4,1))-64))*1)*10000+ROW(),""))</f>
        <v/>
      </c>
      <c r="N888" s="80" t="str">
        <f t="shared" si="7"/>
        <v/>
      </c>
      <c r="O888" s="80" t="str">
        <f t="array" ref="O888">IF(A888="","",IFERROR(INDEX('Deck 3'!$A:$Z,ROW()-750,'List Setup'!$J$5)&amp;"",""))</f>
        <v/>
      </c>
      <c r="P888" s="2"/>
      <c r="Q888" s="80" t="str">
        <f>IF(A888="","",'List Setup'!$A$5)</f>
        <v/>
      </c>
      <c r="R888" s="80" t="str">
        <f t="array" ref="R888">IF(A888="","",IFERROR(OR(INDEX(Binders!$J$6:$J$30,MATCH(Q888,Binders!$I$6:$I$30,0))=TRUE(),UPPER(INDEX(Binders!$J$6:$J$30,MATCH(Q888,Binders!$I$6:$I$30,0))&amp;"")="TRUE"),FALSE()))</f>
        <v/>
      </c>
    </row>
    <row r="889" ht="15.75" customHeight="1">
      <c r="A889" s="80" t="str">
        <f t="array" ref="A889">IF(INDEX('Deck 3'!$A:$Z,ROW()-750,'List Setup'!$D$5)="","",INDEX('Deck 3'!$A:$Z,ROW()-750,'List Setup'!$D$5))</f>
        <v/>
      </c>
      <c r="B889" s="80" t="str">
        <f t="array" ref="B889">IF(A889="","",IFERROR(INDEX('Binder Setup'!$B$2:$B$401,MIN(IF(ISNUMBER(SEARCH(CHAR(10)&amp;'Binder Setup'!$B$2:$B$401&amp;CHAR(10),$H889)),'List Setup'!$Q$2:$Q$401,999),IF(ISNUMBER(SEARCH(CHAR(10)&amp;'Set Aliases'!$A$2:$A$501&amp;CHAR(10),$H889)),'Set Aliases'!$C$2:$C$501,999))),"(none)"))</f>
        <v/>
      </c>
      <c r="C889" s="80" t="str">
        <f t="shared" si="1"/>
        <v/>
      </c>
      <c r="D889" s="80" t="str">
        <f t="array" ref="D889">IF(A889="","",IF(ISLOGICAL(INDEX('Deck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89" s="80" t="str">
        <f t="shared" si="2"/>
        <v/>
      </c>
      <c r="F889" s="80" t="str">
        <f t="array" ref="F889">IF(A889="","",IF(ISNUMBER(J889),J889,IF(ISNUMBER(INDEX('Deck 3'!$A:$Z,ROW()-750,'List Setup'!$F$5)),INDEX('Deck 3'!$A:$Z,ROW()-750,'List Setup'!$F$5),0)))</f>
        <v/>
      </c>
      <c r="G889" s="80" t="str">
        <f t="array" ref="G889">IF(A889="","",A889&amp;IF(N(INDEX('Deck 3'!$A:$Z,ROW()-750,'List Setup'!$C$5))&gt;1," (x"&amp;INDEX('Deck 3'!$A:$Z,ROW()-750,'List Setup'!$C$5)&amp;")","")&amp;IF(COUNTIF(Binders!$J$6:$J$30,TRUE())&gt;1," ["&amp;Q889&amp;"]",""))</f>
        <v/>
      </c>
      <c r="H889" s="80" t="str">
        <f t="array" ref="H889">IF(A889="","",CHAR(10)&amp;INDEX('Deck 3'!$A:$Z,ROW()-750,'List Setup'!$E$5)&amp;CHAR(10))</f>
        <v/>
      </c>
      <c r="I889" s="80" t="str">
        <f t="array" ref="I889">IF(OR(B889="",B889="(none)"),"",IF(ISNUMBER(SEARCH(CHAR(10)&amp;B889&amp;CHAR(10),H889)),B889,IFERROR(INDEX('Set Aliases'!$A$2:$A$501,MATCH(1,('Set Aliases'!$B$2:$B$501=B889)*ISNUMBER(SEARCH(CHAR(10)&amp;'Set Aliases'!$A$2:$A$501&amp;CHAR(10),H889)),0)),"")))</f>
        <v/>
      </c>
      <c r="J889" s="80" t="str">
        <f t="array" ref="J889">IF(I889="","",IFERROR(VALUE(TRIM(MID(SUBSTITUTE(INDEX('Deck 3'!$A:$Z,ROW()-750,'List Setup'!$G$5),CHAR(10),REPT(" ",100)),((SEARCH(CHAR(10)&amp;I889&amp;CHAR(10),H889)-LEN(SUBSTITUTE(LEFT(H889,SEARCH(CHAR(10)&amp;I889&amp;CHAR(10),H889)),CHAR(10),"")))-1)*100+1,100))),""))</f>
        <v/>
      </c>
      <c r="K889" s="80" t="str">
        <f t="array" ref="K889">IF(A889="","",IF(ISNUMBER(SEARCH("Land",LEFT(IFERROR(INDEX('Deck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89" s="80" t="str">
        <f t="shared" si="3"/>
        <v/>
      </c>
      <c r="M889" s="80" t="str">
        <f>IF(A889="","",IF(AND(E889="Y",B889='Use at Shop'!$B$4),K889*10000000000+(MAX(0,MIN(26,CODE(MID(UPPER(A889)&amp;"    ",1,1))-64))*19683+MAX(0,MIN(26,CODE(MID(UPPER(A889)&amp;"    ",2,1))-64))*729+MAX(0,MIN(26,CODE(MID(UPPER(A889)&amp;"    ",3,1))-64))*27+MAX(0,MIN(26,CODE(MID(UPPER(A889)&amp;"    ",4,1))-64))*1)*10000+ROW(),""))</f>
        <v/>
      </c>
      <c r="N889" s="80" t="str">
        <f t="shared" si="7"/>
        <v/>
      </c>
      <c r="O889" s="80" t="str">
        <f t="array" ref="O889">IF(A889="","",IFERROR(INDEX('Deck 3'!$A:$Z,ROW()-750,'List Setup'!$J$5)&amp;"",""))</f>
        <v/>
      </c>
      <c r="P889" s="2"/>
      <c r="Q889" s="80" t="str">
        <f>IF(A889="","",'List Setup'!$A$5)</f>
        <v/>
      </c>
      <c r="R889" s="80" t="str">
        <f t="array" ref="R889">IF(A889="","",IFERROR(OR(INDEX(Binders!$J$6:$J$30,MATCH(Q889,Binders!$I$6:$I$30,0))=TRUE(),UPPER(INDEX(Binders!$J$6:$J$30,MATCH(Q889,Binders!$I$6:$I$30,0))&amp;"")="TRUE"),FALSE()))</f>
        <v/>
      </c>
    </row>
    <row r="890" ht="15.75" customHeight="1">
      <c r="A890" s="80" t="str">
        <f t="array" ref="A890">IF(INDEX('Deck 3'!$A:$Z,ROW()-750,'List Setup'!$D$5)="","",INDEX('Deck 3'!$A:$Z,ROW()-750,'List Setup'!$D$5))</f>
        <v/>
      </c>
      <c r="B890" s="80" t="str">
        <f t="array" ref="B890">IF(A890="","",IFERROR(INDEX('Binder Setup'!$B$2:$B$401,MIN(IF(ISNUMBER(SEARCH(CHAR(10)&amp;'Binder Setup'!$B$2:$B$401&amp;CHAR(10),$H890)),'List Setup'!$Q$2:$Q$401,999),IF(ISNUMBER(SEARCH(CHAR(10)&amp;'Set Aliases'!$A$2:$A$501&amp;CHAR(10),$H890)),'Set Aliases'!$C$2:$C$501,999))),"(none)"))</f>
        <v/>
      </c>
      <c r="C890" s="80" t="str">
        <f t="shared" si="1"/>
        <v/>
      </c>
      <c r="D890" s="80" t="str">
        <f t="array" ref="D890">IF(A890="","",IF(ISLOGICAL(INDEX('Deck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90" s="80" t="str">
        <f t="shared" si="2"/>
        <v/>
      </c>
      <c r="F890" s="80" t="str">
        <f t="array" ref="F890">IF(A890="","",IF(ISNUMBER(J890),J890,IF(ISNUMBER(INDEX('Deck 3'!$A:$Z,ROW()-750,'List Setup'!$F$5)),INDEX('Deck 3'!$A:$Z,ROW()-750,'List Setup'!$F$5),0)))</f>
        <v/>
      </c>
      <c r="G890" s="80" t="str">
        <f t="array" ref="G890">IF(A890="","",A890&amp;IF(N(INDEX('Deck 3'!$A:$Z,ROW()-750,'List Setup'!$C$5))&gt;1," (x"&amp;INDEX('Deck 3'!$A:$Z,ROW()-750,'List Setup'!$C$5)&amp;")","")&amp;IF(COUNTIF(Binders!$J$6:$J$30,TRUE())&gt;1," ["&amp;Q890&amp;"]",""))</f>
        <v/>
      </c>
      <c r="H890" s="80" t="str">
        <f t="array" ref="H890">IF(A890="","",CHAR(10)&amp;INDEX('Deck 3'!$A:$Z,ROW()-750,'List Setup'!$E$5)&amp;CHAR(10))</f>
        <v/>
      </c>
      <c r="I890" s="80" t="str">
        <f t="array" ref="I890">IF(OR(B890="",B890="(none)"),"",IF(ISNUMBER(SEARCH(CHAR(10)&amp;B890&amp;CHAR(10),H890)),B890,IFERROR(INDEX('Set Aliases'!$A$2:$A$501,MATCH(1,('Set Aliases'!$B$2:$B$501=B890)*ISNUMBER(SEARCH(CHAR(10)&amp;'Set Aliases'!$A$2:$A$501&amp;CHAR(10),H890)),0)),"")))</f>
        <v/>
      </c>
      <c r="J890" s="80" t="str">
        <f t="array" ref="J890">IF(I890="","",IFERROR(VALUE(TRIM(MID(SUBSTITUTE(INDEX('Deck 3'!$A:$Z,ROW()-750,'List Setup'!$G$5),CHAR(10),REPT(" ",100)),((SEARCH(CHAR(10)&amp;I890&amp;CHAR(10),H890)-LEN(SUBSTITUTE(LEFT(H890,SEARCH(CHAR(10)&amp;I890&amp;CHAR(10),H890)),CHAR(10),"")))-1)*100+1,100))),""))</f>
        <v/>
      </c>
      <c r="K890" s="80" t="str">
        <f t="array" ref="K890">IF(A890="","",IF(ISNUMBER(SEARCH("Land",LEFT(IFERROR(INDEX('Deck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90" s="80" t="str">
        <f t="shared" si="3"/>
        <v/>
      </c>
      <c r="M890" s="80" t="str">
        <f>IF(A890="","",IF(AND(E890="Y",B890='Use at Shop'!$B$4),K890*10000000000+(MAX(0,MIN(26,CODE(MID(UPPER(A890)&amp;"    ",1,1))-64))*19683+MAX(0,MIN(26,CODE(MID(UPPER(A890)&amp;"    ",2,1))-64))*729+MAX(0,MIN(26,CODE(MID(UPPER(A890)&amp;"    ",3,1))-64))*27+MAX(0,MIN(26,CODE(MID(UPPER(A890)&amp;"    ",4,1))-64))*1)*10000+ROW(),""))</f>
        <v/>
      </c>
      <c r="N890" s="80" t="str">
        <f t="shared" si="7"/>
        <v/>
      </c>
      <c r="O890" s="80" t="str">
        <f t="array" ref="O890">IF(A890="","",IFERROR(INDEX('Deck 3'!$A:$Z,ROW()-750,'List Setup'!$J$5)&amp;"",""))</f>
        <v/>
      </c>
      <c r="P890" s="2"/>
      <c r="Q890" s="80" t="str">
        <f>IF(A890="","",'List Setup'!$A$5)</f>
        <v/>
      </c>
      <c r="R890" s="80" t="str">
        <f t="array" ref="R890">IF(A890="","",IFERROR(OR(INDEX(Binders!$J$6:$J$30,MATCH(Q890,Binders!$I$6:$I$30,0))=TRUE(),UPPER(INDEX(Binders!$J$6:$J$30,MATCH(Q890,Binders!$I$6:$I$30,0))&amp;"")="TRUE"),FALSE()))</f>
        <v/>
      </c>
    </row>
    <row r="891" ht="15.75" customHeight="1">
      <c r="A891" s="80" t="str">
        <f t="array" ref="A891">IF(INDEX('Deck 3'!$A:$Z,ROW()-750,'List Setup'!$D$5)="","",INDEX('Deck 3'!$A:$Z,ROW()-750,'List Setup'!$D$5))</f>
        <v/>
      </c>
      <c r="B891" s="80" t="str">
        <f t="array" ref="B891">IF(A891="","",IFERROR(INDEX('Binder Setup'!$B$2:$B$401,MIN(IF(ISNUMBER(SEARCH(CHAR(10)&amp;'Binder Setup'!$B$2:$B$401&amp;CHAR(10),$H891)),'List Setup'!$Q$2:$Q$401,999),IF(ISNUMBER(SEARCH(CHAR(10)&amp;'Set Aliases'!$A$2:$A$501&amp;CHAR(10),$H891)),'Set Aliases'!$C$2:$C$501,999))),"(none)"))</f>
        <v/>
      </c>
      <c r="C891" s="80" t="str">
        <f t="shared" si="1"/>
        <v/>
      </c>
      <c r="D891" s="80" t="str">
        <f t="array" ref="D891">IF(A891="","",IF(ISLOGICAL(INDEX('Deck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91" s="80" t="str">
        <f t="shared" si="2"/>
        <v/>
      </c>
      <c r="F891" s="80" t="str">
        <f t="array" ref="F891">IF(A891="","",IF(ISNUMBER(J891),J891,IF(ISNUMBER(INDEX('Deck 3'!$A:$Z,ROW()-750,'List Setup'!$F$5)),INDEX('Deck 3'!$A:$Z,ROW()-750,'List Setup'!$F$5),0)))</f>
        <v/>
      </c>
      <c r="G891" s="80" t="str">
        <f t="array" ref="G891">IF(A891="","",A891&amp;IF(N(INDEX('Deck 3'!$A:$Z,ROW()-750,'List Setup'!$C$5))&gt;1," (x"&amp;INDEX('Deck 3'!$A:$Z,ROW()-750,'List Setup'!$C$5)&amp;")","")&amp;IF(COUNTIF(Binders!$J$6:$J$30,TRUE())&gt;1," ["&amp;Q891&amp;"]",""))</f>
        <v/>
      </c>
      <c r="H891" s="80" t="str">
        <f t="array" ref="H891">IF(A891="","",CHAR(10)&amp;INDEX('Deck 3'!$A:$Z,ROW()-750,'List Setup'!$E$5)&amp;CHAR(10))</f>
        <v/>
      </c>
      <c r="I891" s="80" t="str">
        <f t="array" ref="I891">IF(OR(B891="",B891="(none)"),"",IF(ISNUMBER(SEARCH(CHAR(10)&amp;B891&amp;CHAR(10),H891)),B891,IFERROR(INDEX('Set Aliases'!$A$2:$A$501,MATCH(1,('Set Aliases'!$B$2:$B$501=B891)*ISNUMBER(SEARCH(CHAR(10)&amp;'Set Aliases'!$A$2:$A$501&amp;CHAR(10),H891)),0)),"")))</f>
        <v/>
      </c>
      <c r="J891" s="80" t="str">
        <f t="array" ref="J891">IF(I891="","",IFERROR(VALUE(TRIM(MID(SUBSTITUTE(INDEX('Deck 3'!$A:$Z,ROW()-750,'List Setup'!$G$5),CHAR(10),REPT(" ",100)),((SEARCH(CHAR(10)&amp;I891&amp;CHAR(10),H891)-LEN(SUBSTITUTE(LEFT(H891,SEARCH(CHAR(10)&amp;I891&amp;CHAR(10),H891)),CHAR(10),"")))-1)*100+1,100))),""))</f>
        <v/>
      </c>
      <c r="K891" s="80" t="str">
        <f t="array" ref="K891">IF(A891="","",IF(ISNUMBER(SEARCH("Land",LEFT(IFERROR(INDEX('Deck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91" s="80" t="str">
        <f t="shared" si="3"/>
        <v/>
      </c>
      <c r="M891" s="80" t="str">
        <f>IF(A891="","",IF(AND(E891="Y",B891='Use at Shop'!$B$4),K891*10000000000+(MAX(0,MIN(26,CODE(MID(UPPER(A891)&amp;"    ",1,1))-64))*19683+MAX(0,MIN(26,CODE(MID(UPPER(A891)&amp;"    ",2,1))-64))*729+MAX(0,MIN(26,CODE(MID(UPPER(A891)&amp;"    ",3,1))-64))*27+MAX(0,MIN(26,CODE(MID(UPPER(A891)&amp;"    ",4,1))-64))*1)*10000+ROW(),""))</f>
        <v/>
      </c>
      <c r="N891" s="80" t="str">
        <f t="shared" si="7"/>
        <v/>
      </c>
      <c r="O891" s="80" t="str">
        <f t="array" ref="O891">IF(A891="","",IFERROR(INDEX('Deck 3'!$A:$Z,ROW()-750,'List Setup'!$J$5)&amp;"",""))</f>
        <v/>
      </c>
      <c r="P891" s="2"/>
      <c r="Q891" s="80" t="str">
        <f>IF(A891="","",'List Setup'!$A$5)</f>
        <v/>
      </c>
      <c r="R891" s="80" t="str">
        <f t="array" ref="R891">IF(A891="","",IFERROR(OR(INDEX(Binders!$J$6:$J$30,MATCH(Q891,Binders!$I$6:$I$30,0))=TRUE(),UPPER(INDEX(Binders!$J$6:$J$30,MATCH(Q891,Binders!$I$6:$I$30,0))&amp;"")="TRUE"),FALSE()))</f>
        <v/>
      </c>
    </row>
    <row r="892" ht="15.75" customHeight="1">
      <c r="A892" s="80" t="str">
        <f t="array" ref="A892">IF(INDEX('Deck 3'!$A:$Z,ROW()-750,'List Setup'!$D$5)="","",INDEX('Deck 3'!$A:$Z,ROW()-750,'List Setup'!$D$5))</f>
        <v/>
      </c>
      <c r="B892" s="80" t="str">
        <f t="array" ref="B892">IF(A892="","",IFERROR(INDEX('Binder Setup'!$B$2:$B$401,MIN(IF(ISNUMBER(SEARCH(CHAR(10)&amp;'Binder Setup'!$B$2:$B$401&amp;CHAR(10),$H892)),'List Setup'!$Q$2:$Q$401,999),IF(ISNUMBER(SEARCH(CHAR(10)&amp;'Set Aliases'!$A$2:$A$501&amp;CHAR(10),$H892)),'Set Aliases'!$C$2:$C$501,999))),"(none)"))</f>
        <v/>
      </c>
      <c r="C892" s="80" t="str">
        <f t="shared" si="1"/>
        <v/>
      </c>
      <c r="D892" s="80" t="str">
        <f t="array" ref="D892">IF(A892="","",IF(ISLOGICAL(INDEX('Deck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92" s="80" t="str">
        <f t="shared" si="2"/>
        <v/>
      </c>
      <c r="F892" s="80" t="str">
        <f t="array" ref="F892">IF(A892="","",IF(ISNUMBER(J892),J892,IF(ISNUMBER(INDEX('Deck 3'!$A:$Z,ROW()-750,'List Setup'!$F$5)),INDEX('Deck 3'!$A:$Z,ROW()-750,'List Setup'!$F$5),0)))</f>
        <v/>
      </c>
      <c r="G892" s="80" t="str">
        <f t="array" ref="G892">IF(A892="","",A892&amp;IF(N(INDEX('Deck 3'!$A:$Z,ROW()-750,'List Setup'!$C$5))&gt;1," (x"&amp;INDEX('Deck 3'!$A:$Z,ROW()-750,'List Setup'!$C$5)&amp;")","")&amp;IF(COUNTIF(Binders!$J$6:$J$30,TRUE())&gt;1," ["&amp;Q892&amp;"]",""))</f>
        <v/>
      </c>
      <c r="H892" s="80" t="str">
        <f t="array" ref="H892">IF(A892="","",CHAR(10)&amp;INDEX('Deck 3'!$A:$Z,ROW()-750,'List Setup'!$E$5)&amp;CHAR(10))</f>
        <v/>
      </c>
      <c r="I892" s="80" t="str">
        <f t="array" ref="I892">IF(OR(B892="",B892="(none)"),"",IF(ISNUMBER(SEARCH(CHAR(10)&amp;B892&amp;CHAR(10),H892)),B892,IFERROR(INDEX('Set Aliases'!$A$2:$A$501,MATCH(1,('Set Aliases'!$B$2:$B$501=B892)*ISNUMBER(SEARCH(CHAR(10)&amp;'Set Aliases'!$A$2:$A$501&amp;CHAR(10),H892)),0)),"")))</f>
        <v/>
      </c>
      <c r="J892" s="80" t="str">
        <f t="array" ref="J892">IF(I892="","",IFERROR(VALUE(TRIM(MID(SUBSTITUTE(INDEX('Deck 3'!$A:$Z,ROW()-750,'List Setup'!$G$5),CHAR(10),REPT(" ",100)),((SEARCH(CHAR(10)&amp;I892&amp;CHAR(10),H892)-LEN(SUBSTITUTE(LEFT(H892,SEARCH(CHAR(10)&amp;I892&amp;CHAR(10),H892)),CHAR(10),"")))-1)*100+1,100))),""))</f>
        <v/>
      </c>
      <c r="K892" s="80" t="str">
        <f t="array" ref="K892">IF(A892="","",IF(ISNUMBER(SEARCH("Land",LEFT(IFERROR(INDEX('Deck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92" s="80" t="str">
        <f t="shared" si="3"/>
        <v/>
      </c>
      <c r="M892" s="80" t="str">
        <f>IF(A892="","",IF(AND(E892="Y",B892='Use at Shop'!$B$4),K892*10000000000+(MAX(0,MIN(26,CODE(MID(UPPER(A892)&amp;"    ",1,1))-64))*19683+MAX(0,MIN(26,CODE(MID(UPPER(A892)&amp;"    ",2,1))-64))*729+MAX(0,MIN(26,CODE(MID(UPPER(A892)&amp;"    ",3,1))-64))*27+MAX(0,MIN(26,CODE(MID(UPPER(A892)&amp;"    ",4,1))-64))*1)*10000+ROW(),""))</f>
        <v/>
      </c>
      <c r="N892" s="80" t="str">
        <f t="shared" si="7"/>
        <v/>
      </c>
      <c r="O892" s="80" t="str">
        <f t="array" ref="O892">IF(A892="","",IFERROR(INDEX('Deck 3'!$A:$Z,ROW()-750,'List Setup'!$J$5)&amp;"",""))</f>
        <v/>
      </c>
      <c r="P892" s="2"/>
      <c r="Q892" s="80" t="str">
        <f>IF(A892="","",'List Setup'!$A$5)</f>
        <v/>
      </c>
      <c r="R892" s="80" t="str">
        <f t="array" ref="R892">IF(A892="","",IFERROR(OR(INDEX(Binders!$J$6:$J$30,MATCH(Q892,Binders!$I$6:$I$30,0))=TRUE(),UPPER(INDEX(Binders!$J$6:$J$30,MATCH(Q892,Binders!$I$6:$I$30,0))&amp;"")="TRUE"),FALSE()))</f>
        <v/>
      </c>
    </row>
    <row r="893" ht="15.75" customHeight="1">
      <c r="A893" s="80" t="str">
        <f t="array" ref="A893">IF(INDEX('Deck 3'!$A:$Z,ROW()-750,'List Setup'!$D$5)="","",INDEX('Deck 3'!$A:$Z,ROW()-750,'List Setup'!$D$5))</f>
        <v/>
      </c>
      <c r="B893" s="80" t="str">
        <f t="array" ref="B893">IF(A893="","",IFERROR(INDEX('Binder Setup'!$B$2:$B$401,MIN(IF(ISNUMBER(SEARCH(CHAR(10)&amp;'Binder Setup'!$B$2:$B$401&amp;CHAR(10),$H893)),'List Setup'!$Q$2:$Q$401,999),IF(ISNUMBER(SEARCH(CHAR(10)&amp;'Set Aliases'!$A$2:$A$501&amp;CHAR(10),$H893)),'Set Aliases'!$C$2:$C$501,999))),"(none)"))</f>
        <v/>
      </c>
      <c r="C893" s="80" t="str">
        <f t="shared" si="1"/>
        <v/>
      </c>
      <c r="D893" s="80" t="str">
        <f t="array" ref="D893">IF(A893="","",IF(ISLOGICAL(INDEX('Deck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93" s="80" t="str">
        <f t="shared" si="2"/>
        <v/>
      </c>
      <c r="F893" s="80" t="str">
        <f t="array" ref="F893">IF(A893="","",IF(ISNUMBER(J893),J893,IF(ISNUMBER(INDEX('Deck 3'!$A:$Z,ROW()-750,'List Setup'!$F$5)),INDEX('Deck 3'!$A:$Z,ROW()-750,'List Setup'!$F$5),0)))</f>
        <v/>
      </c>
      <c r="G893" s="80" t="str">
        <f t="array" ref="G893">IF(A893="","",A893&amp;IF(N(INDEX('Deck 3'!$A:$Z,ROW()-750,'List Setup'!$C$5))&gt;1," (x"&amp;INDEX('Deck 3'!$A:$Z,ROW()-750,'List Setup'!$C$5)&amp;")","")&amp;IF(COUNTIF(Binders!$J$6:$J$30,TRUE())&gt;1," ["&amp;Q893&amp;"]",""))</f>
        <v/>
      </c>
      <c r="H893" s="80" t="str">
        <f t="array" ref="H893">IF(A893="","",CHAR(10)&amp;INDEX('Deck 3'!$A:$Z,ROW()-750,'List Setup'!$E$5)&amp;CHAR(10))</f>
        <v/>
      </c>
      <c r="I893" s="80" t="str">
        <f t="array" ref="I893">IF(OR(B893="",B893="(none)"),"",IF(ISNUMBER(SEARCH(CHAR(10)&amp;B893&amp;CHAR(10),H893)),B893,IFERROR(INDEX('Set Aliases'!$A$2:$A$501,MATCH(1,('Set Aliases'!$B$2:$B$501=B893)*ISNUMBER(SEARCH(CHAR(10)&amp;'Set Aliases'!$A$2:$A$501&amp;CHAR(10),H893)),0)),"")))</f>
        <v/>
      </c>
      <c r="J893" s="80" t="str">
        <f t="array" ref="J893">IF(I893="","",IFERROR(VALUE(TRIM(MID(SUBSTITUTE(INDEX('Deck 3'!$A:$Z,ROW()-750,'List Setup'!$G$5),CHAR(10),REPT(" ",100)),((SEARCH(CHAR(10)&amp;I893&amp;CHAR(10),H893)-LEN(SUBSTITUTE(LEFT(H893,SEARCH(CHAR(10)&amp;I893&amp;CHAR(10),H893)),CHAR(10),"")))-1)*100+1,100))),""))</f>
        <v/>
      </c>
      <c r="K893" s="80" t="str">
        <f t="array" ref="K893">IF(A893="","",IF(ISNUMBER(SEARCH("Land",LEFT(IFERROR(INDEX('Deck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93" s="80" t="str">
        <f t="shared" si="3"/>
        <v/>
      </c>
      <c r="M893" s="80" t="str">
        <f>IF(A893="","",IF(AND(E893="Y",B893='Use at Shop'!$B$4),K893*10000000000+(MAX(0,MIN(26,CODE(MID(UPPER(A893)&amp;"    ",1,1))-64))*19683+MAX(0,MIN(26,CODE(MID(UPPER(A893)&amp;"    ",2,1))-64))*729+MAX(0,MIN(26,CODE(MID(UPPER(A893)&amp;"    ",3,1))-64))*27+MAX(0,MIN(26,CODE(MID(UPPER(A893)&amp;"    ",4,1))-64))*1)*10000+ROW(),""))</f>
        <v/>
      </c>
      <c r="N893" s="80" t="str">
        <f t="shared" si="7"/>
        <v/>
      </c>
      <c r="O893" s="80" t="str">
        <f t="array" ref="O893">IF(A893="","",IFERROR(INDEX('Deck 3'!$A:$Z,ROW()-750,'List Setup'!$J$5)&amp;"",""))</f>
        <v/>
      </c>
      <c r="P893" s="2"/>
      <c r="Q893" s="80" t="str">
        <f>IF(A893="","",'List Setup'!$A$5)</f>
        <v/>
      </c>
      <c r="R893" s="80" t="str">
        <f t="array" ref="R893">IF(A893="","",IFERROR(OR(INDEX(Binders!$J$6:$J$30,MATCH(Q893,Binders!$I$6:$I$30,0))=TRUE(),UPPER(INDEX(Binders!$J$6:$J$30,MATCH(Q893,Binders!$I$6:$I$30,0))&amp;"")="TRUE"),FALSE()))</f>
        <v/>
      </c>
    </row>
    <row r="894" ht="15.75" customHeight="1">
      <c r="A894" s="80" t="str">
        <f t="array" ref="A894">IF(INDEX('Deck 3'!$A:$Z,ROW()-750,'List Setup'!$D$5)="","",INDEX('Deck 3'!$A:$Z,ROW()-750,'List Setup'!$D$5))</f>
        <v/>
      </c>
      <c r="B894" s="80" t="str">
        <f t="array" ref="B894">IF(A894="","",IFERROR(INDEX('Binder Setup'!$B$2:$B$401,MIN(IF(ISNUMBER(SEARCH(CHAR(10)&amp;'Binder Setup'!$B$2:$B$401&amp;CHAR(10),$H894)),'List Setup'!$Q$2:$Q$401,999),IF(ISNUMBER(SEARCH(CHAR(10)&amp;'Set Aliases'!$A$2:$A$501&amp;CHAR(10),$H894)),'Set Aliases'!$C$2:$C$501,999))),"(none)"))</f>
        <v/>
      </c>
      <c r="C894" s="80" t="str">
        <f t="shared" si="1"/>
        <v/>
      </c>
      <c r="D894" s="80" t="str">
        <f t="array" ref="D894">IF(A894="","",IF(ISLOGICAL(INDEX('Deck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94" s="80" t="str">
        <f t="shared" si="2"/>
        <v/>
      </c>
      <c r="F894" s="80" t="str">
        <f t="array" ref="F894">IF(A894="","",IF(ISNUMBER(J894),J894,IF(ISNUMBER(INDEX('Deck 3'!$A:$Z,ROW()-750,'List Setup'!$F$5)),INDEX('Deck 3'!$A:$Z,ROW()-750,'List Setup'!$F$5),0)))</f>
        <v/>
      </c>
      <c r="G894" s="80" t="str">
        <f t="array" ref="G894">IF(A894="","",A894&amp;IF(N(INDEX('Deck 3'!$A:$Z,ROW()-750,'List Setup'!$C$5))&gt;1," (x"&amp;INDEX('Deck 3'!$A:$Z,ROW()-750,'List Setup'!$C$5)&amp;")","")&amp;IF(COUNTIF(Binders!$J$6:$J$30,TRUE())&gt;1," ["&amp;Q894&amp;"]",""))</f>
        <v/>
      </c>
      <c r="H894" s="80" t="str">
        <f t="array" ref="H894">IF(A894="","",CHAR(10)&amp;INDEX('Deck 3'!$A:$Z,ROW()-750,'List Setup'!$E$5)&amp;CHAR(10))</f>
        <v/>
      </c>
      <c r="I894" s="80" t="str">
        <f t="array" ref="I894">IF(OR(B894="",B894="(none)"),"",IF(ISNUMBER(SEARCH(CHAR(10)&amp;B894&amp;CHAR(10),H894)),B894,IFERROR(INDEX('Set Aliases'!$A$2:$A$501,MATCH(1,('Set Aliases'!$B$2:$B$501=B894)*ISNUMBER(SEARCH(CHAR(10)&amp;'Set Aliases'!$A$2:$A$501&amp;CHAR(10),H894)),0)),"")))</f>
        <v/>
      </c>
      <c r="J894" s="80" t="str">
        <f t="array" ref="J894">IF(I894="","",IFERROR(VALUE(TRIM(MID(SUBSTITUTE(INDEX('Deck 3'!$A:$Z,ROW()-750,'List Setup'!$G$5),CHAR(10),REPT(" ",100)),((SEARCH(CHAR(10)&amp;I894&amp;CHAR(10),H894)-LEN(SUBSTITUTE(LEFT(H894,SEARCH(CHAR(10)&amp;I894&amp;CHAR(10),H894)),CHAR(10),"")))-1)*100+1,100))),""))</f>
        <v/>
      </c>
      <c r="K894" s="80" t="str">
        <f t="array" ref="K894">IF(A894="","",IF(ISNUMBER(SEARCH("Land",LEFT(IFERROR(INDEX('Deck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94" s="80" t="str">
        <f t="shared" si="3"/>
        <v/>
      </c>
      <c r="M894" s="80" t="str">
        <f>IF(A894="","",IF(AND(E894="Y",B894='Use at Shop'!$B$4),K894*10000000000+(MAX(0,MIN(26,CODE(MID(UPPER(A894)&amp;"    ",1,1))-64))*19683+MAX(0,MIN(26,CODE(MID(UPPER(A894)&amp;"    ",2,1))-64))*729+MAX(0,MIN(26,CODE(MID(UPPER(A894)&amp;"    ",3,1))-64))*27+MAX(0,MIN(26,CODE(MID(UPPER(A894)&amp;"    ",4,1))-64))*1)*10000+ROW(),""))</f>
        <v/>
      </c>
      <c r="N894" s="80" t="str">
        <f t="shared" si="7"/>
        <v/>
      </c>
      <c r="O894" s="80" t="str">
        <f t="array" ref="O894">IF(A894="","",IFERROR(INDEX('Deck 3'!$A:$Z,ROW()-750,'List Setup'!$J$5)&amp;"",""))</f>
        <v/>
      </c>
      <c r="P894" s="2"/>
      <c r="Q894" s="80" t="str">
        <f>IF(A894="","",'List Setup'!$A$5)</f>
        <v/>
      </c>
      <c r="R894" s="80" t="str">
        <f t="array" ref="R894">IF(A894="","",IFERROR(OR(INDEX(Binders!$J$6:$J$30,MATCH(Q894,Binders!$I$6:$I$30,0))=TRUE(),UPPER(INDEX(Binders!$J$6:$J$30,MATCH(Q894,Binders!$I$6:$I$30,0))&amp;"")="TRUE"),FALSE()))</f>
        <v/>
      </c>
    </row>
    <row r="895" ht="15.75" customHeight="1">
      <c r="A895" s="80" t="str">
        <f t="array" ref="A895">IF(INDEX('Deck 3'!$A:$Z,ROW()-750,'List Setup'!$D$5)="","",INDEX('Deck 3'!$A:$Z,ROW()-750,'List Setup'!$D$5))</f>
        <v/>
      </c>
      <c r="B895" s="80" t="str">
        <f t="array" ref="B895">IF(A895="","",IFERROR(INDEX('Binder Setup'!$B$2:$B$401,MIN(IF(ISNUMBER(SEARCH(CHAR(10)&amp;'Binder Setup'!$B$2:$B$401&amp;CHAR(10),$H895)),'List Setup'!$Q$2:$Q$401,999),IF(ISNUMBER(SEARCH(CHAR(10)&amp;'Set Aliases'!$A$2:$A$501&amp;CHAR(10),$H895)),'Set Aliases'!$C$2:$C$501,999))),"(none)"))</f>
        <v/>
      </c>
      <c r="C895" s="80" t="str">
        <f t="shared" si="1"/>
        <v/>
      </c>
      <c r="D895" s="80" t="str">
        <f t="array" ref="D895">IF(A895="","",IF(ISLOGICAL(INDEX('Deck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95" s="80" t="str">
        <f t="shared" si="2"/>
        <v/>
      </c>
      <c r="F895" s="80" t="str">
        <f t="array" ref="F895">IF(A895="","",IF(ISNUMBER(J895),J895,IF(ISNUMBER(INDEX('Deck 3'!$A:$Z,ROW()-750,'List Setup'!$F$5)),INDEX('Deck 3'!$A:$Z,ROW()-750,'List Setup'!$F$5),0)))</f>
        <v/>
      </c>
      <c r="G895" s="80" t="str">
        <f t="array" ref="G895">IF(A895="","",A895&amp;IF(N(INDEX('Deck 3'!$A:$Z,ROW()-750,'List Setup'!$C$5))&gt;1," (x"&amp;INDEX('Deck 3'!$A:$Z,ROW()-750,'List Setup'!$C$5)&amp;")","")&amp;IF(COUNTIF(Binders!$J$6:$J$30,TRUE())&gt;1," ["&amp;Q895&amp;"]",""))</f>
        <v/>
      </c>
      <c r="H895" s="80" t="str">
        <f t="array" ref="H895">IF(A895="","",CHAR(10)&amp;INDEX('Deck 3'!$A:$Z,ROW()-750,'List Setup'!$E$5)&amp;CHAR(10))</f>
        <v/>
      </c>
      <c r="I895" s="80" t="str">
        <f t="array" ref="I895">IF(OR(B895="",B895="(none)"),"",IF(ISNUMBER(SEARCH(CHAR(10)&amp;B895&amp;CHAR(10),H895)),B895,IFERROR(INDEX('Set Aliases'!$A$2:$A$501,MATCH(1,('Set Aliases'!$B$2:$B$501=B895)*ISNUMBER(SEARCH(CHAR(10)&amp;'Set Aliases'!$A$2:$A$501&amp;CHAR(10),H895)),0)),"")))</f>
        <v/>
      </c>
      <c r="J895" s="80" t="str">
        <f t="array" ref="J895">IF(I895="","",IFERROR(VALUE(TRIM(MID(SUBSTITUTE(INDEX('Deck 3'!$A:$Z,ROW()-750,'List Setup'!$G$5),CHAR(10),REPT(" ",100)),((SEARCH(CHAR(10)&amp;I895&amp;CHAR(10),H895)-LEN(SUBSTITUTE(LEFT(H895,SEARCH(CHAR(10)&amp;I895&amp;CHAR(10),H895)),CHAR(10),"")))-1)*100+1,100))),""))</f>
        <v/>
      </c>
      <c r="K895" s="80" t="str">
        <f t="array" ref="K895">IF(A895="","",IF(ISNUMBER(SEARCH("Land",LEFT(IFERROR(INDEX('Deck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95" s="80" t="str">
        <f t="shared" si="3"/>
        <v/>
      </c>
      <c r="M895" s="80" t="str">
        <f>IF(A895="","",IF(AND(E895="Y",B895='Use at Shop'!$B$4),K895*10000000000+(MAX(0,MIN(26,CODE(MID(UPPER(A895)&amp;"    ",1,1))-64))*19683+MAX(0,MIN(26,CODE(MID(UPPER(A895)&amp;"    ",2,1))-64))*729+MAX(0,MIN(26,CODE(MID(UPPER(A895)&amp;"    ",3,1))-64))*27+MAX(0,MIN(26,CODE(MID(UPPER(A895)&amp;"    ",4,1))-64))*1)*10000+ROW(),""))</f>
        <v/>
      </c>
      <c r="N895" s="80" t="str">
        <f t="shared" si="7"/>
        <v/>
      </c>
      <c r="O895" s="80" t="str">
        <f t="array" ref="O895">IF(A895="","",IFERROR(INDEX('Deck 3'!$A:$Z,ROW()-750,'List Setup'!$J$5)&amp;"",""))</f>
        <v/>
      </c>
      <c r="P895" s="2"/>
      <c r="Q895" s="80" t="str">
        <f>IF(A895="","",'List Setup'!$A$5)</f>
        <v/>
      </c>
      <c r="R895" s="80" t="str">
        <f t="array" ref="R895">IF(A895="","",IFERROR(OR(INDEX(Binders!$J$6:$J$30,MATCH(Q895,Binders!$I$6:$I$30,0))=TRUE(),UPPER(INDEX(Binders!$J$6:$J$30,MATCH(Q895,Binders!$I$6:$I$30,0))&amp;"")="TRUE"),FALSE()))</f>
        <v/>
      </c>
    </row>
    <row r="896" ht="15.75" customHeight="1">
      <c r="A896" s="80" t="str">
        <f t="array" ref="A896">IF(INDEX('Deck 3'!$A:$Z,ROW()-750,'List Setup'!$D$5)="","",INDEX('Deck 3'!$A:$Z,ROW()-750,'List Setup'!$D$5))</f>
        <v/>
      </c>
      <c r="B896" s="80" t="str">
        <f t="array" ref="B896">IF(A896="","",IFERROR(INDEX('Binder Setup'!$B$2:$B$401,MIN(IF(ISNUMBER(SEARCH(CHAR(10)&amp;'Binder Setup'!$B$2:$B$401&amp;CHAR(10),$H896)),'List Setup'!$Q$2:$Q$401,999),IF(ISNUMBER(SEARCH(CHAR(10)&amp;'Set Aliases'!$A$2:$A$501&amp;CHAR(10),$H896)),'Set Aliases'!$C$2:$C$501,999))),"(none)"))</f>
        <v/>
      </c>
      <c r="C896" s="80" t="str">
        <f t="shared" si="1"/>
        <v/>
      </c>
      <c r="D896" s="80" t="str">
        <f t="array" ref="D896">IF(A896="","",IF(ISLOGICAL(INDEX('Deck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96" s="80" t="str">
        <f t="shared" si="2"/>
        <v/>
      </c>
      <c r="F896" s="80" t="str">
        <f t="array" ref="F896">IF(A896="","",IF(ISNUMBER(J896),J896,IF(ISNUMBER(INDEX('Deck 3'!$A:$Z,ROW()-750,'List Setup'!$F$5)),INDEX('Deck 3'!$A:$Z,ROW()-750,'List Setup'!$F$5),0)))</f>
        <v/>
      </c>
      <c r="G896" s="80" t="str">
        <f t="array" ref="G896">IF(A896="","",A896&amp;IF(N(INDEX('Deck 3'!$A:$Z,ROW()-750,'List Setup'!$C$5))&gt;1," (x"&amp;INDEX('Deck 3'!$A:$Z,ROW()-750,'List Setup'!$C$5)&amp;")","")&amp;IF(COUNTIF(Binders!$J$6:$J$30,TRUE())&gt;1," ["&amp;Q896&amp;"]",""))</f>
        <v/>
      </c>
      <c r="H896" s="80" t="str">
        <f t="array" ref="H896">IF(A896="","",CHAR(10)&amp;INDEX('Deck 3'!$A:$Z,ROW()-750,'List Setup'!$E$5)&amp;CHAR(10))</f>
        <v/>
      </c>
      <c r="I896" s="80" t="str">
        <f t="array" ref="I896">IF(OR(B896="",B896="(none)"),"",IF(ISNUMBER(SEARCH(CHAR(10)&amp;B896&amp;CHAR(10),H896)),B896,IFERROR(INDEX('Set Aliases'!$A$2:$A$501,MATCH(1,('Set Aliases'!$B$2:$B$501=B896)*ISNUMBER(SEARCH(CHAR(10)&amp;'Set Aliases'!$A$2:$A$501&amp;CHAR(10),H896)),0)),"")))</f>
        <v/>
      </c>
      <c r="J896" s="80" t="str">
        <f t="array" ref="J896">IF(I896="","",IFERROR(VALUE(TRIM(MID(SUBSTITUTE(INDEX('Deck 3'!$A:$Z,ROW()-750,'List Setup'!$G$5),CHAR(10),REPT(" ",100)),((SEARCH(CHAR(10)&amp;I896&amp;CHAR(10),H896)-LEN(SUBSTITUTE(LEFT(H896,SEARCH(CHAR(10)&amp;I896&amp;CHAR(10),H896)),CHAR(10),"")))-1)*100+1,100))),""))</f>
        <v/>
      </c>
      <c r="K896" s="80" t="str">
        <f t="array" ref="K896">IF(A896="","",IF(ISNUMBER(SEARCH("Land",LEFT(IFERROR(INDEX('Deck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96" s="80" t="str">
        <f t="shared" si="3"/>
        <v/>
      </c>
      <c r="M896" s="80" t="str">
        <f>IF(A896="","",IF(AND(E896="Y",B896='Use at Shop'!$B$4),K896*10000000000+(MAX(0,MIN(26,CODE(MID(UPPER(A896)&amp;"    ",1,1))-64))*19683+MAX(0,MIN(26,CODE(MID(UPPER(A896)&amp;"    ",2,1))-64))*729+MAX(0,MIN(26,CODE(MID(UPPER(A896)&amp;"    ",3,1))-64))*27+MAX(0,MIN(26,CODE(MID(UPPER(A896)&amp;"    ",4,1))-64))*1)*10000+ROW(),""))</f>
        <v/>
      </c>
      <c r="N896" s="80" t="str">
        <f t="shared" si="7"/>
        <v/>
      </c>
      <c r="O896" s="80" t="str">
        <f t="array" ref="O896">IF(A896="","",IFERROR(INDEX('Deck 3'!$A:$Z,ROW()-750,'List Setup'!$J$5)&amp;"",""))</f>
        <v/>
      </c>
      <c r="P896" s="2"/>
      <c r="Q896" s="80" t="str">
        <f>IF(A896="","",'List Setup'!$A$5)</f>
        <v/>
      </c>
      <c r="R896" s="80" t="str">
        <f t="array" ref="R896">IF(A896="","",IFERROR(OR(INDEX(Binders!$J$6:$J$30,MATCH(Q896,Binders!$I$6:$I$30,0))=TRUE(),UPPER(INDEX(Binders!$J$6:$J$30,MATCH(Q896,Binders!$I$6:$I$30,0))&amp;"")="TRUE"),FALSE()))</f>
        <v/>
      </c>
    </row>
    <row r="897" ht="15.75" customHeight="1">
      <c r="A897" s="80" t="str">
        <f t="array" ref="A897">IF(INDEX('Deck 3'!$A:$Z,ROW()-750,'List Setup'!$D$5)="","",INDEX('Deck 3'!$A:$Z,ROW()-750,'List Setup'!$D$5))</f>
        <v/>
      </c>
      <c r="B897" s="80" t="str">
        <f t="array" ref="B897">IF(A897="","",IFERROR(INDEX('Binder Setup'!$B$2:$B$401,MIN(IF(ISNUMBER(SEARCH(CHAR(10)&amp;'Binder Setup'!$B$2:$B$401&amp;CHAR(10),$H897)),'List Setup'!$Q$2:$Q$401,999),IF(ISNUMBER(SEARCH(CHAR(10)&amp;'Set Aliases'!$A$2:$A$501&amp;CHAR(10),$H897)),'Set Aliases'!$C$2:$C$501,999))),"(none)"))</f>
        <v/>
      </c>
      <c r="C897" s="80" t="str">
        <f t="shared" si="1"/>
        <v/>
      </c>
      <c r="D897" s="80" t="str">
        <f t="array" ref="D897">IF(A897="","",IF(ISLOGICAL(INDEX('Deck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97" s="80" t="str">
        <f t="shared" si="2"/>
        <v/>
      </c>
      <c r="F897" s="80" t="str">
        <f t="array" ref="F897">IF(A897="","",IF(ISNUMBER(J897),J897,IF(ISNUMBER(INDEX('Deck 3'!$A:$Z,ROW()-750,'List Setup'!$F$5)),INDEX('Deck 3'!$A:$Z,ROW()-750,'List Setup'!$F$5),0)))</f>
        <v/>
      </c>
      <c r="G897" s="80" t="str">
        <f t="array" ref="G897">IF(A897="","",A897&amp;IF(N(INDEX('Deck 3'!$A:$Z,ROW()-750,'List Setup'!$C$5))&gt;1," (x"&amp;INDEX('Deck 3'!$A:$Z,ROW()-750,'List Setup'!$C$5)&amp;")","")&amp;IF(COUNTIF(Binders!$J$6:$J$30,TRUE())&gt;1," ["&amp;Q897&amp;"]",""))</f>
        <v/>
      </c>
      <c r="H897" s="80" t="str">
        <f t="array" ref="H897">IF(A897="","",CHAR(10)&amp;INDEX('Deck 3'!$A:$Z,ROW()-750,'List Setup'!$E$5)&amp;CHAR(10))</f>
        <v/>
      </c>
      <c r="I897" s="80" t="str">
        <f t="array" ref="I897">IF(OR(B897="",B897="(none)"),"",IF(ISNUMBER(SEARCH(CHAR(10)&amp;B897&amp;CHAR(10),H897)),B897,IFERROR(INDEX('Set Aliases'!$A$2:$A$501,MATCH(1,('Set Aliases'!$B$2:$B$501=B897)*ISNUMBER(SEARCH(CHAR(10)&amp;'Set Aliases'!$A$2:$A$501&amp;CHAR(10),H897)),0)),"")))</f>
        <v/>
      </c>
      <c r="J897" s="80" t="str">
        <f t="array" ref="J897">IF(I897="","",IFERROR(VALUE(TRIM(MID(SUBSTITUTE(INDEX('Deck 3'!$A:$Z,ROW()-750,'List Setup'!$G$5),CHAR(10),REPT(" ",100)),((SEARCH(CHAR(10)&amp;I897&amp;CHAR(10),H897)-LEN(SUBSTITUTE(LEFT(H897,SEARCH(CHAR(10)&amp;I897&amp;CHAR(10),H897)),CHAR(10),"")))-1)*100+1,100))),""))</f>
        <v/>
      </c>
      <c r="K897" s="80" t="str">
        <f t="array" ref="K897">IF(A897="","",IF(ISNUMBER(SEARCH("Land",LEFT(IFERROR(INDEX('Deck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97" s="80" t="str">
        <f t="shared" si="3"/>
        <v/>
      </c>
      <c r="M897" s="80" t="str">
        <f>IF(A897="","",IF(AND(E897="Y",B897='Use at Shop'!$B$4),K897*10000000000+(MAX(0,MIN(26,CODE(MID(UPPER(A897)&amp;"    ",1,1))-64))*19683+MAX(0,MIN(26,CODE(MID(UPPER(A897)&amp;"    ",2,1))-64))*729+MAX(0,MIN(26,CODE(MID(UPPER(A897)&amp;"    ",3,1))-64))*27+MAX(0,MIN(26,CODE(MID(UPPER(A897)&amp;"    ",4,1))-64))*1)*10000+ROW(),""))</f>
        <v/>
      </c>
      <c r="N897" s="80" t="str">
        <f t="shared" si="7"/>
        <v/>
      </c>
      <c r="O897" s="80" t="str">
        <f t="array" ref="O897">IF(A897="","",IFERROR(INDEX('Deck 3'!$A:$Z,ROW()-750,'List Setup'!$J$5)&amp;"",""))</f>
        <v/>
      </c>
      <c r="P897" s="2"/>
      <c r="Q897" s="80" t="str">
        <f>IF(A897="","",'List Setup'!$A$5)</f>
        <v/>
      </c>
      <c r="R897" s="80" t="str">
        <f t="array" ref="R897">IF(A897="","",IFERROR(OR(INDEX(Binders!$J$6:$J$30,MATCH(Q897,Binders!$I$6:$I$30,0))=TRUE(),UPPER(INDEX(Binders!$J$6:$J$30,MATCH(Q897,Binders!$I$6:$I$30,0))&amp;"")="TRUE"),FALSE()))</f>
        <v/>
      </c>
    </row>
    <row r="898" ht="15.75" customHeight="1">
      <c r="A898" s="80" t="str">
        <f t="array" ref="A898">IF(INDEX('Deck 3'!$A:$Z,ROW()-750,'List Setup'!$D$5)="","",INDEX('Deck 3'!$A:$Z,ROW()-750,'List Setup'!$D$5))</f>
        <v/>
      </c>
      <c r="B898" s="80" t="str">
        <f t="array" ref="B898">IF(A898="","",IFERROR(INDEX('Binder Setup'!$B$2:$B$401,MIN(IF(ISNUMBER(SEARCH(CHAR(10)&amp;'Binder Setup'!$B$2:$B$401&amp;CHAR(10),$H898)),'List Setup'!$Q$2:$Q$401,999),IF(ISNUMBER(SEARCH(CHAR(10)&amp;'Set Aliases'!$A$2:$A$501&amp;CHAR(10),$H898)),'Set Aliases'!$C$2:$C$501,999))),"(none)"))</f>
        <v/>
      </c>
      <c r="C898" s="80" t="str">
        <f t="shared" si="1"/>
        <v/>
      </c>
      <c r="D898" s="80" t="str">
        <f t="array" ref="D898">IF(A898="","",IF(ISLOGICAL(INDEX('Deck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98" s="80" t="str">
        <f t="shared" si="2"/>
        <v/>
      </c>
      <c r="F898" s="80" t="str">
        <f t="array" ref="F898">IF(A898="","",IF(ISNUMBER(J898),J898,IF(ISNUMBER(INDEX('Deck 3'!$A:$Z,ROW()-750,'List Setup'!$F$5)),INDEX('Deck 3'!$A:$Z,ROW()-750,'List Setup'!$F$5),0)))</f>
        <v/>
      </c>
      <c r="G898" s="80" t="str">
        <f t="array" ref="G898">IF(A898="","",A898&amp;IF(N(INDEX('Deck 3'!$A:$Z,ROW()-750,'List Setup'!$C$5))&gt;1," (x"&amp;INDEX('Deck 3'!$A:$Z,ROW()-750,'List Setup'!$C$5)&amp;")","")&amp;IF(COUNTIF(Binders!$J$6:$J$30,TRUE())&gt;1," ["&amp;Q898&amp;"]",""))</f>
        <v/>
      </c>
      <c r="H898" s="80" t="str">
        <f t="array" ref="H898">IF(A898="","",CHAR(10)&amp;INDEX('Deck 3'!$A:$Z,ROW()-750,'List Setup'!$E$5)&amp;CHAR(10))</f>
        <v/>
      </c>
      <c r="I898" s="80" t="str">
        <f t="array" ref="I898">IF(OR(B898="",B898="(none)"),"",IF(ISNUMBER(SEARCH(CHAR(10)&amp;B898&amp;CHAR(10),H898)),B898,IFERROR(INDEX('Set Aliases'!$A$2:$A$501,MATCH(1,('Set Aliases'!$B$2:$B$501=B898)*ISNUMBER(SEARCH(CHAR(10)&amp;'Set Aliases'!$A$2:$A$501&amp;CHAR(10),H898)),0)),"")))</f>
        <v/>
      </c>
      <c r="J898" s="80" t="str">
        <f t="array" ref="J898">IF(I898="","",IFERROR(VALUE(TRIM(MID(SUBSTITUTE(INDEX('Deck 3'!$A:$Z,ROW()-750,'List Setup'!$G$5),CHAR(10),REPT(" ",100)),((SEARCH(CHAR(10)&amp;I898&amp;CHAR(10),H898)-LEN(SUBSTITUTE(LEFT(H898,SEARCH(CHAR(10)&amp;I898&amp;CHAR(10),H898)),CHAR(10),"")))-1)*100+1,100))),""))</f>
        <v/>
      </c>
      <c r="K898" s="80" t="str">
        <f t="array" ref="K898">IF(A898="","",IF(ISNUMBER(SEARCH("Land",LEFT(IFERROR(INDEX('Deck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98" s="80" t="str">
        <f t="shared" si="3"/>
        <v/>
      </c>
      <c r="M898" s="80" t="str">
        <f>IF(A898="","",IF(AND(E898="Y",B898='Use at Shop'!$B$4),K898*10000000000+(MAX(0,MIN(26,CODE(MID(UPPER(A898)&amp;"    ",1,1))-64))*19683+MAX(0,MIN(26,CODE(MID(UPPER(A898)&amp;"    ",2,1))-64))*729+MAX(0,MIN(26,CODE(MID(UPPER(A898)&amp;"    ",3,1))-64))*27+MAX(0,MIN(26,CODE(MID(UPPER(A898)&amp;"    ",4,1))-64))*1)*10000+ROW(),""))</f>
        <v/>
      </c>
      <c r="N898" s="80" t="str">
        <f t="shared" si="7"/>
        <v/>
      </c>
      <c r="O898" s="80" t="str">
        <f t="array" ref="O898">IF(A898="","",IFERROR(INDEX('Deck 3'!$A:$Z,ROW()-750,'List Setup'!$J$5)&amp;"",""))</f>
        <v/>
      </c>
      <c r="P898" s="2"/>
      <c r="Q898" s="80" t="str">
        <f>IF(A898="","",'List Setup'!$A$5)</f>
        <v/>
      </c>
      <c r="R898" s="80" t="str">
        <f t="array" ref="R898">IF(A898="","",IFERROR(OR(INDEX(Binders!$J$6:$J$30,MATCH(Q898,Binders!$I$6:$I$30,0))=TRUE(),UPPER(INDEX(Binders!$J$6:$J$30,MATCH(Q898,Binders!$I$6:$I$30,0))&amp;"")="TRUE"),FALSE()))</f>
        <v/>
      </c>
    </row>
    <row r="899" ht="15.75" customHeight="1">
      <c r="A899" s="80" t="str">
        <f t="array" ref="A899">IF(INDEX('Deck 3'!$A:$Z,ROW()-750,'List Setup'!$D$5)="","",INDEX('Deck 3'!$A:$Z,ROW()-750,'List Setup'!$D$5))</f>
        <v/>
      </c>
      <c r="B899" s="80" t="str">
        <f t="array" ref="B899">IF(A899="","",IFERROR(INDEX('Binder Setup'!$B$2:$B$401,MIN(IF(ISNUMBER(SEARCH(CHAR(10)&amp;'Binder Setup'!$B$2:$B$401&amp;CHAR(10),$H899)),'List Setup'!$Q$2:$Q$401,999),IF(ISNUMBER(SEARCH(CHAR(10)&amp;'Set Aliases'!$A$2:$A$501&amp;CHAR(10),$H899)),'Set Aliases'!$C$2:$C$501,999))),"(none)"))</f>
        <v/>
      </c>
      <c r="C899" s="80" t="str">
        <f t="shared" si="1"/>
        <v/>
      </c>
      <c r="D899" s="80" t="str">
        <f t="array" ref="D899">IF(A899="","",IF(ISLOGICAL(INDEX('Deck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899" s="80" t="str">
        <f t="shared" si="2"/>
        <v/>
      </c>
      <c r="F899" s="80" t="str">
        <f t="array" ref="F899">IF(A899="","",IF(ISNUMBER(J899),J899,IF(ISNUMBER(INDEX('Deck 3'!$A:$Z,ROW()-750,'List Setup'!$F$5)),INDEX('Deck 3'!$A:$Z,ROW()-750,'List Setup'!$F$5),0)))</f>
        <v/>
      </c>
      <c r="G899" s="80" t="str">
        <f t="array" ref="G899">IF(A899="","",A899&amp;IF(N(INDEX('Deck 3'!$A:$Z,ROW()-750,'List Setup'!$C$5))&gt;1," (x"&amp;INDEX('Deck 3'!$A:$Z,ROW()-750,'List Setup'!$C$5)&amp;")","")&amp;IF(COUNTIF(Binders!$J$6:$J$30,TRUE())&gt;1," ["&amp;Q899&amp;"]",""))</f>
        <v/>
      </c>
      <c r="H899" s="80" t="str">
        <f t="array" ref="H899">IF(A899="","",CHAR(10)&amp;INDEX('Deck 3'!$A:$Z,ROW()-750,'List Setup'!$E$5)&amp;CHAR(10))</f>
        <v/>
      </c>
      <c r="I899" s="80" t="str">
        <f t="array" ref="I899">IF(OR(B899="",B899="(none)"),"",IF(ISNUMBER(SEARCH(CHAR(10)&amp;B899&amp;CHAR(10),H899)),B899,IFERROR(INDEX('Set Aliases'!$A$2:$A$501,MATCH(1,('Set Aliases'!$B$2:$B$501=B899)*ISNUMBER(SEARCH(CHAR(10)&amp;'Set Aliases'!$A$2:$A$501&amp;CHAR(10),H899)),0)),"")))</f>
        <v/>
      </c>
      <c r="J899" s="80" t="str">
        <f t="array" ref="J899">IF(I899="","",IFERROR(VALUE(TRIM(MID(SUBSTITUTE(INDEX('Deck 3'!$A:$Z,ROW()-750,'List Setup'!$G$5),CHAR(10),REPT(" ",100)),((SEARCH(CHAR(10)&amp;I899&amp;CHAR(10),H899)-LEN(SUBSTITUTE(LEFT(H899,SEARCH(CHAR(10)&amp;I899&amp;CHAR(10),H899)),CHAR(10),"")))-1)*100+1,100))),""))</f>
        <v/>
      </c>
      <c r="K899" s="80" t="str">
        <f t="array" ref="K899">IF(A899="","",IF(ISNUMBER(SEARCH("Land",LEFT(IFERROR(INDEX('Deck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899" s="80" t="str">
        <f t="shared" si="3"/>
        <v/>
      </c>
      <c r="M899" s="80" t="str">
        <f>IF(A899="","",IF(AND(E899="Y",B899='Use at Shop'!$B$4),K899*10000000000+(MAX(0,MIN(26,CODE(MID(UPPER(A899)&amp;"    ",1,1))-64))*19683+MAX(0,MIN(26,CODE(MID(UPPER(A899)&amp;"    ",2,1))-64))*729+MAX(0,MIN(26,CODE(MID(UPPER(A899)&amp;"    ",3,1))-64))*27+MAX(0,MIN(26,CODE(MID(UPPER(A899)&amp;"    ",4,1))-64))*1)*10000+ROW(),""))</f>
        <v/>
      </c>
      <c r="N899" s="80" t="str">
        <f t="shared" si="7"/>
        <v/>
      </c>
      <c r="O899" s="80" t="str">
        <f t="array" ref="O899">IF(A899="","",IFERROR(INDEX('Deck 3'!$A:$Z,ROW()-750,'List Setup'!$J$5)&amp;"",""))</f>
        <v/>
      </c>
      <c r="P899" s="2"/>
      <c r="Q899" s="80" t="str">
        <f>IF(A899="","",'List Setup'!$A$5)</f>
        <v/>
      </c>
      <c r="R899" s="80" t="str">
        <f t="array" ref="R899">IF(A899="","",IFERROR(OR(INDEX(Binders!$J$6:$J$30,MATCH(Q899,Binders!$I$6:$I$30,0))=TRUE(),UPPER(INDEX(Binders!$J$6:$J$30,MATCH(Q899,Binders!$I$6:$I$30,0))&amp;"")="TRUE"),FALSE()))</f>
        <v/>
      </c>
    </row>
    <row r="900" ht="15.75" customHeight="1">
      <c r="A900" s="80" t="str">
        <f t="array" ref="A900">IF(INDEX('Deck 3'!$A:$Z,ROW()-750,'List Setup'!$D$5)="","",INDEX('Deck 3'!$A:$Z,ROW()-750,'List Setup'!$D$5))</f>
        <v/>
      </c>
      <c r="B900" s="80" t="str">
        <f t="array" ref="B900">IF(A900="","",IFERROR(INDEX('Binder Setup'!$B$2:$B$401,MIN(IF(ISNUMBER(SEARCH(CHAR(10)&amp;'Binder Setup'!$B$2:$B$401&amp;CHAR(10),$H900)),'List Setup'!$Q$2:$Q$401,999),IF(ISNUMBER(SEARCH(CHAR(10)&amp;'Set Aliases'!$A$2:$A$501&amp;CHAR(10),$H900)),'Set Aliases'!$C$2:$C$501,999))),"(none)"))</f>
        <v/>
      </c>
      <c r="C900" s="80" t="str">
        <f t="shared" si="1"/>
        <v/>
      </c>
      <c r="D900" s="80" t="str">
        <f t="array" ref="D900">IF(A900="","",IF(ISLOGICAL(INDEX('Deck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00" s="80" t="str">
        <f t="shared" si="2"/>
        <v/>
      </c>
      <c r="F900" s="80" t="str">
        <f t="array" ref="F900">IF(A900="","",IF(ISNUMBER(J900),J900,IF(ISNUMBER(INDEX('Deck 3'!$A:$Z,ROW()-750,'List Setup'!$F$5)),INDEX('Deck 3'!$A:$Z,ROW()-750,'List Setup'!$F$5),0)))</f>
        <v/>
      </c>
      <c r="G900" s="80" t="str">
        <f t="array" ref="G900">IF(A900="","",A900&amp;IF(N(INDEX('Deck 3'!$A:$Z,ROW()-750,'List Setup'!$C$5))&gt;1," (x"&amp;INDEX('Deck 3'!$A:$Z,ROW()-750,'List Setup'!$C$5)&amp;")","")&amp;IF(COUNTIF(Binders!$J$6:$J$30,TRUE())&gt;1," ["&amp;Q900&amp;"]",""))</f>
        <v/>
      </c>
      <c r="H900" s="80" t="str">
        <f t="array" ref="H900">IF(A900="","",CHAR(10)&amp;INDEX('Deck 3'!$A:$Z,ROW()-750,'List Setup'!$E$5)&amp;CHAR(10))</f>
        <v/>
      </c>
      <c r="I900" s="80" t="str">
        <f t="array" ref="I900">IF(OR(B900="",B900="(none)"),"",IF(ISNUMBER(SEARCH(CHAR(10)&amp;B900&amp;CHAR(10),H900)),B900,IFERROR(INDEX('Set Aliases'!$A$2:$A$501,MATCH(1,('Set Aliases'!$B$2:$B$501=B900)*ISNUMBER(SEARCH(CHAR(10)&amp;'Set Aliases'!$A$2:$A$501&amp;CHAR(10),H900)),0)),"")))</f>
        <v/>
      </c>
      <c r="J900" s="80" t="str">
        <f t="array" ref="J900">IF(I900="","",IFERROR(VALUE(TRIM(MID(SUBSTITUTE(INDEX('Deck 3'!$A:$Z,ROW()-750,'List Setup'!$G$5),CHAR(10),REPT(" ",100)),((SEARCH(CHAR(10)&amp;I900&amp;CHAR(10),H900)-LEN(SUBSTITUTE(LEFT(H900,SEARCH(CHAR(10)&amp;I900&amp;CHAR(10),H900)),CHAR(10),"")))-1)*100+1,100))),""))</f>
        <v/>
      </c>
      <c r="K900" s="80" t="str">
        <f t="array" ref="K900">IF(A900="","",IF(ISNUMBER(SEARCH("Land",LEFT(IFERROR(INDEX('Deck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00" s="80" t="str">
        <f t="shared" si="3"/>
        <v/>
      </c>
      <c r="M900" s="80" t="str">
        <f>IF(A900="","",IF(AND(E900="Y",B900='Use at Shop'!$B$4),K900*10000000000+(MAX(0,MIN(26,CODE(MID(UPPER(A900)&amp;"    ",1,1))-64))*19683+MAX(0,MIN(26,CODE(MID(UPPER(A900)&amp;"    ",2,1))-64))*729+MAX(0,MIN(26,CODE(MID(UPPER(A900)&amp;"    ",3,1))-64))*27+MAX(0,MIN(26,CODE(MID(UPPER(A900)&amp;"    ",4,1))-64))*1)*10000+ROW(),""))</f>
        <v/>
      </c>
      <c r="N900" s="80" t="str">
        <f t="shared" si="7"/>
        <v/>
      </c>
      <c r="O900" s="80" t="str">
        <f t="array" ref="O900">IF(A900="","",IFERROR(INDEX('Deck 3'!$A:$Z,ROW()-750,'List Setup'!$J$5)&amp;"",""))</f>
        <v/>
      </c>
      <c r="P900" s="2"/>
      <c r="Q900" s="80" t="str">
        <f>IF(A900="","",'List Setup'!$A$5)</f>
        <v/>
      </c>
      <c r="R900" s="80" t="str">
        <f t="array" ref="R900">IF(A900="","",IFERROR(OR(INDEX(Binders!$J$6:$J$30,MATCH(Q900,Binders!$I$6:$I$30,0))=TRUE(),UPPER(INDEX(Binders!$J$6:$J$30,MATCH(Q900,Binders!$I$6:$I$30,0))&amp;"")="TRUE"),FALSE()))</f>
        <v/>
      </c>
    </row>
    <row r="901" ht="15.75" customHeight="1">
      <c r="A901" s="80" t="str">
        <f t="array" ref="A901">IF(INDEX('Deck 3'!$A:$Z,ROW()-750,'List Setup'!$D$5)="","",INDEX('Deck 3'!$A:$Z,ROW()-750,'List Setup'!$D$5))</f>
        <v/>
      </c>
      <c r="B901" s="80" t="str">
        <f t="array" ref="B901">IF(A901="","",IFERROR(INDEX('Binder Setup'!$B$2:$B$401,MIN(IF(ISNUMBER(SEARCH(CHAR(10)&amp;'Binder Setup'!$B$2:$B$401&amp;CHAR(10),$H901)),'List Setup'!$Q$2:$Q$401,999),IF(ISNUMBER(SEARCH(CHAR(10)&amp;'Set Aliases'!$A$2:$A$501&amp;CHAR(10),$H901)),'Set Aliases'!$C$2:$C$501,999))),"(none)"))</f>
        <v/>
      </c>
      <c r="C901" s="80" t="str">
        <f t="shared" si="1"/>
        <v/>
      </c>
      <c r="D901" s="80" t="str">
        <f t="array" ref="D901">IF(A901="","",IF(ISLOGICAL(INDEX('Deck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01" s="80" t="str">
        <f t="shared" si="2"/>
        <v/>
      </c>
      <c r="F901" s="80" t="str">
        <f t="array" ref="F901">IF(A901="","",IF(ISNUMBER(J901),J901,IF(ISNUMBER(INDEX('Deck 3'!$A:$Z,ROW()-750,'List Setup'!$F$5)),INDEX('Deck 3'!$A:$Z,ROW()-750,'List Setup'!$F$5),0)))</f>
        <v/>
      </c>
      <c r="G901" s="80" t="str">
        <f t="array" ref="G901">IF(A901="","",A901&amp;IF(N(INDEX('Deck 3'!$A:$Z,ROW()-750,'List Setup'!$C$5))&gt;1," (x"&amp;INDEX('Deck 3'!$A:$Z,ROW()-750,'List Setup'!$C$5)&amp;")","")&amp;IF(COUNTIF(Binders!$J$6:$J$30,TRUE())&gt;1," ["&amp;Q901&amp;"]",""))</f>
        <v/>
      </c>
      <c r="H901" s="80" t="str">
        <f t="array" ref="H901">IF(A901="","",CHAR(10)&amp;INDEX('Deck 3'!$A:$Z,ROW()-750,'List Setup'!$E$5)&amp;CHAR(10))</f>
        <v/>
      </c>
      <c r="I901" s="80" t="str">
        <f t="array" ref="I901">IF(OR(B901="",B901="(none)"),"",IF(ISNUMBER(SEARCH(CHAR(10)&amp;B901&amp;CHAR(10),H901)),B901,IFERROR(INDEX('Set Aliases'!$A$2:$A$501,MATCH(1,('Set Aliases'!$B$2:$B$501=B901)*ISNUMBER(SEARCH(CHAR(10)&amp;'Set Aliases'!$A$2:$A$501&amp;CHAR(10),H901)),0)),"")))</f>
        <v/>
      </c>
      <c r="J901" s="80" t="str">
        <f t="array" ref="J901">IF(I901="","",IFERROR(VALUE(TRIM(MID(SUBSTITUTE(INDEX('Deck 3'!$A:$Z,ROW()-750,'List Setup'!$G$5),CHAR(10),REPT(" ",100)),((SEARCH(CHAR(10)&amp;I901&amp;CHAR(10),H901)-LEN(SUBSTITUTE(LEFT(H901,SEARCH(CHAR(10)&amp;I901&amp;CHAR(10),H901)),CHAR(10),"")))-1)*100+1,100))),""))</f>
        <v/>
      </c>
      <c r="K901" s="80" t="str">
        <f t="array" ref="K901">IF(A901="","",IF(ISNUMBER(SEARCH("Land",LEFT(IFERROR(INDEX('Deck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01" s="80" t="str">
        <f t="shared" si="3"/>
        <v/>
      </c>
      <c r="M901" s="80" t="str">
        <f>IF(A901="","",IF(AND(E901="Y",B901='Use at Shop'!$B$4),K901*10000000000+(MAX(0,MIN(26,CODE(MID(UPPER(A901)&amp;"    ",1,1))-64))*19683+MAX(0,MIN(26,CODE(MID(UPPER(A901)&amp;"    ",2,1))-64))*729+MAX(0,MIN(26,CODE(MID(UPPER(A901)&amp;"    ",3,1))-64))*27+MAX(0,MIN(26,CODE(MID(UPPER(A901)&amp;"    ",4,1))-64))*1)*10000+ROW(),""))</f>
        <v/>
      </c>
      <c r="N901" s="80" t="str">
        <f t="shared" si="7"/>
        <v/>
      </c>
      <c r="O901" s="80" t="str">
        <f t="array" ref="O901">IF(A901="","",IFERROR(INDEX('Deck 3'!$A:$Z,ROW()-750,'List Setup'!$J$5)&amp;"",""))</f>
        <v/>
      </c>
      <c r="P901" s="2"/>
      <c r="Q901" s="80" t="str">
        <f>IF(A901="","",'List Setup'!$A$5)</f>
        <v/>
      </c>
      <c r="R901" s="80" t="str">
        <f t="array" ref="R901">IF(A901="","",IFERROR(OR(INDEX(Binders!$J$6:$J$30,MATCH(Q901,Binders!$I$6:$I$30,0))=TRUE(),UPPER(INDEX(Binders!$J$6:$J$30,MATCH(Q901,Binders!$I$6:$I$30,0))&amp;"")="TRUE"),FALSE()))</f>
        <v/>
      </c>
    </row>
    <row r="902" ht="15.75" customHeight="1">
      <c r="A902" s="80" t="str">
        <f t="array" ref="A902">IF(INDEX('Deck 3'!$A:$Z,ROW()-750,'List Setup'!$D$5)="","",INDEX('Deck 3'!$A:$Z,ROW()-750,'List Setup'!$D$5))</f>
        <v/>
      </c>
      <c r="B902" s="80" t="str">
        <f t="array" ref="B902">IF(A902="","",IFERROR(INDEX('Binder Setup'!$B$2:$B$401,MIN(IF(ISNUMBER(SEARCH(CHAR(10)&amp;'Binder Setup'!$B$2:$B$401&amp;CHAR(10),$H902)),'List Setup'!$Q$2:$Q$401,999),IF(ISNUMBER(SEARCH(CHAR(10)&amp;'Set Aliases'!$A$2:$A$501&amp;CHAR(10),$H902)),'Set Aliases'!$C$2:$C$501,999))),"(none)"))</f>
        <v/>
      </c>
      <c r="C902" s="80" t="str">
        <f t="shared" si="1"/>
        <v/>
      </c>
      <c r="D902" s="80" t="str">
        <f t="array" ref="D902">IF(A902="","",IF(ISLOGICAL(INDEX('Deck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02" s="80" t="str">
        <f t="shared" si="2"/>
        <v/>
      </c>
      <c r="F902" s="80" t="str">
        <f t="array" ref="F902">IF(A902="","",IF(ISNUMBER(J902),J902,IF(ISNUMBER(INDEX('Deck 3'!$A:$Z,ROW()-750,'List Setup'!$F$5)),INDEX('Deck 3'!$A:$Z,ROW()-750,'List Setup'!$F$5),0)))</f>
        <v/>
      </c>
      <c r="G902" s="80" t="str">
        <f t="array" ref="G902">IF(A902="","",A902&amp;IF(N(INDEX('Deck 3'!$A:$Z,ROW()-750,'List Setup'!$C$5))&gt;1," (x"&amp;INDEX('Deck 3'!$A:$Z,ROW()-750,'List Setup'!$C$5)&amp;")","")&amp;IF(COUNTIF(Binders!$J$6:$J$30,TRUE())&gt;1," ["&amp;Q902&amp;"]",""))</f>
        <v/>
      </c>
      <c r="H902" s="80" t="str">
        <f t="array" ref="H902">IF(A902="","",CHAR(10)&amp;INDEX('Deck 3'!$A:$Z,ROW()-750,'List Setup'!$E$5)&amp;CHAR(10))</f>
        <v/>
      </c>
      <c r="I902" s="80" t="str">
        <f t="array" ref="I902">IF(OR(B902="",B902="(none)"),"",IF(ISNUMBER(SEARCH(CHAR(10)&amp;B902&amp;CHAR(10),H902)),B902,IFERROR(INDEX('Set Aliases'!$A$2:$A$501,MATCH(1,('Set Aliases'!$B$2:$B$501=B902)*ISNUMBER(SEARCH(CHAR(10)&amp;'Set Aliases'!$A$2:$A$501&amp;CHAR(10),H902)),0)),"")))</f>
        <v/>
      </c>
      <c r="J902" s="80" t="str">
        <f t="array" ref="J902">IF(I902="","",IFERROR(VALUE(TRIM(MID(SUBSTITUTE(INDEX('Deck 3'!$A:$Z,ROW()-750,'List Setup'!$G$5),CHAR(10),REPT(" ",100)),((SEARCH(CHAR(10)&amp;I902&amp;CHAR(10),H902)-LEN(SUBSTITUTE(LEFT(H902,SEARCH(CHAR(10)&amp;I902&amp;CHAR(10),H902)),CHAR(10),"")))-1)*100+1,100))),""))</f>
        <v/>
      </c>
      <c r="K902" s="80" t="str">
        <f t="array" ref="K902">IF(A902="","",IF(ISNUMBER(SEARCH("Land",LEFT(IFERROR(INDEX('Deck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02" s="80" t="str">
        <f t="shared" si="3"/>
        <v/>
      </c>
      <c r="M902" s="80" t="str">
        <f>IF(A902="","",IF(AND(E902="Y",B902='Use at Shop'!$B$4),K902*10000000000+(MAX(0,MIN(26,CODE(MID(UPPER(A902)&amp;"    ",1,1))-64))*19683+MAX(0,MIN(26,CODE(MID(UPPER(A902)&amp;"    ",2,1))-64))*729+MAX(0,MIN(26,CODE(MID(UPPER(A902)&amp;"    ",3,1))-64))*27+MAX(0,MIN(26,CODE(MID(UPPER(A902)&amp;"    ",4,1))-64))*1)*10000+ROW(),""))</f>
        <v/>
      </c>
      <c r="N902" s="80" t="str">
        <f t="shared" si="7"/>
        <v/>
      </c>
      <c r="O902" s="80" t="str">
        <f t="array" ref="O902">IF(A902="","",IFERROR(INDEX('Deck 3'!$A:$Z,ROW()-750,'List Setup'!$J$5)&amp;"",""))</f>
        <v/>
      </c>
      <c r="P902" s="2"/>
      <c r="Q902" s="80" t="str">
        <f>IF(A902="","",'List Setup'!$A$5)</f>
        <v/>
      </c>
      <c r="R902" s="80" t="str">
        <f t="array" ref="R902">IF(A902="","",IFERROR(OR(INDEX(Binders!$J$6:$J$30,MATCH(Q902,Binders!$I$6:$I$30,0))=TRUE(),UPPER(INDEX(Binders!$J$6:$J$30,MATCH(Q902,Binders!$I$6:$I$30,0))&amp;"")="TRUE"),FALSE()))</f>
        <v/>
      </c>
    </row>
    <row r="903" ht="15.75" customHeight="1">
      <c r="A903" s="80" t="str">
        <f t="array" ref="A903">IF(INDEX('Deck 3'!$A:$Z,ROW()-750,'List Setup'!$D$5)="","",INDEX('Deck 3'!$A:$Z,ROW()-750,'List Setup'!$D$5))</f>
        <v/>
      </c>
      <c r="B903" s="80" t="str">
        <f t="array" ref="B903">IF(A903="","",IFERROR(INDEX('Binder Setup'!$B$2:$B$401,MIN(IF(ISNUMBER(SEARCH(CHAR(10)&amp;'Binder Setup'!$B$2:$B$401&amp;CHAR(10),$H903)),'List Setup'!$Q$2:$Q$401,999),IF(ISNUMBER(SEARCH(CHAR(10)&amp;'Set Aliases'!$A$2:$A$501&amp;CHAR(10),$H903)),'Set Aliases'!$C$2:$C$501,999))),"(none)"))</f>
        <v/>
      </c>
      <c r="C903" s="80" t="str">
        <f t="shared" si="1"/>
        <v/>
      </c>
      <c r="D903" s="80" t="str">
        <f t="array" ref="D903">IF(A903="","",IF(ISLOGICAL(INDEX('Deck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03" s="80" t="str">
        <f t="shared" si="2"/>
        <v/>
      </c>
      <c r="F903" s="80" t="str">
        <f t="array" ref="F903">IF(A903="","",IF(ISNUMBER(J903),J903,IF(ISNUMBER(INDEX('Deck 3'!$A:$Z,ROW()-750,'List Setup'!$F$5)),INDEX('Deck 3'!$A:$Z,ROW()-750,'List Setup'!$F$5),0)))</f>
        <v/>
      </c>
      <c r="G903" s="80" t="str">
        <f t="array" ref="G903">IF(A903="","",A903&amp;IF(N(INDEX('Deck 3'!$A:$Z,ROW()-750,'List Setup'!$C$5))&gt;1," (x"&amp;INDEX('Deck 3'!$A:$Z,ROW()-750,'List Setup'!$C$5)&amp;")","")&amp;IF(COUNTIF(Binders!$J$6:$J$30,TRUE())&gt;1," ["&amp;Q903&amp;"]",""))</f>
        <v/>
      </c>
      <c r="H903" s="80" t="str">
        <f t="array" ref="H903">IF(A903="","",CHAR(10)&amp;INDEX('Deck 3'!$A:$Z,ROW()-750,'List Setup'!$E$5)&amp;CHAR(10))</f>
        <v/>
      </c>
      <c r="I903" s="80" t="str">
        <f t="array" ref="I903">IF(OR(B903="",B903="(none)"),"",IF(ISNUMBER(SEARCH(CHAR(10)&amp;B903&amp;CHAR(10),H903)),B903,IFERROR(INDEX('Set Aliases'!$A$2:$A$501,MATCH(1,('Set Aliases'!$B$2:$B$501=B903)*ISNUMBER(SEARCH(CHAR(10)&amp;'Set Aliases'!$A$2:$A$501&amp;CHAR(10),H903)),0)),"")))</f>
        <v/>
      </c>
      <c r="J903" s="80" t="str">
        <f t="array" ref="J903">IF(I903="","",IFERROR(VALUE(TRIM(MID(SUBSTITUTE(INDEX('Deck 3'!$A:$Z,ROW()-750,'List Setup'!$G$5),CHAR(10),REPT(" ",100)),((SEARCH(CHAR(10)&amp;I903&amp;CHAR(10),H903)-LEN(SUBSTITUTE(LEFT(H903,SEARCH(CHAR(10)&amp;I903&amp;CHAR(10),H903)),CHAR(10),"")))-1)*100+1,100))),""))</f>
        <v/>
      </c>
      <c r="K903" s="80" t="str">
        <f t="array" ref="K903">IF(A903="","",IF(ISNUMBER(SEARCH("Land",LEFT(IFERROR(INDEX('Deck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03" s="80" t="str">
        <f t="shared" si="3"/>
        <v/>
      </c>
      <c r="M903" s="80" t="str">
        <f>IF(A903="","",IF(AND(E903="Y",B903='Use at Shop'!$B$4),K903*10000000000+(MAX(0,MIN(26,CODE(MID(UPPER(A903)&amp;"    ",1,1))-64))*19683+MAX(0,MIN(26,CODE(MID(UPPER(A903)&amp;"    ",2,1))-64))*729+MAX(0,MIN(26,CODE(MID(UPPER(A903)&amp;"    ",3,1))-64))*27+MAX(0,MIN(26,CODE(MID(UPPER(A903)&amp;"    ",4,1))-64))*1)*10000+ROW(),""))</f>
        <v/>
      </c>
      <c r="N903" s="80" t="str">
        <f t="shared" si="7"/>
        <v/>
      </c>
      <c r="O903" s="80" t="str">
        <f t="array" ref="O903">IF(A903="","",IFERROR(INDEX('Deck 3'!$A:$Z,ROW()-750,'List Setup'!$J$5)&amp;"",""))</f>
        <v/>
      </c>
      <c r="P903" s="2"/>
      <c r="Q903" s="80" t="str">
        <f>IF(A903="","",'List Setup'!$A$5)</f>
        <v/>
      </c>
      <c r="R903" s="80" t="str">
        <f t="array" ref="R903">IF(A903="","",IFERROR(OR(INDEX(Binders!$J$6:$J$30,MATCH(Q903,Binders!$I$6:$I$30,0))=TRUE(),UPPER(INDEX(Binders!$J$6:$J$30,MATCH(Q903,Binders!$I$6:$I$30,0))&amp;"")="TRUE"),FALSE()))</f>
        <v/>
      </c>
    </row>
    <row r="904" ht="15.75" customHeight="1">
      <c r="A904" s="80" t="str">
        <f t="array" ref="A904">IF(INDEX('Deck 3'!$A:$Z,ROW()-750,'List Setup'!$D$5)="","",INDEX('Deck 3'!$A:$Z,ROW()-750,'List Setup'!$D$5))</f>
        <v/>
      </c>
      <c r="B904" s="80" t="str">
        <f t="array" ref="B904">IF(A904="","",IFERROR(INDEX('Binder Setup'!$B$2:$B$401,MIN(IF(ISNUMBER(SEARCH(CHAR(10)&amp;'Binder Setup'!$B$2:$B$401&amp;CHAR(10),$H904)),'List Setup'!$Q$2:$Q$401,999),IF(ISNUMBER(SEARCH(CHAR(10)&amp;'Set Aliases'!$A$2:$A$501&amp;CHAR(10),$H904)),'Set Aliases'!$C$2:$C$501,999))),"(none)"))</f>
        <v/>
      </c>
      <c r="C904" s="80" t="str">
        <f t="shared" si="1"/>
        <v/>
      </c>
      <c r="D904" s="80" t="str">
        <f t="array" ref="D904">IF(A904="","",IF(ISLOGICAL(INDEX('Deck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04" s="80" t="str">
        <f t="shared" si="2"/>
        <v/>
      </c>
      <c r="F904" s="80" t="str">
        <f t="array" ref="F904">IF(A904="","",IF(ISNUMBER(J904),J904,IF(ISNUMBER(INDEX('Deck 3'!$A:$Z,ROW()-750,'List Setup'!$F$5)),INDEX('Deck 3'!$A:$Z,ROW()-750,'List Setup'!$F$5),0)))</f>
        <v/>
      </c>
      <c r="G904" s="80" t="str">
        <f t="array" ref="G904">IF(A904="","",A904&amp;IF(N(INDEX('Deck 3'!$A:$Z,ROW()-750,'List Setup'!$C$5))&gt;1," (x"&amp;INDEX('Deck 3'!$A:$Z,ROW()-750,'List Setup'!$C$5)&amp;")","")&amp;IF(COUNTIF(Binders!$J$6:$J$30,TRUE())&gt;1," ["&amp;Q904&amp;"]",""))</f>
        <v/>
      </c>
      <c r="H904" s="80" t="str">
        <f t="array" ref="H904">IF(A904="","",CHAR(10)&amp;INDEX('Deck 3'!$A:$Z,ROW()-750,'List Setup'!$E$5)&amp;CHAR(10))</f>
        <v/>
      </c>
      <c r="I904" s="80" t="str">
        <f t="array" ref="I904">IF(OR(B904="",B904="(none)"),"",IF(ISNUMBER(SEARCH(CHAR(10)&amp;B904&amp;CHAR(10),H904)),B904,IFERROR(INDEX('Set Aliases'!$A$2:$A$501,MATCH(1,('Set Aliases'!$B$2:$B$501=B904)*ISNUMBER(SEARCH(CHAR(10)&amp;'Set Aliases'!$A$2:$A$501&amp;CHAR(10),H904)),0)),"")))</f>
        <v/>
      </c>
      <c r="J904" s="80" t="str">
        <f t="array" ref="J904">IF(I904="","",IFERROR(VALUE(TRIM(MID(SUBSTITUTE(INDEX('Deck 3'!$A:$Z,ROW()-750,'List Setup'!$G$5),CHAR(10),REPT(" ",100)),((SEARCH(CHAR(10)&amp;I904&amp;CHAR(10),H904)-LEN(SUBSTITUTE(LEFT(H904,SEARCH(CHAR(10)&amp;I904&amp;CHAR(10),H904)),CHAR(10),"")))-1)*100+1,100))),""))</f>
        <v/>
      </c>
      <c r="K904" s="80" t="str">
        <f t="array" ref="K904">IF(A904="","",IF(ISNUMBER(SEARCH("Land",LEFT(IFERROR(INDEX('Deck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04" s="80" t="str">
        <f t="shared" si="3"/>
        <v/>
      </c>
      <c r="M904" s="80" t="str">
        <f>IF(A904="","",IF(AND(E904="Y",B904='Use at Shop'!$B$4),K904*10000000000+(MAX(0,MIN(26,CODE(MID(UPPER(A904)&amp;"    ",1,1))-64))*19683+MAX(0,MIN(26,CODE(MID(UPPER(A904)&amp;"    ",2,1))-64))*729+MAX(0,MIN(26,CODE(MID(UPPER(A904)&amp;"    ",3,1))-64))*27+MAX(0,MIN(26,CODE(MID(UPPER(A904)&amp;"    ",4,1))-64))*1)*10000+ROW(),""))</f>
        <v/>
      </c>
      <c r="N904" s="80" t="str">
        <f t="shared" si="7"/>
        <v/>
      </c>
      <c r="O904" s="80" t="str">
        <f t="array" ref="O904">IF(A904="","",IFERROR(INDEX('Deck 3'!$A:$Z,ROW()-750,'List Setup'!$J$5)&amp;"",""))</f>
        <v/>
      </c>
      <c r="P904" s="2"/>
      <c r="Q904" s="80" t="str">
        <f>IF(A904="","",'List Setup'!$A$5)</f>
        <v/>
      </c>
      <c r="R904" s="80" t="str">
        <f t="array" ref="R904">IF(A904="","",IFERROR(OR(INDEX(Binders!$J$6:$J$30,MATCH(Q904,Binders!$I$6:$I$30,0))=TRUE(),UPPER(INDEX(Binders!$J$6:$J$30,MATCH(Q904,Binders!$I$6:$I$30,0))&amp;"")="TRUE"),FALSE()))</f>
        <v/>
      </c>
    </row>
    <row r="905" ht="15.75" customHeight="1">
      <c r="A905" s="80" t="str">
        <f t="array" ref="A905">IF(INDEX('Deck 3'!$A:$Z,ROW()-750,'List Setup'!$D$5)="","",INDEX('Deck 3'!$A:$Z,ROW()-750,'List Setup'!$D$5))</f>
        <v/>
      </c>
      <c r="B905" s="80" t="str">
        <f t="array" ref="B905">IF(A905="","",IFERROR(INDEX('Binder Setup'!$B$2:$B$401,MIN(IF(ISNUMBER(SEARCH(CHAR(10)&amp;'Binder Setup'!$B$2:$B$401&amp;CHAR(10),$H905)),'List Setup'!$Q$2:$Q$401,999),IF(ISNUMBER(SEARCH(CHAR(10)&amp;'Set Aliases'!$A$2:$A$501&amp;CHAR(10),$H905)),'Set Aliases'!$C$2:$C$501,999))),"(none)"))</f>
        <v/>
      </c>
      <c r="C905" s="80" t="str">
        <f t="shared" si="1"/>
        <v/>
      </c>
      <c r="D905" s="80" t="str">
        <f t="array" ref="D905">IF(A905="","",IF(ISLOGICAL(INDEX('Deck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05" s="80" t="str">
        <f t="shared" si="2"/>
        <v/>
      </c>
      <c r="F905" s="80" t="str">
        <f t="array" ref="F905">IF(A905="","",IF(ISNUMBER(J905),J905,IF(ISNUMBER(INDEX('Deck 3'!$A:$Z,ROW()-750,'List Setup'!$F$5)),INDEX('Deck 3'!$A:$Z,ROW()-750,'List Setup'!$F$5),0)))</f>
        <v/>
      </c>
      <c r="G905" s="80" t="str">
        <f t="array" ref="G905">IF(A905="","",A905&amp;IF(N(INDEX('Deck 3'!$A:$Z,ROW()-750,'List Setup'!$C$5))&gt;1," (x"&amp;INDEX('Deck 3'!$A:$Z,ROW()-750,'List Setup'!$C$5)&amp;")","")&amp;IF(COUNTIF(Binders!$J$6:$J$30,TRUE())&gt;1," ["&amp;Q905&amp;"]",""))</f>
        <v/>
      </c>
      <c r="H905" s="80" t="str">
        <f t="array" ref="H905">IF(A905="","",CHAR(10)&amp;INDEX('Deck 3'!$A:$Z,ROW()-750,'List Setup'!$E$5)&amp;CHAR(10))</f>
        <v/>
      </c>
      <c r="I905" s="80" t="str">
        <f t="array" ref="I905">IF(OR(B905="",B905="(none)"),"",IF(ISNUMBER(SEARCH(CHAR(10)&amp;B905&amp;CHAR(10),H905)),B905,IFERROR(INDEX('Set Aliases'!$A$2:$A$501,MATCH(1,('Set Aliases'!$B$2:$B$501=B905)*ISNUMBER(SEARCH(CHAR(10)&amp;'Set Aliases'!$A$2:$A$501&amp;CHAR(10),H905)),0)),"")))</f>
        <v/>
      </c>
      <c r="J905" s="80" t="str">
        <f t="array" ref="J905">IF(I905="","",IFERROR(VALUE(TRIM(MID(SUBSTITUTE(INDEX('Deck 3'!$A:$Z,ROW()-750,'List Setup'!$G$5),CHAR(10),REPT(" ",100)),((SEARCH(CHAR(10)&amp;I905&amp;CHAR(10),H905)-LEN(SUBSTITUTE(LEFT(H905,SEARCH(CHAR(10)&amp;I905&amp;CHAR(10),H905)),CHAR(10),"")))-1)*100+1,100))),""))</f>
        <v/>
      </c>
      <c r="K905" s="80" t="str">
        <f t="array" ref="K905">IF(A905="","",IF(ISNUMBER(SEARCH("Land",LEFT(IFERROR(INDEX('Deck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05" s="80" t="str">
        <f t="shared" si="3"/>
        <v/>
      </c>
      <c r="M905" s="80" t="str">
        <f>IF(A905="","",IF(AND(E905="Y",B905='Use at Shop'!$B$4),K905*10000000000+(MAX(0,MIN(26,CODE(MID(UPPER(A905)&amp;"    ",1,1))-64))*19683+MAX(0,MIN(26,CODE(MID(UPPER(A905)&amp;"    ",2,1))-64))*729+MAX(0,MIN(26,CODE(MID(UPPER(A905)&amp;"    ",3,1))-64))*27+MAX(0,MIN(26,CODE(MID(UPPER(A905)&amp;"    ",4,1))-64))*1)*10000+ROW(),""))</f>
        <v/>
      </c>
      <c r="N905" s="80" t="str">
        <f t="shared" si="7"/>
        <v/>
      </c>
      <c r="O905" s="80" t="str">
        <f t="array" ref="O905">IF(A905="","",IFERROR(INDEX('Deck 3'!$A:$Z,ROW()-750,'List Setup'!$J$5)&amp;"",""))</f>
        <v/>
      </c>
      <c r="P905" s="2"/>
      <c r="Q905" s="80" t="str">
        <f>IF(A905="","",'List Setup'!$A$5)</f>
        <v/>
      </c>
      <c r="R905" s="80" t="str">
        <f t="array" ref="R905">IF(A905="","",IFERROR(OR(INDEX(Binders!$J$6:$J$30,MATCH(Q905,Binders!$I$6:$I$30,0))=TRUE(),UPPER(INDEX(Binders!$J$6:$J$30,MATCH(Q905,Binders!$I$6:$I$30,0))&amp;"")="TRUE"),FALSE()))</f>
        <v/>
      </c>
    </row>
    <row r="906" ht="15.75" customHeight="1">
      <c r="A906" s="80" t="str">
        <f t="array" ref="A906">IF(INDEX('Deck 3'!$A:$Z,ROW()-750,'List Setup'!$D$5)="","",INDEX('Deck 3'!$A:$Z,ROW()-750,'List Setup'!$D$5))</f>
        <v/>
      </c>
      <c r="B906" s="80" t="str">
        <f t="array" ref="B906">IF(A906="","",IFERROR(INDEX('Binder Setup'!$B$2:$B$401,MIN(IF(ISNUMBER(SEARCH(CHAR(10)&amp;'Binder Setup'!$B$2:$B$401&amp;CHAR(10),$H906)),'List Setup'!$Q$2:$Q$401,999),IF(ISNUMBER(SEARCH(CHAR(10)&amp;'Set Aliases'!$A$2:$A$501&amp;CHAR(10),$H906)),'Set Aliases'!$C$2:$C$501,999))),"(none)"))</f>
        <v/>
      </c>
      <c r="C906" s="80" t="str">
        <f t="shared" si="1"/>
        <v/>
      </c>
      <c r="D906" s="80" t="str">
        <f t="array" ref="D906">IF(A906="","",IF(ISLOGICAL(INDEX('Deck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06" s="80" t="str">
        <f t="shared" si="2"/>
        <v/>
      </c>
      <c r="F906" s="80" t="str">
        <f t="array" ref="F906">IF(A906="","",IF(ISNUMBER(J906),J906,IF(ISNUMBER(INDEX('Deck 3'!$A:$Z,ROW()-750,'List Setup'!$F$5)),INDEX('Deck 3'!$A:$Z,ROW()-750,'List Setup'!$F$5),0)))</f>
        <v/>
      </c>
      <c r="G906" s="80" t="str">
        <f t="array" ref="G906">IF(A906="","",A906&amp;IF(N(INDEX('Deck 3'!$A:$Z,ROW()-750,'List Setup'!$C$5))&gt;1," (x"&amp;INDEX('Deck 3'!$A:$Z,ROW()-750,'List Setup'!$C$5)&amp;")","")&amp;IF(COUNTIF(Binders!$J$6:$J$30,TRUE())&gt;1," ["&amp;Q906&amp;"]",""))</f>
        <v/>
      </c>
      <c r="H906" s="80" t="str">
        <f t="array" ref="H906">IF(A906="","",CHAR(10)&amp;INDEX('Deck 3'!$A:$Z,ROW()-750,'List Setup'!$E$5)&amp;CHAR(10))</f>
        <v/>
      </c>
      <c r="I906" s="80" t="str">
        <f t="array" ref="I906">IF(OR(B906="",B906="(none)"),"",IF(ISNUMBER(SEARCH(CHAR(10)&amp;B906&amp;CHAR(10),H906)),B906,IFERROR(INDEX('Set Aliases'!$A$2:$A$501,MATCH(1,('Set Aliases'!$B$2:$B$501=B906)*ISNUMBER(SEARCH(CHAR(10)&amp;'Set Aliases'!$A$2:$A$501&amp;CHAR(10),H906)),0)),"")))</f>
        <v/>
      </c>
      <c r="J906" s="80" t="str">
        <f t="array" ref="J906">IF(I906="","",IFERROR(VALUE(TRIM(MID(SUBSTITUTE(INDEX('Deck 3'!$A:$Z,ROW()-750,'List Setup'!$G$5),CHAR(10),REPT(" ",100)),((SEARCH(CHAR(10)&amp;I906&amp;CHAR(10),H906)-LEN(SUBSTITUTE(LEFT(H906,SEARCH(CHAR(10)&amp;I906&amp;CHAR(10),H906)),CHAR(10),"")))-1)*100+1,100))),""))</f>
        <v/>
      </c>
      <c r="K906" s="80" t="str">
        <f t="array" ref="K906">IF(A906="","",IF(ISNUMBER(SEARCH("Land",LEFT(IFERROR(INDEX('Deck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06" s="80" t="str">
        <f t="shared" si="3"/>
        <v/>
      </c>
      <c r="M906" s="80" t="str">
        <f>IF(A906="","",IF(AND(E906="Y",B906='Use at Shop'!$B$4),K906*10000000000+(MAX(0,MIN(26,CODE(MID(UPPER(A906)&amp;"    ",1,1))-64))*19683+MAX(0,MIN(26,CODE(MID(UPPER(A906)&amp;"    ",2,1))-64))*729+MAX(0,MIN(26,CODE(MID(UPPER(A906)&amp;"    ",3,1))-64))*27+MAX(0,MIN(26,CODE(MID(UPPER(A906)&amp;"    ",4,1))-64))*1)*10000+ROW(),""))</f>
        <v/>
      </c>
      <c r="N906" s="80" t="str">
        <f t="shared" si="7"/>
        <v/>
      </c>
      <c r="O906" s="80" t="str">
        <f t="array" ref="O906">IF(A906="","",IFERROR(INDEX('Deck 3'!$A:$Z,ROW()-750,'List Setup'!$J$5)&amp;"",""))</f>
        <v/>
      </c>
      <c r="P906" s="2"/>
      <c r="Q906" s="80" t="str">
        <f>IF(A906="","",'List Setup'!$A$5)</f>
        <v/>
      </c>
      <c r="R906" s="80" t="str">
        <f t="array" ref="R906">IF(A906="","",IFERROR(OR(INDEX(Binders!$J$6:$J$30,MATCH(Q906,Binders!$I$6:$I$30,0))=TRUE(),UPPER(INDEX(Binders!$J$6:$J$30,MATCH(Q906,Binders!$I$6:$I$30,0))&amp;"")="TRUE"),FALSE()))</f>
        <v/>
      </c>
    </row>
    <row r="907" ht="15.75" customHeight="1">
      <c r="A907" s="80" t="str">
        <f t="array" ref="A907">IF(INDEX('Deck 3'!$A:$Z,ROW()-750,'List Setup'!$D$5)="","",INDEX('Deck 3'!$A:$Z,ROW()-750,'List Setup'!$D$5))</f>
        <v/>
      </c>
      <c r="B907" s="80" t="str">
        <f t="array" ref="B907">IF(A907="","",IFERROR(INDEX('Binder Setup'!$B$2:$B$401,MIN(IF(ISNUMBER(SEARCH(CHAR(10)&amp;'Binder Setup'!$B$2:$B$401&amp;CHAR(10),$H907)),'List Setup'!$Q$2:$Q$401,999),IF(ISNUMBER(SEARCH(CHAR(10)&amp;'Set Aliases'!$A$2:$A$501&amp;CHAR(10),$H907)),'Set Aliases'!$C$2:$C$501,999))),"(none)"))</f>
        <v/>
      </c>
      <c r="C907" s="80" t="str">
        <f t="shared" si="1"/>
        <v/>
      </c>
      <c r="D907" s="80" t="str">
        <f t="array" ref="D907">IF(A907="","",IF(ISLOGICAL(INDEX('Deck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07" s="80" t="str">
        <f t="shared" si="2"/>
        <v/>
      </c>
      <c r="F907" s="80" t="str">
        <f t="array" ref="F907">IF(A907="","",IF(ISNUMBER(J907),J907,IF(ISNUMBER(INDEX('Deck 3'!$A:$Z,ROW()-750,'List Setup'!$F$5)),INDEX('Deck 3'!$A:$Z,ROW()-750,'List Setup'!$F$5),0)))</f>
        <v/>
      </c>
      <c r="G907" s="80" t="str">
        <f t="array" ref="G907">IF(A907="","",A907&amp;IF(N(INDEX('Deck 3'!$A:$Z,ROW()-750,'List Setup'!$C$5))&gt;1," (x"&amp;INDEX('Deck 3'!$A:$Z,ROW()-750,'List Setup'!$C$5)&amp;")","")&amp;IF(COUNTIF(Binders!$J$6:$J$30,TRUE())&gt;1," ["&amp;Q907&amp;"]",""))</f>
        <v/>
      </c>
      <c r="H907" s="80" t="str">
        <f t="array" ref="H907">IF(A907="","",CHAR(10)&amp;INDEX('Deck 3'!$A:$Z,ROW()-750,'List Setup'!$E$5)&amp;CHAR(10))</f>
        <v/>
      </c>
      <c r="I907" s="80" t="str">
        <f t="array" ref="I907">IF(OR(B907="",B907="(none)"),"",IF(ISNUMBER(SEARCH(CHAR(10)&amp;B907&amp;CHAR(10),H907)),B907,IFERROR(INDEX('Set Aliases'!$A$2:$A$501,MATCH(1,('Set Aliases'!$B$2:$B$501=B907)*ISNUMBER(SEARCH(CHAR(10)&amp;'Set Aliases'!$A$2:$A$501&amp;CHAR(10),H907)),0)),"")))</f>
        <v/>
      </c>
      <c r="J907" s="80" t="str">
        <f t="array" ref="J907">IF(I907="","",IFERROR(VALUE(TRIM(MID(SUBSTITUTE(INDEX('Deck 3'!$A:$Z,ROW()-750,'List Setup'!$G$5),CHAR(10),REPT(" ",100)),((SEARCH(CHAR(10)&amp;I907&amp;CHAR(10),H907)-LEN(SUBSTITUTE(LEFT(H907,SEARCH(CHAR(10)&amp;I907&amp;CHAR(10),H907)),CHAR(10),"")))-1)*100+1,100))),""))</f>
        <v/>
      </c>
      <c r="K907" s="80" t="str">
        <f t="array" ref="K907">IF(A907="","",IF(ISNUMBER(SEARCH("Land",LEFT(IFERROR(INDEX('Deck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07" s="80" t="str">
        <f t="shared" si="3"/>
        <v/>
      </c>
      <c r="M907" s="80" t="str">
        <f>IF(A907="","",IF(AND(E907="Y",B907='Use at Shop'!$B$4),K907*10000000000+(MAX(0,MIN(26,CODE(MID(UPPER(A907)&amp;"    ",1,1))-64))*19683+MAX(0,MIN(26,CODE(MID(UPPER(A907)&amp;"    ",2,1))-64))*729+MAX(0,MIN(26,CODE(MID(UPPER(A907)&amp;"    ",3,1))-64))*27+MAX(0,MIN(26,CODE(MID(UPPER(A907)&amp;"    ",4,1))-64))*1)*10000+ROW(),""))</f>
        <v/>
      </c>
      <c r="N907" s="80" t="str">
        <f t="shared" si="7"/>
        <v/>
      </c>
      <c r="O907" s="80" t="str">
        <f t="array" ref="O907">IF(A907="","",IFERROR(INDEX('Deck 3'!$A:$Z,ROW()-750,'List Setup'!$J$5)&amp;"",""))</f>
        <v/>
      </c>
      <c r="P907" s="2"/>
      <c r="Q907" s="80" t="str">
        <f>IF(A907="","",'List Setup'!$A$5)</f>
        <v/>
      </c>
      <c r="R907" s="80" t="str">
        <f t="array" ref="R907">IF(A907="","",IFERROR(OR(INDEX(Binders!$J$6:$J$30,MATCH(Q907,Binders!$I$6:$I$30,0))=TRUE(),UPPER(INDEX(Binders!$J$6:$J$30,MATCH(Q907,Binders!$I$6:$I$30,0))&amp;"")="TRUE"),FALSE()))</f>
        <v/>
      </c>
    </row>
    <row r="908" ht="15.75" customHeight="1">
      <c r="A908" s="80" t="str">
        <f t="array" ref="A908">IF(INDEX('Deck 3'!$A:$Z,ROW()-750,'List Setup'!$D$5)="","",INDEX('Deck 3'!$A:$Z,ROW()-750,'List Setup'!$D$5))</f>
        <v/>
      </c>
      <c r="B908" s="80" t="str">
        <f t="array" ref="B908">IF(A908="","",IFERROR(INDEX('Binder Setup'!$B$2:$B$401,MIN(IF(ISNUMBER(SEARCH(CHAR(10)&amp;'Binder Setup'!$B$2:$B$401&amp;CHAR(10),$H908)),'List Setup'!$Q$2:$Q$401,999),IF(ISNUMBER(SEARCH(CHAR(10)&amp;'Set Aliases'!$A$2:$A$501&amp;CHAR(10),$H908)),'Set Aliases'!$C$2:$C$501,999))),"(none)"))</f>
        <v/>
      </c>
      <c r="C908" s="80" t="str">
        <f t="shared" si="1"/>
        <v/>
      </c>
      <c r="D908" s="80" t="str">
        <f t="array" ref="D908">IF(A908="","",IF(ISLOGICAL(INDEX('Deck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08" s="80" t="str">
        <f t="shared" si="2"/>
        <v/>
      </c>
      <c r="F908" s="80" t="str">
        <f t="array" ref="F908">IF(A908="","",IF(ISNUMBER(J908),J908,IF(ISNUMBER(INDEX('Deck 3'!$A:$Z,ROW()-750,'List Setup'!$F$5)),INDEX('Deck 3'!$A:$Z,ROW()-750,'List Setup'!$F$5),0)))</f>
        <v/>
      </c>
      <c r="G908" s="80" t="str">
        <f t="array" ref="G908">IF(A908="","",A908&amp;IF(N(INDEX('Deck 3'!$A:$Z,ROW()-750,'List Setup'!$C$5))&gt;1," (x"&amp;INDEX('Deck 3'!$A:$Z,ROW()-750,'List Setup'!$C$5)&amp;")","")&amp;IF(COUNTIF(Binders!$J$6:$J$30,TRUE())&gt;1," ["&amp;Q908&amp;"]",""))</f>
        <v/>
      </c>
      <c r="H908" s="80" t="str">
        <f t="array" ref="H908">IF(A908="","",CHAR(10)&amp;INDEX('Deck 3'!$A:$Z,ROW()-750,'List Setup'!$E$5)&amp;CHAR(10))</f>
        <v/>
      </c>
      <c r="I908" s="80" t="str">
        <f t="array" ref="I908">IF(OR(B908="",B908="(none)"),"",IF(ISNUMBER(SEARCH(CHAR(10)&amp;B908&amp;CHAR(10),H908)),B908,IFERROR(INDEX('Set Aliases'!$A$2:$A$501,MATCH(1,('Set Aliases'!$B$2:$B$501=B908)*ISNUMBER(SEARCH(CHAR(10)&amp;'Set Aliases'!$A$2:$A$501&amp;CHAR(10),H908)),0)),"")))</f>
        <v/>
      </c>
      <c r="J908" s="80" t="str">
        <f t="array" ref="J908">IF(I908="","",IFERROR(VALUE(TRIM(MID(SUBSTITUTE(INDEX('Deck 3'!$A:$Z,ROW()-750,'List Setup'!$G$5),CHAR(10),REPT(" ",100)),((SEARCH(CHAR(10)&amp;I908&amp;CHAR(10),H908)-LEN(SUBSTITUTE(LEFT(H908,SEARCH(CHAR(10)&amp;I908&amp;CHAR(10),H908)),CHAR(10),"")))-1)*100+1,100))),""))</f>
        <v/>
      </c>
      <c r="K908" s="80" t="str">
        <f t="array" ref="K908">IF(A908="","",IF(ISNUMBER(SEARCH("Land",LEFT(IFERROR(INDEX('Deck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08" s="80" t="str">
        <f t="shared" si="3"/>
        <v/>
      </c>
      <c r="M908" s="80" t="str">
        <f>IF(A908="","",IF(AND(E908="Y",B908='Use at Shop'!$B$4),K908*10000000000+(MAX(0,MIN(26,CODE(MID(UPPER(A908)&amp;"    ",1,1))-64))*19683+MAX(0,MIN(26,CODE(MID(UPPER(A908)&amp;"    ",2,1))-64))*729+MAX(0,MIN(26,CODE(MID(UPPER(A908)&amp;"    ",3,1))-64))*27+MAX(0,MIN(26,CODE(MID(UPPER(A908)&amp;"    ",4,1))-64))*1)*10000+ROW(),""))</f>
        <v/>
      </c>
      <c r="N908" s="80" t="str">
        <f t="shared" si="7"/>
        <v/>
      </c>
      <c r="O908" s="80" t="str">
        <f t="array" ref="O908">IF(A908="","",IFERROR(INDEX('Deck 3'!$A:$Z,ROW()-750,'List Setup'!$J$5)&amp;"",""))</f>
        <v/>
      </c>
      <c r="P908" s="2"/>
      <c r="Q908" s="80" t="str">
        <f>IF(A908="","",'List Setup'!$A$5)</f>
        <v/>
      </c>
      <c r="R908" s="80" t="str">
        <f t="array" ref="R908">IF(A908="","",IFERROR(OR(INDEX(Binders!$J$6:$J$30,MATCH(Q908,Binders!$I$6:$I$30,0))=TRUE(),UPPER(INDEX(Binders!$J$6:$J$30,MATCH(Q908,Binders!$I$6:$I$30,0))&amp;"")="TRUE"),FALSE()))</f>
        <v/>
      </c>
    </row>
    <row r="909" ht="15.75" customHeight="1">
      <c r="A909" s="80" t="str">
        <f t="array" ref="A909">IF(INDEX('Deck 3'!$A:$Z,ROW()-750,'List Setup'!$D$5)="","",INDEX('Deck 3'!$A:$Z,ROW()-750,'List Setup'!$D$5))</f>
        <v/>
      </c>
      <c r="B909" s="80" t="str">
        <f t="array" ref="B909">IF(A909="","",IFERROR(INDEX('Binder Setup'!$B$2:$B$401,MIN(IF(ISNUMBER(SEARCH(CHAR(10)&amp;'Binder Setup'!$B$2:$B$401&amp;CHAR(10),$H909)),'List Setup'!$Q$2:$Q$401,999),IF(ISNUMBER(SEARCH(CHAR(10)&amp;'Set Aliases'!$A$2:$A$501&amp;CHAR(10),$H909)),'Set Aliases'!$C$2:$C$501,999))),"(none)"))</f>
        <v/>
      </c>
      <c r="C909" s="80" t="str">
        <f t="shared" si="1"/>
        <v/>
      </c>
      <c r="D909" s="80" t="str">
        <f t="array" ref="D909">IF(A909="","",IF(ISLOGICAL(INDEX('Deck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09" s="80" t="str">
        <f t="shared" si="2"/>
        <v/>
      </c>
      <c r="F909" s="80" t="str">
        <f t="array" ref="F909">IF(A909="","",IF(ISNUMBER(J909),J909,IF(ISNUMBER(INDEX('Deck 3'!$A:$Z,ROW()-750,'List Setup'!$F$5)),INDEX('Deck 3'!$A:$Z,ROW()-750,'List Setup'!$F$5),0)))</f>
        <v/>
      </c>
      <c r="G909" s="80" t="str">
        <f t="array" ref="G909">IF(A909="","",A909&amp;IF(N(INDEX('Deck 3'!$A:$Z,ROW()-750,'List Setup'!$C$5))&gt;1," (x"&amp;INDEX('Deck 3'!$A:$Z,ROW()-750,'List Setup'!$C$5)&amp;")","")&amp;IF(COUNTIF(Binders!$J$6:$J$30,TRUE())&gt;1," ["&amp;Q909&amp;"]",""))</f>
        <v/>
      </c>
      <c r="H909" s="80" t="str">
        <f t="array" ref="H909">IF(A909="","",CHAR(10)&amp;INDEX('Deck 3'!$A:$Z,ROW()-750,'List Setup'!$E$5)&amp;CHAR(10))</f>
        <v/>
      </c>
      <c r="I909" s="80" t="str">
        <f t="array" ref="I909">IF(OR(B909="",B909="(none)"),"",IF(ISNUMBER(SEARCH(CHAR(10)&amp;B909&amp;CHAR(10),H909)),B909,IFERROR(INDEX('Set Aliases'!$A$2:$A$501,MATCH(1,('Set Aliases'!$B$2:$B$501=B909)*ISNUMBER(SEARCH(CHAR(10)&amp;'Set Aliases'!$A$2:$A$501&amp;CHAR(10),H909)),0)),"")))</f>
        <v/>
      </c>
      <c r="J909" s="80" t="str">
        <f t="array" ref="J909">IF(I909="","",IFERROR(VALUE(TRIM(MID(SUBSTITUTE(INDEX('Deck 3'!$A:$Z,ROW()-750,'List Setup'!$G$5),CHAR(10),REPT(" ",100)),((SEARCH(CHAR(10)&amp;I909&amp;CHAR(10),H909)-LEN(SUBSTITUTE(LEFT(H909,SEARCH(CHAR(10)&amp;I909&amp;CHAR(10),H909)),CHAR(10),"")))-1)*100+1,100))),""))</f>
        <v/>
      </c>
      <c r="K909" s="80" t="str">
        <f t="array" ref="K909">IF(A909="","",IF(ISNUMBER(SEARCH("Land",LEFT(IFERROR(INDEX('Deck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09" s="80" t="str">
        <f t="shared" si="3"/>
        <v/>
      </c>
      <c r="M909" s="80" t="str">
        <f>IF(A909="","",IF(AND(E909="Y",B909='Use at Shop'!$B$4),K909*10000000000+(MAX(0,MIN(26,CODE(MID(UPPER(A909)&amp;"    ",1,1))-64))*19683+MAX(0,MIN(26,CODE(MID(UPPER(A909)&amp;"    ",2,1))-64))*729+MAX(0,MIN(26,CODE(MID(UPPER(A909)&amp;"    ",3,1))-64))*27+MAX(0,MIN(26,CODE(MID(UPPER(A909)&amp;"    ",4,1))-64))*1)*10000+ROW(),""))</f>
        <v/>
      </c>
      <c r="N909" s="80" t="str">
        <f t="shared" si="7"/>
        <v/>
      </c>
      <c r="O909" s="80" t="str">
        <f t="array" ref="O909">IF(A909="","",IFERROR(INDEX('Deck 3'!$A:$Z,ROW()-750,'List Setup'!$J$5)&amp;"",""))</f>
        <v/>
      </c>
      <c r="P909" s="2"/>
      <c r="Q909" s="80" t="str">
        <f>IF(A909="","",'List Setup'!$A$5)</f>
        <v/>
      </c>
      <c r="R909" s="80" t="str">
        <f t="array" ref="R909">IF(A909="","",IFERROR(OR(INDEX(Binders!$J$6:$J$30,MATCH(Q909,Binders!$I$6:$I$30,0))=TRUE(),UPPER(INDEX(Binders!$J$6:$J$30,MATCH(Q909,Binders!$I$6:$I$30,0))&amp;"")="TRUE"),FALSE()))</f>
        <v/>
      </c>
    </row>
    <row r="910" ht="15.75" customHeight="1">
      <c r="A910" s="80" t="str">
        <f t="array" ref="A910">IF(INDEX('Deck 3'!$A:$Z,ROW()-750,'List Setup'!$D$5)="","",INDEX('Deck 3'!$A:$Z,ROW()-750,'List Setup'!$D$5))</f>
        <v/>
      </c>
      <c r="B910" s="80" t="str">
        <f t="array" ref="B910">IF(A910="","",IFERROR(INDEX('Binder Setup'!$B$2:$B$401,MIN(IF(ISNUMBER(SEARCH(CHAR(10)&amp;'Binder Setup'!$B$2:$B$401&amp;CHAR(10),$H910)),'List Setup'!$Q$2:$Q$401,999),IF(ISNUMBER(SEARCH(CHAR(10)&amp;'Set Aliases'!$A$2:$A$501&amp;CHAR(10),$H910)),'Set Aliases'!$C$2:$C$501,999))),"(none)"))</f>
        <v/>
      </c>
      <c r="C910" s="80" t="str">
        <f t="shared" si="1"/>
        <v/>
      </c>
      <c r="D910" s="80" t="str">
        <f t="array" ref="D910">IF(A910="","",IF(ISLOGICAL(INDEX('Deck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10" s="80" t="str">
        <f t="shared" si="2"/>
        <v/>
      </c>
      <c r="F910" s="80" t="str">
        <f t="array" ref="F910">IF(A910="","",IF(ISNUMBER(J910),J910,IF(ISNUMBER(INDEX('Deck 3'!$A:$Z,ROW()-750,'List Setup'!$F$5)),INDEX('Deck 3'!$A:$Z,ROW()-750,'List Setup'!$F$5),0)))</f>
        <v/>
      </c>
      <c r="G910" s="80" t="str">
        <f t="array" ref="G910">IF(A910="","",A910&amp;IF(N(INDEX('Deck 3'!$A:$Z,ROW()-750,'List Setup'!$C$5))&gt;1," (x"&amp;INDEX('Deck 3'!$A:$Z,ROW()-750,'List Setup'!$C$5)&amp;")","")&amp;IF(COUNTIF(Binders!$J$6:$J$30,TRUE())&gt;1," ["&amp;Q910&amp;"]",""))</f>
        <v/>
      </c>
      <c r="H910" s="80" t="str">
        <f t="array" ref="H910">IF(A910="","",CHAR(10)&amp;INDEX('Deck 3'!$A:$Z,ROW()-750,'List Setup'!$E$5)&amp;CHAR(10))</f>
        <v/>
      </c>
      <c r="I910" s="80" t="str">
        <f t="array" ref="I910">IF(OR(B910="",B910="(none)"),"",IF(ISNUMBER(SEARCH(CHAR(10)&amp;B910&amp;CHAR(10),H910)),B910,IFERROR(INDEX('Set Aliases'!$A$2:$A$501,MATCH(1,('Set Aliases'!$B$2:$B$501=B910)*ISNUMBER(SEARCH(CHAR(10)&amp;'Set Aliases'!$A$2:$A$501&amp;CHAR(10),H910)),0)),"")))</f>
        <v/>
      </c>
      <c r="J910" s="80" t="str">
        <f t="array" ref="J910">IF(I910="","",IFERROR(VALUE(TRIM(MID(SUBSTITUTE(INDEX('Deck 3'!$A:$Z,ROW()-750,'List Setup'!$G$5),CHAR(10),REPT(" ",100)),((SEARCH(CHAR(10)&amp;I910&amp;CHAR(10),H910)-LEN(SUBSTITUTE(LEFT(H910,SEARCH(CHAR(10)&amp;I910&amp;CHAR(10),H910)),CHAR(10),"")))-1)*100+1,100))),""))</f>
        <v/>
      </c>
      <c r="K910" s="80" t="str">
        <f t="array" ref="K910">IF(A910="","",IF(ISNUMBER(SEARCH("Land",LEFT(IFERROR(INDEX('Deck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10" s="80" t="str">
        <f t="shared" si="3"/>
        <v/>
      </c>
      <c r="M910" s="80" t="str">
        <f>IF(A910="","",IF(AND(E910="Y",B910='Use at Shop'!$B$4),K910*10000000000+(MAX(0,MIN(26,CODE(MID(UPPER(A910)&amp;"    ",1,1))-64))*19683+MAX(0,MIN(26,CODE(MID(UPPER(A910)&amp;"    ",2,1))-64))*729+MAX(0,MIN(26,CODE(MID(UPPER(A910)&amp;"    ",3,1))-64))*27+MAX(0,MIN(26,CODE(MID(UPPER(A910)&amp;"    ",4,1))-64))*1)*10000+ROW(),""))</f>
        <v/>
      </c>
      <c r="N910" s="80" t="str">
        <f t="shared" si="7"/>
        <v/>
      </c>
      <c r="O910" s="80" t="str">
        <f t="array" ref="O910">IF(A910="","",IFERROR(INDEX('Deck 3'!$A:$Z,ROW()-750,'List Setup'!$J$5)&amp;"",""))</f>
        <v/>
      </c>
      <c r="P910" s="2"/>
      <c r="Q910" s="80" t="str">
        <f>IF(A910="","",'List Setup'!$A$5)</f>
        <v/>
      </c>
      <c r="R910" s="80" t="str">
        <f t="array" ref="R910">IF(A910="","",IFERROR(OR(INDEX(Binders!$J$6:$J$30,MATCH(Q910,Binders!$I$6:$I$30,0))=TRUE(),UPPER(INDEX(Binders!$J$6:$J$30,MATCH(Q910,Binders!$I$6:$I$30,0))&amp;"")="TRUE"),FALSE()))</f>
        <v/>
      </c>
    </row>
    <row r="911" ht="15.75" customHeight="1">
      <c r="A911" s="80" t="str">
        <f t="array" ref="A911">IF(INDEX('Deck 3'!$A:$Z,ROW()-750,'List Setup'!$D$5)="","",INDEX('Deck 3'!$A:$Z,ROW()-750,'List Setup'!$D$5))</f>
        <v/>
      </c>
      <c r="B911" s="80" t="str">
        <f t="array" ref="B911">IF(A911="","",IFERROR(INDEX('Binder Setup'!$B$2:$B$401,MIN(IF(ISNUMBER(SEARCH(CHAR(10)&amp;'Binder Setup'!$B$2:$B$401&amp;CHAR(10),$H911)),'List Setup'!$Q$2:$Q$401,999),IF(ISNUMBER(SEARCH(CHAR(10)&amp;'Set Aliases'!$A$2:$A$501&amp;CHAR(10),$H911)),'Set Aliases'!$C$2:$C$501,999))),"(none)"))</f>
        <v/>
      </c>
      <c r="C911" s="80" t="str">
        <f t="shared" si="1"/>
        <v/>
      </c>
      <c r="D911" s="80" t="str">
        <f t="array" ref="D911">IF(A911="","",IF(ISLOGICAL(INDEX('Deck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11" s="80" t="str">
        <f t="shared" si="2"/>
        <v/>
      </c>
      <c r="F911" s="80" t="str">
        <f t="array" ref="F911">IF(A911="","",IF(ISNUMBER(J911),J911,IF(ISNUMBER(INDEX('Deck 3'!$A:$Z,ROW()-750,'List Setup'!$F$5)),INDEX('Deck 3'!$A:$Z,ROW()-750,'List Setup'!$F$5),0)))</f>
        <v/>
      </c>
      <c r="G911" s="80" t="str">
        <f t="array" ref="G911">IF(A911="","",A911&amp;IF(N(INDEX('Deck 3'!$A:$Z,ROW()-750,'List Setup'!$C$5))&gt;1," (x"&amp;INDEX('Deck 3'!$A:$Z,ROW()-750,'List Setup'!$C$5)&amp;")","")&amp;IF(COUNTIF(Binders!$J$6:$J$30,TRUE())&gt;1," ["&amp;Q911&amp;"]",""))</f>
        <v/>
      </c>
      <c r="H911" s="80" t="str">
        <f t="array" ref="H911">IF(A911="","",CHAR(10)&amp;INDEX('Deck 3'!$A:$Z,ROW()-750,'List Setup'!$E$5)&amp;CHAR(10))</f>
        <v/>
      </c>
      <c r="I911" s="80" t="str">
        <f t="array" ref="I911">IF(OR(B911="",B911="(none)"),"",IF(ISNUMBER(SEARCH(CHAR(10)&amp;B911&amp;CHAR(10),H911)),B911,IFERROR(INDEX('Set Aliases'!$A$2:$A$501,MATCH(1,('Set Aliases'!$B$2:$B$501=B911)*ISNUMBER(SEARCH(CHAR(10)&amp;'Set Aliases'!$A$2:$A$501&amp;CHAR(10),H911)),0)),"")))</f>
        <v/>
      </c>
      <c r="J911" s="80" t="str">
        <f t="array" ref="J911">IF(I911="","",IFERROR(VALUE(TRIM(MID(SUBSTITUTE(INDEX('Deck 3'!$A:$Z,ROW()-750,'List Setup'!$G$5),CHAR(10),REPT(" ",100)),((SEARCH(CHAR(10)&amp;I911&amp;CHAR(10),H911)-LEN(SUBSTITUTE(LEFT(H911,SEARCH(CHAR(10)&amp;I911&amp;CHAR(10),H911)),CHAR(10),"")))-1)*100+1,100))),""))</f>
        <v/>
      </c>
      <c r="K911" s="80" t="str">
        <f t="array" ref="K911">IF(A911="","",IF(ISNUMBER(SEARCH("Land",LEFT(IFERROR(INDEX('Deck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11" s="80" t="str">
        <f t="shared" si="3"/>
        <v/>
      </c>
      <c r="M911" s="80" t="str">
        <f>IF(A911="","",IF(AND(E911="Y",B911='Use at Shop'!$B$4),K911*10000000000+(MAX(0,MIN(26,CODE(MID(UPPER(A911)&amp;"    ",1,1))-64))*19683+MAX(0,MIN(26,CODE(MID(UPPER(A911)&amp;"    ",2,1))-64))*729+MAX(0,MIN(26,CODE(MID(UPPER(A911)&amp;"    ",3,1))-64))*27+MAX(0,MIN(26,CODE(MID(UPPER(A911)&amp;"    ",4,1))-64))*1)*10000+ROW(),""))</f>
        <v/>
      </c>
      <c r="N911" s="80" t="str">
        <f t="shared" si="7"/>
        <v/>
      </c>
      <c r="O911" s="80" t="str">
        <f t="array" ref="O911">IF(A911="","",IFERROR(INDEX('Deck 3'!$A:$Z,ROW()-750,'List Setup'!$J$5)&amp;"",""))</f>
        <v/>
      </c>
      <c r="P911" s="2"/>
      <c r="Q911" s="80" t="str">
        <f>IF(A911="","",'List Setup'!$A$5)</f>
        <v/>
      </c>
      <c r="R911" s="80" t="str">
        <f t="array" ref="R911">IF(A911="","",IFERROR(OR(INDEX(Binders!$J$6:$J$30,MATCH(Q911,Binders!$I$6:$I$30,0))=TRUE(),UPPER(INDEX(Binders!$J$6:$J$30,MATCH(Q911,Binders!$I$6:$I$30,0))&amp;"")="TRUE"),FALSE()))</f>
        <v/>
      </c>
    </row>
    <row r="912" ht="15.75" customHeight="1">
      <c r="A912" s="80" t="str">
        <f t="array" ref="A912">IF(INDEX('Deck 3'!$A:$Z,ROW()-750,'List Setup'!$D$5)="","",INDEX('Deck 3'!$A:$Z,ROW()-750,'List Setup'!$D$5))</f>
        <v/>
      </c>
      <c r="B912" s="80" t="str">
        <f t="array" ref="B912">IF(A912="","",IFERROR(INDEX('Binder Setup'!$B$2:$B$401,MIN(IF(ISNUMBER(SEARCH(CHAR(10)&amp;'Binder Setup'!$B$2:$B$401&amp;CHAR(10),$H912)),'List Setup'!$Q$2:$Q$401,999),IF(ISNUMBER(SEARCH(CHAR(10)&amp;'Set Aliases'!$A$2:$A$501&amp;CHAR(10),$H912)),'Set Aliases'!$C$2:$C$501,999))),"(none)"))</f>
        <v/>
      </c>
      <c r="C912" s="80" t="str">
        <f t="shared" si="1"/>
        <v/>
      </c>
      <c r="D912" s="80" t="str">
        <f t="array" ref="D912">IF(A912="","",IF(ISLOGICAL(INDEX('Deck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12" s="80" t="str">
        <f t="shared" si="2"/>
        <v/>
      </c>
      <c r="F912" s="80" t="str">
        <f t="array" ref="F912">IF(A912="","",IF(ISNUMBER(J912),J912,IF(ISNUMBER(INDEX('Deck 3'!$A:$Z,ROW()-750,'List Setup'!$F$5)),INDEX('Deck 3'!$A:$Z,ROW()-750,'List Setup'!$F$5),0)))</f>
        <v/>
      </c>
      <c r="G912" s="80" t="str">
        <f t="array" ref="G912">IF(A912="","",A912&amp;IF(N(INDEX('Deck 3'!$A:$Z,ROW()-750,'List Setup'!$C$5))&gt;1," (x"&amp;INDEX('Deck 3'!$A:$Z,ROW()-750,'List Setup'!$C$5)&amp;")","")&amp;IF(COUNTIF(Binders!$J$6:$J$30,TRUE())&gt;1," ["&amp;Q912&amp;"]",""))</f>
        <v/>
      </c>
      <c r="H912" s="80" t="str">
        <f t="array" ref="H912">IF(A912="","",CHAR(10)&amp;INDEX('Deck 3'!$A:$Z,ROW()-750,'List Setup'!$E$5)&amp;CHAR(10))</f>
        <v/>
      </c>
      <c r="I912" s="80" t="str">
        <f t="array" ref="I912">IF(OR(B912="",B912="(none)"),"",IF(ISNUMBER(SEARCH(CHAR(10)&amp;B912&amp;CHAR(10),H912)),B912,IFERROR(INDEX('Set Aliases'!$A$2:$A$501,MATCH(1,('Set Aliases'!$B$2:$B$501=B912)*ISNUMBER(SEARCH(CHAR(10)&amp;'Set Aliases'!$A$2:$A$501&amp;CHAR(10),H912)),0)),"")))</f>
        <v/>
      </c>
      <c r="J912" s="80" t="str">
        <f t="array" ref="J912">IF(I912="","",IFERROR(VALUE(TRIM(MID(SUBSTITUTE(INDEX('Deck 3'!$A:$Z,ROW()-750,'List Setup'!$G$5),CHAR(10),REPT(" ",100)),((SEARCH(CHAR(10)&amp;I912&amp;CHAR(10),H912)-LEN(SUBSTITUTE(LEFT(H912,SEARCH(CHAR(10)&amp;I912&amp;CHAR(10),H912)),CHAR(10),"")))-1)*100+1,100))),""))</f>
        <v/>
      </c>
      <c r="K912" s="80" t="str">
        <f t="array" ref="K912">IF(A912="","",IF(ISNUMBER(SEARCH("Land",LEFT(IFERROR(INDEX('Deck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12" s="80" t="str">
        <f t="shared" si="3"/>
        <v/>
      </c>
      <c r="M912" s="80" t="str">
        <f>IF(A912="","",IF(AND(E912="Y",B912='Use at Shop'!$B$4),K912*10000000000+(MAX(0,MIN(26,CODE(MID(UPPER(A912)&amp;"    ",1,1))-64))*19683+MAX(0,MIN(26,CODE(MID(UPPER(A912)&amp;"    ",2,1))-64))*729+MAX(0,MIN(26,CODE(MID(UPPER(A912)&amp;"    ",3,1))-64))*27+MAX(0,MIN(26,CODE(MID(UPPER(A912)&amp;"    ",4,1))-64))*1)*10000+ROW(),""))</f>
        <v/>
      </c>
      <c r="N912" s="80" t="str">
        <f t="shared" si="7"/>
        <v/>
      </c>
      <c r="O912" s="80" t="str">
        <f t="array" ref="O912">IF(A912="","",IFERROR(INDEX('Deck 3'!$A:$Z,ROW()-750,'List Setup'!$J$5)&amp;"",""))</f>
        <v/>
      </c>
      <c r="P912" s="2"/>
      <c r="Q912" s="80" t="str">
        <f>IF(A912="","",'List Setup'!$A$5)</f>
        <v/>
      </c>
      <c r="R912" s="80" t="str">
        <f t="array" ref="R912">IF(A912="","",IFERROR(OR(INDEX(Binders!$J$6:$J$30,MATCH(Q912,Binders!$I$6:$I$30,0))=TRUE(),UPPER(INDEX(Binders!$J$6:$J$30,MATCH(Q912,Binders!$I$6:$I$30,0))&amp;"")="TRUE"),FALSE()))</f>
        <v/>
      </c>
    </row>
    <row r="913" ht="15.75" customHeight="1">
      <c r="A913" s="80" t="str">
        <f t="array" ref="A913">IF(INDEX('Deck 3'!$A:$Z,ROW()-750,'List Setup'!$D$5)="","",INDEX('Deck 3'!$A:$Z,ROW()-750,'List Setup'!$D$5))</f>
        <v/>
      </c>
      <c r="B913" s="80" t="str">
        <f t="array" ref="B913">IF(A913="","",IFERROR(INDEX('Binder Setup'!$B$2:$B$401,MIN(IF(ISNUMBER(SEARCH(CHAR(10)&amp;'Binder Setup'!$B$2:$B$401&amp;CHAR(10),$H913)),'List Setup'!$Q$2:$Q$401,999),IF(ISNUMBER(SEARCH(CHAR(10)&amp;'Set Aliases'!$A$2:$A$501&amp;CHAR(10),$H913)),'Set Aliases'!$C$2:$C$501,999))),"(none)"))</f>
        <v/>
      </c>
      <c r="C913" s="80" t="str">
        <f t="shared" si="1"/>
        <v/>
      </c>
      <c r="D913" s="80" t="str">
        <f t="array" ref="D913">IF(A913="","",IF(ISLOGICAL(INDEX('Deck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13" s="80" t="str">
        <f t="shared" si="2"/>
        <v/>
      </c>
      <c r="F913" s="80" t="str">
        <f t="array" ref="F913">IF(A913="","",IF(ISNUMBER(J913),J913,IF(ISNUMBER(INDEX('Deck 3'!$A:$Z,ROW()-750,'List Setup'!$F$5)),INDEX('Deck 3'!$A:$Z,ROW()-750,'List Setup'!$F$5),0)))</f>
        <v/>
      </c>
      <c r="G913" s="80" t="str">
        <f t="array" ref="G913">IF(A913="","",A913&amp;IF(N(INDEX('Deck 3'!$A:$Z,ROW()-750,'List Setup'!$C$5))&gt;1," (x"&amp;INDEX('Deck 3'!$A:$Z,ROW()-750,'List Setup'!$C$5)&amp;")","")&amp;IF(COUNTIF(Binders!$J$6:$J$30,TRUE())&gt;1," ["&amp;Q913&amp;"]",""))</f>
        <v/>
      </c>
      <c r="H913" s="80" t="str">
        <f t="array" ref="H913">IF(A913="","",CHAR(10)&amp;INDEX('Deck 3'!$A:$Z,ROW()-750,'List Setup'!$E$5)&amp;CHAR(10))</f>
        <v/>
      </c>
      <c r="I913" s="80" t="str">
        <f t="array" ref="I913">IF(OR(B913="",B913="(none)"),"",IF(ISNUMBER(SEARCH(CHAR(10)&amp;B913&amp;CHAR(10),H913)),B913,IFERROR(INDEX('Set Aliases'!$A$2:$A$501,MATCH(1,('Set Aliases'!$B$2:$B$501=B913)*ISNUMBER(SEARCH(CHAR(10)&amp;'Set Aliases'!$A$2:$A$501&amp;CHAR(10),H913)),0)),"")))</f>
        <v/>
      </c>
      <c r="J913" s="80" t="str">
        <f t="array" ref="J913">IF(I913="","",IFERROR(VALUE(TRIM(MID(SUBSTITUTE(INDEX('Deck 3'!$A:$Z,ROW()-750,'List Setup'!$G$5),CHAR(10),REPT(" ",100)),((SEARCH(CHAR(10)&amp;I913&amp;CHAR(10),H913)-LEN(SUBSTITUTE(LEFT(H913,SEARCH(CHAR(10)&amp;I913&amp;CHAR(10),H913)),CHAR(10),"")))-1)*100+1,100))),""))</f>
        <v/>
      </c>
      <c r="K913" s="80" t="str">
        <f t="array" ref="K913">IF(A913="","",IF(ISNUMBER(SEARCH("Land",LEFT(IFERROR(INDEX('Deck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13" s="80" t="str">
        <f t="shared" si="3"/>
        <v/>
      </c>
      <c r="M913" s="80" t="str">
        <f>IF(A913="","",IF(AND(E913="Y",B913='Use at Shop'!$B$4),K913*10000000000+(MAX(0,MIN(26,CODE(MID(UPPER(A913)&amp;"    ",1,1))-64))*19683+MAX(0,MIN(26,CODE(MID(UPPER(A913)&amp;"    ",2,1))-64))*729+MAX(0,MIN(26,CODE(MID(UPPER(A913)&amp;"    ",3,1))-64))*27+MAX(0,MIN(26,CODE(MID(UPPER(A913)&amp;"    ",4,1))-64))*1)*10000+ROW(),""))</f>
        <v/>
      </c>
      <c r="N913" s="80" t="str">
        <f t="shared" si="7"/>
        <v/>
      </c>
      <c r="O913" s="80" t="str">
        <f t="array" ref="O913">IF(A913="","",IFERROR(INDEX('Deck 3'!$A:$Z,ROW()-750,'List Setup'!$J$5)&amp;"",""))</f>
        <v/>
      </c>
      <c r="P913" s="2"/>
      <c r="Q913" s="80" t="str">
        <f>IF(A913="","",'List Setup'!$A$5)</f>
        <v/>
      </c>
      <c r="R913" s="80" t="str">
        <f t="array" ref="R913">IF(A913="","",IFERROR(OR(INDEX(Binders!$J$6:$J$30,MATCH(Q913,Binders!$I$6:$I$30,0))=TRUE(),UPPER(INDEX(Binders!$J$6:$J$30,MATCH(Q913,Binders!$I$6:$I$30,0))&amp;"")="TRUE"),FALSE()))</f>
        <v/>
      </c>
    </row>
    <row r="914" ht="15.75" customHeight="1">
      <c r="A914" s="80" t="str">
        <f t="array" ref="A914">IF(INDEX('Deck 3'!$A:$Z,ROW()-750,'List Setup'!$D$5)="","",INDEX('Deck 3'!$A:$Z,ROW()-750,'List Setup'!$D$5))</f>
        <v/>
      </c>
      <c r="B914" s="80" t="str">
        <f t="array" ref="B914">IF(A914="","",IFERROR(INDEX('Binder Setup'!$B$2:$B$401,MIN(IF(ISNUMBER(SEARCH(CHAR(10)&amp;'Binder Setup'!$B$2:$B$401&amp;CHAR(10),$H914)),'List Setup'!$Q$2:$Q$401,999),IF(ISNUMBER(SEARCH(CHAR(10)&amp;'Set Aliases'!$A$2:$A$501&amp;CHAR(10),$H914)),'Set Aliases'!$C$2:$C$501,999))),"(none)"))</f>
        <v/>
      </c>
      <c r="C914" s="80" t="str">
        <f t="shared" si="1"/>
        <v/>
      </c>
      <c r="D914" s="80" t="str">
        <f t="array" ref="D914">IF(A914="","",IF(ISLOGICAL(INDEX('Deck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14" s="80" t="str">
        <f t="shared" si="2"/>
        <v/>
      </c>
      <c r="F914" s="80" t="str">
        <f t="array" ref="F914">IF(A914="","",IF(ISNUMBER(J914),J914,IF(ISNUMBER(INDEX('Deck 3'!$A:$Z,ROW()-750,'List Setup'!$F$5)),INDEX('Deck 3'!$A:$Z,ROW()-750,'List Setup'!$F$5),0)))</f>
        <v/>
      </c>
      <c r="G914" s="80" t="str">
        <f t="array" ref="G914">IF(A914="","",A914&amp;IF(N(INDEX('Deck 3'!$A:$Z,ROW()-750,'List Setup'!$C$5))&gt;1," (x"&amp;INDEX('Deck 3'!$A:$Z,ROW()-750,'List Setup'!$C$5)&amp;")","")&amp;IF(COUNTIF(Binders!$J$6:$J$30,TRUE())&gt;1," ["&amp;Q914&amp;"]",""))</f>
        <v/>
      </c>
      <c r="H914" s="80" t="str">
        <f t="array" ref="H914">IF(A914="","",CHAR(10)&amp;INDEX('Deck 3'!$A:$Z,ROW()-750,'List Setup'!$E$5)&amp;CHAR(10))</f>
        <v/>
      </c>
      <c r="I914" s="80" t="str">
        <f t="array" ref="I914">IF(OR(B914="",B914="(none)"),"",IF(ISNUMBER(SEARCH(CHAR(10)&amp;B914&amp;CHAR(10),H914)),B914,IFERROR(INDEX('Set Aliases'!$A$2:$A$501,MATCH(1,('Set Aliases'!$B$2:$B$501=B914)*ISNUMBER(SEARCH(CHAR(10)&amp;'Set Aliases'!$A$2:$A$501&amp;CHAR(10),H914)),0)),"")))</f>
        <v/>
      </c>
      <c r="J914" s="80" t="str">
        <f t="array" ref="J914">IF(I914="","",IFERROR(VALUE(TRIM(MID(SUBSTITUTE(INDEX('Deck 3'!$A:$Z,ROW()-750,'List Setup'!$G$5),CHAR(10),REPT(" ",100)),((SEARCH(CHAR(10)&amp;I914&amp;CHAR(10),H914)-LEN(SUBSTITUTE(LEFT(H914,SEARCH(CHAR(10)&amp;I914&amp;CHAR(10),H914)),CHAR(10),"")))-1)*100+1,100))),""))</f>
        <v/>
      </c>
      <c r="K914" s="80" t="str">
        <f t="array" ref="K914">IF(A914="","",IF(ISNUMBER(SEARCH("Land",LEFT(IFERROR(INDEX('Deck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14" s="80" t="str">
        <f t="shared" si="3"/>
        <v/>
      </c>
      <c r="M914" s="80" t="str">
        <f>IF(A914="","",IF(AND(E914="Y",B914='Use at Shop'!$B$4),K914*10000000000+(MAX(0,MIN(26,CODE(MID(UPPER(A914)&amp;"    ",1,1))-64))*19683+MAX(0,MIN(26,CODE(MID(UPPER(A914)&amp;"    ",2,1))-64))*729+MAX(0,MIN(26,CODE(MID(UPPER(A914)&amp;"    ",3,1))-64))*27+MAX(0,MIN(26,CODE(MID(UPPER(A914)&amp;"    ",4,1))-64))*1)*10000+ROW(),""))</f>
        <v/>
      </c>
      <c r="N914" s="80" t="str">
        <f t="shared" si="7"/>
        <v/>
      </c>
      <c r="O914" s="80" t="str">
        <f t="array" ref="O914">IF(A914="","",IFERROR(INDEX('Deck 3'!$A:$Z,ROW()-750,'List Setup'!$J$5)&amp;"",""))</f>
        <v/>
      </c>
      <c r="P914" s="2"/>
      <c r="Q914" s="80" t="str">
        <f>IF(A914="","",'List Setup'!$A$5)</f>
        <v/>
      </c>
      <c r="R914" s="80" t="str">
        <f t="array" ref="R914">IF(A914="","",IFERROR(OR(INDEX(Binders!$J$6:$J$30,MATCH(Q914,Binders!$I$6:$I$30,0))=TRUE(),UPPER(INDEX(Binders!$J$6:$J$30,MATCH(Q914,Binders!$I$6:$I$30,0))&amp;"")="TRUE"),FALSE()))</f>
        <v/>
      </c>
    </row>
    <row r="915" ht="15.75" customHeight="1">
      <c r="A915" s="80" t="str">
        <f t="array" ref="A915">IF(INDEX('Deck 3'!$A:$Z,ROW()-750,'List Setup'!$D$5)="","",INDEX('Deck 3'!$A:$Z,ROW()-750,'List Setup'!$D$5))</f>
        <v/>
      </c>
      <c r="B915" s="80" t="str">
        <f t="array" ref="B915">IF(A915="","",IFERROR(INDEX('Binder Setup'!$B$2:$B$401,MIN(IF(ISNUMBER(SEARCH(CHAR(10)&amp;'Binder Setup'!$B$2:$B$401&amp;CHAR(10),$H915)),'List Setup'!$Q$2:$Q$401,999),IF(ISNUMBER(SEARCH(CHAR(10)&amp;'Set Aliases'!$A$2:$A$501&amp;CHAR(10),$H915)),'Set Aliases'!$C$2:$C$501,999))),"(none)"))</f>
        <v/>
      </c>
      <c r="C915" s="80" t="str">
        <f t="shared" si="1"/>
        <v/>
      </c>
      <c r="D915" s="80" t="str">
        <f t="array" ref="D915">IF(A915="","",IF(ISLOGICAL(INDEX('Deck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15" s="80" t="str">
        <f t="shared" si="2"/>
        <v/>
      </c>
      <c r="F915" s="80" t="str">
        <f t="array" ref="F915">IF(A915="","",IF(ISNUMBER(J915),J915,IF(ISNUMBER(INDEX('Deck 3'!$A:$Z,ROW()-750,'List Setup'!$F$5)),INDEX('Deck 3'!$A:$Z,ROW()-750,'List Setup'!$F$5),0)))</f>
        <v/>
      </c>
      <c r="G915" s="80" t="str">
        <f t="array" ref="G915">IF(A915="","",A915&amp;IF(N(INDEX('Deck 3'!$A:$Z,ROW()-750,'List Setup'!$C$5))&gt;1," (x"&amp;INDEX('Deck 3'!$A:$Z,ROW()-750,'List Setup'!$C$5)&amp;")","")&amp;IF(COUNTIF(Binders!$J$6:$J$30,TRUE())&gt;1," ["&amp;Q915&amp;"]",""))</f>
        <v/>
      </c>
      <c r="H915" s="80" t="str">
        <f t="array" ref="H915">IF(A915="","",CHAR(10)&amp;INDEX('Deck 3'!$A:$Z,ROW()-750,'List Setup'!$E$5)&amp;CHAR(10))</f>
        <v/>
      </c>
      <c r="I915" s="80" t="str">
        <f t="array" ref="I915">IF(OR(B915="",B915="(none)"),"",IF(ISNUMBER(SEARCH(CHAR(10)&amp;B915&amp;CHAR(10),H915)),B915,IFERROR(INDEX('Set Aliases'!$A$2:$A$501,MATCH(1,('Set Aliases'!$B$2:$B$501=B915)*ISNUMBER(SEARCH(CHAR(10)&amp;'Set Aliases'!$A$2:$A$501&amp;CHAR(10),H915)),0)),"")))</f>
        <v/>
      </c>
      <c r="J915" s="80" t="str">
        <f t="array" ref="J915">IF(I915="","",IFERROR(VALUE(TRIM(MID(SUBSTITUTE(INDEX('Deck 3'!$A:$Z,ROW()-750,'List Setup'!$G$5),CHAR(10),REPT(" ",100)),((SEARCH(CHAR(10)&amp;I915&amp;CHAR(10),H915)-LEN(SUBSTITUTE(LEFT(H915,SEARCH(CHAR(10)&amp;I915&amp;CHAR(10),H915)),CHAR(10),"")))-1)*100+1,100))),""))</f>
        <v/>
      </c>
      <c r="K915" s="80" t="str">
        <f t="array" ref="K915">IF(A915="","",IF(ISNUMBER(SEARCH("Land",LEFT(IFERROR(INDEX('Deck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15" s="80" t="str">
        <f t="shared" si="3"/>
        <v/>
      </c>
      <c r="M915" s="80" t="str">
        <f>IF(A915="","",IF(AND(E915="Y",B915='Use at Shop'!$B$4),K915*10000000000+(MAX(0,MIN(26,CODE(MID(UPPER(A915)&amp;"    ",1,1))-64))*19683+MAX(0,MIN(26,CODE(MID(UPPER(A915)&amp;"    ",2,1))-64))*729+MAX(0,MIN(26,CODE(MID(UPPER(A915)&amp;"    ",3,1))-64))*27+MAX(0,MIN(26,CODE(MID(UPPER(A915)&amp;"    ",4,1))-64))*1)*10000+ROW(),""))</f>
        <v/>
      </c>
      <c r="N915" s="80" t="str">
        <f t="shared" si="7"/>
        <v/>
      </c>
      <c r="O915" s="80" t="str">
        <f t="array" ref="O915">IF(A915="","",IFERROR(INDEX('Deck 3'!$A:$Z,ROW()-750,'List Setup'!$J$5)&amp;"",""))</f>
        <v/>
      </c>
      <c r="P915" s="2"/>
      <c r="Q915" s="80" t="str">
        <f>IF(A915="","",'List Setup'!$A$5)</f>
        <v/>
      </c>
      <c r="R915" s="80" t="str">
        <f t="array" ref="R915">IF(A915="","",IFERROR(OR(INDEX(Binders!$J$6:$J$30,MATCH(Q915,Binders!$I$6:$I$30,0))=TRUE(),UPPER(INDEX(Binders!$J$6:$J$30,MATCH(Q915,Binders!$I$6:$I$30,0))&amp;"")="TRUE"),FALSE()))</f>
        <v/>
      </c>
    </row>
    <row r="916" ht="15.75" customHeight="1">
      <c r="A916" s="80" t="str">
        <f t="array" ref="A916">IF(INDEX('Deck 3'!$A:$Z,ROW()-750,'List Setup'!$D$5)="","",INDEX('Deck 3'!$A:$Z,ROW()-750,'List Setup'!$D$5))</f>
        <v/>
      </c>
      <c r="B916" s="80" t="str">
        <f t="array" ref="B916">IF(A916="","",IFERROR(INDEX('Binder Setup'!$B$2:$B$401,MIN(IF(ISNUMBER(SEARCH(CHAR(10)&amp;'Binder Setup'!$B$2:$B$401&amp;CHAR(10),$H916)),'List Setup'!$Q$2:$Q$401,999),IF(ISNUMBER(SEARCH(CHAR(10)&amp;'Set Aliases'!$A$2:$A$501&amp;CHAR(10),$H916)),'Set Aliases'!$C$2:$C$501,999))),"(none)"))</f>
        <v/>
      </c>
      <c r="C916" s="80" t="str">
        <f t="shared" si="1"/>
        <v/>
      </c>
      <c r="D916" s="80" t="str">
        <f t="array" ref="D916">IF(A916="","",IF(ISLOGICAL(INDEX('Deck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16" s="80" t="str">
        <f t="shared" si="2"/>
        <v/>
      </c>
      <c r="F916" s="80" t="str">
        <f t="array" ref="F916">IF(A916="","",IF(ISNUMBER(J916),J916,IF(ISNUMBER(INDEX('Deck 3'!$A:$Z,ROW()-750,'List Setup'!$F$5)),INDEX('Deck 3'!$A:$Z,ROW()-750,'List Setup'!$F$5),0)))</f>
        <v/>
      </c>
      <c r="G916" s="80" t="str">
        <f t="array" ref="G916">IF(A916="","",A916&amp;IF(N(INDEX('Deck 3'!$A:$Z,ROW()-750,'List Setup'!$C$5))&gt;1," (x"&amp;INDEX('Deck 3'!$A:$Z,ROW()-750,'List Setup'!$C$5)&amp;")","")&amp;IF(COUNTIF(Binders!$J$6:$J$30,TRUE())&gt;1," ["&amp;Q916&amp;"]",""))</f>
        <v/>
      </c>
      <c r="H916" s="80" t="str">
        <f t="array" ref="H916">IF(A916="","",CHAR(10)&amp;INDEX('Deck 3'!$A:$Z,ROW()-750,'List Setup'!$E$5)&amp;CHAR(10))</f>
        <v/>
      </c>
      <c r="I916" s="80" t="str">
        <f t="array" ref="I916">IF(OR(B916="",B916="(none)"),"",IF(ISNUMBER(SEARCH(CHAR(10)&amp;B916&amp;CHAR(10),H916)),B916,IFERROR(INDEX('Set Aliases'!$A$2:$A$501,MATCH(1,('Set Aliases'!$B$2:$B$501=B916)*ISNUMBER(SEARCH(CHAR(10)&amp;'Set Aliases'!$A$2:$A$501&amp;CHAR(10),H916)),0)),"")))</f>
        <v/>
      </c>
      <c r="J916" s="80" t="str">
        <f t="array" ref="J916">IF(I916="","",IFERROR(VALUE(TRIM(MID(SUBSTITUTE(INDEX('Deck 3'!$A:$Z,ROW()-750,'List Setup'!$G$5),CHAR(10),REPT(" ",100)),((SEARCH(CHAR(10)&amp;I916&amp;CHAR(10),H916)-LEN(SUBSTITUTE(LEFT(H916,SEARCH(CHAR(10)&amp;I916&amp;CHAR(10),H916)),CHAR(10),"")))-1)*100+1,100))),""))</f>
        <v/>
      </c>
      <c r="K916" s="80" t="str">
        <f t="array" ref="K916">IF(A916="","",IF(ISNUMBER(SEARCH("Land",LEFT(IFERROR(INDEX('Deck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16" s="80" t="str">
        <f t="shared" si="3"/>
        <v/>
      </c>
      <c r="M916" s="80" t="str">
        <f>IF(A916="","",IF(AND(E916="Y",B916='Use at Shop'!$B$4),K916*10000000000+(MAX(0,MIN(26,CODE(MID(UPPER(A916)&amp;"    ",1,1))-64))*19683+MAX(0,MIN(26,CODE(MID(UPPER(A916)&amp;"    ",2,1))-64))*729+MAX(0,MIN(26,CODE(MID(UPPER(A916)&amp;"    ",3,1))-64))*27+MAX(0,MIN(26,CODE(MID(UPPER(A916)&amp;"    ",4,1))-64))*1)*10000+ROW(),""))</f>
        <v/>
      </c>
      <c r="N916" s="80" t="str">
        <f t="shared" si="7"/>
        <v/>
      </c>
      <c r="O916" s="80" t="str">
        <f t="array" ref="O916">IF(A916="","",IFERROR(INDEX('Deck 3'!$A:$Z,ROW()-750,'List Setup'!$J$5)&amp;"",""))</f>
        <v/>
      </c>
      <c r="P916" s="2"/>
      <c r="Q916" s="80" t="str">
        <f>IF(A916="","",'List Setup'!$A$5)</f>
        <v/>
      </c>
      <c r="R916" s="80" t="str">
        <f t="array" ref="R916">IF(A916="","",IFERROR(OR(INDEX(Binders!$J$6:$J$30,MATCH(Q916,Binders!$I$6:$I$30,0))=TRUE(),UPPER(INDEX(Binders!$J$6:$J$30,MATCH(Q916,Binders!$I$6:$I$30,0))&amp;"")="TRUE"),FALSE()))</f>
        <v/>
      </c>
    </row>
    <row r="917" ht="15.75" customHeight="1">
      <c r="A917" s="80" t="str">
        <f t="array" ref="A917">IF(INDEX('Deck 3'!$A:$Z,ROW()-750,'List Setup'!$D$5)="","",INDEX('Deck 3'!$A:$Z,ROW()-750,'List Setup'!$D$5))</f>
        <v/>
      </c>
      <c r="B917" s="80" t="str">
        <f t="array" ref="B917">IF(A917="","",IFERROR(INDEX('Binder Setup'!$B$2:$B$401,MIN(IF(ISNUMBER(SEARCH(CHAR(10)&amp;'Binder Setup'!$B$2:$B$401&amp;CHAR(10),$H917)),'List Setup'!$Q$2:$Q$401,999),IF(ISNUMBER(SEARCH(CHAR(10)&amp;'Set Aliases'!$A$2:$A$501&amp;CHAR(10),$H917)),'Set Aliases'!$C$2:$C$501,999))),"(none)"))</f>
        <v/>
      </c>
      <c r="C917" s="80" t="str">
        <f t="shared" si="1"/>
        <v/>
      </c>
      <c r="D917" s="80" t="str">
        <f t="array" ref="D917">IF(A917="","",IF(ISLOGICAL(INDEX('Deck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17" s="80" t="str">
        <f t="shared" si="2"/>
        <v/>
      </c>
      <c r="F917" s="80" t="str">
        <f t="array" ref="F917">IF(A917="","",IF(ISNUMBER(J917),J917,IF(ISNUMBER(INDEX('Deck 3'!$A:$Z,ROW()-750,'List Setup'!$F$5)),INDEX('Deck 3'!$A:$Z,ROW()-750,'List Setup'!$F$5),0)))</f>
        <v/>
      </c>
      <c r="G917" s="80" t="str">
        <f t="array" ref="G917">IF(A917="","",A917&amp;IF(N(INDEX('Deck 3'!$A:$Z,ROW()-750,'List Setup'!$C$5))&gt;1," (x"&amp;INDEX('Deck 3'!$A:$Z,ROW()-750,'List Setup'!$C$5)&amp;")","")&amp;IF(COUNTIF(Binders!$J$6:$J$30,TRUE())&gt;1," ["&amp;Q917&amp;"]",""))</f>
        <v/>
      </c>
      <c r="H917" s="80" t="str">
        <f t="array" ref="H917">IF(A917="","",CHAR(10)&amp;INDEX('Deck 3'!$A:$Z,ROW()-750,'List Setup'!$E$5)&amp;CHAR(10))</f>
        <v/>
      </c>
      <c r="I917" s="80" t="str">
        <f t="array" ref="I917">IF(OR(B917="",B917="(none)"),"",IF(ISNUMBER(SEARCH(CHAR(10)&amp;B917&amp;CHAR(10),H917)),B917,IFERROR(INDEX('Set Aliases'!$A$2:$A$501,MATCH(1,('Set Aliases'!$B$2:$B$501=B917)*ISNUMBER(SEARCH(CHAR(10)&amp;'Set Aliases'!$A$2:$A$501&amp;CHAR(10),H917)),0)),"")))</f>
        <v/>
      </c>
      <c r="J917" s="80" t="str">
        <f t="array" ref="J917">IF(I917="","",IFERROR(VALUE(TRIM(MID(SUBSTITUTE(INDEX('Deck 3'!$A:$Z,ROW()-750,'List Setup'!$G$5),CHAR(10),REPT(" ",100)),((SEARCH(CHAR(10)&amp;I917&amp;CHAR(10),H917)-LEN(SUBSTITUTE(LEFT(H917,SEARCH(CHAR(10)&amp;I917&amp;CHAR(10),H917)),CHAR(10),"")))-1)*100+1,100))),""))</f>
        <v/>
      </c>
      <c r="K917" s="80" t="str">
        <f t="array" ref="K917">IF(A917="","",IF(ISNUMBER(SEARCH("Land",LEFT(IFERROR(INDEX('Deck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17" s="80" t="str">
        <f t="shared" si="3"/>
        <v/>
      </c>
      <c r="M917" s="80" t="str">
        <f>IF(A917="","",IF(AND(E917="Y",B917='Use at Shop'!$B$4),K917*10000000000+(MAX(0,MIN(26,CODE(MID(UPPER(A917)&amp;"    ",1,1))-64))*19683+MAX(0,MIN(26,CODE(MID(UPPER(A917)&amp;"    ",2,1))-64))*729+MAX(0,MIN(26,CODE(MID(UPPER(A917)&amp;"    ",3,1))-64))*27+MAX(0,MIN(26,CODE(MID(UPPER(A917)&amp;"    ",4,1))-64))*1)*10000+ROW(),""))</f>
        <v/>
      </c>
      <c r="N917" s="80" t="str">
        <f t="shared" si="7"/>
        <v/>
      </c>
      <c r="O917" s="80" t="str">
        <f t="array" ref="O917">IF(A917="","",IFERROR(INDEX('Deck 3'!$A:$Z,ROW()-750,'List Setup'!$J$5)&amp;"",""))</f>
        <v/>
      </c>
      <c r="P917" s="2"/>
      <c r="Q917" s="80" t="str">
        <f>IF(A917="","",'List Setup'!$A$5)</f>
        <v/>
      </c>
      <c r="R917" s="80" t="str">
        <f t="array" ref="R917">IF(A917="","",IFERROR(OR(INDEX(Binders!$J$6:$J$30,MATCH(Q917,Binders!$I$6:$I$30,0))=TRUE(),UPPER(INDEX(Binders!$J$6:$J$30,MATCH(Q917,Binders!$I$6:$I$30,0))&amp;"")="TRUE"),FALSE()))</f>
        <v/>
      </c>
    </row>
    <row r="918" ht="15.75" customHeight="1">
      <c r="A918" s="80" t="str">
        <f t="array" ref="A918">IF(INDEX('Deck 3'!$A:$Z,ROW()-750,'List Setup'!$D$5)="","",INDEX('Deck 3'!$A:$Z,ROW()-750,'List Setup'!$D$5))</f>
        <v/>
      </c>
      <c r="B918" s="80" t="str">
        <f t="array" ref="B918">IF(A918="","",IFERROR(INDEX('Binder Setup'!$B$2:$B$401,MIN(IF(ISNUMBER(SEARCH(CHAR(10)&amp;'Binder Setup'!$B$2:$B$401&amp;CHAR(10),$H918)),'List Setup'!$Q$2:$Q$401,999),IF(ISNUMBER(SEARCH(CHAR(10)&amp;'Set Aliases'!$A$2:$A$501&amp;CHAR(10),$H918)),'Set Aliases'!$C$2:$C$501,999))),"(none)"))</f>
        <v/>
      </c>
      <c r="C918" s="80" t="str">
        <f t="shared" si="1"/>
        <v/>
      </c>
      <c r="D918" s="80" t="str">
        <f t="array" ref="D918">IF(A918="","",IF(ISLOGICAL(INDEX('Deck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18" s="80" t="str">
        <f t="shared" si="2"/>
        <v/>
      </c>
      <c r="F918" s="80" t="str">
        <f t="array" ref="F918">IF(A918="","",IF(ISNUMBER(J918),J918,IF(ISNUMBER(INDEX('Deck 3'!$A:$Z,ROW()-750,'List Setup'!$F$5)),INDEX('Deck 3'!$A:$Z,ROW()-750,'List Setup'!$F$5),0)))</f>
        <v/>
      </c>
      <c r="G918" s="80" t="str">
        <f t="array" ref="G918">IF(A918="","",A918&amp;IF(N(INDEX('Deck 3'!$A:$Z,ROW()-750,'List Setup'!$C$5))&gt;1," (x"&amp;INDEX('Deck 3'!$A:$Z,ROW()-750,'List Setup'!$C$5)&amp;")","")&amp;IF(COUNTIF(Binders!$J$6:$J$30,TRUE())&gt;1," ["&amp;Q918&amp;"]",""))</f>
        <v/>
      </c>
      <c r="H918" s="80" t="str">
        <f t="array" ref="H918">IF(A918="","",CHAR(10)&amp;INDEX('Deck 3'!$A:$Z,ROW()-750,'List Setup'!$E$5)&amp;CHAR(10))</f>
        <v/>
      </c>
      <c r="I918" s="80" t="str">
        <f t="array" ref="I918">IF(OR(B918="",B918="(none)"),"",IF(ISNUMBER(SEARCH(CHAR(10)&amp;B918&amp;CHAR(10),H918)),B918,IFERROR(INDEX('Set Aliases'!$A$2:$A$501,MATCH(1,('Set Aliases'!$B$2:$B$501=B918)*ISNUMBER(SEARCH(CHAR(10)&amp;'Set Aliases'!$A$2:$A$501&amp;CHAR(10),H918)),0)),"")))</f>
        <v/>
      </c>
      <c r="J918" s="80" t="str">
        <f t="array" ref="J918">IF(I918="","",IFERROR(VALUE(TRIM(MID(SUBSTITUTE(INDEX('Deck 3'!$A:$Z,ROW()-750,'List Setup'!$G$5),CHAR(10),REPT(" ",100)),((SEARCH(CHAR(10)&amp;I918&amp;CHAR(10),H918)-LEN(SUBSTITUTE(LEFT(H918,SEARCH(CHAR(10)&amp;I918&amp;CHAR(10),H918)),CHAR(10),"")))-1)*100+1,100))),""))</f>
        <v/>
      </c>
      <c r="K918" s="80" t="str">
        <f t="array" ref="K918">IF(A918="","",IF(ISNUMBER(SEARCH("Land",LEFT(IFERROR(INDEX('Deck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18" s="80" t="str">
        <f t="shared" si="3"/>
        <v/>
      </c>
      <c r="M918" s="80" t="str">
        <f>IF(A918="","",IF(AND(E918="Y",B918='Use at Shop'!$B$4),K918*10000000000+(MAX(0,MIN(26,CODE(MID(UPPER(A918)&amp;"    ",1,1))-64))*19683+MAX(0,MIN(26,CODE(MID(UPPER(A918)&amp;"    ",2,1))-64))*729+MAX(0,MIN(26,CODE(MID(UPPER(A918)&amp;"    ",3,1))-64))*27+MAX(0,MIN(26,CODE(MID(UPPER(A918)&amp;"    ",4,1))-64))*1)*10000+ROW(),""))</f>
        <v/>
      </c>
      <c r="N918" s="80" t="str">
        <f t="shared" si="7"/>
        <v/>
      </c>
      <c r="O918" s="80" t="str">
        <f t="array" ref="O918">IF(A918="","",IFERROR(INDEX('Deck 3'!$A:$Z,ROW()-750,'List Setup'!$J$5)&amp;"",""))</f>
        <v/>
      </c>
      <c r="P918" s="2"/>
      <c r="Q918" s="80" t="str">
        <f>IF(A918="","",'List Setup'!$A$5)</f>
        <v/>
      </c>
      <c r="R918" s="80" t="str">
        <f t="array" ref="R918">IF(A918="","",IFERROR(OR(INDEX(Binders!$J$6:$J$30,MATCH(Q918,Binders!$I$6:$I$30,0))=TRUE(),UPPER(INDEX(Binders!$J$6:$J$30,MATCH(Q918,Binders!$I$6:$I$30,0))&amp;"")="TRUE"),FALSE()))</f>
        <v/>
      </c>
    </row>
    <row r="919" ht="15.75" customHeight="1">
      <c r="A919" s="80" t="str">
        <f t="array" ref="A919">IF(INDEX('Deck 3'!$A:$Z,ROW()-750,'List Setup'!$D$5)="","",INDEX('Deck 3'!$A:$Z,ROW()-750,'List Setup'!$D$5))</f>
        <v/>
      </c>
      <c r="B919" s="80" t="str">
        <f t="array" ref="B919">IF(A919="","",IFERROR(INDEX('Binder Setup'!$B$2:$B$401,MIN(IF(ISNUMBER(SEARCH(CHAR(10)&amp;'Binder Setup'!$B$2:$B$401&amp;CHAR(10),$H919)),'List Setup'!$Q$2:$Q$401,999),IF(ISNUMBER(SEARCH(CHAR(10)&amp;'Set Aliases'!$A$2:$A$501&amp;CHAR(10),$H919)),'Set Aliases'!$C$2:$C$501,999))),"(none)"))</f>
        <v/>
      </c>
      <c r="C919" s="80" t="str">
        <f t="shared" si="1"/>
        <v/>
      </c>
      <c r="D919" s="80" t="str">
        <f t="array" ref="D919">IF(A919="","",IF(ISLOGICAL(INDEX('Deck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19" s="80" t="str">
        <f t="shared" si="2"/>
        <v/>
      </c>
      <c r="F919" s="80" t="str">
        <f t="array" ref="F919">IF(A919="","",IF(ISNUMBER(J919),J919,IF(ISNUMBER(INDEX('Deck 3'!$A:$Z,ROW()-750,'List Setup'!$F$5)),INDEX('Deck 3'!$A:$Z,ROW()-750,'List Setup'!$F$5),0)))</f>
        <v/>
      </c>
      <c r="G919" s="80" t="str">
        <f t="array" ref="G919">IF(A919="","",A919&amp;IF(N(INDEX('Deck 3'!$A:$Z,ROW()-750,'List Setup'!$C$5))&gt;1," (x"&amp;INDEX('Deck 3'!$A:$Z,ROW()-750,'List Setup'!$C$5)&amp;")","")&amp;IF(COUNTIF(Binders!$J$6:$J$30,TRUE())&gt;1," ["&amp;Q919&amp;"]",""))</f>
        <v/>
      </c>
      <c r="H919" s="80" t="str">
        <f t="array" ref="H919">IF(A919="","",CHAR(10)&amp;INDEX('Deck 3'!$A:$Z,ROW()-750,'List Setup'!$E$5)&amp;CHAR(10))</f>
        <v/>
      </c>
      <c r="I919" s="80" t="str">
        <f t="array" ref="I919">IF(OR(B919="",B919="(none)"),"",IF(ISNUMBER(SEARCH(CHAR(10)&amp;B919&amp;CHAR(10),H919)),B919,IFERROR(INDEX('Set Aliases'!$A$2:$A$501,MATCH(1,('Set Aliases'!$B$2:$B$501=B919)*ISNUMBER(SEARCH(CHAR(10)&amp;'Set Aliases'!$A$2:$A$501&amp;CHAR(10),H919)),0)),"")))</f>
        <v/>
      </c>
      <c r="J919" s="80" t="str">
        <f t="array" ref="J919">IF(I919="","",IFERROR(VALUE(TRIM(MID(SUBSTITUTE(INDEX('Deck 3'!$A:$Z,ROW()-750,'List Setup'!$G$5),CHAR(10),REPT(" ",100)),((SEARCH(CHAR(10)&amp;I919&amp;CHAR(10),H919)-LEN(SUBSTITUTE(LEFT(H919,SEARCH(CHAR(10)&amp;I919&amp;CHAR(10),H919)),CHAR(10),"")))-1)*100+1,100))),""))</f>
        <v/>
      </c>
      <c r="K919" s="80" t="str">
        <f t="array" ref="K919">IF(A919="","",IF(ISNUMBER(SEARCH("Land",LEFT(IFERROR(INDEX('Deck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19" s="80" t="str">
        <f t="shared" si="3"/>
        <v/>
      </c>
      <c r="M919" s="80" t="str">
        <f>IF(A919="","",IF(AND(E919="Y",B919='Use at Shop'!$B$4),K919*10000000000+(MAX(0,MIN(26,CODE(MID(UPPER(A919)&amp;"    ",1,1))-64))*19683+MAX(0,MIN(26,CODE(MID(UPPER(A919)&amp;"    ",2,1))-64))*729+MAX(0,MIN(26,CODE(MID(UPPER(A919)&amp;"    ",3,1))-64))*27+MAX(0,MIN(26,CODE(MID(UPPER(A919)&amp;"    ",4,1))-64))*1)*10000+ROW(),""))</f>
        <v/>
      </c>
      <c r="N919" s="80" t="str">
        <f t="shared" si="7"/>
        <v/>
      </c>
      <c r="O919" s="80" t="str">
        <f t="array" ref="O919">IF(A919="","",IFERROR(INDEX('Deck 3'!$A:$Z,ROW()-750,'List Setup'!$J$5)&amp;"",""))</f>
        <v/>
      </c>
      <c r="P919" s="2"/>
      <c r="Q919" s="80" t="str">
        <f>IF(A919="","",'List Setup'!$A$5)</f>
        <v/>
      </c>
      <c r="R919" s="80" t="str">
        <f t="array" ref="R919">IF(A919="","",IFERROR(OR(INDEX(Binders!$J$6:$J$30,MATCH(Q919,Binders!$I$6:$I$30,0))=TRUE(),UPPER(INDEX(Binders!$J$6:$J$30,MATCH(Q919,Binders!$I$6:$I$30,0))&amp;"")="TRUE"),FALSE()))</f>
        <v/>
      </c>
    </row>
    <row r="920" ht="15.75" customHeight="1">
      <c r="A920" s="80" t="str">
        <f t="array" ref="A920">IF(INDEX('Deck 3'!$A:$Z,ROW()-750,'List Setup'!$D$5)="","",INDEX('Deck 3'!$A:$Z,ROW()-750,'List Setup'!$D$5))</f>
        <v/>
      </c>
      <c r="B920" s="80" t="str">
        <f t="array" ref="B920">IF(A920="","",IFERROR(INDEX('Binder Setup'!$B$2:$B$401,MIN(IF(ISNUMBER(SEARCH(CHAR(10)&amp;'Binder Setup'!$B$2:$B$401&amp;CHAR(10),$H920)),'List Setup'!$Q$2:$Q$401,999),IF(ISNUMBER(SEARCH(CHAR(10)&amp;'Set Aliases'!$A$2:$A$501&amp;CHAR(10),$H920)),'Set Aliases'!$C$2:$C$501,999))),"(none)"))</f>
        <v/>
      </c>
      <c r="C920" s="80" t="str">
        <f t="shared" si="1"/>
        <v/>
      </c>
      <c r="D920" s="80" t="str">
        <f t="array" ref="D920">IF(A920="","",IF(ISLOGICAL(INDEX('Deck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20" s="80" t="str">
        <f t="shared" si="2"/>
        <v/>
      </c>
      <c r="F920" s="80" t="str">
        <f t="array" ref="F920">IF(A920="","",IF(ISNUMBER(J920),J920,IF(ISNUMBER(INDEX('Deck 3'!$A:$Z,ROW()-750,'List Setup'!$F$5)),INDEX('Deck 3'!$A:$Z,ROW()-750,'List Setup'!$F$5),0)))</f>
        <v/>
      </c>
      <c r="G920" s="80" t="str">
        <f t="array" ref="G920">IF(A920="","",A920&amp;IF(N(INDEX('Deck 3'!$A:$Z,ROW()-750,'List Setup'!$C$5))&gt;1," (x"&amp;INDEX('Deck 3'!$A:$Z,ROW()-750,'List Setup'!$C$5)&amp;")","")&amp;IF(COUNTIF(Binders!$J$6:$J$30,TRUE())&gt;1," ["&amp;Q920&amp;"]",""))</f>
        <v/>
      </c>
      <c r="H920" s="80" t="str">
        <f t="array" ref="H920">IF(A920="","",CHAR(10)&amp;INDEX('Deck 3'!$A:$Z,ROW()-750,'List Setup'!$E$5)&amp;CHAR(10))</f>
        <v/>
      </c>
      <c r="I920" s="80" t="str">
        <f t="array" ref="I920">IF(OR(B920="",B920="(none)"),"",IF(ISNUMBER(SEARCH(CHAR(10)&amp;B920&amp;CHAR(10),H920)),B920,IFERROR(INDEX('Set Aliases'!$A$2:$A$501,MATCH(1,('Set Aliases'!$B$2:$B$501=B920)*ISNUMBER(SEARCH(CHAR(10)&amp;'Set Aliases'!$A$2:$A$501&amp;CHAR(10),H920)),0)),"")))</f>
        <v/>
      </c>
      <c r="J920" s="80" t="str">
        <f t="array" ref="J920">IF(I920="","",IFERROR(VALUE(TRIM(MID(SUBSTITUTE(INDEX('Deck 3'!$A:$Z,ROW()-750,'List Setup'!$G$5),CHAR(10),REPT(" ",100)),((SEARCH(CHAR(10)&amp;I920&amp;CHAR(10),H920)-LEN(SUBSTITUTE(LEFT(H920,SEARCH(CHAR(10)&amp;I920&amp;CHAR(10),H920)),CHAR(10),"")))-1)*100+1,100))),""))</f>
        <v/>
      </c>
      <c r="K920" s="80" t="str">
        <f t="array" ref="K920">IF(A920="","",IF(ISNUMBER(SEARCH("Land",LEFT(IFERROR(INDEX('Deck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20" s="80" t="str">
        <f t="shared" si="3"/>
        <v/>
      </c>
      <c r="M920" s="80" t="str">
        <f>IF(A920="","",IF(AND(E920="Y",B920='Use at Shop'!$B$4),K920*10000000000+(MAX(0,MIN(26,CODE(MID(UPPER(A920)&amp;"    ",1,1))-64))*19683+MAX(0,MIN(26,CODE(MID(UPPER(A920)&amp;"    ",2,1))-64))*729+MAX(0,MIN(26,CODE(MID(UPPER(A920)&amp;"    ",3,1))-64))*27+MAX(0,MIN(26,CODE(MID(UPPER(A920)&amp;"    ",4,1))-64))*1)*10000+ROW(),""))</f>
        <v/>
      </c>
      <c r="N920" s="80" t="str">
        <f t="shared" si="7"/>
        <v/>
      </c>
      <c r="O920" s="80" t="str">
        <f t="array" ref="O920">IF(A920="","",IFERROR(INDEX('Deck 3'!$A:$Z,ROW()-750,'List Setup'!$J$5)&amp;"",""))</f>
        <v/>
      </c>
      <c r="P920" s="2"/>
      <c r="Q920" s="80" t="str">
        <f>IF(A920="","",'List Setup'!$A$5)</f>
        <v/>
      </c>
      <c r="R920" s="80" t="str">
        <f t="array" ref="R920">IF(A920="","",IFERROR(OR(INDEX(Binders!$J$6:$J$30,MATCH(Q920,Binders!$I$6:$I$30,0))=TRUE(),UPPER(INDEX(Binders!$J$6:$J$30,MATCH(Q920,Binders!$I$6:$I$30,0))&amp;"")="TRUE"),FALSE()))</f>
        <v/>
      </c>
    </row>
    <row r="921" ht="15.75" customHeight="1">
      <c r="A921" s="80" t="str">
        <f t="array" ref="A921">IF(INDEX('Deck 3'!$A:$Z,ROW()-750,'List Setup'!$D$5)="","",INDEX('Deck 3'!$A:$Z,ROW()-750,'List Setup'!$D$5))</f>
        <v/>
      </c>
      <c r="B921" s="80" t="str">
        <f t="array" ref="B921">IF(A921="","",IFERROR(INDEX('Binder Setup'!$B$2:$B$401,MIN(IF(ISNUMBER(SEARCH(CHAR(10)&amp;'Binder Setup'!$B$2:$B$401&amp;CHAR(10),$H921)),'List Setup'!$Q$2:$Q$401,999),IF(ISNUMBER(SEARCH(CHAR(10)&amp;'Set Aliases'!$A$2:$A$501&amp;CHAR(10),$H921)),'Set Aliases'!$C$2:$C$501,999))),"(none)"))</f>
        <v/>
      </c>
      <c r="C921" s="80" t="str">
        <f t="shared" si="1"/>
        <v/>
      </c>
      <c r="D921" s="80" t="str">
        <f t="array" ref="D921">IF(A921="","",IF(ISLOGICAL(INDEX('Deck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21" s="80" t="str">
        <f t="shared" si="2"/>
        <v/>
      </c>
      <c r="F921" s="80" t="str">
        <f t="array" ref="F921">IF(A921="","",IF(ISNUMBER(J921),J921,IF(ISNUMBER(INDEX('Deck 3'!$A:$Z,ROW()-750,'List Setup'!$F$5)),INDEX('Deck 3'!$A:$Z,ROW()-750,'List Setup'!$F$5),0)))</f>
        <v/>
      </c>
      <c r="G921" s="80" t="str">
        <f t="array" ref="G921">IF(A921="","",A921&amp;IF(N(INDEX('Deck 3'!$A:$Z,ROW()-750,'List Setup'!$C$5))&gt;1," (x"&amp;INDEX('Deck 3'!$A:$Z,ROW()-750,'List Setup'!$C$5)&amp;")","")&amp;IF(COUNTIF(Binders!$J$6:$J$30,TRUE())&gt;1," ["&amp;Q921&amp;"]",""))</f>
        <v/>
      </c>
      <c r="H921" s="80" t="str">
        <f t="array" ref="H921">IF(A921="","",CHAR(10)&amp;INDEX('Deck 3'!$A:$Z,ROW()-750,'List Setup'!$E$5)&amp;CHAR(10))</f>
        <v/>
      </c>
      <c r="I921" s="80" t="str">
        <f t="array" ref="I921">IF(OR(B921="",B921="(none)"),"",IF(ISNUMBER(SEARCH(CHAR(10)&amp;B921&amp;CHAR(10),H921)),B921,IFERROR(INDEX('Set Aliases'!$A$2:$A$501,MATCH(1,('Set Aliases'!$B$2:$B$501=B921)*ISNUMBER(SEARCH(CHAR(10)&amp;'Set Aliases'!$A$2:$A$501&amp;CHAR(10),H921)),0)),"")))</f>
        <v/>
      </c>
      <c r="J921" s="80" t="str">
        <f t="array" ref="J921">IF(I921="","",IFERROR(VALUE(TRIM(MID(SUBSTITUTE(INDEX('Deck 3'!$A:$Z,ROW()-750,'List Setup'!$G$5),CHAR(10),REPT(" ",100)),((SEARCH(CHAR(10)&amp;I921&amp;CHAR(10),H921)-LEN(SUBSTITUTE(LEFT(H921,SEARCH(CHAR(10)&amp;I921&amp;CHAR(10),H921)),CHAR(10),"")))-1)*100+1,100))),""))</f>
        <v/>
      </c>
      <c r="K921" s="80" t="str">
        <f t="array" ref="K921">IF(A921="","",IF(ISNUMBER(SEARCH("Land",LEFT(IFERROR(INDEX('Deck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21" s="80" t="str">
        <f t="shared" si="3"/>
        <v/>
      </c>
      <c r="M921" s="80" t="str">
        <f>IF(A921="","",IF(AND(E921="Y",B921='Use at Shop'!$B$4),K921*10000000000+(MAX(0,MIN(26,CODE(MID(UPPER(A921)&amp;"    ",1,1))-64))*19683+MAX(0,MIN(26,CODE(MID(UPPER(A921)&amp;"    ",2,1))-64))*729+MAX(0,MIN(26,CODE(MID(UPPER(A921)&amp;"    ",3,1))-64))*27+MAX(0,MIN(26,CODE(MID(UPPER(A921)&amp;"    ",4,1))-64))*1)*10000+ROW(),""))</f>
        <v/>
      </c>
      <c r="N921" s="80" t="str">
        <f t="shared" si="7"/>
        <v/>
      </c>
      <c r="O921" s="80" t="str">
        <f t="array" ref="O921">IF(A921="","",IFERROR(INDEX('Deck 3'!$A:$Z,ROW()-750,'List Setup'!$J$5)&amp;"",""))</f>
        <v/>
      </c>
      <c r="P921" s="2"/>
      <c r="Q921" s="80" t="str">
        <f>IF(A921="","",'List Setup'!$A$5)</f>
        <v/>
      </c>
      <c r="R921" s="80" t="str">
        <f t="array" ref="R921">IF(A921="","",IFERROR(OR(INDEX(Binders!$J$6:$J$30,MATCH(Q921,Binders!$I$6:$I$30,0))=TRUE(),UPPER(INDEX(Binders!$J$6:$J$30,MATCH(Q921,Binders!$I$6:$I$30,0))&amp;"")="TRUE"),FALSE()))</f>
        <v/>
      </c>
    </row>
    <row r="922" ht="15.75" customHeight="1">
      <c r="A922" s="80" t="str">
        <f t="array" ref="A922">IF(INDEX('Deck 3'!$A:$Z,ROW()-750,'List Setup'!$D$5)="","",INDEX('Deck 3'!$A:$Z,ROW()-750,'List Setup'!$D$5))</f>
        <v/>
      </c>
      <c r="B922" s="80" t="str">
        <f t="array" ref="B922">IF(A922="","",IFERROR(INDEX('Binder Setup'!$B$2:$B$401,MIN(IF(ISNUMBER(SEARCH(CHAR(10)&amp;'Binder Setup'!$B$2:$B$401&amp;CHAR(10),$H922)),'List Setup'!$Q$2:$Q$401,999),IF(ISNUMBER(SEARCH(CHAR(10)&amp;'Set Aliases'!$A$2:$A$501&amp;CHAR(10),$H922)),'Set Aliases'!$C$2:$C$501,999))),"(none)"))</f>
        <v/>
      </c>
      <c r="C922" s="80" t="str">
        <f t="shared" si="1"/>
        <v/>
      </c>
      <c r="D922" s="80" t="str">
        <f t="array" ref="D922">IF(A922="","",IF(ISLOGICAL(INDEX('Deck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22" s="80" t="str">
        <f t="shared" si="2"/>
        <v/>
      </c>
      <c r="F922" s="80" t="str">
        <f t="array" ref="F922">IF(A922="","",IF(ISNUMBER(J922),J922,IF(ISNUMBER(INDEX('Deck 3'!$A:$Z,ROW()-750,'List Setup'!$F$5)),INDEX('Deck 3'!$A:$Z,ROW()-750,'List Setup'!$F$5),0)))</f>
        <v/>
      </c>
      <c r="G922" s="80" t="str">
        <f t="array" ref="G922">IF(A922="","",A922&amp;IF(N(INDEX('Deck 3'!$A:$Z,ROW()-750,'List Setup'!$C$5))&gt;1," (x"&amp;INDEX('Deck 3'!$A:$Z,ROW()-750,'List Setup'!$C$5)&amp;")","")&amp;IF(COUNTIF(Binders!$J$6:$J$30,TRUE())&gt;1," ["&amp;Q922&amp;"]",""))</f>
        <v/>
      </c>
      <c r="H922" s="80" t="str">
        <f t="array" ref="H922">IF(A922="","",CHAR(10)&amp;INDEX('Deck 3'!$A:$Z,ROW()-750,'List Setup'!$E$5)&amp;CHAR(10))</f>
        <v/>
      </c>
      <c r="I922" s="80" t="str">
        <f t="array" ref="I922">IF(OR(B922="",B922="(none)"),"",IF(ISNUMBER(SEARCH(CHAR(10)&amp;B922&amp;CHAR(10),H922)),B922,IFERROR(INDEX('Set Aliases'!$A$2:$A$501,MATCH(1,('Set Aliases'!$B$2:$B$501=B922)*ISNUMBER(SEARCH(CHAR(10)&amp;'Set Aliases'!$A$2:$A$501&amp;CHAR(10),H922)),0)),"")))</f>
        <v/>
      </c>
      <c r="J922" s="80" t="str">
        <f t="array" ref="J922">IF(I922="","",IFERROR(VALUE(TRIM(MID(SUBSTITUTE(INDEX('Deck 3'!$A:$Z,ROW()-750,'List Setup'!$G$5),CHAR(10),REPT(" ",100)),((SEARCH(CHAR(10)&amp;I922&amp;CHAR(10),H922)-LEN(SUBSTITUTE(LEFT(H922,SEARCH(CHAR(10)&amp;I922&amp;CHAR(10),H922)),CHAR(10),"")))-1)*100+1,100))),""))</f>
        <v/>
      </c>
      <c r="K922" s="80" t="str">
        <f t="array" ref="K922">IF(A922="","",IF(ISNUMBER(SEARCH("Land",LEFT(IFERROR(INDEX('Deck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22" s="80" t="str">
        <f t="shared" si="3"/>
        <v/>
      </c>
      <c r="M922" s="80" t="str">
        <f>IF(A922="","",IF(AND(E922="Y",B922='Use at Shop'!$B$4),K922*10000000000+(MAX(0,MIN(26,CODE(MID(UPPER(A922)&amp;"    ",1,1))-64))*19683+MAX(0,MIN(26,CODE(MID(UPPER(A922)&amp;"    ",2,1))-64))*729+MAX(0,MIN(26,CODE(MID(UPPER(A922)&amp;"    ",3,1))-64))*27+MAX(0,MIN(26,CODE(MID(UPPER(A922)&amp;"    ",4,1))-64))*1)*10000+ROW(),""))</f>
        <v/>
      </c>
      <c r="N922" s="80" t="str">
        <f t="shared" si="7"/>
        <v/>
      </c>
      <c r="O922" s="80" t="str">
        <f t="array" ref="O922">IF(A922="","",IFERROR(INDEX('Deck 3'!$A:$Z,ROW()-750,'List Setup'!$J$5)&amp;"",""))</f>
        <v/>
      </c>
      <c r="P922" s="2"/>
      <c r="Q922" s="80" t="str">
        <f>IF(A922="","",'List Setup'!$A$5)</f>
        <v/>
      </c>
      <c r="R922" s="80" t="str">
        <f t="array" ref="R922">IF(A922="","",IFERROR(OR(INDEX(Binders!$J$6:$J$30,MATCH(Q922,Binders!$I$6:$I$30,0))=TRUE(),UPPER(INDEX(Binders!$J$6:$J$30,MATCH(Q922,Binders!$I$6:$I$30,0))&amp;"")="TRUE"),FALSE()))</f>
        <v/>
      </c>
    </row>
    <row r="923" ht="15.75" customHeight="1">
      <c r="A923" s="80" t="str">
        <f t="array" ref="A923">IF(INDEX('Deck 3'!$A:$Z,ROW()-750,'List Setup'!$D$5)="","",INDEX('Deck 3'!$A:$Z,ROW()-750,'List Setup'!$D$5))</f>
        <v/>
      </c>
      <c r="B923" s="80" t="str">
        <f t="array" ref="B923">IF(A923="","",IFERROR(INDEX('Binder Setup'!$B$2:$B$401,MIN(IF(ISNUMBER(SEARCH(CHAR(10)&amp;'Binder Setup'!$B$2:$B$401&amp;CHAR(10),$H923)),'List Setup'!$Q$2:$Q$401,999),IF(ISNUMBER(SEARCH(CHAR(10)&amp;'Set Aliases'!$A$2:$A$501&amp;CHAR(10),$H923)),'Set Aliases'!$C$2:$C$501,999))),"(none)"))</f>
        <v/>
      </c>
      <c r="C923" s="80" t="str">
        <f t="shared" si="1"/>
        <v/>
      </c>
      <c r="D923" s="80" t="str">
        <f t="array" ref="D923">IF(A923="","",IF(ISLOGICAL(INDEX('Deck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23" s="80" t="str">
        <f t="shared" si="2"/>
        <v/>
      </c>
      <c r="F923" s="80" t="str">
        <f t="array" ref="F923">IF(A923="","",IF(ISNUMBER(J923),J923,IF(ISNUMBER(INDEX('Deck 3'!$A:$Z,ROW()-750,'List Setup'!$F$5)),INDEX('Deck 3'!$A:$Z,ROW()-750,'List Setup'!$F$5),0)))</f>
        <v/>
      </c>
      <c r="G923" s="80" t="str">
        <f t="array" ref="G923">IF(A923="","",A923&amp;IF(N(INDEX('Deck 3'!$A:$Z,ROW()-750,'List Setup'!$C$5))&gt;1," (x"&amp;INDEX('Deck 3'!$A:$Z,ROW()-750,'List Setup'!$C$5)&amp;")","")&amp;IF(COUNTIF(Binders!$J$6:$J$30,TRUE())&gt;1," ["&amp;Q923&amp;"]",""))</f>
        <v/>
      </c>
      <c r="H923" s="80" t="str">
        <f t="array" ref="H923">IF(A923="","",CHAR(10)&amp;INDEX('Deck 3'!$A:$Z,ROW()-750,'List Setup'!$E$5)&amp;CHAR(10))</f>
        <v/>
      </c>
      <c r="I923" s="80" t="str">
        <f t="array" ref="I923">IF(OR(B923="",B923="(none)"),"",IF(ISNUMBER(SEARCH(CHAR(10)&amp;B923&amp;CHAR(10),H923)),B923,IFERROR(INDEX('Set Aliases'!$A$2:$A$501,MATCH(1,('Set Aliases'!$B$2:$B$501=B923)*ISNUMBER(SEARCH(CHAR(10)&amp;'Set Aliases'!$A$2:$A$501&amp;CHAR(10),H923)),0)),"")))</f>
        <v/>
      </c>
      <c r="J923" s="80" t="str">
        <f t="array" ref="J923">IF(I923="","",IFERROR(VALUE(TRIM(MID(SUBSTITUTE(INDEX('Deck 3'!$A:$Z,ROW()-750,'List Setup'!$G$5),CHAR(10),REPT(" ",100)),((SEARCH(CHAR(10)&amp;I923&amp;CHAR(10),H923)-LEN(SUBSTITUTE(LEFT(H923,SEARCH(CHAR(10)&amp;I923&amp;CHAR(10),H923)),CHAR(10),"")))-1)*100+1,100))),""))</f>
        <v/>
      </c>
      <c r="K923" s="80" t="str">
        <f t="array" ref="K923">IF(A923="","",IF(ISNUMBER(SEARCH("Land",LEFT(IFERROR(INDEX('Deck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23" s="80" t="str">
        <f t="shared" si="3"/>
        <v/>
      </c>
      <c r="M923" s="80" t="str">
        <f>IF(A923="","",IF(AND(E923="Y",B923='Use at Shop'!$B$4),K923*10000000000+(MAX(0,MIN(26,CODE(MID(UPPER(A923)&amp;"    ",1,1))-64))*19683+MAX(0,MIN(26,CODE(MID(UPPER(A923)&amp;"    ",2,1))-64))*729+MAX(0,MIN(26,CODE(MID(UPPER(A923)&amp;"    ",3,1))-64))*27+MAX(0,MIN(26,CODE(MID(UPPER(A923)&amp;"    ",4,1))-64))*1)*10000+ROW(),""))</f>
        <v/>
      </c>
      <c r="N923" s="80" t="str">
        <f t="shared" si="7"/>
        <v/>
      </c>
      <c r="O923" s="80" t="str">
        <f t="array" ref="O923">IF(A923="","",IFERROR(INDEX('Deck 3'!$A:$Z,ROW()-750,'List Setup'!$J$5)&amp;"",""))</f>
        <v/>
      </c>
      <c r="P923" s="2"/>
      <c r="Q923" s="80" t="str">
        <f>IF(A923="","",'List Setup'!$A$5)</f>
        <v/>
      </c>
      <c r="R923" s="80" t="str">
        <f t="array" ref="R923">IF(A923="","",IFERROR(OR(INDEX(Binders!$J$6:$J$30,MATCH(Q923,Binders!$I$6:$I$30,0))=TRUE(),UPPER(INDEX(Binders!$J$6:$J$30,MATCH(Q923,Binders!$I$6:$I$30,0))&amp;"")="TRUE"),FALSE()))</f>
        <v/>
      </c>
    </row>
    <row r="924" ht="15.75" customHeight="1">
      <c r="A924" s="80" t="str">
        <f t="array" ref="A924">IF(INDEX('Deck 3'!$A:$Z,ROW()-750,'List Setup'!$D$5)="","",INDEX('Deck 3'!$A:$Z,ROW()-750,'List Setup'!$D$5))</f>
        <v/>
      </c>
      <c r="B924" s="80" t="str">
        <f t="array" ref="B924">IF(A924="","",IFERROR(INDEX('Binder Setup'!$B$2:$B$401,MIN(IF(ISNUMBER(SEARCH(CHAR(10)&amp;'Binder Setup'!$B$2:$B$401&amp;CHAR(10),$H924)),'List Setup'!$Q$2:$Q$401,999),IF(ISNUMBER(SEARCH(CHAR(10)&amp;'Set Aliases'!$A$2:$A$501&amp;CHAR(10),$H924)),'Set Aliases'!$C$2:$C$501,999))),"(none)"))</f>
        <v/>
      </c>
      <c r="C924" s="80" t="str">
        <f t="shared" si="1"/>
        <v/>
      </c>
      <c r="D924" s="80" t="str">
        <f t="array" ref="D924">IF(A924="","",IF(ISLOGICAL(INDEX('Deck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24" s="80" t="str">
        <f t="shared" si="2"/>
        <v/>
      </c>
      <c r="F924" s="80" t="str">
        <f t="array" ref="F924">IF(A924="","",IF(ISNUMBER(J924),J924,IF(ISNUMBER(INDEX('Deck 3'!$A:$Z,ROW()-750,'List Setup'!$F$5)),INDEX('Deck 3'!$A:$Z,ROW()-750,'List Setup'!$F$5),0)))</f>
        <v/>
      </c>
      <c r="G924" s="80" t="str">
        <f t="array" ref="G924">IF(A924="","",A924&amp;IF(N(INDEX('Deck 3'!$A:$Z,ROW()-750,'List Setup'!$C$5))&gt;1," (x"&amp;INDEX('Deck 3'!$A:$Z,ROW()-750,'List Setup'!$C$5)&amp;")","")&amp;IF(COUNTIF(Binders!$J$6:$J$30,TRUE())&gt;1," ["&amp;Q924&amp;"]",""))</f>
        <v/>
      </c>
      <c r="H924" s="80" t="str">
        <f t="array" ref="H924">IF(A924="","",CHAR(10)&amp;INDEX('Deck 3'!$A:$Z,ROW()-750,'List Setup'!$E$5)&amp;CHAR(10))</f>
        <v/>
      </c>
      <c r="I924" s="80" t="str">
        <f t="array" ref="I924">IF(OR(B924="",B924="(none)"),"",IF(ISNUMBER(SEARCH(CHAR(10)&amp;B924&amp;CHAR(10),H924)),B924,IFERROR(INDEX('Set Aliases'!$A$2:$A$501,MATCH(1,('Set Aliases'!$B$2:$B$501=B924)*ISNUMBER(SEARCH(CHAR(10)&amp;'Set Aliases'!$A$2:$A$501&amp;CHAR(10),H924)),0)),"")))</f>
        <v/>
      </c>
      <c r="J924" s="80" t="str">
        <f t="array" ref="J924">IF(I924="","",IFERROR(VALUE(TRIM(MID(SUBSTITUTE(INDEX('Deck 3'!$A:$Z,ROW()-750,'List Setup'!$G$5),CHAR(10),REPT(" ",100)),((SEARCH(CHAR(10)&amp;I924&amp;CHAR(10),H924)-LEN(SUBSTITUTE(LEFT(H924,SEARCH(CHAR(10)&amp;I924&amp;CHAR(10),H924)),CHAR(10),"")))-1)*100+1,100))),""))</f>
        <v/>
      </c>
      <c r="K924" s="80" t="str">
        <f t="array" ref="K924">IF(A924="","",IF(ISNUMBER(SEARCH("Land",LEFT(IFERROR(INDEX('Deck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24" s="80" t="str">
        <f t="shared" si="3"/>
        <v/>
      </c>
      <c r="M924" s="80" t="str">
        <f>IF(A924="","",IF(AND(E924="Y",B924='Use at Shop'!$B$4),K924*10000000000+(MAX(0,MIN(26,CODE(MID(UPPER(A924)&amp;"    ",1,1))-64))*19683+MAX(0,MIN(26,CODE(MID(UPPER(A924)&amp;"    ",2,1))-64))*729+MAX(0,MIN(26,CODE(MID(UPPER(A924)&amp;"    ",3,1))-64))*27+MAX(0,MIN(26,CODE(MID(UPPER(A924)&amp;"    ",4,1))-64))*1)*10000+ROW(),""))</f>
        <v/>
      </c>
      <c r="N924" s="80" t="str">
        <f t="shared" si="7"/>
        <v/>
      </c>
      <c r="O924" s="80" t="str">
        <f t="array" ref="O924">IF(A924="","",IFERROR(INDEX('Deck 3'!$A:$Z,ROW()-750,'List Setup'!$J$5)&amp;"",""))</f>
        <v/>
      </c>
      <c r="P924" s="2"/>
      <c r="Q924" s="80" t="str">
        <f>IF(A924="","",'List Setup'!$A$5)</f>
        <v/>
      </c>
      <c r="R924" s="80" t="str">
        <f t="array" ref="R924">IF(A924="","",IFERROR(OR(INDEX(Binders!$J$6:$J$30,MATCH(Q924,Binders!$I$6:$I$30,0))=TRUE(),UPPER(INDEX(Binders!$J$6:$J$30,MATCH(Q924,Binders!$I$6:$I$30,0))&amp;"")="TRUE"),FALSE()))</f>
        <v/>
      </c>
    </row>
    <row r="925" ht="15.75" customHeight="1">
      <c r="A925" s="80" t="str">
        <f t="array" ref="A925">IF(INDEX('Deck 3'!$A:$Z,ROW()-750,'List Setup'!$D$5)="","",INDEX('Deck 3'!$A:$Z,ROW()-750,'List Setup'!$D$5))</f>
        <v/>
      </c>
      <c r="B925" s="80" t="str">
        <f t="array" ref="B925">IF(A925="","",IFERROR(INDEX('Binder Setup'!$B$2:$B$401,MIN(IF(ISNUMBER(SEARCH(CHAR(10)&amp;'Binder Setup'!$B$2:$B$401&amp;CHAR(10),$H925)),'List Setup'!$Q$2:$Q$401,999),IF(ISNUMBER(SEARCH(CHAR(10)&amp;'Set Aliases'!$A$2:$A$501&amp;CHAR(10),$H925)),'Set Aliases'!$C$2:$C$501,999))),"(none)"))</f>
        <v/>
      </c>
      <c r="C925" s="80" t="str">
        <f t="shared" si="1"/>
        <v/>
      </c>
      <c r="D925" s="80" t="str">
        <f t="array" ref="D925">IF(A925="","",IF(ISLOGICAL(INDEX('Deck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25" s="80" t="str">
        <f t="shared" si="2"/>
        <v/>
      </c>
      <c r="F925" s="80" t="str">
        <f t="array" ref="F925">IF(A925="","",IF(ISNUMBER(J925),J925,IF(ISNUMBER(INDEX('Deck 3'!$A:$Z,ROW()-750,'List Setup'!$F$5)),INDEX('Deck 3'!$A:$Z,ROW()-750,'List Setup'!$F$5),0)))</f>
        <v/>
      </c>
      <c r="G925" s="80" t="str">
        <f t="array" ref="G925">IF(A925="","",A925&amp;IF(N(INDEX('Deck 3'!$A:$Z,ROW()-750,'List Setup'!$C$5))&gt;1," (x"&amp;INDEX('Deck 3'!$A:$Z,ROW()-750,'List Setup'!$C$5)&amp;")","")&amp;IF(COUNTIF(Binders!$J$6:$J$30,TRUE())&gt;1," ["&amp;Q925&amp;"]",""))</f>
        <v/>
      </c>
      <c r="H925" s="80" t="str">
        <f t="array" ref="H925">IF(A925="","",CHAR(10)&amp;INDEX('Deck 3'!$A:$Z,ROW()-750,'List Setup'!$E$5)&amp;CHAR(10))</f>
        <v/>
      </c>
      <c r="I925" s="80" t="str">
        <f t="array" ref="I925">IF(OR(B925="",B925="(none)"),"",IF(ISNUMBER(SEARCH(CHAR(10)&amp;B925&amp;CHAR(10),H925)),B925,IFERROR(INDEX('Set Aliases'!$A$2:$A$501,MATCH(1,('Set Aliases'!$B$2:$B$501=B925)*ISNUMBER(SEARCH(CHAR(10)&amp;'Set Aliases'!$A$2:$A$501&amp;CHAR(10),H925)),0)),"")))</f>
        <v/>
      </c>
      <c r="J925" s="80" t="str">
        <f t="array" ref="J925">IF(I925="","",IFERROR(VALUE(TRIM(MID(SUBSTITUTE(INDEX('Deck 3'!$A:$Z,ROW()-750,'List Setup'!$G$5),CHAR(10),REPT(" ",100)),((SEARCH(CHAR(10)&amp;I925&amp;CHAR(10),H925)-LEN(SUBSTITUTE(LEFT(H925,SEARCH(CHAR(10)&amp;I925&amp;CHAR(10),H925)),CHAR(10),"")))-1)*100+1,100))),""))</f>
        <v/>
      </c>
      <c r="K925" s="80" t="str">
        <f t="array" ref="K925">IF(A925="","",IF(ISNUMBER(SEARCH("Land",LEFT(IFERROR(INDEX('Deck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25" s="80" t="str">
        <f t="shared" si="3"/>
        <v/>
      </c>
      <c r="M925" s="80" t="str">
        <f>IF(A925="","",IF(AND(E925="Y",B925='Use at Shop'!$B$4),K925*10000000000+(MAX(0,MIN(26,CODE(MID(UPPER(A925)&amp;"    ",1,1))-64))*19683+MAX(0,MIN(26,CODE(MID(UPPER(A925)&amp;"    ",2,1))-64))*729+MAX(0,MIN(26,CODE(MID(UPPER(A925)&amp;"    ",3,1))-64))*27+MAX(0,MIN(26,CODE(MID(UPPER(A925)&amp;"    ",4,1))-64))*1)*10000+ROW(),""))</f>
        <v/>
      </c>
      <c r="N925" s="80" t="str">
        <f t="shared" si="7"/>
        <v/>
      </c>
      <c r="O925" s="80" t="str">
        <f t="array" ref="O925">IF(A925="","",IFERROR(INDEX('Deck 3'!$A:$Z,ROW()-750,'List Setup'!$J$5)&amp;"",""))</f>
        <v/>
      </c>
      <c r="P925" s="2"/>
      <c r="Q925" s="80" t="str">
        <f>IF(A925="","",'List Setup'!$A$5)</f>
        <v/>
      </c>
      <c r="R925" s="80" t="str">
        <f t="array" ref="R925">IF(A925="","",IFERROR(OR(INDEX(Binders!$J$6:$J$30,MATCH(Q925,Binders!$I$6:$I$30,0))=TRUE(),UPPER(INDEX(Binders!$J$6:$J$30,MATCH(Q925,Binders!$I$6:$I$30,0))&amp;"")="TRUE"),FALSE()))</f>
        <v/>
      </c>
    </row>
    <row r="926" ht="15.75" customHeight="1">
      <c r="A926" s="80" t="str">
        <f t="array" ref="A926">IF(INDEX('Deck 3'!$A:$Z,ROW()-750,'List Setup'!$D$5)="","",INDEX('Deck 3'!$A:$Z,ROW()-750,'List Setup'!$D$5))</f>
        <v/>
      </c>
      <c r="B926" s="80" t="str">
        <f t="array" ref="B926">IF(A926="","",IFERROR(INDEX('Binder Setup'!$B$2:$B$401,MIN(IF(ISNUMBER(SEARCH(CHAR(10)&amp;'Binder Setup'!$B$2:$B$401&amp;CHAR(10),$H926)),'List Setup'!$Q$2:$Q$401,999),IF(ISNUMBER(SEARCH(CHAR(10)&amp;'Set Aliases'!$A$2:$A$501&amp;CHAR(10),$H926)),'Set Aliases'!$C$2:$C$501,999))),"(none)"))</f>
        <v/>
      </c>
      <c r="C926" s="80" t="str">
        <f t="shared" si="1"/>
        <v/>
      </c>
      <c r="D926" s="80" t="str">
        <f t="array" ref="D926">IF(A926="","",IF(ISLOGICAL(INDEX('Deck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26" s="80" t="str">
        <f t="shared" si="2"/>
        <v/>
      </c>
      <c r="F926" s="80" t="str">
        <f t="array" ref="F926">IF(A926="","",IF(ISNUMBER(J926),J926,IF(ISNUMBER(INDEX('Deck 3'!$A:$Z,ROW()-750,'List Setup'!$F$5)),INDEX('Deck 3'!$A:$Z,ROW()-750,'List Setup'!$F$5),0)))</f>
        <v/>
      </c>
      <c r="G926" s="80" t="str">
        <f t="array" ref="G926">IF(A926="","",A926&amp;IF(N(INDEX('Deck 3'!$A:$Z,ROW()-750,'List Setup'!$C$5))&gt;1," (x"&amp;INDEX('Deck 3'!$A:$Z,ROW()-750,'List Setup'!$C$5)&amp;")","")&amp;IF(COUNTIF(Binders!$J$6:$J$30,TRUE())&gt;1," ["&amp;Q926&amp;"]",""))</f>
        <v/>
      </c>
      <c r="H926" s="80" t="str">
        <f t="array" ref="H926">IF(A926="","",CHAR(10)&amp;INDEX('Deck 3'!$A:$Z,ROW()-750,'List Setup'!$E$5)&amp;CHAR(10))</f>
        <v/>
      </c>
      <c r="I926" s="80" t="str">
        <f t="array" ref="I926">IF(OR(B926="",B926="(none)"),"",IF(ISNUMBER(SEARCH(CHAR(10)&amp;B926&amp;CHAR(10),H926)),B926,IFERROR(INDEX('Set Aliases'!$A$2:$A$501,MATCH(1,('Set Aliases'!$B$2:$B$501=B926)*ISNUMBER(SEARCH(CHAR(10)&amp;'Set Aliases'!$A$2:$A$501&amp;CHAR(10),H926)),0)),"")))</f>
        <v/>
      </c>
      <c r="J926" s="80" t="str">
        <f t="array" ref="J926">IF(I926="","",IFERROR(VALUE(TRIM(MID(SUBSTITUTE(INDEX('Deck 3'!$A:$Z,ROW()-750,'List Setup'!$G$5),CHAR(10),REPT(" ",100)),((SEARCH(CHAR(10)&amp;I926&amp;CHAR(10),H926)-LEN(SUBSTITUTE(LEFT(H926,SEARCH(CHAR(10)&amp;I926&amp;CHAR(10),H926)),CHAR(10),"")))-1)*100+1,100))),""))</f>
        <v/>
      </c>
      <c r="K926" s="80" t="str">
        <f t="array" ref="K926">IF(A926="","",IF(ISNUMBER(SEARCH("Land",LEFT(IFERROR(INDEX('Deck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26" s="80" t="str">
        <f t="shared" si="3"/>
        <v/>
      </c>
      <c r="M926" s="80" t="str">
        <f>IF(A926="","",IF(AND(E926="Y",B926='Use at Shop'!$B$4),K926*10000000000+(MAX(0,MIN(26,CODE(MID(UPPER(A926)&amp;"    ",1,1))-64))*19683+MAX(0,MIN(26,CODE(MID(UPPER(A926)&amp;"    ",2,1))-64))*729+MAX(0,MIN(26,CODE(MID(UPPER(A926)&amp;"    ",3,1))-64))*27+MAX(0,MIN(26,CODE(MID(UPPER(A926)&amp;"    ",4,1))-64))*1)*10000+ROW(),""))</f>
        <v/>
      </c>
      <c r="N926" s="80" t="str">
        <f t="shared" si="7"/>
        <v/>
      </c>
      <c r="O926" s="80" t="str">
        <f t="array" ref="O926">IF(A926="","",IFERROR(INDEX('Deck 3'!$A:$Z,ROW()-750,'List Setup'!$J$5)&amp;"",""))</f>
        <v/>
      </c>
      <c r="P926" s="2"/>
      <c r="Q926" s="80" t="str">
        <f>IF(A926="","",'List Setup'!$A$5)</f>
        <v/>
      </c>
      <c r="R926" s="80" t="str">
        <f t="array" ref="R926">IF(A926="","",IFERROR(OR(INDEX(Binders!$J$6:$J$30,MATCH(Q926,Binders!$I$6:$I$30,0))=TRUE(),UPPER(INDEX(Binders!$J$6:$J$30,MATCH(Q926,Binders!$I$6:$I$30,0))&amp;"")="TRUE"),FALSE()))</f>
        <v/>
      </c>
    </row>
    <row r="927" ht="15.75" customHeight="1">
      <c r="A927" s="80" t="str">
        <f t="array" ref="A927">IF(INDEX('Deck 3'!$A:$Z,ROW()-750,'List Setup'!$D$5)="","",INDEX('Deck 3'!$A:$Z,ROW()-750,'List Setup'!$D$5))</f>
        <v/>
      </c>
      <c r="B927" s="80" t="str">
        <f t="array" ref="B927">IF(A927="","",IFERROR(INDEX('Binder Setup'!$B$2:$B$401,MIN(IF(ISNUMBER(SEARCH(CHAR(10)&amp;'Binder Setup'!$B$2:$B$401&amp;CHAR(10),$H927)),'List Setup'!$Q$2:$Q$401,999),IF(ISNUMBER(SEARCH(CHAR(10)&amp;'Set Aliases'!$A$2:$A$501&amp;CHAR(10),$H927)),'Set Aliases'!$C$2:$C$501,999))),"(none)"))</f>
        <v/>
      </c>
      <c r="C927" s="80" t="str">
        <f t="shared" si="1"/>
        <v/>
      </c>
      <c r="D927" s="80" t="str">
        <f t="array" ref="D927">IF(A927="","",IF(ISLOGICAL(INDEX('Deck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27" s="80" t="str">
        <f t="shared" si="2"/>
        <v/>
      </c>
      <c r="F927" s="80" t="str">
        <f t="array" ref="F927">IF(A927="","",IF(ISNUMBER(J927),J927,IF(ISNUMBER(INDEX('Deck 3'!$A:$Z,ROW()-750,'List Setup'!$F$5)),INDEX('Deck 3'!$A:$Z,ROW()-750,'List Setup'!$F$5),0)))</f>
        <v/>
      </c>
      <c r="G927" s="80" t="str">
        <f t="array" ref="G927">IF(A927="","",A927&amp;IF(N(INDEX('Deck 3'!$A:$Z,ROW()-750,'List Setup'!$C$5))&gt;1," (x"&amp;INDEX('Deck 3'!$A:$Z,ROW()-750,'List Setup'!$C$5)&amp;")","")&amp;IF(COUNTIF(Binders!$J$6:$J$30,TRUE())&gt;1," ["&amp;Q927&amp;"]",""))</f>
        <v/>
      </c>
      <c r="H927" s="80" t="str">
        <f t="array" ref="H927">IF(A927="","",CHAR(10)&amp;INDEX('Deck 3'!$A:$Z,ROW()-750,'List Setup'!$E$5)&amp;CHAR(10))</f>
        <v/>
      </c>
      <c r="I927" s="80" t="str">
        <f t="array" ref="I927">IF(OR(B927="",B927="(none)"),"",IF(ISNUMBER(SEARCH(CHAR(10)&amp;B927&amp;CHAR(10),H927)),B927,IFERROR(INDEX('Set Aliases'!$A$2:$A$501,MATCH(1,('Set Aliases'!$B$2:$B$501=B927)*ISNUMBER(SEARCH(CHAR(10)&amp;'Set Aliases'!$A$2:$A$501&amp;CHAR(10),H927)),0)),"")))</f>
        <v/>
      </c>
      <c r="J927" s="80" t="str">
        <f t="array" ref="J927">IF(I927="","",IFERROR(VALUE(TRIM(MID(SUBSTITUTE(INDEX('Deck 3'!$A:$Z,ROW()-750,'List Setup'!$G$5),CHAR(10),REPT(" ",100)),((SEARCH(CHAR(10)&amp;I927&amp;CHAR(10),H927)-LEN(SUBSTITUTE(LEFT(H927,SEARCH(CHAR(10)&amp;I927&amp;CHAR(10),H927)),CHAR(10),"")))-1)*100+1,100))),""))</f>
        <v/>
      </c>
      <c r="K927" s="80" t="str">
        <f t="array" ref="K927">IF(A927="","",IF(ISNUMBER(SEARCH("Land",LEFT(IFERROR(INDEX('Deck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27" s="80" t="str">
        <f t="shared" si="3"/>
        <v/>
      </c>
      <c r="M927" s="80" t="str">
        <f>IF(A927="","",IF(AND(E927="Y",B927='Use at Shop'!$B$4),K927*10000000000+(MAX(0,MIN(26,CODE(MID(UPPER(A927)&amp;"    ",1,1))-64))*19683+MAX(0,MIN(26,CODE(MID(UPPER(A927)&amp;"    ",2,1))-64))*729+MAX(0,MIN(26,CODE(MID(UPPER(A927)&amp;"    ",3,1))-64))*27+MAX(0,MIN(26,CODE(MID(UPPER(A927)&amp;"    ",4,1))-64))*1)*10000+ROW(),""))</f>
        <v/>
      </c>
      <c r="N927" s="80" t="str">
        <f t="shared" si="7"/>
        <v/>
      </c>
      <c r="O927" s="80" t="str">
        <f t="array" ref="O927">IF(A927="","",IFERROR(INDEX('Deck 3'!$A:$Z,ROW()-750,'List Setup'!$J$5)&amp;"",""))</f>
        <v/>
      </c>
      <c r="P927" s="2"/>
      <c r="Q927" s="80" t="str">
        <f>IF(A927="","",'List Setup'!$A$5)</f>
        <v/>
      </c>
      <c r="R927" s="80" t="str">
        <f t="array" ref="R927">IF(A927="","",IFERROR(OR(INDEX(Binders!$J$6:$J$30,MATCH(Q927,Binders!$I$6:$I$30,0))=TRUE(),UPPER(INDEX(Binders!$J$6:$J$30,MATCH(Q927,Binders!$I$6:$I$30,0))&amp;"")="TRUE"),FALSE()))</f>
        <v/>
      </c>
    </row>
    <row r="928" ht="15.75" customHeight="1">
      <c r="A928" s="80" t="str">
        <f t="array" ref="A928">IF(INDEX('Deck 3'!$A:$Z,ROW()-750,'List Setup'!$D$5)="","",INDEX('Deck 3'!$A:$Z,ROW()-750,'List Setup'!$D$5))</f>
        <v/>
      </c>
      <c r="B928" s="80" t="str">
        <f t="array" ref="B928">IF(A928="","",IFERROR(INDEX('Binder Setup'!$B$2:$B$401,MIN(IF(ISNUMBER(SEARCH(CHAR(10)&amp;'Binder Setup'!$B$2:$B$401&amp;CHAR(10),$H928)),'List Setup'!$Q$2:$Q$401,999),IF(ISNUMBER(SEARCH(CHAR(10)&amp;'Set Aliases'!$A$2:$A$501&amp;CHAR(10),$H928)),'Set Aliases'!$C$2:$C$501,999))),"(none)"))</f>
        <v/>
      </c>
      <c r="C928" s="80" t="str">
        <f t="shared" si="1"/>
        <v/>
      </c>
      <c r="D928" s="80" t="str">
        <f t="array" ref="D928">IF(A928="","",IF(ISLOGICAL(INDEX('Deck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28" s="80" t="str">
        <f t="shared" si="2"/>
        <v/>
      </c>
      <c r="F928" s="80" t="str">
        <f t="array" ref="F928">IF(A928="","",IF(ISNUMBER(J928),J928,IF(ISNUMBER(INDEX('Deck 3'!$A:$Z,ROW()-750,'List Setup'!$F$5)),INDEX('Deck 3'!$A:$Z,ROW()-750,'List Setup'!$F$5),0)))</f>
        <v/>
      </c>
      <c r="G928" s="80" t="str">
        <f t="array" ref="G928">IF(A928="","",A928&amp;IF(N(INDEX('Deck 3'!$A:$Z,ROW()-750,'List Setup'!$C$5))&gt;1," (x"&amp;INDEX('Deck 3'!$A:$Z,ROW()-750,'List Setup'!$C$5)&amp;")","")&amp;IF(COUNTIF(Binders!$J$6:$J$30,TRUE())&gt;1," ["&amp;Q928&amp;"]",""))</f>
        <v/>
      </c>
      <c r="H928" s="80" t="str">
        <f t="array" ref="H928">IF(A928="","",CHAR(10)&amp;INDEX('Deck 3'!$A:$Z,ROW()-750,'List Setup'!$E$5)&amp;CHAR(10))</f>
        <v/>
      </c>
      <c r="I928" s="80" t="str">
        <f t="array" ref="I928">IF(OR(B928="",B928="(none)"),"",IF(ISNUMBER(SEARCH(CHAR(10)&amp;B928&amp;CHAR(10),H928)),B928,IFERROR(INDEX('Set Aliases'!$A$2:$A$501,MATCH(1,('Set Aliases'!$B$2:$B$501=B928)*ISNUMBER(SEARCH(CHAR(10)&amp;'Set Aliases'!$A$2:$A$501&amp;CHAR(10),H928)),0)),"")))</f>
        <v/>
      </c>
      <c r="J928" s="80" t="str">
        <f t="array" ref="J928">IF(I928="","",IFERROR(VALUE(TRIM(MID(SUBSTITUTE(INDEX('Deck 3'!$A:$Z,ROW()-750,'List Setup'!$G$5),CHAR(10),REPT(" ",100)),((SEARCH(CHAR(10)&amp;I928&amp;CHAR(10),H928)-LEN(SUBSTITUTE(LEFT(H928,SEARCH(CHAR(10)&amp;I928&amp;CHAR(10),H928)),CHAR(10),"")))-1)*100+1,100))),""))</f>
        <v/>
      </c>
      <c r="K928" s="80" t="str">
        <f t="array" ref="K928">IF(A928="","",IF(ISNUMBER(SEARCH("Land",LEFT(IFERROR(INDEX('Deck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28" s="80" t="str">
        <f t="shared" si="3"/>
        <v/>
      </c>
      <c r="M928" s="80" t="str">
        <f>IF(A928="","",IF(AND(E928="Y",B928='Use at Shop'!$B$4),K928*10000000000+(MAX(0,MIN(26,CODE(MID(UPPER(A928)&amp;"    ",1,1))-64))*19683+MAX(0,MIN(26,CODE(MID(UPPER(A928)&amp;"    ",2,1))-64))*729+MAX(0,MIN(26,CODE(MID(UPPER(A928)&amp;"    ",3,1))-64))*27+MAX(0,MIN(26,CODE(MID(UPPER(A928)&amp;"    ",4,1))-64))*1)*10000+ROW(),""))</f>
        <v/>
      </c>
      <c r="N928" s="80" t="str">
        <f t="shared" si="7"/>
        <v/>
      </c>
      <c r="O928" s="80" t="str">
        <f t="array" ref="O928">IF(A928="","",IFERROR(INDEX('Deck 3'!$A:$Z,ROW()-750,'List Setup'!$J$5)&amp;"",""))</f>
        <v/>
      </c>
      <c r="P928" s="2"/>
      <c r="Q928" s="80" t="str">
        <f>IF(A928="","",'List Setup'!$A$5)</f>
        <v/>
      </c>
      <c r="R928" s="80" t="str">
        <f t="array" ref="R928">IF(A928="","",IFERROR(OR(INDEX(Binders!$J$6:$J$30,MATCH(Q928,Binders!$I$6:$I$30,0))=TRUE(),UPPER(INDEX(Binders!$J$6:$J$30,MATCH(Q928,Binders!$I$6:$I$30,0))&amp;"")="TRUE"),FALSE()))</f>
        <v/>
      </c>
    </row>
    <row r="929" ht="15.75" customHeight="1">
      <c r="A929" s="80" t="str">
        <f t="array" ref="A929">IF(INDEX('Deck 3'!$A:$Z,ROW()-750,'List Setup'!$D$5)="","",INDEX('Deck 3'!$A:$Z,ROW()-750,'List Setup'!$D$5))</f>
        <v/>
      </c>
      <c r="B929" s="80" t="str">
        <f t="array" ref="B929">IF(A929="","",IFERROR(INDEX('Binder Setup'!$B$2:$B$401,MIN(IF(ISNUMBER(SEARCH(CHAR(10)&amp;'Binder Setup'!$B$2:$B$401&amp;CHAR(10),$H929)),'List Setup'!$Q$2:$Q$401,999),IF(ISNUMBER(SEARCH(CHAR(10)&amp;'Set Aliases'!$A$2:$A$501&amp;CHAR(10),$H929)),'Set Aliases'!$C$2:$C$501,999))),"(none)"))</f>
        <v/>
      </c>
      <c r="C929" s="80" t="str">
        <f t="shared" si="1"/>
        <v/>
      </c>
      <c r="D929" s="80" t="str">
        <f t="array" ref="D929">IF(A929="","",IF(ISLOGICAL(INDEX('Deck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29" s="80" t="str">
        <f t="shared" si="2"/>
        <v/>
      </c>
      <c r="F929" s="80" t="str">
        <f t="array" ref="F929">IF(A929="","",IF(ISNUMBER(J929),J929,IF(ISNUMBER(INDEX('Deck 3'!$A:$Z,ROW()-750,'List Setup'!$F$5)),INDEX('Deck 3'!$A:$Z,ROW()-750,'List Setup'!$F$5),0)))</f>
        <v/>
      </c>
      <c r="G929" s="80" t="str">
        <f t="array" ref="G929">IF(A929="","",A929&amp;IF(N(INDEX('Deck 3'!$A:$Z,ROW()-750,'List Setup'!$C$5))&gt;1," (x"&amp;INDEX('Deck 3'!$A:$Z,ROW()-750,'List Setup'!$C$5)&amp;")","")&amp;IF(COUNTIF(Binders!$J$6:$J$30,TRUE())&gt;1," ["&amp;Q929&amp;"]",""))</f>
        <v/>
      </c>
      <c r="H929" s="80" t="str">
        <f t="array" ref="H929">IF(A929="","",CHAR(10)&amp;INDEX('Deck 3'!$A:$Z,ROW()-750,'List Setup'!$E$5)&amp;CHAR(10))</f>
        <v/>
      </c>
      <c r="I929" s="80" t="str">
        <f t="array" ref="I929">IF(OR(B929="",B929="(none)"),"",IF(ISNUMBER(SEARCH(CHAR(10)&amp;B929&amp;CHAR(10),H929)),B929,IFERROR(INDEX('Set Aliases'!$A$2:$A$501,MATCH(1,('Set Aliases'!$B$2:$B$501=B929)*ISNUMBER(SEARCH(CHAR(10)&amp;'Set Aliases'!$A$2:$A$501&amp;CHAR(10),H929)),0)),"")))</f>
        <v/>
      </c>
      <c r="J929" s="80" t="str">
        <f t="array" ref="J929">IF(I929="","",IFERROR(VALUE(TRIM(MID(SUBSTITUTE(INDEX('Deck 3'!$A:$Z,ROW()-750,'List Setup'!$G$5),CHAR(10),REPT(" ",100)),((SEARCH(CHAR(10)&amp;I929&amp;CHAR(10),H929)-LEN(SUBSTITUTE(LEFT(H929,SEARCH(CHAR(10)&amp;I929&amp;CHAR(10),H929)),CHAR(10),"")))-1)*100+1,100))),""))</f>
        <v/>
      </c>
      <c r="K929" s="80" t="str">
        <f t="array" ref="K929">IF(A929="","",IF(ISNUMBER(SEARCH("Land",LEFT(IFERROR(INDEX('Deck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29" s="80" t="str">
        <f t="shared" si="3"/>
        <v/>
      </c>
      <c r="M929" s="80" t="str">
        <f>IF(A929="","",IF(AND(E929="Y",B929='Use at Shop'!$B$4),K929*10000000000+(MAX(0,MIN(26,CODE(MID(UPPER(A929)&amp;"    ",1,1))-64))*19683+MAX(0,MIN(26,CODE(MID(UPPER(A929)&amp;"    ",2,1))-64))*729+MAX(0,MIN(26,CODE(MID(UPPER(A929)&amp;"    ",3,1))-64))*27+MAX(0,MIN(26,CODE(MID(UPPER(A929)&amp;"    ",4,1))-64))*1)*10000+ROW(),""))</f>
        <v/>
      </c>
      <c r="N929" s="80" t="str">
        <f t="shared" si="7"/>
        <v/>
      </c>
      <c r="O929" s="80" t="str">
        <f t="array" ref="O929">IF(A929="","",IFERROR(INDEX('Deck 3'!$A:$Z,ROW()-750,'List Setup'!$J$5)&amp;"",""))</f>
        <v/>
      </c>
      <c r="P929" s="2"/>
      <c r="Q929" s="80" t="str">
        <f>IF(A929="","",'List Setup'!$A$5)</f>
        <v/>
      </c>
      <c r="R929" s="80" t="str">
        <f t="array" ref="R929">IF(A929="","",IFERROR(OR(INDEX(Binders!$J$6:$J$30,MATCH(Q929,Binders!$I$6:$I$30,0))=TRUE(),UPPER(INDEX(Binders!$J$6:$J$30,MATCH(Q929,Binders!$I$6:$I$30,0))&amp;"")="TRUE"),FALSE()))</f>
        <v/>
      </c>
    </row>
    <row r="930" ht="15.75" customHeight="1">
      <c r="A930" s="80" t="str">
        <f t="array" ref="A930">IF(INDEX('Deck 3'!$A:$Z,ROW()-750,'List Setup'!$D$5)="","",INDEX('Deck 3'!$A:$Z,ROW()-750,'List Setup'!$D$5))</f>
        <v/>
      </c>
      <c r="B930" s="80" t="str">
        <f t="array" ref="B930">IF(A930="","",IFERROR(INDEX('Binder Setup'!$B$2:$B$401,MIN(IF(ISNUMBER(SEARCH(CHAR(10)&amp;'Binder Setup'!$B$2:$B$401&amp;CHAR(10),$H930)),'List Setup'!$Q$2:$Q$401,999),IF(ISNUMBER(SEARCH(CHAR(10)&amp;'Set Aliases'!$A$2:$A$501&amp;CHAR(10),$H930)),'Set Aliases'!$C$2:$C$501,999))),"(none)"))</f>
        <v/>
      </c>
      <c r="C930" s="80" t="str">
        <f t="shared" si="1"/>
        <v/>
      </c>
      <c r="D930" s="80" t="str">
        <f t="array" ref="D930">IF(A930="","",IF(ISLOGICAL(INDEX('Deck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30" s="80" t="str">
        <f t="shared" si="2"/>
        <v/>
      </c>
      <c r="F930" s="80" t="str">
        <f t="array" ref="F930">IF(A930="","",IF(ISNUMBER(J930),J930,IF(ISNUMBER(INDEX('Deck 3'!$A:$Z,ROW()-750,'List Setup'!$F$5)),INDEX('Deck 3'!$A:$Z,ROW()-750,'List Setup'!$F$5),0)))</f>
        <v/>
      </c>
      <c r="G930" s="80" t="str">
        <f t="array" ref="G930">IF(A930="","",A930&amp;IF(N(INDEX('Deck 3'!$A:$Z,ROW()-750,'List Setup'!$C$5))&gt;1," (x"&amp;INDEX('Deck 3'!$A:$Z,ROW()-750,'List Setup'!$C$5)&amp;")","")&amp;IF(COUNTIF(Binders!$J$6:$J$30,TRUE())&gt;1," ["&amp;Q930&amp;"]",""))</f>
        <v/>
      </c>
      <c r="H930" s="80" t="str">
        <f t="array" ref="H930">IF(A930="","",CHAR(10)&amp;INDEX('Deck 3'!$A:$Z,ROW()-750,'List Setup'!$E$5)&amp;CHAR(10))</f>
        <v/>
      </c>
      <c r="I930" s="80" t="str">
        <f t="array" ref="I930">IF(OR(B930="",B930="(none)"),"",IF(ISNUMBER(SEARCH(CHAR(10)&amp;B930&amp;CHAR(10),H930)),B930,IFERROR(INDEX('Set Aliases'!$A$2:$A$501,MATCH(1,('Set Aliases'!$B$2:$B$501=B930)*ISNUMBER(SEARCH(CHAR(10)&amp;'Set Aliases'!$A$2:$A$501&amp;CHAR(10),H930)),0)),"")))</f>
        <v/>
      </c>
      <c r="J930" s="80" t="str">
        <f t="array" ref="J930">IF(I930="","",IFERROR(VALUE(TRIM(MID(SUBSTITUTE(INDEX('Deck 3'!$A:$Z,ROW()-750,'List Setup'!$G$5),CHAR(10),REPT(" ",100)),((SEARCH(CHAR(10)&amp;I930&amp;CHAR(10),H930)-LEN(SUBSTITUTE(LEFT(H930,SEARCH(CHAR(10)&amp;I930&amp;CHAR(10),H930)),CHAR(10),"")))-1)*100+1,100))),""))</f>
        <v/>
      </c>
      <c r="K930" s="80" t="str">
        <f t="array" ref="K930">IF(A930="","",IF(ISNUMBER(SEARCH("Land",LEFT(IFERROR(INDEX('Deck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30" s="80" t="str">
        <f t="shared" si="3"/>
        <v/>
      </c>
      <c r="M930" s="80" t="str">
        <f>IF(A930="","",IF(AND(E930="Y",B930='Use at Shop'!$B$4),K930*10000000000+(MAX(0,MIN(26,CODE(MID(UPPER(A930)&amp;"    ",1,1))-64))*19683+MAX(0,MIN(26,CODE(MID(UPPER(A930)&amp;"    ",2,1))-64))*729+MAX(0,MIN(26,CODE(MID(UPPER(A930)&amp;"    ",3,1))-64))*27+MAX(0,MIN(26,CODE(MID(UPPER(A930)&amp;"    ",4,1))-64))*1)*10000+ROW(),""))</f>
        <v/>
      </c>
      <c r="N930" s="80" t="str">
        <f t="shared" si="7"/>
        <v/>
      </c>
      <c r="O930" s="80" t="str">
        <f t="array" ref="O930">IF(A930="","",IFERROR(INDEX('Deck 3'!$A:$Z,ROW()-750,'List Setup'!$J$5)&amp;"",""))</f>
        <v/>
      </c>
      <c r="P930" s="2"/>
      <c r="Q930" s="80" t="str">
        <f>IF(A930="","",'List Setup'!$A$5)</f>
        <v/>
      </c>
      <c r="R930" s="80" t="str">
        <f t="array" ref="R930">IF(A930="","",IFERROR(OR(INDEX(Binders!$J$6:$J$30,MATCH(Q930,Binders!$I$6:$I$30,0))=TRUE(),UPPER(INDEX(Binders!$J$6:$J$30,MATCH(Q930,Binders!$I$6:$I$30,0))&amp;"")="TRUE"),FALSE()))</f>
        <v/>
      </c>
    </row>
    <row r="931" ht="15.75" customHeight="1">
      <c r="A931" s="80" t="str">
        <f t="array" ref="A931">IF(INDEX('Deck 3'!$A:$Z,ROW()-750,'List Setup'!$D$5)="","",INDEX('Deck 3'!$A:$Z,ROW()-750,'List Setup'!$D$5))</f>
        <v/>
      </c>
      <c r="B931" s="80" t="str">
        <f t="array" ref="B931">IF(A931="","",IFERROR(INDEX('Binder Setup'!$B$2:$B$401,MIN(IF(ISNUMBER(SEARCH(CHAR(10)&amp;'Binder Setup'!$B$2:$B$401&amp;CHAR(10),$H931)),'List Setup'!$Q$2:$Q$401,999),IF(ISNUMBER(SEARCH(CHAR(10)&amp;'Set Aliases'!$A$2:$A$501&amp;CHAR(10),$H931)),'Set Aliases'!$C$2:$C$501,999))),"(none)"))</f>
        <v/>
      </c>
      <c r="C931" s="80" t="str">
        <f t="shared" si="1"/>
        <v/>
      </c>
      <c r="D931" s="80" t="str">
        <f t="array" ref="D931">IF(A931="","",IF(ISLOGICAL(INDEX('Deck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31" s="80" t="str">
        <f t="shared" si="2"/>
        <v/>
      </c>
      <c r="F931" s="80" t="str">
        <f t="array" ref="F931">IF(A931="","",IF(ISNUMBER(J931),J931,IF(ISNUMBER(INDEX('Deck 3'!$A:$Z,ROW()-750,'List Setup'!$F$5)),INDEX('Deck 3'!$A:$Z,ROW()-750,'List Setup'!$F$5),0)))</f>
        <v/>
      </c>
      <c r="G931" s="80" t="str">
        <f t="array" ref="G931">IF(A931="","",A931&amp;IF(N(INDEX('Deck 3'!$A:$Z,ROW()-750,'List Setup'!$C$5))&gt;1," (x"&amp;INDEX('Deck 3'!$A:$Z,ROW()-750,'List Setup'!$C$5)&amp;")","")&amp;IF(COUNTIF(Binders!$J$6:$J$30,TRUE())&gt;1," ["&amp;Q931&amp;"]",""))</f>
        <v/>
      </c>
      <c r="H931" s="80" t="str">
        <f t="array" ref="H931">IF(A931="","",CHAR(10)&amp;INDEX('Deck 3'!$A:$Z,ROW()-750,'List Setup'!$E$5)&amp;CHAR(10))</f>
        <v/>
      </c>
      <c r="I931" s="80" t="str">
        <f t="array" ref="I931">IF(OR(B931="",B931="(none)"),"",IF(ISNUMBER(SEARCH(CHAR(10)&amp;B931&amp;CHAR(10),H931)),B931,IFERROR(INDEX('Set Aliases'!$A$2:$A$501,MATCH(1,('Set Aliases'!$B$2:$B$501=B931)*ISNUMBER(SEARCH(CHAR(10)&amp;'Set Aliases'!$A$2:$A$501&amp;CHAR(10),H931)),0)),"")))</f>
        <v/>
      </c>
      <c r="J931" s="80" t="str">
        <f t="array" ref="J931">IF(I931="","",IFERROR(VALUE(TRIM(MID(SUBSTITUTE(INDEX('Deck 3'!$A:$Z,ROW()-750,'List Setup'!$G$5),CHAR(10),REPT(" ",100)),((SEARCH(CHAR(10)&amp;I931&amp;CHAR(10),H931)-LEN(SUBSTITUTE(LEFT(H931,SEARCH(CHAR(10)&amp;I931&amp;CHAR(10),H931)),CHAR(10),"")))-1)*100+1,100))),""))</f>
        <v/>
      </c>
      <c r="K931" s="80" t="str">
        <f t="array" ref="K931">IF(A931="","",IF(ISNUMBER(SEARCH("Land",LEFT(IFERROR(INDEX('Deck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31" s="80" t="str">
        <f t="shared" si="3"/>
        <v/>
      </c>
      <c r="M931" s="80" t="str">
        <f>IF(A931="","",IF(AND(E931="Y",B931='Use at Shop'!$B$4),K931*10000000000+(MAX(0,MIN(26,CODE(MID(UPPER(A931)&amp;"    ",1,1))-64))*19683+MAX(0,MIN(26,CODE(MID(UPPER(A931)&amp;"    ",2,1))-64))*729+MAX(0,MIN(26,CODE(MID(UPPER(A931)&amp;"    ",3,1))-64))*27+MAX(0,MIN(26,CODE(MID(UPPER(A931)&amp;"    ",4,1))-64))*1)*10000+ROW(),""))</f>
        <v/>
      </c>
      <c r="N931" s="80" t="str">
        <f t="shared" si="7"/>
        <v/>
      </c>
      <c r="O931" s="80" t="str">
        <f t="array" ref="O931">IF(A931="","",IFERROR(INDEX('Deck 3'!$A:$Z,ROW()-750,'List Setup'!$J$5)&amp;"",""))</f>
        <v/>
      </c>
      <c r="P931" s="2"/>
      <c r="Q931" s="80" t="str">
        <f>IF(A931="","",'List Setup'!$A$5)</f>
        <v/>
      </c>
      <c r="R931" s="80" t="str">
        <f t="array" ref="R931">IF(A931="","",IFERROR(OR(INDEX(Binders!$J$6:$J$30,MATCH(Q931,Binders!$I$6:$I$30,0))=TRUE(),UPPER(INDEX(Binders!$J$6:$J$30,MATCH(Q931,Binders!$I$6:$I$30,0))&amp;"")="TRUE"),FALSE()))</f>
        <v/>
      </c>
    </row>
    <row r="932" ht="15.75" customHeight="1">
      <c r="A932" s="80" t="str">
        <f t="array" ref="A932">IF(INDEX('Deck 3'!$A:$Z,ROW()-750,'List Setup'!$D$5)="","",INDEX('Deck 3'!$A:$Z,ROW()-750,'List Setup'!$D$5))</f>
        <v/>
      </c>
      <c r="B932" s="80" t="str">
        <f t="array" ref="B932">IF(A932="","",IFERROR(INDEX('Binder Setup'!$B$2:$B$401,MIN(IF(ISNUMBER(SEARCH(CHAR(10)&amp;'Binder Setup'!$B$2:$B$401&amp;CHAR(10),$H932)),'List Setup'!$Q$2:$Q$401,999),IF(ISNUMBER(SEARCH(CHAR(10)&amp;'Set Aliases'!$A$2:$A$501&amp;CHAR(10),$H932)),'Set Aliases'!$C$2:$C$501,999))),"(none)"))</f>
        <v/>
      </c>
      <c r="C932" s="80" t="str">
        <f t="shared" si="1"/>
        <v/>
      </c>
      <c r="D932" s="80" t="str">
        <f t="array" ref="D932">IF(A932="","",IF(ISLOGICAL(INDEX('Deck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32" s="80" t="str">
        <f t="shared" si="2"/>
        <v/>
      </c>
      <c r="F932" s="80" t="str">
        <f t="array" ref="F932">IF(A932="","",IF(ISNUMBER(J932),J932,IF(ISNUMBER(INDEX('Deck 3'!$A:$Z,ROW()-750,'List Setup'!$F$5)),INDEX('Deck 3'!$A:$Z,ROW()-750,'List Setup'!$F$5),0)))</f>
        <v/>
      </c>
      <c r="G932" s="80" t="str">
        <f t="array" ref="G932">IF(A932="","",A932&amp;IF(N(INDEX('Deck 3'!$A:$Z,ROW()-750,'List Setup'!$C$5))&gt;1," (x"&amp;INDEX('Deck 3'!$A:$Z,ROW()-750,'List Setup'!$C$5)&amp;")","")&amp;IF(COUNTIF(Binders!$J$6:$J$30,TRUE())&gt;1," ["&amp;Q932&amp;"]",""))</f>
        <v/>
      </c>
      <c r="H932" s="80" t="str">
        <f t="array" ref="H932">IF(A932="","",CHAR(10)&amp;INDEX('Deck 3'!$A:$Z,ROW()-750,'List Setup'!$E$5)&amp;CHAR(10))</f>
        <v/>
      </c>
      <c r="I932" s="80" t="str">
        <f t="array" ref="I932">IF(OR(B932="",B932="(none)"),"",IF(ISNUMBER(SEARCH(CHAR(10)&amp;B932&amp;CHAR(10),H932)),B932,IFERROR(INDEX('Set Aliases'!$A$2:$A$501,MATCH(1,('Set Aliases'!$B$2:$B$501=B932)*ISNUMBER(SEARCH(CHAR(10)&amp;'Set Aliases'!$A$2:$A$501&amp;CHAR(10),H932)),0)),"")))</f>
        <v/>
      </c>
      <c r="J932" s="80" t="str">
        <f t="array" ref="J932">IF(I932="","",IFERROR(VALUE(TRIM(MID(SUBSTITUTE(INDEX('Deck 3'!$A:$Z,ROW()-750,'List Setup'!$G$5),CHAR(10),REPT(" ",100)),((SEARCH(CHAR(10)&amp;I932&amp;CHAR(10),H932)-LEN(SUBSTITUTE(LEFT(H932,SEARCH(CHAR(10)&amp;I932&amp;CHAR(10),H932)),CHAR(10),"")))-1)*100+1,100))),""))</f>
        <v/>
      </c>
      <c r="K932" s="80" t="str">
        <f t="array" ref="K932">IF(A932="","",IF(ISNUMBER(SEARCH("Land",LEFT(IFERROR(INDEX('Deck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32" s="80" t="str">
        <f t="shared" si="3"/>
        <v/>
      </c>
      <c r="M932" s="80" t="str">
        <f>IF(A932="","",IF(AND(E932="Y",B932='Use at Shop'!$B$4),K932*10000000000+(MAX(0,MIN(26,CODE(MID(UPPER(A932)&amp;"    ",1,1))-64))*19683+MAX(0,MIN(26,CODE(MID(UPPER(A932)&amp;"    ",2,1))-64))*729+MAX(0,MIN(26,CODE(MID(UPPER(A932)&amp;"    ",3,1))-64))*27+MAX(0,MIN(26,CODE(MID(UPPER(A932)&amp;"    ",4,1))-64))*1)*10000+ROW(),""))</f>
        <v/>
      </c>
      <c r="N932" s="80" t="str">
        <f t="shared" si="7"/>
        <v/>
      </c>
      <c r="O932" s="80" t="str">
        <f t="array" ref="O932">IF(A932="","",IFERROR(INDEX('Deck 3'!$A:$Z,ROW()-750,'List Setup'!$J$5)&amp;"",""))</f>
        <v/>
      </c>
      <c r="P932" s="2"/>
      <c r="Q932" s="80" t="str">
        <f>IF(A932="","",'List Setup'!$A$5)</f>
        <v/>
      </c>
      <c r="R932" s="80" t="str">
        <f t="array" ref="R932">IF(A932="","",IFERROR(OR(INDEX(Binders!$J$6:$J$30,MATCH(Q932,Binders!$I$6:$I$30,0))=TRUE(),UPPER(INDEX(Binders!$J$6:$J$30,MATCH(Q932,Binders!$I$6:$I$30,0))&amp;"")="TRUE"),FALSE()))</f>
        <v/>
      </c>
    </row>
    <row r="933" ht="15.75" customHeight="1">
      <c r="A933" s="80" t="str">
        <f t="array" ref="A933">IF(INDEX('Deck 3'!$A:$Z,ROW()-750,'List Setup'!$D$5)="","",INDEX('Deck 3'!$A:$Z,ROW()-750,'List Setup'!$D$5))</f>
        <v/>
      </c>
      <c r="B933" s="80" t="str">
        <f t="array" ref="B933">IF(A933="","",IFERROR(INDEX('Binder Setup'!$B$2:$B$401,MIN(IF(ISNUMBER(SEARCH(CHAR(10)&amp;'Binder Setup'!$B$2:$B$401&amp;CHAR(10),$H933)),'List Setup'!$Q$2:$Q$401,999),IF(ISNUMBER(SEARCH(CHAR(10)&amp;'Set Aliases'!$A$2:$A$501&amp;CHAR(10),$H933)),'Set Aliases'!$C$2:$C$501,999))),"(none)"))</f>
        <v/>
      </c>
      <c r="C933" s="80" t="str">
        <f t="shared" si="1"/>
        <v/>
      </c>
      <c r="D933" s="80" t="str">
        <f t="array" ref="D933">IF(A933="","",IF(ISLOGICAL(INDEX('Deck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33" s="80" t="str">
        <f t="shared" si="2"/>
        <v/>
      </c>
      <c r="F933" s="80" t="str">
        <f t="array" ref="F933">IF(A933="","",IF(ISNUMBER(J933),J933,IF(ISNUMBER(INDEX('Deck 3'!$A:$Z,ROW()-750,'List Setup'!$F$5)),INDEX('Deck 3'!$A:$Z,ROW()-750,'List Setup'!$F$5),0)))</f>
        <v/>
      </c>
      <c r="G933" s="80" t="str">
        <f t="array" ref="G933">IF(A933="","",A933&amp;IF(N(INDEX('Deck 3'!$A:$Z,ROW()-750,'List Setup'!$C$5))&gt;1," (x"&amp;INDEX('Deck 3'!$A:$Z,ROW()-750,'List Setup'!$C$5)&amp;")","")&amp;IF(COUNTIF(Binders!$J$6:$J$30,TRUE())&gt;1," ["&amp;Q933&amp;"]",""))</f>
        <v/>
      </c>
      <c r="H933" s="80" t="str">
        <f t="array" ref="H933">IF(A933="","",CHAR(10)&amp;INDEX('Deck 3'!$A:$Z,ROW()-750,'List Setup'!$E$5)&amp;CHAR(10))</f>
        <v/>
      </c>
      <c r="I933" s="80" t="str">
        <f t="array" ref="I933">IF(OR(B933="",B933="(none)"),"",IF(ISNUMBER(SEARCH(CHAR(10)&amp;B933&amp;CHAR(10),H933)),B933,IFERROR(INDEX('Set Aliases'!$A$2:$A$501,MATCH(1,('Set Aliases'!$B$2:$B$501=B933)*ISNUMBER(SEARCH(CHAR(10)&amp;'Set Aliases'!$A$2:$A$501&amp;CHAR(10),H933)),0)),"")))</f>
        <v/>
      </c>
      <c r="J933" s="80" t="str">
        <f t="array" ref="J933">IF(I933="","",IFERROR(VALUE(TRIM(MID(SUBSTITUTE(INDEX('Deck 3'!$A:$Z,ROW()-750,'List Setup'!$G$5),CHAR(10),REPT(" ",100)),((SEARCH(CHAR(10)&amp;I933&amp;CHAR(10),H933)-LEN(SUBSTITUTE(LEFT(H933,SEARCH(CHAR(10)&amp;I933&amp;CHAR(10),H933)),CHAR(10),"")))-1)*100+1,100))),""))</f>
        <v/>
      </c>
      <c r="K933" s="80" t="str">
        <f t="array" ref="K933">IF(A933="","",IF(ISNUMBER(SEARCH("Land",LEFT(IFERROR(INDEX('Deck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33" s="80" t="str">
        <f t="shared" si="3"/>
        <v/>
      </c>
      <c r="M933" s="80" t="str">
        <f>IF(A933="","",IF(AND(E933="Y",B933='Use at Shop'!$B$4),K933*10000000000+(MAX(0,MIN(26,CODE(MID(UPPER(A933)&amp;"    ",1,1))-64))*19683+MAX(0,MIN(26,CODE(MID(UPPER(A933)&amp;"    ",2,1))-64))*729+MAX(0,MIN(26,CODE(MID(UPPER(A933)&amp;"    ",3,1))-64))*27+MAX(0,MIN(26,CODE(MID(UPPER(A933)&amp;"    ",4,1))-64))*1)*10000+ROW(),""))</f>
        <v/>
      </c>
      <c r="N933" s="80" t="str">
        <f t="shared" si="7"/>
        <v/>
      </c>
      <c r="O933" s="80" t="str">
        <f t="array" ref="O933">IF(A933="","",IFERROR(INDEX('Deck 3'!$A:$Z,ROW()-750,'List Setup'!$J$5)&amp;"",""))</f>
        <v/>
      </c>
      <c r="P933" s="2"/>
      <c r="Q933" s="80" t="str">
        <f>IF(A933="","",'List Setup'!$A$5)</f>
        <v/>
      </c>
      <c r="R933" s="80" t="str">
        <f t="array" ref="R933">IF(A933="","",IFERROR(OR(INDEX(Binders!$J$6:$J$30,MATCH(Q933,Binders!$I$6:$I$30,0))=TRUE(),UPPER(INDEX(Binders!$J$6:$J$30,MATCH(Q933,Binders!$I$6:$I$30,0))&amp;"")="TRUE"),FALSE()))</f>
        <v/>
      </c>
    </row>
    <row r="934" ht="15.75" customHeight="1">
      <c r="A934" s="80" t="str">
        <f t="array" ref="A934">IF(INDEX('Deck 3'!$A:$Z,ROW()-750,'List Setup'!$D$5)="","",INDEX('Deck 3'!$A:$Z,ROW()-750,'List Setup'!$D$5))</f>
        <v/>
      </c>
      <c r="B934" s="80" t="str">
        <f t="array" ref="B934">IF(A934="","",IFERROR(INDEX('Binder Setup'!$B$2:$B$401,MIN(IF(ISNUMBER(SEARCH(CHAR(10)&amp;'Binder Setup'!$B$2:$B$401&amp;CHAR(10),$H934)),'List Setup'!$Q$2:$Q$401,999),IF(ISNUMBER(SEARCH(CHAR(10)&amp;'Set Aliases'!$A$2:$A$501&amp;CHAR(10),$H934)),'Set Aliases'!$C$2:$C$501,999))),"(none)"))</f>
        <v/>
      </c>
      <c r="C934" s="80" t="str">
        <f t="shared" si="1"/>
        <v/>
      </c>
      <c r="D934" s="80" t="str">
        <f t="array" ref="D934">IF(A934="","",IF(ISLOGICAL(INDEX('Deck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34" s="80" t="str">
        <f t="shared" si="2"/>
        <v/>
      </c>
      <c r="F934" s="80" t="str">
        <f t="array" ref="F934">IF(A934="","",IF(ISNUMBER(J934),J934,IF(ISNUMBER(INDEX('Deck 3'!$A:$Z,ROW()-750,'List Setup'!$F$5)),INDEX('Deck 3'!$A:$Z,ROW()-750,'List Setup'!$F$5),0)))</f>
        <v/>
      </c>
      <c r="G934" s="80" t="str">
        <f t="array" ref="G934">IF(A934="","",A934&amp;IF(N(INDEX('Deck 3'!$A:$Z,ROW()-750,'List Setup'!$C$5))&gt;1," (x"&amp;INDEX('Deck 3'!$A:$Z,ROW()-750,'List Setup'!$C$5)&amp;")","")&amp;IF(COUNTIF(Binders!$J$6:$J$30,TRUE())&gt;1," ["&amp;Q934&amp;"]",""))</f>
        <v/>
      </c>
      <c r="H934" s="80" t="str">
        <f t="array" ref="H934">IF(A934="","",CHAR(10)&amp;INDEX('Deck 3'!$A:$Z,ROW()-750,'List Setup'!$E$5)&amp;CHAR(10))</f>
        <v/>
      </c>
      <c r="I934" s="80" t="str">
        <f t="array" ref="I934">IF(OR(B934="",B934="(none)"),"",IF(ISNUMBER(SEARCH(CHAR(10)&amp;B934&amp;CHAR(10),H934)),B934,IFERROR(INDEX('Set Aliases'!$A$2:$A$501,MATCH(1,('Set Aliases'!$B$2:$B$501=B934)*ISNUMBER(SEARCH(CHAR(10)&amp;'Set Aliases'!$A$2:$A$501&amp;CHAR(10),H934)),0)),"")))</f>
        <v/>
      </c>
      <c r="J934" s="80" t="str">
        <f t="array" ref="J934">IF(I934="","",IFERROR(VALUE(TRIM(MID(SUBSTITUTE(INDEX('Deck 3'!$A:$Z,ROW()-750,'List Setup'!$G$5),CHAR(10),REPT(" ",100)),((SEARCH(CHAR(10)&amp;I934&amp;CHAR(10),H934)-LEN(SUBSTITUTE(LEFT(H934,SEARCH(CHAR(10)&amp;I934&amp;CHAR(10),H934)),CHAR(10),"")))-1)*100+1,100))),""))</f>
        <v/>
      </c>
      <c r="K934" s="80" t="str">
        <f t="array" ref="K934">IF(A934="","",IF(ISNUMBER(SEARCH("Land",LEFT(IFERROR(INDEX('Deck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34" s="80" t="str">
        <f t="shared" si="3"/>
        <v/>
      </c>
      <c r="M934" s="80" t="str">
        <f>IF(A934="","",IF(AND(E934="Y",B934='Use at Shop'!$B$4),K934*10000000000+(MAX(0,MIN(26,CODE(MID(UPPER(A934)&amp;"    ",1,1))-64))*19683+MAX(0,MIN(26,CODE(MID(UPPER(A934)&amp;"    ",2,1))-64))*729+MAX(0,MIN(26,CODE(MID(UPPER(A934)&amp;"    ",3,1))-64))*27+MAX(0,MIN(26,CODE(MID(UPPER(A934)&amp;"    ",4,1))-64))*1)*10000+ROW(),""))</f>
        <v/>
      </c>
      <c r="N934" s="80" t="str">
        <f t="shared" si="7"/>
        <v/>
      </c>
      <c r="O934" s="80" t="str">
        <f t="array" ref="O934">IF(A934="","",IFERROR(INDEX('Deck 3'!$A:$Z,ROW()-750,'List Setup'!$J$5)&amp;"",""))</f>
        <v/>
      </c>
      <c r="P934" s="2"/>
      <c r="Q934" s="80" t="str">
        <f>IF(A934="","",'List Setup'!$A$5)</f>
        <v/>
      </c>
      <c r="R934" s="80" t="str">
        <f t="array" ref="R934">IF(A934="","",IFERROR(OR(INDEX(Binders!$J$6:$J$30,MATCH(Q934,Binders!$I$6:$I$30,0))=TRUE(),UPPER(INDEX(Binders!$J$6:$J$30,MATCH(Q934,Binders!$I$6:$I$30,0))&amp;"")="TRUE"),FALSE()))</f>
        <v/>
      </c>
    </row>
    <row r="935" ht="15.75" customHeight="1">
      <c r="A935" s="80" t="str">
        <f t="array" ref="A935">IF(INDEX('Deck 3'!$A:$Z,ROW()-750,'List Setup'!$D$5)="","",INDEX('Deck 3'!$A:$Z,ROW()-750,'List Setup'!$D$5))</f>
        <v/>
      </c>
      <c r="B935" s="80" t="str">
        <f t="array" ref="B935">IF(A935="","",IFERROR(INDEX('Binder Setup'!$B$2:$B$401,MIN(IF(ISNUMBER(SEARCH(CHAR(10)&amp;'Binder Setup'!$B$2:$B$401&amp;CHAR(10),$H935)),'List Setup'!$Q$2:$Q$401,999),IF(ISNUMBER(SEARCH(CHAR(10)&amp;'Set Aliases'!$A$2:$A$501&amp;CHAR(10),$H935)),'Set Aliases'!$C$2:$C$501,999))),"(none)"))</f>
        <v/>
      </c>
      <c r="C935" s="80" t="str">
        <f t="shared" si="1"/>
        <v/>
      </c>
      <c r="D935" s="80" t="str">
        <f t="array" ref="D935">IF(A935="","",IF(ISLOGICAL(INDEX('Deck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35" s="80" t="str">
        <f t="shared" si="2"/>
        <v/>
      </c>
      <c r="F935" s="80" t="str">
        <f t="array" ref="F935">IF(A935="","",IF(ISNUMBER(J935),J935,IF(ISNUMBER(INDEX('Deck 3'!$A:$Z,ROW()-750,'List Setup'!$F$5)),INDEX('Deck 3'!$A:$Z,ROW()-750,'List Setup'!$F$5),0)))</f>
        <v/>
      </c>
      <c r="G935" s="80" t="str">
        <f t="array" ref="G935">IF(A935="","",A935&amp;IF(N(INDEX('Deck 3'!$A:$Z,ROW()-750,'List Setup'!$C$5))&gt;1," (x"&amp;INDEX('Deck 3'!$A:$Z,ROW()-750,'List Setup'!$C$5)&amp;")","")&amp;IF(COUNTIF(Binders!$J$6:$J$30,TRUE())&gt;1," ["&amp;Q935&amp;"]",""))</f>
        <v/>
      </c>
      <c r="H935" s="80" t="str">
        <f t="array" ref="H935">IF(A935="","",CHAR(10)&amp;INDEX('Deck 3'!$A:$Z,ROW()-750,'List Setup'!$E$5)&amp;CHAR(10))</f>
        <v/>
      </c>
      <c r="I935" s="80" t="str">
        <f t="array" ref="I935">IF(OR(B935="",B935="(none)"),"",IF(ISNUMBER(SEARCH(CHAR(10)&amp;B935&amp;CHAR(10),H935)),B935,IFERROR(INDEX('Set Aliases'!$A$2:$A$501,MATCH(1,('Set Aliases'!$B$2:$B$501=B935)*ISNUMBER(SEARCH(CHAR(10)&amp;'Set Aliases'!$A$2:$A$501&amp;CHAR(10),H935)),0)),"")))</f>
        <v/>
      </c>
      <c r="J935" s="80" t="str">
        <f t="array" ref="J935">IF(I935="","",IFERROR(VALUE(TRIM(MID(SUBSTITUTE(INDEX('Deck 3'!$A:$Z,ROW()-750,'List Setup'!$G$5),CHAR(10),REPT(" ",100)),((SEARCH(CHAR(10)&amp;I935&amp;CHAR(10),H935)-LEN(SUBSTITUTE(LEFT(H935,SEARCH(CHAR(10)&amp;I935&amp;CHAR(10),H935)),CHAR(10),"")))-1)*100+1,100))),""))</f>
        <v/>
      </c>
      <c r="K935" s="80" t="str">
        <f t="array" ref="K935">IF(A935="","",IF(ISNUMBER(SEARCH("Land",LEFT(IFERROR(INDEX('Deck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35" s="80" t="str">
        <f t="shared" si="3"/>
        <v/>
      </c>
      <c r="M935" s="80" t="str">
        <f>IF(A935="","",IF(AND(E935="Y",B935='Use at Shop'!$B$4),K935*10000000000+(MAX(0,MIN(26,CODE(MID(UPPER(A935)&amp;"    ",1,1))-64))*19683+MAX(0,MIN(26,CODE(MID(UPPER(A935)&amp;"    ",2,1))-64))*729+MAX(0,MIN(26,CODE(MID(UPPER(A935)&amp;"    ",3,1))-64))*27+MAX(0,MIN(26,CODE(MID(UPPER(A935)&amp;"    ",4,1))-64))*1)*10000+ROW(),""))</f>
        <v/>
      </c>
      <c r="N935" s="80" t="str">
        <f t="shared" si="7"/>
        <v/>
      </c>
      <c r="O935" s="80" t="str">
        <f t="array" ref="O935">IF(A935="","",IFERROR(INDEX('Deck 3'!$A:$Z,ROW()-750,'List Setup'!$J$5)&amp;"",""))</f>
        <v/>
      </c>
      <c r="P935" s="2"/>
      <c r="Q935" s="80" t="str">
        <f>IF(A935="","",'List Setup'!$A$5)</f>
        <v/>
      </c>
      <c r="R935" s="80" t="str">
        <f t="array" ref="R935">IF(A935="","",IFERROR(OR(INDEX(Binders!$J$6:$J$30,MATCH(Q935,Binders!$I$6:$I$30,0))=TRUE(),UPPER(INDEX(Binders!$J$6:$J$30,MATCH(Q935,Binders!$I$6:$I$30,0))&amp;"")="TRUE"),FALSE()))</f>
        <v/>
      </c>
    </row>
    <row r="936" ht="15.75" customHeight="1">
      <c r="A936" s="80" t="str">
        <f t="array" ref="A936">IF(INDEX('Deck 3'!$A:$Z,ROW()-750,'List Setup'!$D$5)="","",INDEX('Deck 3'!$A:$Z,ROW()-750,'List Setup'!$D$5))</f>
        <v/>
      </c>
      <c r="B936" s="80" t="str">
        <f t="array" ref="B936">IF(A936="","",IFERROR(INDEX('Binder Setup'!$B$2:$B$401,MIN(IF(ISNUMBER(SEARCH(CHAR(10)&amp;'Binder Setup'!$B$2:$B$401&amp;CHAR(10),$H936)),'List Setup'!$Q$2:$Q$401,999),IF(ISNUMBER(SEARCH(CHAR(10)&amp;'Set Aliases'!$A$2:$A$501&amp;CHAR(10),$H936)),'Set Aliases'!$C$2:$C$501,999))),"(none)"))</f>
        <v/>
      </c>
      <c r="C936" s="80" t="str">
        <f t="shared" si="1"/>
        <v/>
      </c>
      <c r="D936" s="80" t="str">
        <f t="array" ref="D936">IF(A936="","",IF(ISLOGICAL(INDEX('Deck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36" s="80" t="str">
        <f t="shared" si="2"/>
        <v/>
      </c>
      <c r="F936" s="80" t="str">
        <f t="array" ref="F936">IF(A936="","",IF(ISNUMBER(J936),J936,IF(ISNUMBER(INDEX('Deck 3'!$A:$Z,ROW()-750,'List Setup'!$F$5)),INDEX('Deck 3'!$A:$Z,ROW()-750,'List Setup'!$F$5),0)))</f>
        <v/>
      </c>
      <c r="G936" s="80" t="str">
        <f t="array" ref="G936">IF(A936="","",A936&amp;IF(N(INDEX('Deck 3'!$A:$Z,ROW()-750,'List Setup'!$C$5))&gt;1," (x"&amp;INDEX('Deck 3'!$A:$Z,ROW()-750,'List Setup'!$C$5)&amp;")","")&amp;IF(COUNTIF(Binders!$J$6:$J$30,TRUE())&gt;1," ["&amp;Q936&amp;"]",""))</f>
        <v/>
      </c>
      <c r="H936" s="80" t="str">
        <f t="array" ref="H936">IF(A936="","",CHAR(10)&amp;INDEX('Deck 3'!$A:$Z,ROW()-750,'List Setup'!$E$5)&amp;CHAR(10))</f>
        <v/>
      </c>
      <c r="I936" s="80" t="str">
        <f t="array" ref="I936">IF(OR(B936="",B936="(none)"),"",IF(ISNUMBER(SEARCH(CHAR(10)&amp;B936&amp;CHAR(10),H936)),B936,IFERROR(INDEX('Set Aliases'!$A$2:$A$501,MATCH(1,('Set Aliases'!$B$2:$B$501=B936)*ISNUMBER(SEARCH(CHAR(10)&amp;'Set Aliases'!$A$2:$A$501&amp;CHAR(10),H936)),0)),"")))</f>
        <v/>
      </c>
      <c r="J936" s="80" t="str">
        <f t="array" ref="J936">IF(I936="","",IFERROR(VALUE(TRIM(MID(SUBSTITUTE(INDEX('Deck 3'!$A:$Z,ROW()-750,'List Setup'!$G$5),CHAR(10),REPT(" ",100)),((SEARCH(CHAR(10)&amp;I936&amp;CHAR(10),H936)-LEN(SUBSTITUTE(LEFT(H936,SEARCH(CHAR(10)&amp;I936&amp;CHAR(10),H936)),CHAR(10),"")))-1)*100+1,100))),""))</f>
        <v/>
      </c>
      <c r="K936" s="80" t="str">
        <f t="array" ref="K936">IF(A936="","",IF(ISNUMBER(SEARCH("Land",LEFT(IFERROR(INDEX('Deck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36" s="80" t="str">
        <f t="shared" si="3"/>
        <v/>
      </c>
      <c r="M936" s="80" t="str">
        <f>IF(A936="","",IF(AND(E936="Y",B936='Use at Shop'!$B$4),K936*10000000000+(MAX(0,MIN(26,CODE(MID(UPPER(A936)&amp;"    ",1,1))-64))*19683+MAX(0,MIN(26,CODE(MID(UPPER(A936)&amp;"    ",2,1))-64))*729+MAX(0,MIN(26,CODE(MID(UPPER(A936)&amp;"    ",3,1))-64))*27+MAX(0,MIN(26,CODE(MID(UPPER(A936)&amp;"    ",4,1))-64))*1)*10000+ROW(),""))</f>
        <v/>
      </c>
      <c r="N936" s="80" t="str">
        <f t="shared" si="7"/>
        <v/>
      </c>
      <c r="O936" s="80" t="str">
        <f t="array" ref="O936">IF(A936="","",IFERROR(INDEX('Deck 3'!$A:$Z,ROW()-750,'List Setup'!$J$5)&amp;"",""))</f>
        <v/>
      </c>
      <c r="P936" s="2"/>
      <c r="Q936" s="80" t="str">
        <f>IF(A936="","",'List Setup'!$A$5)</f>
        <v/>
      </c>
      <c r="R936" s="80" t="str">
        <f t="array" ref="R936">IF(A936="","",IFERROR(OR(INDEX(Binders!$J$6:$J$30,MATCH(Q936,Binders!$I$6:$I$30,0))=TRUE(),UPPER(INDEX(Binders!$J$6:$J$30,MATCH(Q936,Binders!$I$6:$I$30,0))&amp;"")="TRUE"),FALSE()))</f>
        <v/>
      </c>
    </row>
    <row r="937" ht="15.75" customHeight="1">
      <c r="A937" s="80" t="str">
        <f t="array" ref="A937">IF(INDEX('Deck 3'!$A:$Z,ROW()-750,'List Setup'!$D$5)="","",INDEX('Deck 3'!$A:$Z,ROW()-750,'List Setup'!$D$5))</f>
        <v/>
      </c>
      <c r="B937" s="80" t="str">
        <f t="array" ref="B937">IF(A937="","",IFERROR(INDEX('Binder Setup'!$B$2:$B$401,MIN(IF(ISNUMBER(SEARCH(CHAR(10)&amp;'Binder Setup'!$B$2:$B$401&amp;CHAR(10),$H937)),'List Setup'!$Q$2:$Q$401,999),IF(ISNUMBER(SEARCH(CHAR(10)&amp;'Set Aliases'!$A$2:$A$501&amp;CHAR(10),$H937)),'Set Aliases'!$C$2:$C$501,999))),"(none)"))</f>
        <v/>
      </c>
      <c r="C937" s="80" t="str">
        <f t="shared" si="1"/>
        <v/>
      </c>
      <c r="D937" s="80" t="str">
        <f t="array" ref="D937">IF(A937="","",IF(ISLOGICAL(INDEX('Deck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37" s="80" t="str">
        <f t="shared" si="2"/>
        <v/>
      </c>
      <c r="F937" s="80" t="str">
        <f t="array" ref="F937">IF(A937="","",IF(ISNUMBER(J937),J937,IF(ISNUMBER(INDEX('Deck 3'!$A:$Z,ROW()-750,'List Setup'!$F$5)),INDEX('Deck 3'!$A:$Z,ROW()-750,'List Setup'!$F$5),0)))</f>
        <v/>
      </c>
      <c r="G937" s="80" t="str">
        <f t="array" ref="G937">IF(A937="","",A937&amp;IF(N(INDEX('Deck 3'!$A:$Z,ROW()-750,'List Setup'!$C$5))&gt;1," (x"&amp;INDEX('Deck 3'!$A:$Z,ROW()-750,'List Setup'!$C$5)&amp;")","")&amp;IF(COUNTIF(Binders!$J$6:$J$30,TRUE())&gt;1," ["&amp;Q937&amp;"]",""))</f>
        <v/>
      </c>
      <c r="H937" s="80" t="str">
        <f t="array" ref="H937">IF(A937="","",CHAR(10)&amp;INDEX('Deck 3'!$A:$Z,ROW()-750,'List Setup'!$E$5)&amp;CHAR(10))</f>
        <v/>
      </c>
      <c r="I937" s="80" t="str">
        <f t="array" ref="I937">IF(OR(B937="",B937="(none)"),"",IF(ISNUMBER(SEARCH(CHAR(10)&amp;B937&amp;CHAR(10),H937)),B937,IFERROR(INDEX('Set Aliases'!$A$2:$A$501,MATCH(1,('Set Aliases'!$B$2:$B$501=B937)*ISNUMBER(SEARCH(CHAR(10)&amp;'Set Aliases'!$A$2:$A$501&amp;CHAR(10),H937)),0)),"")))</f>
        <v/>
      </c>
      <c r="J937" s="80" t="str">
        <f t="array" ref="J937">IF(I937="","",IFERROR(VALUE(TRIM(MID(SUBSTITUTE(INDEX('Deck 3'!$A:$Z,ROW()-750,'List Setup'!$G$5),CHAR(10),REPT(" ",100)),((SEARCH(CHAR(10)&amp;I937&amp;CHAR(10),H937)-LEN(SUBSTITUTE(LEFT(H937,SEARCH(CHAR(10)&amp;I937&amp;CHAR(10),H937)),CHAR(10),"")))-1)*100+1,100))),""))</f>
        <v/>
      </c>
      <c r="K937" s="80" t="str">
        <f t="array" ref="K937">IF(A937="","",IF(ISNUMBER(SEARCH("Land",LEFT(IFERROR(INDEX('Deck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37" s="80" t="str">
        <f t="shared" si="3"/>
        <v/>
      </c>
      <c r="M937" s="80" t="str">
        <f>IF(A937="","",IF(AND(E937="Y",B937='Use at Shop'!$B$4),K937*10000000000+(MAX(0,MIN(26,CODE(MID(UPPER(A937)&amp;"    ",1,1))-64))*19683+MAX(0,MIN(26,CODE(MID(UPPER(A937)&amp;"    ",2,1))-64))*729+MAX(0,MIN(26,CODE(MID(UPPER(A937)&amp;"    ",3,1))-64))*27+MAX(0,MIN(26,CODE(MID(UPPER(A937)&amp;"    ",4,1))-64))*1)*10000+ROW(),""))</f>
        <v/>
      </c>
      <c r="N937" s="80" t="str">
        <f t="shared" si="7"/>
        <v/>
      </c>
      <c r="O937" s="80" t="str">
        <f t="array" ref="O937">IF(A937="","",IFERROR(INDEX('Deck 3'!$A:$Z,ROW()-750,'List Setup'!$J$5)&amp;"",""))</f>
        <v/>
      </c>
      <c r="P937" s="2"/>
      <c r="Q937" s="80" t="str">
        <f>IF(A937="","",'List Setup'!$A$5)</f>
        <v/>
      </c>
      <c r="R937" s="80" t="str">
        <f t="array" ref="R937">IF(A937="","",IFERROR(OR(INDEX(Binders!$J$6:$J$30,MATCH(Q937,Binders!$I$6:$I$30,0))=TRUE(),UPPER(INDEX(Binders!$J$6:$J$30,MATCH(Q937,Binders!$I$6:$I$30,0))&amp;"")="TRUE"),FALSE()))</f>
        <v/>
      </c>
    </row>
    <row r="938" ht="15.75" customHeight="1">
      <c r="A938" s="80" t="str">
        <f t="array" ref="A938">IF(INDEX('Deck 3'!$A:$Z,ROW()-750,'List Setup'!$D$5)="","",INDEX('Deck 3'!$A:$Z,ROW()-750,'List Setup'!$D$5))</f>
        <v/>
      </c>
      <c r="B938" s="80" t="str">
        <f t="array" ref="B938">IF(A938="","",IFERROR(INDEX('Binder Setup'!$B$2:$B$401,MIN(IF(ISNUMBER(SEARCH(CHAR(10)&amp;'Binder Setup'!$B$2:$B$401&amp;CHAR(10),$H938)),'List Setup'!$Q$2:$Q$401,999),IF(ISNUMBER(SEARCH(CHAR(10)&amp;'Set Aliases'!$A$2:$A$501&amp;CHAR(10),$H938)),'Set Aliases'!$C$2:$C$501,999))),"(none)"))</f>
        <v/>
      </c>
      <c r="C938" s="80" t="str">
        <f t="shared" si="1"/>
        <v/>
      </c>
      <c r="D938" s="80" t="str">
        <f t="array" ref="D938">IF(A938="","",IF(ISLOGICAL(INDEX('Deck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38" s="80" t="str">
        <f t="shared" si="2"/>
        <v/>
      </c>
      <c r="F938" s="80" t="str">
        <f t="array" ref="F938">IF(A938="","",IF(ISNUMBER(J938),J938,IF(ISNUMBER(INDEX('Deck 3'!$A:$Z,ROW()-750,'List Setup'!$F$5)),INDEX('Deck 3'!$A:$Z,ROW()-750,'List Setup'!$F$5),0)))</f>
        <v/>
      </c>
      <c r="G938" s="80" t="str">
        <f t="array" ref="G938">IF(A938="","",A938&amp;IF(N(INDEX('Deck 3'!$A:$Z,ROW()-750,'List Setup'!$C$5))&gt;1," (x"&amp;INDEX('Deck 3'!$A:$Z,ROW()-750,'List Setup'!$C$5)&amp;")","")&amp;IF(COUNTIF(Binders!$J$6:$J$30,TRUE())&gt;1," ["&amp;Q938&amp;"]",""))</f>
        <v/>
      </c>
      <c r="H938" s="80" t="str">
        <f t="array" ref="H938">IF(A938="","",CHAR(10)&amp;INDEX('Deck 3'!$A:$Z,ROW()-750,'List Setup'!$E$5)&amp;CHAR(10))</f>
        <v/>
      </c>
      <c r="I938" s="80" t="str">
        <f t="array" ref="I938">IF(OR(B938="",B938="(none)"),"",IF(ISNUMBER(SEARCH(CHAR(10)&amp;B938&amp;CHAR(10),H938)),B938,IFERROR(INDEX('Set Aliases'!$A$2:$A$501,MATCH(1,('Set Aliases'!$B$2:$B$501=B938)*ISNUMBER(SEARCH(CHAR(10)&amp;'Set Aliases'!$A$2:$A$501&amp;CHAR(10),H938)),0)),"")))</f>
        <v/>
      </c>
      <c r="J938" s="80" t="str">
        <f t="array" ref="J938">IF(I938="","",IFERROR(VALUE(TRIM(MID(SUBSTITUTE(INDEX('Deck 3'!$A:$Z,ROW()-750,'List Setup'!$G$5),CHAR(10),REPT(" ",100)),((SEARCH(CHAR(10)&amp;I938&amp;CHAR(10),H938)-LEN(SUBSTITUTE(LEFT(H938,SEARCH(CHAR(10)&amp;I938&amp;CHAR(10),H938)),CHAR(10),"")))-1)*100+1,100))),""))</f>
        <v/>
      </c>
      <c r="K938" s="80" t="str">
        <f t="array" ref="K938">IF(A938="","",IF(ISNUMBER(SEARCH("Land",LEFT(IFERROR(INDEX('Deck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38" s="80" t="str">
        <f t="shared" si="3"/>
        <v/>
      </c>
      <c r="M938" s="80" t="str">
        <f>IF(A938="","",IF(AND(E938="Y",B938='Use at Shop'!$B$4),K938*10000000000+(MAX(0,MIN(26,CODE(MID(UPPER(A938)&amp;"    ",1,1))-64))*19683+MAX(0,MIN(26,CODE(MID(UPPER(A938)&amp;"    ",2,1))-64))*729+MAX(0,MIN(26,CODE(MID(UPPER(A938)&amp;"    ",3,1))-64))*27+MAX(0,MIN(26,CODE(MID(UPPER(A938)&amp;"    ",4,1))-64))*1)*10000+ROW(),""))</f>
        <v/>
      </c>
      <c r="N938" s="80" t="str">
        <f t="shared" si="7"/>
        <v/>
      </c>
      <c r="O938" s="80" t="str">
        <f t="array" ref="O938">IF(A938="","",IFERROR(INDEX('Deck 3'!$A:$Z,ROW()-750,'List Setup'!$J$5)&amp;"",""))</f>
        <v/>
      </c>
      <c r="P938" s="2"/>
      <c r="Q938" s="80" t="str">
        <f>IF(A938="","",'List Setup'!$A$5)</f>
        <v/>
      </c>
      <c r="R938" s="80" t="str">
        <f t="array" ref="R938">IF(A938="","",IFERROR(OR(INDEX(Binders!$J$6:$J$30,MATCH(Q938,Binders!$I$6:$I$30,0))=TRUE(),UPPER(INDEX(Binders!$J$6:$J$30,MATCH(Q938,Binders!$I$6:$I$30,0))&amp;"")="TRUE"),FALSE()))</f>
        <v/>
      </c>
    </row>
    <row r="939" ht="15.75" customHeight="1">
      <c r="A939" s="80" t="str">
        <f t="array" ref="A939">IF(INDEX('Deck 3'!$A:$Z,ROW()-750,'List Setup'!$D$5)="","",INDEX('Deck 3'!$A:$Z,ROW()-750,'List Setup'!$D$5))</f>
        <v/>
      </c>
      <c r="B939" s="80" t="str">
        <f t="array" ref="B939">IF(A939="","",IFERROR(INDEX('Binder Setup'!$B$2:$B$401,MIN(IF(ISNUMBER(SEARCH(CHAR(10)&amp;'Binder Setup'!$B$2:$B$401&amp;CHAR(10),$H939)),'List Setup'!$Q$2:$Q$401,999),IF(ISNUMBER(SEARCH(CHAR(10)&amp;'Set Aliases'!$A$2:$A$501&amp;CHAR(10),$H939)),'Set Aliases'!$C$2:$C$501,999))),"(none)"))</f>
        <v/>
      </c>
      <c r="C939" s="80" t="str">
        <f t="shared" si="1"/>
        <v/>
      </c>
      <c r="D939" s="80" t="str">
        <f t="array" ref="D939">IF(A939="","",IF(ISLOGICAL(INDEX('Deck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39" s="80" t="str">
        <f t="shared" si="2"/>
        <v/>
      </c>
      <c r="F939" s="80" t="str">
        <f t="array" ref="F939">IF(A939="","",IF(ISNUMBER(J939),J939,IF(ISNUMBER(INDEX('Deck 3'!$A:$Z,ROW()-750,'List Setup'!$F$5)),INDEX('Deck 3'!$A:$Z,ROW()-750,'List Setup'!$F$5),0)))</f>
        <v/>
      </c>
      <c r="G939" s="80" t="str">
        <f t="array" ref="G939">IF(A939="","",A939&amp;IF(N(INDEX('Deck 3'!$A:$Z,ROW()-750,'List Setup'!$C$5))&gt;1," (x"&amp;INDEX('Deck 3'!$A:$Z,ROW()-750,'List Setup'!$C$5)&amp;")","")&amp;IF(COUNTIF(Binders!$J$6:$J$30,TRUE())&gt;1," ["&amp;Q939&amp;"]",""))</f>
        <v/>
      </c>
      <c r="H939" s="80" t="str">
        <f t="array" ref="H939">IF(A939="","",CHAR(10)&amp;INDEX('Deck 3'!$A:$Z,ROW()-750,'List Setup'!$E$5)&amp;CHAR(10))</f>
        <v/>
      </c>
      <c r="I939" s="80" t="str">
        <f t="array" ref="I939">IF(OR(B939="",B939="(none)"),"",IF(ISNUMBER(SEARCH(CHAR(10)&amp;B939&amp;CHAR(10),H939)),B939,IFERROR(INDEX('Set Aliases'!$A$2:$A$501,MATCH(1,('Set Aliases'!$B$2:$B$501=B939)*ISNUMBER(SEARCH(CHAR(10)&amp;'Set Aliases'!$A$2:$A$501&amp;CHAR(10),H939)),0)),"")))</f>
        <v/>
      </c>
      <c r="J939" s="80" t="str">
        <f t="array" ref="J939">IF(I939="","",IFERROR(VALUE(TRIM(MID(SUBSTITUTE(INDEX('Deck 3'!$A:$Z,ROW()-750,'List Setup'!$G$5),CHAR(10),REPT(" ",100)),((SEARCH(CHAR(10)&amp;I939&amp;CHAR(10),H939)-LEN(SUBSTITUTE(LEFT(H939,SEARCH(CHAR(10)&amp;I939&amp;CHAR(10),H939)),CHAR(10),"")))-1)*100+1,100))),""))</f>
        <v/>
      </c>
      <c r="K939" s="80" t="str">
        <f t="array" ref="K939">IF(A939="","",IF(ISNUMBER(SEARCH("Land",LEFT(IFERROR(INDEX('Deck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39" s="80" t="str">
        <f t="shared" si="3"/>
        <v/>
      </c>
      <c r="M939" s="80" t="str">
        <f>IF(A939="","",IF(AND(E939="Y",B939='Use at Shop'!$B$4),K939*10000000000+(MAX(0,MIN(26,CODE(MID(UPPER(A939)&amp;"    ",1,1))-64))*19683+MAX(0,MIN(26,CODE(MID(UPPER(A939)&amp;"    ",2,1))-64))*729+MAX(0,MIN(26,CODE(MID(UPPER(A939)&amp;"    ",3,1))-64))*27+MAX(0,MIN(26,CODE(MID(UPPER(A939)&amp;"    ",4,1))-64))*1)*10000+ROW(),""))</f>
        <v/>
      </c>
      <c r="N939" s="80" t="str">
        <f t="shared" si="7"/>
        <v/>
      </c>
      <c r="O939" s="80" t="str">
        <f t="array" ref="O939">IF(A939="","",IFERROR(INDEX('Deck 3'!$A:$Z,ROW()-750,'List Setup'!$J$5)&amp;"",""))</f>
        <v/>
      </c>
      <c r="P939" s="2"/>
      <c r="Q939" s="80" t="str">
        <f>IF(A939="","",'List Setup'!$A$5)</f>
        <v/>
      </c>
      <c r="R939" s="80" t="str">
        <f t="array" ref="R939">IF(A939="","",IFERROR(OR(INDEX(Binders!$J$6:$J$30,MATCH(Q939,Binders!$I$6:$I$30,0))=TRUE(),UPPER(INDEX(Binders!$J$6:$J$30,MATCH(Q939,Binders!$I$6:$I$30,0))&amp;"")="TRUE"),FALSE()))</f>
        <v/>
      </c>
    </row>
    <row r="940" ht="15.75" customHeight="1">
      <c r="A940" s="80" t="str">
        <f t="array" ref="A940">IF(INDEX('Deck 3'!$A:$Z,ROW()-750,'List Setup'!$D$5)="","",INDEX('Deck 3'!$A:$Z,ROW()-750,'List Setup'!$D$5))</f>
        <v/>
      </c>
      <c r="B940" s="80" t="str">
        <f t="array" ref="B940">IF(A940="","",IFERROR(INDEX('Binder Setup'!$B$2:$B$401,MIN(IF(ISNUMBER(SEARCH(CHAR(10)&amp;'Binder Setup'!$B$2:$B$401&amp;CHAR(10),$H940)),'List Setup'!$Q$2:$Q$401,999),IF(ISNUMBER(SEARCH(CHAR(10)&amp;'Set Aliases'!$A$2:$A$501&amp;CHAR(10),$H940)),'Set Aliases'!$C$2:$C$501,999))),"(none)"))</f>
        <v/>
      </c>
      <c r="C940" s="80" t="str">
        <f t="shared" si="1"/>
        <v/>
      </c>
      <c r="D940" s="80" t="str">
        <f t="array" ref="D940">IF(A940="","",IF(ISLOGICAL(INDEX('Deck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40" s="80" t="str">
        <f t="shared" si="2"/>
        <v/>
      </c>
      <c r="F940" s="80" t="str">
        <f t="array" ref="F940">IF(A940="","",IF(ISNUMBER(J940),J940,IF(ISNUMBER(INDEX('Deck 3'!$A:$Z,ROW()-750,'List Setup'!$F$5)),INDEX('Deck 3'!$A:$Z,ROW()-750,'List Setup'!$F$5),0)))</f>
        <v/>
      </c>
      <c r="G940" s="80" t="str">
        <f t="array" ref="G940">IF(A940="","",A940&amp;IF(N(INDEX('Deck 3'!$A:$Z,ROW()-750,'List Setup'!$C$5))&gt;1," (x"&amp;INDEX('Deck 3'!$A:$Z,ROW()-750,'List Setup'!$C$5)&amp;")","")&amp;IF(COUNTIF(Binders!$J$6:$J$30,TRUE())&gt;1," ["&amp;Q940&amp;"]",""))</f>
        <v/>
      </c>
      <c r="H940" s="80" t="str">
        <f t="array" ref="H940">IF(A940="","",CHAR(10)&amp;INDEX('Deck 3'!$A:$Z,ROW()-750,'List Setup'!$E$5)&amp;CHAR(10))</f>
        <v/>
      </c>
      <c r="I940" s="80" t="str">
        <f t="array" ref="I940">IF(OR(B940="",B940="(none)"),"",IF(ISNUMBER(SEARCH(CHAR(10)&amp;B940&amp;CHAR(10),H940)),B940,IFERROR(INDEX('Set Aliases'!$A$2:$A$501,MATCH(1,('Set Aliases'!$B$2:$B$501=B940)*ISNUMBER(SEARCH(CHAR(10)&amp;'Set Aliases'!$A$2:$A$501&amp;CHAR(10),H940)),0)),"")))</f>
        <v/>
      </c>
      <c r="J940" s="80" t="str">
        <f t="array" ref="J940">IF(I940="","",IFERROR(VALUE(TRIM(MID(SUBSTITUTE(INDEX('Deck 3'!$A:$Z,ROW()-750,'List Setup'!$G$5),CHAR(10),REPT(" ",100)),((SEARCH(CHAR(10)&amp;I940&amp;CHAR(10),H940)-LEN(SUBSTITUTE(LEFT(H940,SEARCH(CHAR(10)&amp;I940&amp;CHAR(10),H940)),CHAR(10),"")))-1)*100+1,100))),""))</f>
        <v/>
      </c>
      <c r="K940" s="80" t="str">
        <f t="array" ref="K940">IF(A940="","",IF(ISNUMBER(SEARCH("Land",LEFT(IFERROR(INDEX('Deck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40" s="80" t="str">
        <f t="shared" si="3"/>
        <v/>
      </c>
      <c r="M940" s="80" t="str">
        <f>IF(A940="","",IF(AND(E940="Y",B940='Use at Shop'!$B$4),K940*10000000000+(MAX(0,MIN(26,CODE(MID(UPPER(A940)&amp;"    ",1,1))-64))*19683+MAX(0,MIN(26,CODE(MID(UPPER(A940)&amp;"    ",2,1))-64))*729+MAX(0,MIN(26,CODE(MID(UPPER(A940)&amp;"    ",3,1))-64))*27+MAX(0,MIN(26,CODE(MID(UPPER(A940)&amp;"    ",4,1))-64))*1)*10000+ROW(),""))</f>
        <v/>
      </c>
      <c r="N940" s="80" t="str">
        <f t="shared" si="7"/>
        <v/>
      </c>
      <c r="O940" s="80" t="str">
        <f t="array" ref="O940">IF(A940="","",IFERROR(INDEX('Deck 3'!$A:$Z,ROW()-750,'List Setup'!$J$5)&amp;"",""))</f>
        <v/>
      </c>
      <c r="P940" s="2"/>
      <c r="Q940" s="80" t="str">
        <f>IF(A940="","",'List Setup'!$A$5)</f>
        <v/>
      </c>
      <c r="R940" s="80" t="str">
        <f t="array" ref="R940">IF(A940="","",IFERROR(OR(INDEX(Binders!$J$6:$J$30,MATCH(Q940,Binders!$I$6:$I$30,0))=TRUE(),UPPER(INDEX(Binders!$J$6:$J$30,MATCH(Q940,Binders!$I$6:$I$30,0))&amp;"")="TRUE"),FALSE()))</f>
        <v/>
      </c>
    </row>
    <row r="941" ht="15.75" customHeight="1">
      <c r="A941" s="80" t="str">
        <f t="array" ref="A941">IF(INDEX('Deck 3'!$A:$Z,ROW()-750,'List Setup'!$D$5)="","",INDEX('Deck 3'!$A:$Z,ROW()-750,'List Setup'!$D$5))</f>
        <v/>
      </c>
      <c r="B941" s="80" t="str">
        <f t="array" ref="B941">IF(A941="","",IFERROR(INDEX('Binder Setup'!$B$2:$B$401,MIN(IF(ISNUMBER(SEARCH(CHAR(10)&amp;'Binder Setup'!$B$2:$B$401&amp;CHAR(10),$H941)),'List Setup'!$Q$2:$Q$401,999),IF(ISNUMBER(SEARCH(CHAR(10)&amp;'Set Aliases'!$A$2:$A$501&amp;CHAR(10),$H941)),'Set Aliases'!$C$2:$C$501,999))),"(none)"))</f>
        <v/>
      </c>
      <c r="C941" s="80" t="str">
        <f t="shared" si="1"/>
        <v/>
      </c>
      <c r="D941" s="80" t="str">
        <f t="array" ref="D941">IF(A941="","",IF(ISLOGICAL(INDEX('Deck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41" s="80" t="str">
        <f t="shared" si="2"/>
        <v/>
      </c>
      <c r="F941" s="80" t="str">
        <f t="array" ref="F941">IF(A941="","",IF(ISNUMBER(J941),J941,IF(ISNUMBER(INDEX('Deck 3'!$A:$Z,ROW()-750,'List Setup'!$F$5)),INDEX('Deck 3'!$A:$Z,ROW()-750,'List Setup'!$F$5),0)))</f>
        <v/>
      </c>
      <c r="G941" s="80" t="str">
        <f t="array" ref="G941">IF(A941="","",A941&amp;IF(N(INDEX('Deck 3'!$A:$Z,ROW()-750,'List Setup'!$C$5))&gt;1," (x"&amp;INDEX('Deck 3'!$A:$Z,ROW()-750,'List Setup'!$C$5)&amp;")","")&amp;IF(COUNTIF(Binders!$J$6:$J$30,TRUE())&gt;1," ["&amp;Q941&amp;"]",""))</f>
        <v/>
      </c>
      <c r="H941" s="80" t="str">
        <f t="array" ref="H941">IF(A941="","",CHAR(10)&amp;INDEX('Deck 3'!$A:$Z,ROW()-750,'List Setup'!$E$5)&amp;CHAR(10))</f>
        <v/>
      </c>
      <c r="I941" s="80" t="str">
        <f t="array" ref="I941">IF(OR(B941="",B941="(none)"),"",IF(ISNUMBER(SEARCH(CHAR(10)&amp;B941&amp;CHAR(10),H941)),B941,IFERROR(INDEX('Set Aliases'!$A$2:$A$501,MATCH(1,('Set Aliases'!$B$2:$B$501=B941)*ISNUMBER(SEARCH(CHAR(10)&amp;'Set Aliases'!$A$2:$A$501&amp;CHAR(10),H941)),0)),"")))</f>
        <v/>
      </c>
      <c r="J941" s="80" t="str">
        <f t="array" ref="J941">IF(I941="","",IFERROR(VALUE(TRIM(MID(SUBSTITUTE(INDEX('Deck 3'!$A:$Z,ROW()-750,'List Setup'!$G$5),CHAR(10),REPT(" ",100)),((SEARCH(CHAR(10)&amp;I941&amp;CHAR(10),H941)-LEN(SUBSTITUTE(LEFT(H941,SEARCH(CHAR(10)&amp;I941&amp;CHAR(10),H941)),CHAR(10),"")))-1)*100+1,100))),""))</f>
        <v/>
      </c>
      <c r="K941" s="80" t="str">
        <f t="array" ref="K941">IF(A941="","",IF(ISNUMBER(SEARCH("Land",LEFT(IFERROR(INDEX('Deck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41" s="80" t="str">
        <f t="shared" si="3"/>
        <v/>
      </c>
      <c r="M941" s="80" t="str">
        <f>IF(A941="","",IF(AND(E941="Y",B941='Use at Shop'!$B$4),K941*10000000000+(MAX(0,MIN(26,CODE(MID(UPPER(A941)&amp;"    ",1,1))-64))*19683+MAX(0,MIN(26,CODE(MID(UPPER(A941)&amp;"    ",2,1))-64))*729+MAX(0,MIN(26,CODE(MID(UPPER(A941)&amp;"    ",3,1))-64))*27+MAX(0,MIN(26,CODE(MID(UPPER(A941)&amp;"    ",4,1))-64))*1)*10000+ROW(),""))</f>
        <v/>
      </c>
      <c r="N941" s="80" t="str">
        <f t="shared" si="7"/>
        <v/>
      </c>
      <c r="O941" s="80" t="str">
        <f t="array" ref="O941">IF(A941="","",IFERROR(INDEX('Deck 3'!$A:$Z,ROW()-750,'List Setup'!$J$5)&amp;"",""))</f>
        <v/>
      </c>
      <c r="P941" s="2"/>
      <c r="Q941" s="80" t="str">
        <f>IF(A941="","",'List Setup'!$A$5)</f>
        <v/>
      </c>
      <c r="R941" s="80" t="str">
        <f t="array" ref="R941">IF(A941="","",IFERROR(OR(INDEX(Binders!$J$6:$J$30,MATCH(Q941,Binders!$I$6:$I$30,0))=TRUE(),UPPER(INDEX(Binders!$J$6:$J$30,MATCH(Q941,Binders!$I$6:$I$30,0))&amp;"")="TRUE"),FALSE()))</f>
        <v/>
      </c>
    </row>
    <row r="942" ht="15.75" customHeight="1">
      <c r="A942" s="80" t="str">
        <f t="array" ref="A942">IF(INDEX('Deck 3'!$A:$Z,ROW()-750,'List Setup'!$D$5)="","",INDEX('Deck 3'!$A:$Z,ROW()-750,'List Setup'!$D$5))</f>
        <v/>
      </c>
      <c r="B942" s="80" t="str">
        <f t="array" ref="B942">IF(A942="","",IFERROR(INDEX('Binder Setup'!$B$2:$B$401,MIN(IF(ISNUMBER(SEARCH(CHAR(10)&amp;'Binder Setup'!$B$2:$B$401&amp;CHAR(10),$H942)),'List Setup'!$Q$2:$Q$401,999),IF(ISNUMBER(SEARCH(CHAR(10)&amp;'Set Aliases'!$A$2:$A$501&amp;CHAR(10),$H942)),'Set Aliases'!$C$2:$C$501,999))),"(none)"))</f>
        <v/>
      </c>
      <c r="C942" s="80" t="str">
        <f t="shared" si="1"/>
        <v/>
      </c>
      <c r="D942" s="80" t="str">
        <f t="array" ref="D942">IF(A942="","",IF(ISLOGICAL(INDEX('Deck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42" s="80" t="str">
        <f t="shared" si="2"/>
        <v/>
      </c>
      <c r="F942" s="80" t="str">
        <f t="array" ref="F942">IF(A942="","",IF(ISNUMBER(J942),J942,IF(ISNUMBER(INDEX('Deck 3'!$A:$Z,ROW()-750,'List Setup'!$F$5)),INDEX('Deck 3'!$A:$Z,ROW()-750,'List Setup'!$F$5),0)))</f>
        <v/>
      </c>
      <c r="G942" s="80" t="str">
        <f t="array" ref="G942">IF(A942="","",A942&amp;IF(N(INDEX('Deck 3'!$A:$Z,ROW()-750,'List Setup'!$C$5))&gt;1," (x"&amp;INDEX('Deck 3'!$A:$Z,ROW()-750,'List Setup'!$C$5)&amp;")","")&amp;IF(COUNTIF(Binders!$J$6:$J$30,TRUE())&gt;1," ["&amp;Q942&amp;"]",""))</f>
        <v/>
      </c>
      <c r="H942" s="80" t="str">
        <f t="array" ref="H942">IF(A942="","",CHAR(10)&amp;INDEX('Deck 3'!$A:$Z,ROW()-750,'List Setup'!$E$5)&amp;CHAR(10))</f>
        <v/>
      </c>
      <c r="I942" s="80" t="str">
        <f t="array" ref="I942">IF(OR(B942="",B942="(none)"),"",IF(ISNUMBER(SEARCH(CHAR(10)&amp;B942&amp;CHAR(10),H942)),B942,IFERROR(INDEX('Set Aliases'!$A$2:$A$501,MATCH(1,('Set Aliases'!$B$2:$B$501=B942)*ISNUMBER(SEARCH(CHAR(10)&amp;'Set Aliases'!$A$2:$A$501&amp;CHAR(10),H942)),0)),"")))</f>
        <v/>
      </c>
      <c r="J942" s="80" t="str">
        <f t="array" ref="J942">IF(I942="","",IFERROR(VALUE(TRIM(MID(SUBSTITUTE(INDEX('Deck 3'!$A:$Z,ROW()-750,'List Setup'!$G$5),CHAR(10),REPT(" ",100)),((SEARCH(CHAR(10)&amp;I942&amp;CHAR(10),H942)-LEN(SUBSTITUTE(LEFT(H942,SEARCH(CHAR(10)&amp;I942&amp;CHAR(10),H942)),CHAR(10),"")))-1)*100+1,100))),""))</f>
        <v/>
      </c>
      <c r="K942" s="80" t="str">
        <f t="array" ref="K942">IF(A942="","",IF(ISNUMBER(SEARCH("Land",LEFT(IFERROR(INDEX('Deck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42" s="80" t="str">
        <f t="shared" si="3"/>
        <v/>
      </c>
      <c r="M942" s="80" t="str">
        <f>IF(A942="","",IF(AND(E942="Y",B942='Use at Shop'!$B$4),K942*10000000000+(MAX(0,MIN(26,CODE(MID(UPPER(A942)&amp;"    ",1,1))-64))*19683+MAX(0,MIN(26,CODE(MID(UPPER(A942)&amp;"    ",2,1))-64))*729+MAX(0,MIN(26,CODE(MID(UPPER(A942)&amp;"    ",3,1))-64))*27+MAX(0,MIN(26,CODE(MID(UPPER(A942)&amp;"    ",4,1))-64))*1)*10000+ROW(),""))</f>
        <v/>
      </c>
      <c r="N942" s="80" t="str">
        <f t="shared" si="7"/>
        <v/>
      </c>
      <c r="O942" s="80" t="str">
        <f t="array" ref="O942">IF(A942="","",IFERROR(INDEX('Deck 3'!$A:$Z,ROW()-750,'List Setup'!$J$5)&amp;"",""))</f>
        <v/>
      </c>
      <c r="P942" s="2"/>
      <c r="Q942" s="80" t="str">
        <f>IF(A942="","",'List Setup'!$A$5)</f>
        <v/>
      </c>
      <c r="R942" s="80" t="str">
        <f t="array" ref="R942">IF(A942="","",IFERROR(OR(INDEX(Binders!$J$6:$J$30,MATCH(Q942,Binders!$I$6:$I$30,0))=TRUE(),UPPER(INDEX(Binders!$J$6:$J$30,MATCH(Q942,Binders!$I$6:$I$30,0))&amp;"")="TRUE"),FALSE()))</f>
        <v/>
      </c>
    </row>
    <row r="943" ht="15.75" customHeight="1">
      <c r="A943" s="80" t="str">
        <f t="array" ref="A943">IF(INDEX('Deck 3'!$A:$Z,ROW()-750,'List Setup'!$D$5)="","",INDEX('Deck 3'!$A:$Z,ROW()-750,'List Setup'!$D$5))</f>
        <v/>
      </c>
      <c r="B943" s="80" t="str">
        <f t="array" ref="B943">IF(A943="","",IFERROR(INDEX('Binder Setup'!$B$2:$B$401,MIN(IF(ISNUMBER(SEARCH(CHAR(10)&amp;'Binder Setup'!$B$2:$B$401&amp;CHAR(10),$H943)),'List Setup'!$Q$2:$Q$401,999),IF(ISNUMBER(SEARCH(CHAR(10)&amp;'Set Aliases'!$A$2:$A$501&amp;CHAR(10),$H943)),'Set Aliases'!$C$2:$C$501,999))),"(none)"))</f>
        <v/>
      </c>
      <c r="C943" s="80" t="str">
        <f t="shared" si="1"/>
        <v/>
      </c>
      <c r="D943" s="80" t="str">
        <f t="array" ref="D943">IF(A943="","",IF(ISLOGICAL(INDEX('Deck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43" s="80" t="str">
        <f t="shared" si="2"/>
        <v/>
      </c>
      <c r="F943" s="80" t="str">
        <f t="array" ref="F943">IF(A943="","",IF(ISNUMBER(J943),J943,IF(ISNUMBER(INDEX('Deck 3'!$A:$Z,ROW()-750,'List Setup'!$F$5)),INDEX('Deck 3'!$A:$Z,ROW()-750,'List Setup'!$F$5),0)))</f>
        <v/>
      </c>
      <c r="G943" s="80" t="str">
        <f t="array" ref="G943">IF(A943="","",A943&amp;IF(N(INDEX('Deck 3'!$A:$Z,ROW()-750,'List Setup'!$C$5))&gt;1," (x"&amp;INDEX('Deck 3'!$A:$Z,ROW()-750,'List Setup'!$C$5)&amp;")","")&amp;IF(COUNTIF(Binders!$J$6:$J$30,TRUE())&gt;1," ["&amp;Q943&amp;"]",""))</f>
        <v/>
      </c>
      <c r="H943" s="80" t="str">
        <f t="array" ref="H943">IF(A943="","",CHAR(10)&amp;INDEX('Deck 3'!$A:$Z,ROW()-750,'List Setup'!$E$5)&amp;CHAR(10))</f>
        <v/>
      </c>
      <c r="I943" s="80" t="str">
        <f t="array" ref="I943">IF(OR(B943="",B943="(none)"),"",IF(ISNUMBER(SEARCH(CHAR(10)&amp;B943&amp;CHAR(10),H943)),B943,IFERROR(INDEX('Set Aliases'!$A$2:$A$501,MATCH(1,('Set Aliases'!$B$2:$B$501=B943)*ISNUMBER(SEARCH(CHAR(10)&amp;'Set Aliases'!$A$2:$A$501&amp;CHAR(10),H943)),0)),"")))</f>
        <v/>
      </c>
      <c r="J943" s="80" t="str">
        <f t="array" ref="J943">IF(I943="","",IFERROR(VALUE(TRIM(MID(SUBSTITUTE(INDEX('Deck 3'!$A:$Z,ROW()-750,'List Setup'!$G$5),CHAR(10),REPT(" ",100)),((SEARCH(CHAR(10)&amp;I943&amp;CHAR(10),H943)-LEN(SUBSTITUTE(LEFT(H943,SEARCH(CHAR(10)&amp;I943&amp;CHAR(10),H943)),CHAR(10),"")))-1)*100+1,100))),""))</f>
        <v/>
      </c>
      <c r="K943" s="80" t="str">
        <f t="array" ref="K943">IF(A943="","",IF(ISNUMBER(SEARCH("Land",LEFT(IFERROR(INDEX('Deck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43" s="80" t="str">
        <f t="shared" si="3"/>
        <v/>
      </c>
      <c r="M943" s="80" t="str">
        <f>IF(A943="","",IF(AND(E943="Y",B943='Use at Shop'!$B$4),K943*10000000000+(MAX(0,MIN(26,CODE(MID(UPPER(A943)&amp;"    ",1,1))-64))*19683+MAX(0,MIN(26,CODE(MID(UPPER(A943)&amp;"    ",2,1))-64))*729+MAX(0,MIN(26,CODE(MID(UPPER(A943)&amp;"    ",3,1))-64))*27+MAX(0,MIN(26,CODE(MID(UPPER(A943)&amp;"    ",4,1))-64))*1)*10000+ROW(),""))</f>
        <v/>
      </c>
      <c r="N943" s="80" t="str">
        <f t="shared" si="7"/>
        <v/>
      </c>
      <c r="O943" s="80" t="str">
        <f t="array" ref="O943">IF(A943="","",IFERROR(INDEX('Deck 3'!$A:$Z,ROW()-750,'List Setup'!$J$5)&amp;"",""))</f>
        <v/>
      </c>
      <c r="P943" s="2"/>
      <c r="Q943" s="80" t="str">
        <f>IF(A943="","",'List Setup'!$A$5)</f>
        <v/>
      </c>
      <c r="R943" s="80" t="str">
        <f t="array" ref="R943">IF(A943="","",IFERROR(OR(INDEX(Binders!$J$6:$J$30,MATCH(Q943,Binders!$I$6:$I$30,0))=TRUE(),UPPER(INDEX(Binders!$J$6:$J$30,MATCH(Q943,Binders!$I$6:$I$30,0))&amp;"")="TRUE"),FALSE()))</f>
        <v/>
      </c>
    </row>
    <row r="944" ht="15.75" customHeight="1">
      <c r="A944" s="80" t="str">
        <f t="array" ref="A944">IF(INDEX('Deck 3'!$A:$Z,ROW()-750,'List Setup'!$D$5)="","",INDEX('Deck 3'!$A:$Z,ROW()-750,'List Setup'!$D$5))</f>
        <v/>
      </c>
      <c r="B944" s="80" t="str">
        <f t="array" ref="B944">IF(A944="","",IFERROR(INDEX('Binder Setup'!$B$2:$B$401,MIN(IF(ISNUMBER(SEARCH(CHAR(10)&amp;'Binder Setup'!$B$2:$B$401&amp;CHAR(10),$H944)),'List Setup'!$Q$2:$Q$401,999),IF(ISNUMBER(SEARCH(CHAR(10)&amp;'Set Aliases'!$A$2:$A$501&amp;CHAR(10),$H944)),'Set Aliases'!$C$2:$C$501,999))),"(none)"))</f>
        <v/>
      </c>
      <c r="C944" s="80" t="str">
        <f t="shared" si="1"/>
        <v/>
      </c>
      <c r="D944" s="80" t="str">
        <f t="array" ref="D944">IF(A944="","",IF(ISLOGICAL(INDEX('Deck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44" s="80" t="str">
        <f t="shared" si="2"/>
        <v/>
      </c>
      <c r="F944" s="80" t="str">
        <f t="array" ref="F944">IF(A944="","",IF(ISNUMBER(J944),J944,IF(ISNUMBER(INDEX('Deck 3'!$A:$Z,ROW()-750,'List Setup'!$F$5)),INDEX('Deck 3'!$A:$Z,ROW()-750,'List Setup'!$F$5),0)))</f>
        <v/>
      </c>
      <c r="G944" s="80" t="str">
        <f t="array" ref="G944">IF(A944="","",A944&amp;IF(N(INDEX('Deck 3'!$A:$Z,ROW()-750,'List Setup'!$C$5))&gt;1," (x"&amp;INDEX('Deck 3'!$A:$Z,ROW()-750,'List Setup'!$C$5)&amp;")","")&amp;IF(COUNTIF(Binders!$J$6:$J$30,TRUE())&gt;1," ["&amp;Q944&amp;"]",""))</f>
        <v/>
      </c>
      <c r="H944" s="80" t="str">
        <f t="array" ref="H944">IF(A944="","",CHAR(10)&amp;INDEX('Deck 3'!$A:$Z,ROW()-750,'List Setup'!$E$5)&amp;CHAR(10))</f>
        <v/>
      </c>
      <c r="I944" s="80" t="str">
        <f t="array" ref="I944">IF(OR(B944="",B944="(none)"),"",IF(ISNUMBER(SEARCH(CHAR(10)&amp;B944&amp;CHAR(10),H944)),B944,IFERROR(INDEX('Set Aliases'!$A$2:$A$501,MATCH(1,('Set Aliases'!$B$2:$B$501=B944)*ISNUMBER(SEARCH(CHAR(10)&amp;'Set Aliases'!$A$2:$A$501&amp;CHAR(10),H944)),0)),"")))</f>
        <v/>
      </c>
      <c r="J944" s="80" t="str">
        <f t="array" ref="J944">IF(I944="","",IFERROR(VALUE(TRIM(MID(SUBSTITUTE(INDEX('Deck 3'!$A:$Z,ROW()-750,'List Setup'!$G$5),CHAR(10),REPT(" ",100)),((SEARCH(CHAR(10)&amp;I944&amp;CHAR(10),H944)-LEN(SUBSTITUTE(LEFT(H944,SEARCH(CHAR(10)&amp;I944&amp;CHAR(10),H944)),CHAR(10),"")))-1)*100+1,100))),""))</f>
        <v/>
      </c>
      <c r="K944" s="80" t="str">
        <f t="array" ref="K944">IF(A944="","",IF(ISNUMBER(SEARCH("Land",LEFT(IFERROR(INDEX('Deck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44" s="80" t="str">
        <f t="shared" si="3"/>
        <v/>
      </c>
      <c r="M944" s="80" t="str">
        <f>IF(A944="","",IF(AND(E944="Y",B944='Use at Shop'!$B$4),K944*10000000000+(MAX(0,MIN(26,CODE(MID(UPPER(A944)&amp;"    ",1,1))-64))*19683+MAX(0,MIN(26,CODE(MID(UPPER(A944)&amp;"    ",2,1))-64))*729+MAX(0,MIN(26,CODE(MID(UPPER(A944)&amp;"    ",3,1))-64))*27+MAX(0,MIN(26,CODE(MID(UPPER(A944)&amp;"    ",4,1))-64))*1)*10000+ROW(),""))</f>
        <v/>
      </c>
      <c r="N944" s="80" t="str">
        <f t="shared" si="7"/>
        <v/>
      </c>
      <c r="O944" s="80" t="str">
        <f t="array" ref="O944">IF(A944="","",IFERROR(INDEX('Deck 3'!$A:$Z,ROW()-750,'List Setup'!$J$5)&amp;"",""))</f>
        <v/>
      </c>
      <c r="P944" s="2"/>
      <c r="Q944" s="80" t="str">
        <f>IF(A944="","",'List Setup'!$A$5)</f>
        <v/>
      </c>
      <c r="R944" s="80" t="str">
        <f t="array" ref="R944">IF(A944="","",IFERROR(OR(INDEX(Binders!$J$6:$J$30,MATCH(Q944,Binders!$I$6:$I$30,0))=TRUE(),UPPER(INDEX(Binders!$J$6:$J$30,MATCH(Q944,Binders!$I$6:$I$30,0))&amp;"")="TRUE"),FALSE()))</f>
        <v/>
      </c>
    </row>
    <row r="945" ht="15.75" customHeight="1">
      <c r="A945" s="80" t="str">
        <f t="array" ref="A945">IF(INDEX('Deck 3'!$A:$Z,ROW()-750,'List Setup'!$D$5)="","",INDEX('Deck 3'!$A:$Z,ROW()-750,'List Setup'!$D$5))</f>
        <v/>
      </c>
      <c r="B945" s="80" t="str">
        <f t="array" ref="B945">IF(A945="","",IFERROR(INDEX('Binder Setup'!$B$2:$B$401,MIN(IF(ISNUMBER(SEARCH(CHAR(10)&amp;'Binder Setup'!$B$2:$B$401&amp;CHAR(10),$H945)),'List Setup'!$Q$2:$Q$401,999),IF(ISNUMBER(SEARCH(CHAR(10)&amp;'Set Aliases'!$A$2:$A$501&amp;CHAR(10),$H945)),'Set Aliases'!$C$2:$C$501,999))),"(none)"))</f>
        <v/>
      </c>
      <c r="C945" s="80" t="str">
        <f t="shared" si="1"/>
        <v/>
      </c>
      <c r="D945" s="80" t="str">
        <f t="array" ref="D945">IF(A945="","",IF(ISLOGICAL(INDEX('Deck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45" s="80" t="str">
        <f t="shared" si="2"/>
        <v/>
      </c>
      <c r="F945" s="80" t="str">
        <f t="array" ref="F945">IF(A945="","",IF(ISNUMBER(J945),J945,IF(ISNUMBER(INDEX('Deck 3'!$A:$Z,ROW()-750,'List Setup'!$F$5)),INDEX('Deck 3'!$A:$Z,ROW()-750,'List Setup'!$F$5),0)))</f>
        <v/>
      </c>
      <c r="G945" s="80" t="str">
        <f t="array" ref="G945">IF(A945="","",A945&amp;IF(N(INDEX('Deck 3'!$A:$Z,ROW()-750,'List Setup'!$C$5))&gt;1," (x"&amp;INDEX('Deck 3'!$A:$Z,ROW()-750,'List Setup'!$C$5)&amp;")","")&amp;IF(COUNTIF(Binders!$J$6:$J$30,TRUE())&gt;1," ["&amp;Q945&amp;"]",""))</f>
        <v/>
      </c>
      <c r="H945" s="80" t="str">
        <f t="array" ref="H945">IF(A945="","",CHAR(10)&amp;INDEX('Deck 3'!$A:$Z,ROW()-750,'List Setup'!$E$5)&amp;CHAR(10))</f>
        <v/>
      </c>
      <c r="I945" s="80" t="str">
        <f t="array" ref="I945">IF(OR(B945="",B945="(none)"),"",IF(ISNUMBER(SEARCH(CHAR(10)&amp;B945&amp;CHAR(10),H945)),B945,IFERROR(INDEX('Set Aliases'!$A$2:$A$501,MATCH(1,('Set Aliases'!$B$2:$B$501=B945)*ISNUMBER(SEARCH(CHAR(10)&amp;'Set Aliases'!$A$2:$A$501&amp;CHAR(10),H945)),0)),"")))</f>
        <v/>
      </c>
      <c r="J945" s="80" t="str">
        <f t="array" ref="J945">IF(I945="","",IFERROR(VALUE(TRIM(MID(SUBSTITUTE(INDEX('Deck 3'!$A:$Z,ROW()-750,'List Setup'!$G$5),CHAR(10),REPT(" ",100)),((SEARCH(CHAR(10)&amp;I945&amp;CHAR(10),H945)-LEN(SUBSTITUTE(LEFT(H945,SEARCH(CHAR(10)&amp;I945&amp;CHAR(10),H945)),CHAR(10),"")))-1)*100+1,100))),""))</f>
        <v/>
      </c>
      <c r="K945" s="80" t="str">
        <f t="array" ref="K945">IF(A945="","",IF(ISNUMBER(SEARCH("Land",LEFT(IFERROR(INDEX('Deck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45" s="80" t="str">
        <f t="shared" si="3"/>
        <v/>
      </c>
      <c r="M945" s="80" t="str">
        <f>IF(A945="","",IF(AND(E945="Y",B945='Use at Shop'!$B$4),K945*10000000000+(MAX(0,MIN(26,CODE(MID(UPPER(A945)&amp;"    ",1,1))-64))*19683+MAX(0,MIN(26,CODE(MID(UPPER(A945)&amp;"    ",2,1))-64))*729+MAX(0,MIN(26,CODE(MID(UPPER(A945)&amp;"    ",3,1))-64))*27+MAX(0,MIN(26,CODE(MID(UPPER(A945)&amp;"    ",4,1))-64))*1)*10000+ROW(),""))</f>
        <v/>
      </c>
      <c r="N945" s="80" t="str">
        <f t="shared" si="7"/>
        <v/>
      </c>
      <c r="O945" s="80" t="str">
        <f t="array" ref="O945">IF(A945="","",IFERROR(INDEX('Deck 3'!$A:$Z,ROW()-750,'List Setup'!$J$5)&amp;"",""))</f>
        <v/>
      </c>
      <c r="P945" s="2"/>
      <c r="Q945" s="80" t="str">
        <f>IF(A945="","",'List Setup'!$A$5)</f>
        <v/>
      </c>
      <c r="R945" s="80" t="str">
        <f t="array" ref="R945">IF(A945="","",IFERROR(OR(INDEX(Binders!$J$6:$J$30,MATCH(Q945,Binders!$I$6:$I$30,0))=TRUE(),UPPER(INDEX(Binders!$J$6:$J$30,MATCH(Q945,Binders!$I$6:$I$30,0))&amp;"")="TRUE"),FALSE()))</f>
        <v/>
      </c>
    </row>
    <row r="946" ht="15.75" customHeight="1">
      <c r="A946" s="80" t="str">
        <f t="array" ref="A946">IF(INDEX('Deck 3'!$A:$Z,ROW()-750,'List Setup'!$D$5)="","",INDEX('Deck 3'!$A:$Z,ROW()-750,'List Setup'!$D$5))</f>
        <v/>
      </c>
      <c r="B946" s="80" t="str">
        <f t="array" ref="B946">IF(A946="","",IFERROR(INDEX('Binder Setup'!$B$2:$B$401,MIN(IF(ISNUMBER(SEARCH(CHAR(10)&amp;'Binder Setup'!$B$2:$B$401&amp;CHAR(10),$H946)),'List Setup'!$Q$2:$Q$401,999),IF(ISNUMBER(SEARCH(CHAR(10)&amp;'Set Aliases'!$A$2:$A$501&amp;CHAR(10),$H946)),'Set Aliases'!$C$2:$C$501,999))),"(none)"))</f>
        <v/>
      </c>
      <c r="C946" s="80" t="str">
        <f t="shared" si="1"/>
        <v/>
      </c>
      <c r="D946" s="80" t="str">
        <f t="array" ref="D946">IF(A946="","",IF(ISLOGICAL(INDEX('Deck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46" s="80" t="str">
        <f t="shared" si="2"/>
        <v/>
      </c>
      <c r="F946" s="80" t="str">
        <f t="array" ref="F946">IF(A946="","",IF(ISNUMBER(J946),J946,IF(ISNUMBER(INDEX('Deck 3'!$A:$Z,ROW()-750,'List Setup'!$F$5)),INDEX('Deck 3'!$A:$Z,ROW()-750,'List Setup'!$F$5),0)))</f>
        <v/>
      </c>
      <c r="G946" s="80" t="str">
        <f t="array" ref="G946">IF(A946="","",A946&amp;IF(N(INDEX('Deck 3'!$A:$Z,ROW()-750,'List Setup'!$C$5))&gt;1," (x"&amp;INDEX('Deck 3'!$A:$Z,ROW()-750,'List Setup'!$C$5)&amp;")","")&amp;IF(COUNTIF(Binders!$J$6:$J$30,TRUE())&gt;1," ["&amp;Q946&amp;"]",""))</f>
        <v/>
      </c>
      <c r="H946" s="80" t="str">
        <f t="array" ref="H946">IF(A946="","",CHAR(10)&amp;INDEX('Deck 3'!$A:$Z,ROW()-750,'List Setup'!$E$5)&amp;CHAR(10))</f>
        <v/>
      </c>
      <c r="I946" s="80" t="str">
        <f t="array" ref="I946">IF(OR(B946="",B946="(none)"),"",IF(ISNUMBER(SEARCH(CHAR(10)&amp;B946&amp;CHAR(10),H946)),B946,IFERROR(INDEX('Set Aliases'!$A$2:$A$501,MATCH(1,('Set Aliases'!$B$2:$B$501=B946)*ISNUMBER(SEARCH(CHAR(10)&amp;'Set Aliases'!$A$2:$A$501&amp;CHAR(10),H946)),0)),"")))</f>
        <v/>
      </c>
      <c r="J946" s="80" t="str">
        <f t="array" ref="J946">IF(I946="","",IFERROR(VALUE(TRIM(MID(SUBSTITUTE(INDEX('Deck 3'!$A:$Z,ROW()-750,'List Setup'!$G$5),CHAR(10),REPT(" ",100)),((SEARCH(CHAR(10)&amp;I946&amp;CHAR(10),H946)-LEN(SUBSTITUTE(LEFT(H946,SEARCH(CHAR(10)&amp;I946&amp;CHAR(10),H946)),CHAR(10),"")))-1)*100+1,100))),""))</f>
        <v/>
      </c>
      <c r="K946" s="80" t="str">
        <f t="array" ref="K946">IF(A946="","",IF(ISNUMBER(SEARCH("Land",LEFT(IFERROR(INDEX('Deck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46" s="80" t="str">
        <f t="shared" si="3"/>
        <v/>
      </c>
      <c r="M946" s="80" t="str">
        <f>IF(A946="","",IF(AND(E946="Y",B946='Use at Shop'!$B$4),K946*10000000000+(MAX(0,MIN(26,CODE(MID(UPPER(A946)&amp;"    ",1,1))-64))*19683+MAX(0,MIN(26,CODE(MID(UPPER(A946)&amp;"    ",2,1))-64))*729+MAX(0,MIN(26,CODE(MID(UPPER(A946)&amp;"    ",3,1))-64))*27+MAX(0,MIN(26,CODE(MID(UPPER(A946)&amp;"    ",4,1))-64))*1)*10000+ROW(),""))</f>
        <v/>
      </c>
      <c r="N946" s="80" t="str">
        <f t="shared" si="7"/>
        <v/>
      </c>
      <c r="O946" s="80" t="str">
        <f t="array" ref="O946">IF(A946="","",IFERROR(INDEX('Deck 3'!$A:$Z,ROW()-750,'List Setup'!$J$5)&amp;"",""))</f>
        <v/>
      </c>
      <c r="P946" s="2"/>
      <c r="Q946" s="80" t="str">
        <f>IF(A946="","",'List Setup'!$A$5)</f>
        <v/>
      </c>
      <c r="R946" s="80" t="str">
        <f t="array" ref="R946">IF(A946="","",IFERROR(OR(INDEX(Binders!$J$6:$J$30,MATCH(Q946,Binders!$I$6:$I$30,0))=TRUE(),UPPER(INDEX(Binders!$J$6:$J$30,MATCH(Q946,Binders!$I$6:$I$30,0))&amp;"")="TRUE"),FALSE()))</f>
        <v/>
      </c>
    </row>
    <row r="947" ht="15.75" customHeight="1">
      <c r="A947" s="80" t="str">
        <f t="array" ref="A947">IF(INDEX('Deck 3'!$A:$Z,ROW()-750,'List Setup'!$D$5)="","",INDEX('Deck 3'!$A:$Z,ROW()-750,'List Setup'!$D$5))</f>
        <v/>
      </c>
      <c r="B947" s="80" t="str">
        <f t="array" ref="B947">IF(A947="","",IFERROR(INDEX('Binder Setup'!$B$2:$B$401,MIN(IF(ISNUMBER(SEARCH(CHAR(10)&amp;'Binder Setup'!$B$2:$B$401&amp;CHAR(10),$H947)),'List Setup'!$Q$2:$Q$401,999),IF(ISNUMBER(SEARCH(CHAR(10)&amp;'Set Aliases'!$A$2:$A$501&amp;CHAR(10),$H947)),'Set Aliases'!$C$2:$C$501,999))),"(none)"))</f>
        <v/>
      </c>
      <c r="C947" s="80" t="str">
        <f t="shared" si="1"/>
        <v/>
      </c>
      <c r="D947" s="80" t="str">
        <f t="array" ref="D947">IF(A947="","",IF(ISLOGICAL(INDEX('Deck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47" s="80" t="str">
        <f t="shared" si="2"/>
        <v/>
      </c>
      <c r="F947" s="80" t="str">
        <f t="array" ref="F947">IF(A947="","",IF(ISNUMBER(J947),J947,IF(ISNUMBER(INDEX('Deck 3'!$A:$Z,ROW()-750,'List Setup'!$F$5)),INDEX('Deck 3'!$A:$Z,ROW()-750,'List Setup'!$F$5),0)))</f>
        <v/>
      </c>
      <c r="G947" s="80" t="str">
        <f t="array" ref="G947">IF(A947="","",A947&amp;IF(N(INDEX('Deck 3'!$A:$Z,ROW()-750,'List Setup'!$C$5))&gt;1," (x"&amp;INDEX('Deck 3'!$A:$Z,ROW()-750,'List Setup'!$C$5)&amp;")","")&amp;IF(COUNTIF(Binders!$J$6:$J$30,TRUE())&gt;1," ["&amp;Q947&amp;"]",""))</f>
        <v/>
      </c>
      <c r="H947" s="80" t="str">
        <f t="array" ref="H947">IF(A947="","",CHAR(10)&amp;INDEX('Deck 3'!$A:$Z,ROW()-750,'List Setup'!$E$5)&amp;CHAR(10))</f>
        <v/>
      </c>
      <c r="I947" s="80" t="str">
        <f t="array" ref="I947">IF(OR(B947="",B947="(none)"),"",IF(ISNUMBER(SEARCH(CHAR(10)&amp;B947&amp;CHAR(10),H947)),B947,IFERROR(INDEX('Set Aliases'!$A$2:$A$501,MATCH(1,('Set Aliases'!$B$2:$B$501=B947)*ISNUMBER(SEARCH(CHAR(10)&amp;'Set Aliases'!$A$2:$A$501&amp;CHAR(10),H947)),0)),"")))</f>
        <v/>
      </c>
      <c r="J947" s="80" t="str">
        <f t="array" ref="J947">IF(I947="","",IFERROR(VALUE(TRIM(MID(SUBSTITUTE(INDEX('Deck 3'!$A:$Z,ROW()-750,'List Setup'!$G$5),CHAR(10),REPT(" ",100)),((SEARCH(CHAR(10)&amp;I947&amp;CHAR(10),H947)-LEN(SUBSTITUTE(LEFT(H947,SEARCH(CHAR(10)&amp;I947&amp;CHAR(10),H947)),CHAR(10),"")))-1)*100+1,100))),""))</f>
        <v/>
      </c>
      <c r="K947" s="80" t="str">
        <f t="array" ref="K947">IF(A947="","",IF(ISNUMBER(SEARCH("Land",LEFT(IFERROR(INDEX('Deck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47" s="80" t="str">
        <f t="shared" si="3"/>
        <v/>
      </c>
      <c r="M947" s="80" t="str">
        <f>IF(A947="","",IF(AND(E947="Y",B947='Use at Shop'!$B$4),K947*10000000000+(MAX(0,MIN(26,CODE(MID(UPPER(A947)&amp;"    ",1,1))-64))*19683+MAX(0,MIN(26,CODE(MID(UPPER(A947)&amp;"    ",2,1))-64))*729+MAX(0,MIN(26,CODE(MID(UPPER(A947)&amp;"    ",3,1))-64))*27+MAX(0,MIN(26,CODE(MID(UPPER(A947)&amp;"    ",4,1))-64))*1)*10000+ROW(),""))</f>
        <v/>
      </c>
      <c r="N947" s="80" t="str">
        <f t="shared" si="7"/>
        <v/>
      </c>
      <c r="O947" s="80" t="str">
        <f t="array" ref="O947">IF(A947="","",IFERROR(INDEX('Deck 3'!$A:$Z,ROW()-750,'List Setup'!$J$5)&amp;"",""))</f>
        <v/>
      </c>
      <c r="P947" s="2"/>
      <c r="Q947" s="80" t="str">
        <f>IF(A947="","",'List Setup'!$A$5)</f>
        <v/>
      </c>
      <c r="R947" s="80" t="str">
        <f t="array" ref="R947">IF(A947="","",IFERROR(OR(INDEX(Binders!$J$6:$J$30,MATCH(Q947,Binders!$I$6:$I$30,0))=TRUE(),UPPER(INDEX(Binders!$J$6:$J$30,MATCH(Q947,Binders!$I$6:$I$30,0))&amp;"")="TRUE"),FALSE()))</f>
        <v/>
      </c>
    </row>
    <row r="948" ht="15.75" customHeight="1">
      <c r="A948" s="80" t="str">
        <f t="array" ref="A948">IF(INDEX('Deck 3'!$A:$Z,ROW()-750,'List Setup'!$D$5)="","",INDEX('Deck 3'!$A:$Z,ROW()-750,'List Setup'!$D$5))</f>
        <v/>
      </c>
      <c r="B948" s="80" t="str">
        <f t="array" ref="B948">IF(A948="","",IFERROR(INDEX('Binder Setup'!$B$2:$B$401,MIN(IF(ISNUMBER(SEARCH(CHAR(10)&amp;'Binder Setup'!$B$2:$B$401&amp;CHAR(10),$H948)),'List Setup'!$Q$2:$Q$401,999),IF(ISNUMBER(SEARCH(CHAR(10)&amp;'Set Aliases'!$A$2:$A$501&amp;CHAR(10),$H948)),'Set Aliases'!$C$2:$C$501,999))),"(none)"))</f>
        <v/>
      </c>
      <c r="C948" s="80" t="str">
        <f t="shared" si="1"/>
        <v/>
      </c>
      <c r="D948" s="80" t="str">
        <f t="array" ref="D948">IF(A948="","",IF(ISLOGICAL(INDEX('Deck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48" s="80" t="str">
        <f t="shared" si="2"/>
        <v/>
      </c>
      <c r="F948" s="80" t="str">
        <f t="array" ref="F948">IF(A948="","",IF(ISNUMBER(J948),J948,IF(ISNUMBER(INDEX('Deck 3'!$A:$Z,ROW()-750,'List Setup'!$F$5)),INDEX('Deck 3'!$A:$Z,ROW()-750,'List Setup'!$F$5),0)))</f>
        <v/>
      </c>
      <c r="G948" s="80" t="str">
        <f t="array" ref="G948">IF(A948="","",A948&amp;IF(N(INDEX('Deck 3'!$A:$Z,ROW()-750,'List Setup'!$C$5))&gt;1," (x"&amp;INDEX('Deck 3'!$A:$Z,ROW()-750,'List Setup'!$C$5)&amp;")","")&amp;IF(COUNTIF(Binders!$J$6:$J$30,TRUE())&gt;1," ["&amp;Q948&amp;"]",""))</f>
        <v/>
      </c>
      <c r="H948" s="80" t="str">
        <f t="array" ref="H948">IF(A948="","",CHAR(10)&amp;INDEX('Deck 3'!$A:$Z,ROW()-750,'List Setup'!$E$5)&amp;CHAR(10))</f>
        <v/>
      </c>
      <c r="I948" s="80" t="str">
        <f t="array" ref="I948">IF(OR(B948="",B948="(none)"),"",IF(ISNUMBER(SEARCH(CHAR(10)&amp;B948&amp;CHAR(10),H948)),B948,IFERROR(INDEX('Set Aliases'!$A$2:$A$501,MATCH(1,('Set Aliases'!$B$2:$B$501=B948)*ISNUMBER(SEARCH(CHAR(10)&amp;'Set Aliases'!$A$2:$A$501&amp;CHAR(10),H948)),0)),"")))</f>
        <v/>
      </c>
      <c r="J948" s="80" t="str">
        <f t="array" ref="J948">IF(I948="","",IFERROR(VALUE(TRIM(MID(SUBSTITUTE(INDEX('Deck 3'!$A:$Z,ROW()-750,'List Setup'!$G$5),CHAR(10),REPT(" ",100)),((SEARCH(CHAR(10)&amp;I948&amp;CHAR(10),H948)-LEN(SUBSTITUTE(LEFT(H948,SEARCH(CHAR(10)&amp;I948&amp;CHAR(10),H948)),CHAR(10),"")))-1)*100+1,100))),""))</f>
        <v/>
      </c>
      <c r="K948" s="80" t="str">
        <f t="array" ref="K948">IF(A948="","",IF(ISNUMBER(SEARCH("Land",LEFT(IFERROR(INDEX('Deck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48" s="80" t="str">
        <f t="shared" si="3"/>
        <v/>
      </c>
      <c r="M948" s="80" t="str">
        <f>IF(A948="","",IF(AND(E948="Y",B948='Use at Shop'!$B$4),K948*10000000000+(MAX(0,MIN(26,CODE(MID(UPPER(A948)&amp;"    ",1,1))-64))*19683+MAX(0,MIN(26,CODE(MID(UPPER(A948)&amp;"    ",2,1))-64))*729+MAX(0,MIN(26,CODE(MID(UPPER(A948)&amp;"    ",3,1))-64))*27+MAX(0,MIN(26,CODE(MID(UPPER(A948)&amp;"    ",4,1))-64))*1)*10000+ROW(),""))</f>
        <v/>
      </c>
      <c r="N948" s="80" t="str">
        <f t="shared" si="7"/>
        <v/>
      </c>
      <c r="O948" s="80" t="str">
        <f t="array" ref="O948">IF(A948="","",IFERROR(INDEX('Deck 3'!$A:$Z,ROW()-750,'List Setup'!$J$5)&amp;"",""))</f>
        <v/>
      </c>
      <c r="P948" s="2"/>
      <c r="Q948" s="80" t="str">
        <f>IF(A948="","",'List Setup'!$A$5)</f>
        <v/>
      </c>
      <c r="R948" s="80" t="str">
        <f t="array" ref="R948">IF(A948="","",IFERROR(OR(INDEX(Binders!$J$6:$J$30,MATCH(Q948,Binders!$I$6:$I$30,0))=TRUE(),UPPER(INDEX(Binders!$J$6:$J$30,MATCH(Q948,Binders!$I$6:$I$30,0))&amp;"")="TRUE"),FALSE()))</f>
        <v/>
      </c>
    </row>
    <row r="949" ht="15.75" customHeight="1">
      <c r="A949" s="80" t="str">
        <f t="array" ref="A949">IF(INDEX('Deck 3'!$A:$Z,ROW()-750,'List Setup'!$D$5)="","",INDEX('Deck 3'!$A:$Z,ROW()-750,'List Setup'!$D$5))</f>
        <v/>
      </c>
      <c r="B949" s="80" t="str">
        <f t="array" ref="B949">IF(A949="","",IFERROR(INDEX('Binder Setup'!$B$2:$B$401,MIN(IF(ISNUMBER(SEARCH(CHAR(10)&amp;'Binder Setup'!$B$2:$B$401&amp;CHAR(10),$H949)),'List Setup'!$Q$2:$Q$401,999),IF(ISNUMBER(SEARCH(CHAR(10)&amp;'Set Aliases'!$A$2:$A$501&amp;CHAR(10),$H949)),'Set Aliases'!$C$2:$C$501,999))),"(none)"))</f>
        <v/>
      </c>
      <c r="C949" s="80" t="str">
        <f t="shared" si="1"/>
        <v/>
      </c>
      <c r="D949" s="80" t="str">
        <f t="array" ref="D949">IF(A949="","",IF(ISLOGICAL(INDEX('Deck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49" s="80" t="str">
        <f t="shared" si="2"/>
        <v/>
      </c>
      <c r="F949" s="80" t="str">
        <f t="array" ref="F949">IF(A949="","",IF(ISNUMBER(J949),J949,IF(ISNUMBER(INDEX('Deck 3'!$A:$Z,ROW()-750,'List Setup'!$F$5)),INDEX('Deck 3'!$A:$Z,ROW()-750,'List Setup'!$F$5),0)))</f>
        <v/>
      </c>
      <c r="G949" s="80" t="str">
        <f t="array" ref="G949">IF(A949="","",A949&amp;IF(N(INDEX('Deck 3'!$A:$Z,ROW()-750,'List Setup'!$C$5))&gt;1," (x"&amp;INDEX('Deck 3'!$A:$Z,ROW()-750,'List Setup'!$C$5)&amp;")","")&amp;IF(COUNTIF(Binders!$J$6:$J$30,TRUE())&gt;1," ["&amp;Q949&amp;"]",""))</f>
        <v/>
      </c>
      <c r="H949" s="80" t="str">
        <f t="array" ref="H949">IF(A949="","",CHAR(10)&amp;INDEX('Deck 3'!$A:$Z,ROW()-750,'List Setup'!$E$5)&amp;CHAR(10))</f>
        <v/>
      </c>
      <c r="I949" s="80" t="str">
        <f t="array" ref="I949">IF(OR(B949="",B949="(none)"),"",IF(ISNUMBER(SEARCH(CHAR(10)&amp;B949&amp;CHAR(10),H949)),B949,IFERROR(INDEX('Set Aliases'!$A$2:$A$501,MATCH(1,('Set Aliases'!$B$2:$B$501=B949)*ISNUMBER(SEARCH(CHAR(10)&amp;'Set Aliases'!$A$2:$A$501&amp;CHAR(10),H949)),0)),"")))</f>
        <v/>
      </c>
      <c r="J949" s="80" t="str">
        <f t="array" ref="J949">IF(I949="","",IFERROR(VALUE(TRIM(MID(SUBSTITUTE(INDEX('Deck 3'!$A:$Z,ROW()-750,'List Setup'!$G$5),CHAR(10),REPT(" ",100)),((SEARCH(CHAR(10)&amp;I949&amp;CHAR(10),H949)-LEN(SUBSTITUTE(LEFT(H949,SEARCH(CHAR(10)&amp;I949&amp;CHAR(10),H949)),CHAR(10),"")))-1)*100+1,100))),""))</f>
        <v/>
      </c>
      <c r="K949" s="80" t="str">
        <f t="array" ref="K949">IF(A949="","",IF(ISNUMBER(SEARCH("Land",LEFT(IFERROR(INDEX('Deck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49" s="80" t="str">
        <f t="shared" si="3"/>
        <v/>
      </c>
      <c r="M949" s="80" t="str">
        <f>IF(A949="","",IF(AND(E949="Y",B949='Use at Shop'!$B$4),K949*10000000000+(MAX(0,MIN(26,CODE(MID(UPPER(A949)&amp;"    ",1,1))-64))*19683+MAX(0,MIN(26,CODE(MID(UPPER(A949)&amp;"    ",2,1))-64))*729+MAX(0,MIN(26,CODE(MID(UPPER(A949)&amp;"    ",3,1))-64))*27+MAX(0,MIN(26,CODE(MID(UPPER(A949)&amp;"    ",4,1))-64))*1)*10000+ROW(),""))</f>
        <v/>
      </c>
      <c r="N949" s="80" t="str">
        <f t="shared" si="7"/>
        <v/>
      </c>
      <c r="O949" s="80" t="str">
        <f t="array" ref="O949">IF(A949="","",IFERROR(INDEX('Deck 3'!$A:$Z,ROW()-750,'List Setup'!$J$5)&amp;"",""))</f>
        <v/>
      </c>
      <c r="P949" s="2"/>
      <c r="Q949" s="80" t="str">
        <f>IF(A949="","",'List Setup'!$A$5)</f>
        <v/>
      </c>
      <c r="R949" s="80" t="str">
        <f t="array" ref="R949">IF(A949="","",IFERROR(OR(INDEX(Binders!$J$6:$J$30,MATCH(Q949,Binders!$I$6:$I$30,0))=TRUE(),UPPER(INDEX(Binders!$J$6:$J$30,MATCH(Q949,Binders!$I$6:$I$30,0))&amp;"")="TRUE"),FALSE()))</f>
        <v/>
      </c>
    </row>
    <row r="950" ht="15.75" customHeight="1">
      <c r="A950" s="80" t="str">
        <f t="array" ref="A950">IF(INDEX('Deck 3'!$A:$Z,ROW()-750,'List Setup'!$D$5)="","",INDEX('Deck 3'!$A:$Z,ROW()-750,'List Setup'!$D$5))</f>
        <v/>
      </c>
      <c r="B950" s="80" t="str">
        <f t="array" ref="B950">IF(A950="","",IFERROR(INDEX('Binder Setup'!$B$2:$B$401,MIN(IF(ISNUMBER(SEARCH(CHAR(10)&amp;'Binder Setup'!$B$2:$B$401&amp;CHAR(10),$H950)),'List Setup'!$Q$2:$Q$401,999),IF(ISNUMBER(SEARCH(CHAR(10)&amp;'Set Aliases'!$A$2:$A$501&amp;CHAR(10),$H950)),'Set Aliases'!$C$2:$C$501,999))),"(none)"))</f>
        <v/>
      </c>
      <c r="C950" s="80" t="str">
        <f t="shared" si="1"/>
        <v/>
      </c>
      <c r="D950" s="80" t="str">
        <f t="array" ref="D950">IF(A950="","",IF(ISLOGICAL(INDEX('Deck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50" s="80" t="str">
        <f t="shared" si="2"/>
        <v/>
      </c>
      <c r="F950" s="80" t="str">
        <f t="array" ref="F950">IF(A950="","",IF(ISNUMBER(J950),J950,IF(ISNUMBER(INDEX('Deck 3'!$A:$Z,ROW()-750,'List Setup'!$F$5)),INDEX('Deck 3'!$A:$Z,ROW()-750,'List Setup'!$F$5),0)))</f>
        <v/>
      </c>
      <c r="G950" s="80" t="str">
        <f t="array" ref="G950">IF(A950="","",A950&amp;IF(N(INDEX('Deck 3'!$A:$Z,ROW()-750,'List Setup'!$C$5))&gt;1," (x"&amp;INDEX('Deck 3'!$A:$Z,ROW()-750,'List Setup'!$C$5)&amp;")","")&amp;IF(COUNTIF(Binders!$J$6:$J$30,TRUE())&gt;1," ["&amp;Q950&amp;"]",""))</f>
        <v/>
      </c>
      <c r="H950" s="80" t="str">
        <f t="array" ref="H950">IF(A950="","",CHAR(10)&amp;INDEX('Deck 3'!$A:$Z,ROW()-750,'List Setup'!$E$5)&amp;CHAR(10))</f>
        <v/>
      </c>
      <c r="I950" s="80" t="str">
        <f t="array" ref="I950">IF(OR(B950="",B950="(none)"),"",IF(ISNUMBER(SEARCH(CHAR(10)&amp;B950&amp;CHAR(10),H950)),B950,IFERROR(INDEX('Set Aliases'!$A$2:$A$501,MATCH(1,('Set Aliases'!$B$2:$B$501=B950)*ISNUMBER(SEARCH(CHAR(10)&amp;'Set Aliases'!$A$2:$A$501&amp;CHAR(10),H950)),0)),"")))</f>
        <v/>
      </c>
      <c r="J950" s="80" t="str">
        <f t="array" ref="J950">IF(I950="","",IFERROR(VALUE(TRIM(MID(SUBSTITUTE(INDEX('Deck 3'!$A:$Z,ROW()-750,'List Setup'!$G$5),CHAR(10),REPT(" ",100)),((SEARCH(CHAR(10)&amp;I950&amp;CHAR(10),H950)-LEN(SUBSTITUTE(LEFT(H950,SEARCH(CHAR(10)&amp;I950&amp;CHAR(10),H950)),CHAR(10),"")))-1)*100+1,100))),""))</f>
        <v/>
      </c>
      <c r="K950" s="80" t="str">
        <f t="array" ref="K950">IF(A950="","",IF(ISNUMBER(SEARCH("Land",LEFT(IFERROR(INDEX('Deck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50" s="80" t="str">
        <f t="shared" si="3"/>
        <v/>
      </c>
      <c r="M950" s="80" t="str">
        <f>IF(A950="","",IF(AND(E950="Y",B950='Use at Shop'!$B$4),K950*10000000000+(MAX(0,MIN(26,CODE(MID(UPPER(A950)&amp;"    ",1,1))-64))*19683+MAX(0,MIN(26,CODE(MID(UPPER(A950)&amp;"    ",2,1))-64))*729+MAX(0,MIN(26,CODE(MID(UPPER(A950)&amp;"    ",3,1))-64))*27+MAX(0,MIN(26,CODE(MID(UPPER(A950)&amp;"    ",4,1))-64))*1)*10000+ROW(),""))</f>
        <v/>
      </c>
      <c r="N950" s="80" t="str">
        <f t="shared" si="7"/>
        <v/>
      </c>
      <c r="O950" s="80" t="str">
        <f t="array" ref="O950">IF(A950="","",IFERROR(INDEX('Deck 3'!$A:$Z,ROW()-750,'List Setup'!$J$5)&amp;"",""))</f>
        <v/>
      </c>
      <c r="P950" s="2"/>
      <c r="Q950" s="80" t="str">
        <f>IF(A950="","",'List Setup'!$A$5)</f>
        <v/>
      </c>
      <c r="R950" s="80" t="str">
        <f t="array" ref="R950">IF(A950="","",IFERROR(OR(INDEX(Binders!$J$6:$J$30,MATCH(Q950,Binders!$I$6:$I$30,0))=TRUE(),UPPER(INDEX(Binders!$J$6:$J$30,MATCH(Q950,Binders!$I$6:$I$30,0))&amp;"")="TRUE"),FALSE()))</f>
        <v/>
      </c>
    </row>
    <row r="951" ht="15.75" customHeight="1">
      <c r="A951" s="80" t="str">
        <f t="array" ref="A951">IF(INDEX('Deck 3'!$A:$Z,ROW()-750,'List Setup'!$D$5)="","",INDEX('Deck 3'!$A:$Z,ROW()-750,'List Setup'!$D$5))</f>
        <v/>
      </c>
      <c r="B951" s="80" t="str">
        <f t="array" ref="B951">IF(A951="","",IFERROR(INDEX('Binder Setup'!$B$2:$B$401,MIN(IF(ISNUMBER(SEARCH(CHAR(10)&amp;'Binder Setup'!$B$2:$B$401&amp;CHAR(10),$H951)),'List Setup'!$Q$2:$Q$401,999),IF(ISNUMBER(SEARCH(CHAR(10)&amp;'Set Aliases'!$A$2:$A$501&amp;CHAR(10),$H951)),'Set Aliases'!$C$2:$C$501,999))),"(none)"))</f>
        <v/>
      </c>
      <c r="C951" s="80" t="str">
        <f t="shared" si="1"/>
        <v/>
      </c>
      <c r="D951" s="80" t="str">
        <f t="array" ref="D951">IF(A951="","",IF(ISLOGICAL(INDEX('Deck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51" s="80" t="str">
        <f t="shared" si="2"/>
        <v/>
      </c>
      <c r="F951" s="80" t="str">
        <f t="array" ref="F951">IF(A951="","",IF(ISNUMBER(J951),J951,IF(ISNUMBER(INDEX('Deck 3'!$A:$Z,ROW()-750,'List Setup'!$F$5)),INDEX('Deck 3'!$A:$Z,ROW()-750,'List Setup'!$F$5),0)))</f>
        <v/>
      </c>
      <c r="G951" s="80" t="str">
        <f t="array" ref="G951">IF(A951="","",A951&amp;IF(N(INDEX('Deck 3'!$A:$Z,ROW()-750,'List Setup'!$C$5))&gt;1," (x"&amp;INDEX('Deck 3'!$A:$Z,ROW()-750,'List Setup'!$C$5)&amp;")","")&amp;IF(COUNTIF(Binders!$J$6:$J$30,TRUE())&gt;1," ["&amp;Q951&amp;"]",""))</f>
        <v/>
      </c>
      <c r="H951" s="80" t="str">
        <f t="array" ref="H951">IF(A951="","",CHAR(10)&amp;INDEX('Deck 3'!$A:$Z,ROW()-750,'List Setup'!$E$5)&amp;CHAR(10))</f>
        <v/>
      </c>
      <c r="I951" s="80" t="str">
        <f t="array" ref="I951">IF(OR(B951="",B951="(none)"),"",IF(ISNUMBER(SEARCH(CHAR(10)&amp;B951&amp;CHAR(10),H951)),B951,IFERROR(INDEX('Set Aliases'!$A$2:$A$501,MATCH(1,('Set Aliases'!$B$2:$B$501=B951)*ISNUMBER(SEARCH(CHAR(10)&amp;'Set Aliases'!$A$2:$A$501&amp;CHAR(10),H951)),0)),"")))</f>
        <v/>
      </c>
      <c r="J951" s="80" t="str">
        <f t="array" ref="J951">IF(I951="","",IFERROR(VALUE(TRIM(MID(SUBSTITUTE(INDEX('Deck 3'!$A:$Z,ROW()-750,'List Setup'!$G$5),CHAR(10),REPT(" ",100)),((SEARCH(CHAR(10)&amp;I951&amp;CHAR(10),H951)-LEN(SUBSTITUTE(LEFT(H951,SEARCH(CHAR(10)&amp;I951&amp;CHAR(10),H951)),CHAR(10),"")))-1)*100+1,100))),""))</f>
        <v/>
      </c>
      <c r="K951" s="80" t="str">
        <f t="array" ref="K951">IF(A951="","",IF(ISNUMBER(SEARCH("Land",LEFT(IFERROR(INDEX('Deck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51" s="80" t="str">
        <f t="shared" si="3"/>
        <v/>
      </c>
      <c r="M951" s="80" t="str">
        <f>IF(A951="","",IF(AND(E951="Y",B951='Use at Shop'!$B$4),K951*10000000000+(MAX(0,MIN(26,CODE(MID(UPPER(A951)&amp;"    ",1,1))-64))*19683+MAX(0,MIN(26,CODE(MID(UPPER(A951)&amp;"    ",2,1))-64))*729+MAX(0,MIN(26,CODE(MID(UPPER(A951)&amp;"    ",3,1))-64))*27+MAX(0,MIN(26,CODE(MID(UPPER(A951)&amp;"    ",4,1))-64))*1)*10000+ROW(),""))</f>
        <v/>
      </c>
      <c r="N951" s="80" t="str">
        <f t="shared" si="7"/>
        <v/>
      </c>
      <c r="O951" s="80" t="str">
        <f t="array" ref="O951">IF(A951="","",IFERROR(INDEX('Deck 3'!$A:$Z,ROW()-750,'List Setup'!$J$5)&amp;"",""))</f>
        <v/>
      </c>
      <c r="P951" s="2"/>
      <c r="Q951" s="80" t="str">
        <f>IF(A951="","",'List Setup'!$A$5)</f>
        <v/>
      </c>
      <c r="R951" s="80" t="str">
        <f t="array" ref="R951">IF(A951="","",IFERROR(OR(INDEX(Binders!$J$6:$J$30,MATCH(Q951,Binders!$I$6:$I$30,0))=TRUE(),UPPER(INDEX(Binders!$J$6:$J$30,MATCH(Q951,Binders!$I$6:$I$30,0))&amp;"")="TRUE"),FALSE()))</f>
        <v/>
      </c>
    </row>
    <row r="952" ht="15.75" customHeight="1">
      <c r="A952" s="80" t="str">
        <f t="array" ref="A952">IF(INDEX('Deck 3'!$A:$Z,ROW()-750,'List Setup'!$D$5)="","",INDEX('Deck 3'!$A:$Z,ROW()-750,'List Setup'!$D$5))</f>
        <v/>
      </c>
      <c r="B952" s="80" t="str">
        <f t="array" ref="B952">IF(A952="","",IFERROR(INDEX('Binder Setup'!$B$2:$B$401,MIN(IF(ISNUMBER(SEARCH(CHAR(10)&amp;'Binder Setup'!$B$2:$B$401&amp;CHAR(10),$H952)),'List Setup'!$Q$2:$Q$401,999),IF(ISNUMBER(SEARCH(CHAR(10)&amp;'Set Aliases'!$A$2:$A$501&amp;CHAR(10),$H952)),'Set Aliases'!$C$2:$C$501,999))),"(none)"))</f>
        <v/>
      </c>
      <c r="C952" s="80" t="str">
        <f t="shared" si="1"/>
        <v/>
      </c>
      <c r="D952" s="80" t="str">
        <f t="array" ref="D952">IF(A952="","",IF(ISLOGICAL(INDEX('Deck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52" s="80" t="str">
        <f t="shared" si="2"/>
        <v/>
      </c>
      <c r="F952" s="80" t="str">
        <f t="array" ref="F952">IF(A952="","",IF(ISNUMBER(J952),J952,IF(ISNUMBER(INDEX('Deck 3'!$A:$Z,ROW()-750,'List Setup'!$F$5)),INDEX('Deck 3'!$A:$Z,ROW()-750,'List Setup'!$F$5),0)))</f>
        <v/>
      </c>
      <c r="G952" s="80" t="str">
        <f t="array" ref="G952">IF(A952="","",A952&amp;IF(N(INDEX('Deck 3'!$A:$Z,ROW()-750,'List Setup'!$C$5))&gt;1," (x"&amp;INDEX('Deck 3'!$A:$Z,ROW()-750,'List Setup'!$C$5)&amp;")","")&amp;IF(COUNTIF(Binders!$J$6:$J$30,TRUE())&gt;1," ["&amp;Q952&amp;"]",""))</f>
        <v/>
      </c>
      <c r="H952" s="80" t="str">
        <f t="array" ref="H952">IF(A952="","",CHAR(10)&amp;INDEX('Deck 3'!$A:$Z,ROW()-750,'List Setup'!$E$5)&amp;CHAR(10))</f>
        <v/>
      </c>
      <c r="I952" s="80" t="str">
        <f t="array" ref="I952">IF(OR(B952="",B952="(none)"),"",IF(ISNUMBER(SEARCH(CHAR(10)&amp;B952&amp;CHAR(10),H952)),B952,IFERROR(INDEX('Set Aliases'!$A$2:$A$501,MATCH(1,('Set Aliases'!$B$2:$B$501=B952)*ISNUMBER(SEARCH(CHAR(10)&amp;'Set Aliases'!$A$2:$A$501&amp;CHAR(10),H952)),0)),"")))</f>
        <v/>
      </c>
      <c r="J952" s="80" t="str">
        <f t="array" ref="J952">IF(I952="","",IFERROR(VALUE(TRIM(MID(SUBSTITUTE(INDEX('Deck 3'!$A:$Z,ROW()-750,'List Setup'!$G$5),CHAR(10),REPT(" ",100)),((SEARCH(CHAR(10)&amp;I952&amp;CHAR(10),H952)-LEN(SUBSTITUTE(LEFT(H952,SEARCH(CHAR(10)&amp;I952&amp;CHAR(10),H952)),CHAR(10),"")))-1)*100+1,100))),""))</f>
        <v/>
      </c>
      <c r="K952" s="80" t="str">
        <f t="array" ref="K952">IF(A952="","",IF(ISNUMBER(SEARCH("Land",LEFT(IFERROR(INDEX('Deck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52" s="80" t="str">
        <f t="shared" si="3"/>
        <v/>
      </c>
      <c r="M952" s="80" t="str">
        <f>IF(A952="","",IF(AND(E952="Y",B952='Use at Shop'!$B$4),K952*10000000000+(MAX(0,MIN(26,CODE(MID(UPPER(A952)&amp;"    ",1,1))-64))*19683+MAX(0,MIN(26,CODE(MID(UPPER(A952)&amp;"    ",2,1))-64))*729+MAX(0,MIN(26,CODE(MID(UPPER(A952)&amp;"    ",3,1))-64))*27+MAX(0,MIN(26,CODE(MID(UPPER(A952)&amp;"    ",4,1))-64))*1)*10000+ROW(),""))</f>
        <v/>
      </c>
      <c r="N952" s="80" t="str">
        <f t="shared" si="7"/>
        <v/>
      </c>
      <c r="O952" s="80" t="str">
        <f t="array" ref="O952">IF(A952="","",IFERROR(INDEX('Deck 3'!$A:$Z,ROW()-750,'List Setup'!$J$5)&amp;"",""))</f>
        <v/>
      </c>
      <c r="P952" s="2"/>
      <c r="Q952" s="80" t="str">
        <f>IF(A952="","",'List Setup'!$A$5)</f>
        <v/>
      </c>
      <c r="R952" s="80" t="str">
        <f t="array" ref="R952">IF(A952="","",IFERROR(OR(INDEX(Binders!$J$6:$J$30,MATCH(Q952,Binders!$I$6:$I$30,0))=TRUE(),UPPER(INDEX(Binders!$J$6:$J$30,MATCH(Q952,Binders!$I$6:$I$30,0))&amp;"")="TRUE"),FALSE()))</f>
        <v/>
      </c>
    </row>
    <row r="953" ht="15.75" customHeight="1">
      <c r="A953" s="80" t="str">
        <f t="array" ref="A953">IF(INDEX('Deck 3'!$A:$Z,ROW()-750,'List Setup'!$D$5)="","",INDEX('Deck 3'!$A:$Z,ROW()-750,'List Setup'!$D$5))</f>
        <v/>
      </c>
      <c r="B953" s="80" t="str">
        <f t="array" ref="B953">IF(A953="","",IFERROR(INDEX('Binder Setup'!$B$2:$B$401,MIN(IF(ISNUMBER(SEARCH(CHAR(10)&amp;'Binder Setup'!$B$2:$B$401&amp;CHAR(10),$H953)),'List Setup'!$Q$2:$Q$401,999),IF(ISNUMBER(SEARCH(CHAR(10)&amp;'Set Aliases'!$A$2:$A$501&amp;CHAR(10),$H953)),'Set Aliases'!$C$2:$C$501,999))),"(none)"))</f>
        <v/>
      </c>
      <c r="C953" s="80" t="str">
        <f t="shared" si="1"/>
        <v/>
      </c>
      <c r="D953" s="80" t="str">
        <f t="array" ref="D953">IF(A953="","",IF(ISLOGICAL(INDEX('Deck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53" s="80" t="str">
        <f t="shared" si="2"/>
        <v/>
      </c>
      <c r="F953" s="80" t="str">
        <f t="array" ref="F953">IF(A953="","",IF(ISNUMBER(J953),J953,IF(ISNUMBER(INDEX('Deck 3'!$A:$Z,ROW()-750,'List Setup'!$F$5)),INDEX('Deck 3'!$A:$Z,ROW()-750,'List Setup'!$F$5),0)))</f>
        <v/>
      </c>
      <c r="G953" s="80" t="str">
        <f t="array" ref="G953">IF(A953="","",A953&amp;IF(N(INDEX('Deck 3'!$A:$Z,ROW()-750,'List Setup'!$C$5))&gt;1," (x"&amp;INDEX('Deck 3'!$A:$Z,ROW()-750,'List Setup'!$C$5)&amp;")","")&amp;IF(COUNTIF(Binders!$J$6:$J$30,TRUE())&gt;1," ["&amp;Q953&amp;"]",""))</f>
        <v/>
      </c>
      <c r="H953" s="80" t="str">
        <f t="array" ref="H953">IF(A953="","",CHAR(10)&amp;INDEX('Deck 3'!$A:$Z,ROW()-750,'List Setup'!$E$5)&amp;CHAR(10))</f>
        <v/>
      </c>
      <c r="I953" s="80" t="str">
        <f t="array" ref="I953">IF(OR(B953="",B953="(none)"),"",IF(ISNUMBER(SEARCH(CHAR(10)&amp;B953&amp;CHAR(10),H953)),B953,IFERROR(INDEX('Set Aliases'!$A$2:$A$501,MATCH(1,('Set Aliases'!$B$2:$B$501=B953)*ISNUMBER(SEARCH(CHAR(10)&amp;'Set Aliases'!$A$2:$A$501&amp;CHAR(10),H953)),0)),"")))</f>
        <v/>
      </c>
      <c r="J953" s="80" t="str">
        <f t="array" ref="J953">IF(I953="","",IFERROR(VALUE(TRIM(MID(SUBSTITUTE(INDEX('Deck 3'!$A:$Z,ROW()-750,'List Setup'!$G$5),CHAR(10),REPT(" ",100)),((SEARCH(CHAR(10)&amp;I953&amp;CHAR(10),H953)-LEN(SUBSTITUTE(LEFT(H953,SEARCH(CHAR(10)&amp;I953&amp;CHAR(10),H953)),CHAR(10),"")))-1)*100+1,100))),""))</f>
        <v/>
      </c>
      <c r="K953" s="80" t="str">
        <f t="array" ref="K953">IF(A953="","",IF(ISNUMBER(SEARCH("Land",LEFT(IFERROR(INDEX('Deck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53" s="80" t="str">
        <f t="shared" si="3"/>
        <v/>
      </c>
      <c r="M953" s="80" t="str">
        <f>IF(A953="","",IF(AND(E953="Y",B953='Use at Shop'!$B$4),K953*10000000000+(MAX(0,MIN(26,CODE(MID(UPPER(A953)&amp;"    ",1,1))-64))*19683+MAX(0,MIN(26,CODE(MID(UPPER(A953)&amp;"    ",2,1))-64))*729+MAX(0,MIN(26,CODE(MID(UPPER(A953)&amp;"    ",3,1))-64))*27+MAX(0,MIN(26,CODE(MID(UPPER(A953)&amp;"    ",4,1))-64))*1)*10000+ROW(),""))</f>
        <v/>
      </c>
      <c r="N953" s="80" t="str">
        <f t="shared" si="7"/>
        <v/>
      </c>
      <c r="O953" s="80" t="str">
        <f t="array" ref="O953">IF(A953="","",IFERROR(INDEX('Deck 3'!$A:$Z,ROW()-750,'List Setup'!$J$5)&amp;"",""))</f>
        <v/>
      </c>
      <c r="P953" s="2"/>
      <c r="Q953" s="80" t="str">
        <f>IF(A953="","",'List Setup'!$A$5)</f>
        <v/>
      </c>
      <c r="R953" s="80" t="str">
        <f t="array" ref="R953">IF(A953="","",IFERROR(OR(INDEX(Binders!$J$6:$J$30,MATCH(Q953,Binders!$I$6:$I$30,0))=TRUE(),UPPER(INDEX(Binders!$J$6:$J$30,MATCH(Q953,Binders!$I$6:$I$30,0))&amp;"")="TRUE"),FALSE()))</f>
        <v/>
      </c>
    </row>
    <row r="954" ht="15.75" customHeight="1">
      <c r="A954" s="80" t="str">
        <f t="array" ref="A954">IF(INDEX('Deck 3'!$A:$Z,ROW()-750,'List Setup'!$D$5)="","",INDEX('Deck 3'!$A:$Z,ROW()-750,'List Setup'!$D$5))</f>
        <v/>
      </c>
      <c r="B954" s="80" t="str">
        <f t="array" ref="B954">IF(A954="","",IFERROR(INDEX('Binder Setup'!$B$2:$B$401,MIN(IF(ISNUMBER(SEARCH(CHAR(10)&amp;'Binder Setup'!$B$2:$B$401&amp;CHAR(10),$H954)),'List Setup'!$Q$2:$Q$401,999),IF(ISNUMBER(SEARCH(CHAR(10)&amp;'Set Aliases'!$A$2:$A$501&amp;CHAR(10),$H954)),'Set Aliases'!$C$2:$C$501,999))),"(none)"))</f>
        <v/>
      </c>
      <c r="C954" s="80" t="str">
        <f t="shared" si="1"/>
        <v/>
      </c>
      <c r="D954" s="80" t="str">
        <f t="array" ref="D954">IF(A954="","",IF(ISLOGICAL(INDEX('Deck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54" s="80" t="str">
        <f t="shared" si="2"/>
        <v/>
      </c>
      <c r="F954" s="80" t="str">
        <f t="array" ref="F954">IF(A954="","",IF(ISNUMBER(J954),J954,IF(ISNUMBER(INDEX('Deck 3'!$A:$Z,ROW()-750,'List Setup'!$F$5)),INDEX('Deck 3'!$A:$Z,ROW()-750,'List Setup'!$F$5),0)))</f>
        <v/>
      </c>
      <c r="G954" s="80" t="str">
        <f t="array" ref="G954">IF(A954="","",A954&amp;IF(N(INDEX('Deck 3'!$A:$Z,ROW()-750,'List Setup'!$C$5))&gt;1," (x"&amp;INDEX('Deck 3'!$A:$Z,ROW()-750,'List Setup'!$C$5)&amp;")","")&amp;IF(COUNTIF(Binders!$J$6:$J$30,TRUE())&gt;1," ["&amp;Q954&amp;"]",""))</f>
        <v/>
      </c>
      <c r="H954" s="80" t="str">
        <f t="array" ref="H954">IF(A954="","",CHAR(10)&amp;INDEX('Deck 3'!$A:$Z,ROW()-750,'List Setup'!$E$5)&amp;CHAR(10))</f>
        <v/>
      </c>
      <c r="I954" s="80" t="str">
        <f t="array" ref="I954">IF(OR(B954="",B954="(none)"),"",IF(ISNUMBER(SEARCH(CHAR(10)&amp;B954&amp;CHAR(10),H954)),B954,IFERROR(INDEX('Set Aliases'!$A$2:$A$501,MATCH(1,('Set Aliases'!$B$2:$B$501=B954)*ISNUMBER(SEARCH(CHAR(10)&amp;'Set Aliases'!$A$2:$A$501&amp;CHAR(10),H954)),0)),"")))</f>
        <v/>
      </c>
      <c r="J954" s="80" t="str">
        <f t="array" ref="J954">IF(I954="","",IFERROR(VALUE(TRIM(MID(SUBSTITUTE(INDEX('Deck 3'!$A:$Z,ROW()-750,'List Setup'!$G$5),CHAR(10),REPT(" ",100)),((SEARCH(CHAR(10)&amp;I954&amp;CHAR(10),H954)-LEN(SUBSTITUTE(LEFT(H954,SEARCH(CHAR(10)&amp;I954&amp;CHAR(10),H954)),CHAR(10),"")))-1)*100+1,100))),""))</f>
        <v/>
      </c>
      <c r="K954" s="80" t="str">
        <f t="array" ref="K954">IF(A954="","",IF(ISNUMBER(SEARCH("Land",LEFT(IFERROR(INDEX('Deck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54" s="80" t="str">
        <f t="shared" si="3"/>
        <v/>
      </c>
      <c r="M954" s="80" t="str">
        <f>IF(A954="","",IF(AND(E954="Y",B954='Use at Shop'!$B$4),K954*10000000000+(MAX(0,MIN(26,CODE(MID(UPPER(A954)&amp;"    ",1,1))-64))*19683+MAX(0,MIN(26,CODE(MID(UPPER(A954)&amp;"    ",2,1))-64))*729+MAX(0,MIN(26,CODE(MID(UPPER(A954)&amp;"    ",3,1))-64))*27+MAX(0,MIN(26,CODE(MID(UPPER(A954)&amp;"    ",4,1))-64))*1)*10000+ROW(),""))</f>
        <v/>
      </c>
      <c r="N954" s="80" t="str">
        <f t="shared" si="7"/>
        <v/>
      </c>
      <c r="O954" s="80" t="str">
        <f t="array" ref="O954">IF(A954="","",IFERROR(INDEX('Deck 3'!$A:$Z,ROW()-750,'List Setup'!$J$5)&amp;"",""))</f>
        <v/>
      </c>
      <c r="P954" s="2"/>
      <c r="Q954" s="80" t="str">
        <f>IF(A954="","",'List Setup'!$A$5)</f>
        <v/>
      </c>
      <c r="R954" s="80" t="str">
        <f t="array" ref="R954">IF(A954="","",IFERROR(OR(INDEX(Binders!$J$6:$J$30,MATCH(Q954,Binders!$I$6:$I$30,0))=TRUE(),UPPER(INDEX(Binders!$J$6:$J$30,MATCH(Q954,Binders!$I$6:$I$30,0))&amp;"")="TRUE"),FALSE()))</f>
        <v/>
      </c>
    </row>
    <row r="955" ht="15.75" customHeight="1">
      <c r="A955" s="80" t="str">
        <f t="array" ref="A955">IF(INDEX('Deck 3'!$A:$Z,ROW()-750,'List Setup'!$D$5)="","",INDEX('Deck 3'!$A:$Z,ROW()-750,'List Setup'!$D$5))</f>
        <v/>
      </c>
      <c r="B955" s="80" t="str">
        <f t="array" ref="B955">IF(A955="","",IFERROR(INDEX('Binder Setup'!$B$2:$B$401,MIN(IF(ISNUMBER(SEARCH(CHAR(10)&amp;'Binder Setup'!$B$2:$B$401&amp;CHAR(10),$H955)),'List Setup'!$Q$2:$Q$401,999),IF(ISNUMBER(SEARCH(CHAR(10)&amp;'Set Aliases'!$A$2:$A$501&amp;CHAR(10),$H955)),'Set Aliases'!$C$2:$C$501,999))),"(none)"))</f>
        <v/>
      </c>
      <c r="C955" s="80" t="str">
        <f t="shared" si="1"/>
        <v/>
      </c>
      <c r="D955" s="80" t="str">
        <f t="array" ref="D955">IF(A955="","",IF(ISLOGICAL(INDEX('Deck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55" s="80" t="str">
        <f t="shared" si="2"/>
        <v/>
      </c>
      <c r="F955" s="80" t="str">
        <f t="array" ref="F955">IF(A955="","",IF(ISNUMBER(J955),J955,IF(ISNUMBER(INDEX('Deck 3'!$A:$Z,ROW()-750,'List Setup'!$F$5)),INDEX('Deck 3'!$A:$Z,ROW()-750,'List Setup'!$F$5),0)))</f>
        <v/>
      </c>
      <c r="G955" s="80" t="str">
        <f t="array" ref="G955">IF(A955="","",A955&amp;IF(N(INDEX('Deck 3'!$A:$Z,ROW()-750,'List Setup'!$C$5))&gt;1," (x"&amp;INDEX('Deck 3'!$A:$Z,ROW()-750,'List Setup'!$C$5)&amp;")","")&amp;IF(COUNTIF(Binders!$J$6:$J$30,TRUE())&gt;1," ["&amp;Q955&amp;"]",""))</f>
        <v/>
      </c>
      <c r="H955" s="80" t="str">
        <f t="array" ref="H955">IF(A955="","",CHAR(10)&amp;INDEX('Deck 3'!$A:$Z,ROW()-750,'List Setup'!$E$5)&amp;CHAR(10))</f>
        <v/>
      </c>
      <c r="I955" s="80" t="str">
        <f t="array" ref="I955">IF(OR(B955="",B955="(none)"),"",IF(ISNUMBER(SEARCH(CHAR(10)&amp;B955&amp;CHAR(10),H955)),B955,IFERROR(INDEX('Set Aliases'!$A$2:$A$501,MATCH(1,('Set Aliases'!$B$2:$B$501=B955)*ISNUMBER(SEARCH(CHAR(10)&amp;'Set Aliases'!$A$2:$A$501&amp;CHAR(10),H955)),0)),"")))</f>
        <v/>
      </c>
      <c r="J955" s="80" t="str">
        <f t="array" ref="J955">IF(I955="","",IFERROR(VALUE(TRIM(MID(SUBSTITUTE(INDEX('Deck 3'!$A:$Z,ROW()-750,'List Setup'!$G$5),CHAR(10),REPT(" ",100)),((SEARCH(CHAR(10)&amp;I955&amp;CHAR(10),H955)-LEN(SUBSTITUTE(LEFT(H955,SEARCH(CHAR(10)&amp;I955&amp;CHAR(10),H955)),CHAR(10),"")))-1)*100+1,100))),""))</f>
        <v/>
      </c>
      <c r="K955" s="80" t="str">
        <f t="array" ref="K955">IF(A955="","",IF(ISNUMBER(SEARCH("Land",LEFT(IFERROR(INDEX('Deck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55" s="80" t="str">
        <f t="shared" si="3"/>
        <v/>
      </c>
      <c r="M955" s="80" t="str">
        <f>IF(A955="","",IF(AND(E955="Y",B955='Use at Shop'!$B$4),K955*10000000000+(MAX(0,MIN(26,CODE(MID(UPPER(A955)&amp;"    ",1,1))-64))*19683+MAX(0,MIN(26,CODE(MID(UPPER(A955)&amp;"    ",2,1))-64))*729+MAX(0,MIN(26,CODE(MID(UPPER(A955)&amp;"    ",3,1))-64))*27+MAX(0,MIN(26,CODE(MID(UPPER(A955)&amp;"    ",4,1))-64))*1)*10000+ROW(),""))</f>
        <v/>
      </c>
      <c r="N955" s="80" t="str">
        <f t="shared" si="7"/>
        <v/>
      </c>
      <c r="O955" s="80" t="str">
        <f t="array" ref="O955">IF(A955="","",IFERROR(INDEX('Deck 3'!$A:$Z,ROW()-750,'List Setup'!$J$5)&amp;"",""))</f>
        <v/>
      </c>
      <c r="P955" s="2"/>
      <c r="Q955" s="80" t="str">
        <f>IF(A955="","",'List Setup'!$A$5)</f>
        <v/>
      </c>
      <c r="R955" s="80" t="str">
        <f t="array" ref="R955">IF(A955="","",IFERROR(OR(INDEX(Binders!$J$6:$J$30,MATCH(Q955,Binders!$I$6:$I$30,0))=TRUE(),UPPER(INDEX(Binders!$J$6:$J$30,MATCH(Q955,Binders!$I$6:$I$30,0))&amp;"")="TRUE"),FALSE()))</f>
        <v/>
      </c>
    </row>
    <row r="956" ht="15.75" customHeight="1">
      <c r="A956" s="80" t="str">
        <f t="array" ref="A956">IF(INDEX('Deck 3'!$A:$Z,ROW()-750,'List Setup'!$D$5)="","",INDEX('Deck 3'!$A:$Z,ROW()-750,'List Setup'!$D$5))</f>
        <v/>
      </c>
      <c r="B956" s="80" t="str">
        <f t="array" ref="B956">IF(A956="","",IFERROR(INDEX('Binder Setup'!$B$2:$B$401,MIN(IF(ISNUMBER(SEARCH(CHAR(10)&amp;'Binder Setup'!$B$2:$B$401&amp;CHAR(10),$H956)),'List Setup'!$Q$2:$Q$401,999),IF(ISNUMBER(SEARCH(CHAR(10)&amp;'Set Aliases'!$A$2:$A$501&amp;CHAR(10),$H956)),'Set Aliases'!$C$2:$C$501,999))),"(none)"))</f>
        <v/>
      </c>
      <c r="C956" s="80" t="str">
        <f t="shared" si="1"/>
        <v/>
      </c>
      <c r="D956" s="80" t="str">
        <f t="array" ref="D956">IF(A956="","",IF(ISLOGICAL(INDEX('Deck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56" s="80" t="str">
        <f t="shared" si="2"/>
        <v/>
      </c>
      <c r="F956" s="80" t="str">
        <f t="array" ref="F956">IF(A956="","",IF(ISNUMBER(J956),J956,IF(ISNUMBER(INDEX('Deck 3'!$A:$Z,ROW()-750,'List Setup'!$F$5)),INDEX('Deck 3'!$A:$Z,ROW()-750,'List Setup'!$F$5),0)))</f>
        <v/>
      </c>
      <c r="G956" s="80" t="str">
        <f t="array" ref="G956">IF(A956="","",A956&amp;IF(N(INDEX('Deck 3'!$A:$Z,ROW()-750,'List Setup'!$C$5))&gt;1," (x"&amp;INDEX('Deck 3'!$A:$Z,ROW()-750,'List Setup'!$C$5)&amp;")","")&amp;IF(COUNTIF(Binders!$J$6:$J$30,TRUE())&gt;1," ["&amp;Q956&amp;"]",""))</f>
        <v/>
      </c>
      <c r="H956" s="80" t="str">
        <f t="array" ref="H956">IF(A956="","",CHAR(10)&amp;INDEX('Deck 3'!$A:$Z,ROW()-750,'List Setup'!$E$5)&amp;CHAR(10))</f>
        <v/>
      </c>
      <c r="I956" s="80" t="str">
        <f t="array" ref="I956">IF(OR(B956="",B956="(none)"),"",IF(ISNUMBER(SEARCH(CHAR(10)&amp;B956&amp;CHAR(10),H956)),B956,IFERROR(INDEX('Set Aliases'!$A$2:$A$501,MATCH(1,('Set Aliases'!$B$2:$B$501=B956)*ISNUMBER(SEARCH(CHAR(10)&amp;'Set Aliases'!$A$2:$A$501&amp;CHAR(10),H956)),0)),"")))</f>
        <v/>
      </c>
      <c r="J956" s="80" t="str">
        <f t="array" ref="J956">IF(I956="","",IFERROR(VALUE(TRIM(MID(SUBSTITUTE(INDEX('Deck 3'!$A:$Z,ROW()-750,'List Setup'!$G$5),CHAR(10),REPT(" ",100)),((SEARCH(CHAR(10)&amp;I956&amp;CHAR(10),H956)-LEN(SUBSTITUTE(LEFT(H956,SEARCH(CHAR(10)&amp;I956&amp;CHAR(10),H956)),CHAR(10),"")))-1)*100+1,100))),""))</f>
        <v/>
      </c>
      <c r="K956" s="80" t="str">
        <f t="array" ref="K956">IF(A956="","",IF(ISNUMBER(SEARCH("Land",LEFT(IFERROR(INDEX('Deck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56" s="80" t="str">
        <f t="shared" si="3"/>
        <v/>
      </c>
      <c r="M956" s="80" t="str">
        <f>IF(A956="","",IF(AND(E956="Y",B956='Use at Shop'!$B$4),K956*10000000000+(MAX(0,MIN(26,CODE(MID(UPPER(A956)&amp;"    ",1,1))-64))*19683+MAX(0,MIN(26,CODE(MID(UPPER(A956)&amp;"    ",2,1))-64))*729+MAX(0,MIN(26,CODE(MID(UPPER(A956)&amp;"    ",3,1))-64))*27+MAX(0,MIN(26,CODE(MID(UPPER(A956)&amp;"    ",4,1))-64))*1)*10000+ROW(),""))</f>
        <v/>
      </c>
      <c r="N956" s="80" t="str">
        <f t="shared" si="7"/>
        <v/>
      </c>
      <c r="O956" s="80" t="str">
        <f t="array" ref="O956">IF(A956="","",IFERROR(INDEX('Deck 3'!$A:$Z,ROW()-750,'List Setup'!$J$5)&amp;"",""))</f>
        <v/>
      </c>
      <c r="P956" s="2"/>
      <c r="Q956" s="80" t="str">
        <f>IF(A956="","",'List Setup'!$A$5)</f>
        <v/>
      </c>
      <c r="R956" s="80" t="str">
        <f t="array" ref="R956">IF(A956="","",IFERROR(OR(INDEX(Binders!$J$6:$J$30,MATCH(Q956,Binders!$I$6:$I$30,0))=TRUE(),UPPER(INDEX(Binders!$J$6:$J$30,MATCH(Q956,Binders!$I$6:$I$30,0))&amp;"")="TRUE"),FALSE()))</f>
        <v/>
      </c>
    </row>
    <row r="957" ht="15.75" customHeight="1">
      <c r="A957" s="80" t="str">
        <f t="array" ref="A957">IF(INDEX('Deck 3'!$A:$Z,ROW()-750,'List Setup'!$D$5)="","",INDEX('Deck 3'!$A:$Z,ROW()-750,'List Setup'!$D$5))</f>
        <v/>
      </c>
      <c r="B957" s="80" t="str">
        <f t="array" ref="B957">IF(A957="","",IFERROR(INDEX('Binder Setup'!$B$2:$B$401,MIN(IF(ISNUMBER(SEARCH(CHAR(10)&amp;'Binder Setup'!$B$2:$B$401&amp;CHAR(10),$H957)),'List Setup'!$Q$2:$Q$401,999),IF(ISNUMBER(SEARCH(CHAR(10)&amp;'Set Aliases'!$A$2:$A$501&amp;CHAR(10),$H957)),'Set Aliases'!$C$2:$C$501,999))),"(none)"))</f>
        <v/>
      </c>
      <c r="C957" s="80" t="str">
        <f t="shared" si="1"/>
        <v/>
      </c>
      <c r="D957" s="80" t="str">
        <f t="array" ref="D957">IF(A957="","",IF(ISLOGICAL(INDEX('Deck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57" s="80" t="str">
        <f t="shared" si="2"/>
        <v/>
      </c>
      <c r="F957" s="80" t="str">
        <f t="array" ref="F957">IF(A957="","",IF(ISNUMBER(J957),J957,IF(ISNUMBER(INDEX('Deck 3'!$A:$Z,ROW()-750,'List Setup'!$F$5)),INDEX('Deck 3'!$A:$Z,ROW()-750,'List Setup'!$F$5),0)))</f>
        <v/>
      </c>
      <c r="G957" s="80" t="str">
        <f t="array" ref="G957">IF(A957="","",A957&amp;IF(N(INDEX('Deck 3'!$A:$Z,ROW()-750,'List Setup'!$C$5))&gt;1," (x"&amp;INDEX('Deck 3'!$A:$Z,ROW()-750,'List Setup'!$C$5)&amp;")","")&amp;IF(COUNTIF(Binders!$J$6:$J$30,TRUE())&gt;1," ["&amp;Q957&amp;"]",""))</f>
        <v/>
      </c>
      <c r="H957" s="80" t="str">
        <f t="array" ref="H957">IF(A957="","",CHAR(10)&amp;INDEX('Deck 3'!$A:$Z,ROW()-750,'List Setup'!$E$5)&amp;CHAR(10))</f>
        <v/>
      </c>
      <c r="I957" s="80" t="str">
        <f t="array" ref="I957">IF(OR(B957="",B957="(none)"),"",IF(ISNUMBER(SEARCH(CHAR(10)&amp;B957&amp;CHAR(10),H957)),B957,IFERROR(INDEX('Set Aliases'!$A$2:$A$501,MATCH(1,('Set Aliases'!$B$2:$B$501=B957)*ISNUMBER(SEARCH(CHAR(10)&amp;'Set Aliases'!$A$2:$A$501&amp;CHAR(10),H957)),0)),"")))</f>
        <v/>
      </c>
      <c r="J957" s="80" t="str">
        <f t="array" ref="J957">IF(I957="","",IFERROR(VALUE(TRIM(MID(SUBSTITUTE(INDEX('Deck 3'!$A:$Z,ROW()-750,'List Setup'!$G$5),CHAR(10),REPT(" ",100)),((SEARCH(CHAR(10)&amp;I957&amp;CHAR(10),H957)-LEN(SUBSTITUTE(LEFT(H957,SEARCH(CHAR(10)&amp;I957&amp;CHAR(10),H957)),CHAR(10),"")))-1)*100+1,100))),""))</f>
        <v/>
      </c>
      <c r="K957" s="80" t="str">
        <f t="array" ref="K957">IF(A957="","",IF(ISNUMBER(SEARCH("Land",LEFT(IFERROR(INDEX('Deck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57" s="80" t="str">
        <f t="shared" si="3"/>
        <v/>
      </c>
      <c r="M957" s="80" t="str">
        <f>IF(A957="","",IF(AND(E957="Y",B957='Use at Shop'!$B$4),K957*10000000000+(MAX(0,MIN(26,CODE(MID(UPPER(A957)&amp;"    ",1,1))-64))*19683+MAX(0,MIN(26,CODE(MID(UPPER(A957)&amp;"    ",2,1))-64))*729+MAX(0,MIN(26,CODE(MID(UPPER(A957)&amp;"    ",3,1))-64))*27+MAX(0,MIN(26,CODE(MID(UPPER(A957)&amp;"    ",4,1))-64))*1)*10000+ROW(),""))</f>
        <v/>
      </c>
      <c r="N957" s="80" t="str">
        <f t="shared" si="7"/>
        <v/>
      </c>
      <c r="O957" s="80" t="str">
        <f t="array" ref="O957">IF(A957="","",IFERROR(INDEX('Deck 3'!$A:$Z,ROW()-750,'List Setup'!$J$5)&amp;"",""))</f>
        <v/>
      </c>
      <c r="P957" s="2"/>
      <c r="Q957" s="80" t="str">
        <f>IF(A957="","",'List Setup'!$A$5)</f>
        <v/>
      </c>
      <c r="R957" s="80" t="str">
        <f t="array" ref="R957">IF(A957="","",IFERROR(OR(INDEX(Binders!$J$6:$J$30,MATCH(Q957,Binders!$I$6:$I$30,0))=TRUE(),UPPER(INDEX(Binders!$J$6:$J$30,MATCH(Q957,Binders!$I$6:$I$30,0))&amp;"")="TRUE"),FALSE()))</f>
        <v/>
      </c>
    </row>
    <row r="958" ht="15.75" customHeight="1">
      <c r="A958" s="80" t="str">
        <f t="array" ref="A958">IF(INDEX('Deck 3'!$A:$Z,ROW()-750,'List Setup'!$D$5)="","",INDEX('Deck 3'!$A:$Z,ROW()-750,'List Setup'!$D$5))</f>
        <v/>
      </c>
      <c r="B958" s="80" t="str">
        <f t="array" ref="B958">IF(A958="","",IFERROR(INDEX('Binder Setup'!$B$2:$B$401,MIN(IF(ISNUMBER(SEARCH(CHAR(10)&amp;'Binder Setup'!$B$2:$B$401&amp;CHAR(10),$H958)),'List Setup'!$Q$2:$Q$401,999),IF(ISNUMBER(SEARCH(CHAR(10)&amp;'Set Aliases'!$A$2:$A$501&amp;CHAR(10),$H958)),'Set Aliases'!$C$2:$C$501,999))),"(none)"))</f>
        <v/>
      </c>
      <c r="C958" s="80" t="str">
        <f t="shared" si="1"/>
        <v/>
      </c>
      <c r="D958" s="80" t="str">
        <f t="array" ref="D958">IF(A958="","",IF(ISLOGICAL(INDEX('Deck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58" s="80" t="str">
        <f t="shared" si="2"/>
        <v/>
      </c>
      <c r="F958" s="80" t="str">
        <f t="array" ref="F958">IF(A958="","",IF(ISNUMBER(J958),J958,IF(ISNUMBER(INDEX('Deck 3'!$A:$Z,ROW()-750,'List Setup'!$F$5)),INDEX('Deck 3'!$A:$Z,ROW()-750,'List Setup'!$F$5),0)))</f>
        <v/>
      </c>
      <c r="G958" s="80" t="str">
        <f t="array" ref="G958">IF(A958="","",A958&amp;IF(N(INDEX('Deck 3'!$A:$Z,ROW()-750,'List Setup'!$C$5))&gt;1," (x"&amp;INDEX('Deck 3'!$A:$Z,ROW()-750,'List Setup'!$C$5)&amp;")","")&amp;IF(COUNTIF(Binders!$J$6:$J$30,TRUE())&gt;1," ["&amp;Q958&amp;"]",""))</f>
        <v/>
      </c>
      <c r="H958" s="80" t="str">
        <f t="array" ref="H958">IF(A958="","",CHAR(10)&amp;INDEX('Deck 3'!$A:$Z,ROW()-750,'List Setup'!$E$5)&amp;CHAR(10))</f>
        <v/>
      </c>
      <c r="I958" s="80" t="str">
        <f t="array" ref="I958">IF(OR(B958="",B958="(none)"),"",IF(ISNUMBER(SEARCH(CHAR(10)&amp;B958&amp;CHAR(10),H958)),B958,IFERROR(INDEX('Set Aliases'!$A$2:$A$501,MATCH(1,('Set Aliases'!$B$2:$B$501=B958)*ISNUMBER(SEARCH(CHAR(10)&amp;'Set Aliases'!$A$2:$A$501&amp;CHAR(10),H958)),0)),"")))</f>
        <v/>
      </c>
      <c r="J958" s="80" t="str">
        <f t="array" ref="J958">IF(I958="","",IFERROR(VALUE(TRIM(MID(SUBSTITUTE(INDEX('Deck 3'!$A:$Z,ROW()-750,'List Setup'!$G$5),CHAR(10),REPT(" ",100)),((SEARCH(CHAR(10)&amp;I958&amp;CHAR(10),H958)-LEN(SUBSTITUTE(LEFT(H958,SEARCH(CHAR(10)&amp;I958&amp;CHAR(10),H958)),CHAR(10),"")))-1)*100+1,100))),""))</f>
        <v/>
      </c>
      <c r="K958" s="80" t="str">
        <f t="array" ref="K958">IF(A958="","",IF(ISNUMBER(SEARCH("Land",LEFT(IFERROR(INDEX('Deck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58" s="80" t="str">
        <f t="shared" si="3"/>
        <v/>
      </c>
      <c r="M958" s="80" t="str">
        <f>IF(A958="","",IF(AND(E958="Y",B958='Use at Shop'!$B$4),K958*10000000000+(MAX(0,MIN(26,CODE(MID(UPPER(A958)&amp;"    ",1,1))-64))*19683+MAX(0,MIN(26,CODE(MID(UPPER(A958)&amp;"    ",2,1))-64))*729+MAX(0,MIN(26,CODE(MID(UPPER(A958)&amp;"    ",3,1))-64))*27+MAX(0,MIN(26,CODE(MID(UPPER(A958)&amp;"    ",4,1))-64))*1)*10000+ROW(),""))</f>
        <v/>
      </c>
      <c r="N958" s="80" t="str">
        <f t="shared" si="7"/>
        <v/>
      </c>
      <c r="O958" s="80" t="str">
        <f t="array" ref="O958">IF(A958="","",IFERROR(INDEX('Deck 3'!$A:$Z,ROW()-750,'List Setup'!$J$5)&amp;"",""))</f>
        <v/>
      </c>
      <c r="P958" s="2"/>
      <c r="Q958" s="80" t="str">
        <f>IF(A958="","",'List Setup'!$A$5)</f>
        <v/>
      </c>
      <c r="R958" s="80" t="str">
        <f t="array" ref="R958">IF(A958="","",IFERROR(OR(INDEX(Binders!$J$6:$J$30,MATCH(Q958,Binders!$I$6:$I$30,0))=TRUE(),UPPER(INDEX(Binders!$J$6:$J$30,MATCH(Q958,Binders!$I$6:$I$30,0))&amp;"")="TRUE"),FALSE()))</f>
        <v/>
      </c>
    </row>
    <row r="959" ht="15.75" customHeight="1">
      <c r="A959" s="80" t="str">
        <f t="array" ref="A959">IF(INDEX('Deck 3'!$A:$Z,ROW()-750,'List Setup'!$D$5)="","",INDEX('Deck 3'!$A:$Z,ROW()-750,'List Setup'!$D$5))</f>
        <v/>
      </c>
      <c r="B959" s="80" t="str">
        <f t="array" ref="B959">IF(A959="","",IFERROR(INDEX('Binder Setup'!$B$2:$B$401,MIN(IF(ISNUMBER(SEARCH(CHAR(10)&amp;'Binder Setup'!$B$2:$B$401&amp;CHAR(10),$H959)),'List Setup'!$Q$2:$Q$401,999),IF(ISNUMBER(SEARCH(CHAR(10)&amp;'Set Aliases'!$A$2:$A$501&amp;CHAR(10),$H959)),'Set Aliases'!$C$2:$C$501,999))),"(none)"))</f>
        <v/>
      </c>
      <c r="C959" s="80" t="str">
        <f t="shared" si="1"/>
        <v/>
      </c>
      <c r="D959" s="80" t="str">
        <f t="array" ref="D959">IF(A959="","",IF(ISLOGICAL(INDEX('Deck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59" s="80" t="str">
        <f t="shared" si="2"/>
        <v/>
      </c>
      <c r="F959" s="80" t="str">
        <f t="array" ref="F959">IF(A959="","",IF(ISNUMBER(J959),J959,IF(ISNUMBER(INDEX('Deck 3'!$A:$Z,ROW()-750,'List Setup'!$F$5)),INDEX('Deck 3'!$A:$Z,ROW()-750,'List Setup'!$F$5),0)))</f>
        <v/>
      </c>
      <c r="G959" s="80" t="str">
        <f t="array" ref="G959">IF(A959="","",A959&amp;IF(N(INDEX('Deck 3'!$A:$Z,ROW()-750,'List Setup'!$C$5))&gt;1," (x"&amp;INDEX('Deck 3'!$A:$Z,ROW()-750,'List Setup'!$C$5)&amp;")","")&amp;IF(COUNTIF(Binders!$J$6:$J$30,TRUE())&gt;1," ["&amp;Q959&amp;"]",""))</f>
        <v/>
      </c>
      <c r="H959" s="80" t="str">
        <f t="array" ref="H959">IF(A959="","",CHAR(10)&amp;INDEX('Deck 3'!$A:$Z,ROW()-750,'List Setup'!$E$5)&amp;CHAR(10))</f>
        <v/>
      </c>
      <c r="I959" s="80" t="str">
        <f t="array" ref="I959">IF(OR(B959="",B959="(none)"),"",IF(ISNUMBER(SEARCH(CHAR(10)&amp;B959&amp;CHAR(10),H959)),B959,IFERROR(INDEX('Set Aliases'!$A$2:$A$501,MATCH(1,('Set Aliases'!$B$2:$B$501=B959)*ISNUMBER(SEARCH(CHAR(10)&amp;'Set Aliases'!$A$2:$A$501&amp;CHAR(10),H959)),0)),"")))</f>
        <v/>
      </c>
      <c r="J959" s="80" t="str">
        <f t="array" ref="J959">IF(I959="","",IFERROR(VALUE(TRIM(MID(SUBSTITUTE(INDEX('Deck 3'!$A:$Z,ROW()-750,'List Setup'!$G$5),CHAR(10),REPT(" ",100)),((SEARCH(CHAR(10)&amp;I959&amp;CHAR(10),H959)-LEN(SUBSTITUTE(LEFT(H959,SEARCH(CHAR(10)&amp;I959&amp;CHAR(10),H959)),CHAR(10),"")))-1)*100+1,100))),""))</f>
        <v/>
      </c>
      <c r="K959" s="80" t="str">
        <f t="array" ref="K959">IF(A959="","",IF(ISNUMBER(SEARCH("Land",LEFT(IFERROR(INDEX('Deck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59" s="80" t="str">
        <f t="shared" si="3"/>
        <v/>
      </c>
      <c r="M959" s="80" t="str">
        <f>IF(A959="","",IF(AND(E959="Y",B959='Use at Shop'!$B$4),K959*10000000000+(MAX(0,MIN(26,CODE(MID(UPPER(A959)&amp;"    ",1,1))-64))*19683+MAX(0,MIN(26,CODE(MID(UPPER(A959)&amp;"    ",2,1))-64))*729+MAX(0,MIN(26,CODE(MID(UPPER(A959)&amp;"    ",3,1))-64))*27+MAX(0,MIN(26,CODE(MID(UPPER(A959)&amp;"    ",4,1))-64))*1)*10000+ROW(),""))</f>
        <v/>
      </c>
      <c r="N959" s="80" t="str">
        <f t="shared" si="7"/>
        <v/>
      </c>
      <c r="O959" s="80" t="str">
        <f t="array" ref="O959">IF(A959="","",IFERROR(INDEX('Deck 3'!$A:$Z,ROW()-750,'List Setup'!$J$5)&amp;"",""))</f>
        <v/>
      </c>
      <c r="P959" s="2"/>
      <c r="Q959" s="80" t="str">
        <f>IF(A959="","",'List Setup'!$A$5)</f>
        <v/>
      </c>
      <c r="R959" s="80" t="str">
        <f t="array" ref="R959">IF(A959="","",IFERROR(OR(INDEX(Binders!$J$6:$J$30,MATCH(Q959,Binders!$I$6:$I$30,0))=TRUE(),UPPER(INDEX(Binders!$J$6:$J$30,MATCH(Q959,Binders!$I$6:$I$30,0))&amp;"")="TRUE"),FALSE()))</f>
        <v/>
      </c>
    </row>
    <row r="960" ht="15.75" customHeight="1">
      <c r="A960" s="80" t="str">
        <f t="array" ref="A960">IF(INDEX('Deck 3'!$A:$Z,ROW()-750,'List Setup'!$D$5)="","",INDEX('Deck 3'!$A:$Z,ROW()-750,'List Setup'!$D$5))</f>
        <v/>
      </c>
      <c r="B960" s="80" t="str">
        <f t="array" ref="B960">IF(A960="","",IFERROR(INDEX('Binder Setup'!$B$2:$B$401,MIN(IF(ISNUMBER(SEARCH(CHAR(10)&amp;'Binder Setup'!$B$2:$B$401&amp;CHAR(10),$H960)),'List Setup'!$Q$2:$Q$401,999),IF(ISNUMBER(SEARCH(CHAR(10)&amp;'Set Aliases'!$A$2:$A$501&amp;CHAR(10),$H960)),'Set Aliases'!$C$2:$C$501,999))),"(none)"))</f>
        <v/>
      </c>
      <c r="C960" s="80" t="str">
        <f t="shared" si="1"/>
        <v/>
      </c>
      <c r="D960" s="80" t="str">
        <f t="array" ref="D960">IF(A960="","",IF(ISLOGICAL(INDEX('Deck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60" s="80" t="str">
        <f t="shared" si="2"/>
        <v/>
      </c>
      <c r="F960" s="80" t="str">
        <f t="array" ref="F960">IF(A960="","",IF(ISNUMBER(J960),J960,IF(ISNUMBER(INDEX('Deck 3'!$A:$Z,ROW()-750,'List Setup'!$F$5)),INDEX('Deck 3'!$A:$Z,ROW()-750,'List Setup'!$F$5),0)))</f>
        <v/>
      </c>
      <c r="G960" s="80" t="str">
        <f t="array" ref="G960">IF(A960="","",A960&amp;IF(N(INDEX('Deck 3'!$A:$Z,ROW()-750,'List Setup'!$C$5))&gt;1," (x"&amp;INDEX('Deck 3'!$A:$Z,ROW()-750,'List Setup'!$C$5)&amp;")","")&amp;IF(COUNTIF(Binders!$J$6:$J$30,TRUE())&gt;1," ["&amp;Q960&amp;"]",""))</f>
        <v/>
      </c>
      <c r="H960" s="80" t="str">
        <f t="array" ref="H960">IF(A960="","",CHAR(10)&amp;INDEX('Deck 3'!$A:$Z,ROW()-750,'List Setup'!$E$5)&amp;CHAR(10))</f>
        <v/>
      </c>
      <c r="I960" s="80" t="str">
        <f t="array" ref="I960">IF(OR(B960="",B960="(none)"),"",IF(ISNUMBER(SEARCH(CHAR(10)&amp;B960&amp;CHAR(10),H960)),B960,IFERROR(INDEX('Set Aliases'!$A$2:$A$501,MATCH(1,('Set Aliases'!$B$2:$B$501=B960)*ISNUMBER(SEARCH(CHAR(10)&amp;'Set Aliases'!$A$2:$A$501&amp;CHAR(10),H960)),0)),"")))</f>
        <v/>
      </c>
      <c r="J960" s="80" t="str">
        <f t="array" ref="J960">IF(I960="","",IFERROR(VALUE(TRIM(MID(SUBSTITUTE(INDEX('Deck 3'!$A:$Z,ROW()-750,'List Setup'!$G$5),CHAR(10),REPT(" ",100)),((SEARCH(CHAR(10)&amp;I960&amp;CHAR(10),H960)-LEN(SUBSTITUTE(LEFT(H960,SEARCH(CHAR(10)&amp;I960&amp;CHAR(10),H960)),CHAR(10),"")))-1)*100+1,100))),""))</f>
        <v/>
      </c>
      <c r="K960" s="80" t="str">
        <f t="array" ref="K960">IF(A960="","",IF(ISNUMBER(SEARCH("Land",LEFT(IFERROR(INDEX('Deck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60" s="80" t="str">
        <f t="shared" si="3"/>
        <v/>
      </c>
      <c r="M960" s="80" t="str">
        <f>IF(A960="","",IF(AND(E960="Y",B960='Use at Shop'!$B$4),K960*10000000000+(MAX(0,MIN(26,CODE(MID(UPPER(A960)&amp;"    ",1,1))-64))*19683+MAX(0,MIN(26,CODE(MID(UPPER(A960)&amp;"    ",2,1))-64))*729+MAX(0,MIN(26,CODE(MID(UPPER(A960)&amp;"    ",3,1))-64))*27+MAX(0,MIN(26,CODE(MID(UPPER(A960)&amp;"    ",4,1))-64))*1)*10000+ROW(),""))</f>
        <v/>
      </c>
      <c r="N960" s="80" t="str">
        <f t="shared" si="7"/>
        <v/>
      </c>
      <c r="O960" s="80" t="str">
        <f t="array" ref="O960">IF(A960="","",IFERROR(INDEX('Deck 3'!$A:$Z,ROW()-750,'List Setup'!$J$5)&amp;"",""))</f>
        <v/>
      </c>
      <c r="P960" s="2"/>
      <c r="Q960" s="80" t="str">
        <f>IF(A960="","",'List Setup'!$A$5)</f>
        <v/>
      </c>
      <c r="R960" s="80" t="str">
        <f t="array" ref="R960">IF(A960="","",IFERROR(OR(INDEX(Binders!$J$6:$J$30,MATCH(Q960,Binders!$I$6:$I$30,0))=TRUE(),UPPER(INDEX(Binders!$J$6:$J$30,MATCH(Q960,Binders!$I$6:$I$30,0))&amp;"")="TRUE"),FALSE()))</f>
        <v/>
      </c>
    </row>
    <row r="961" ht="15.75" customHeight="1">
      <c r="A961" s="80" t="str">
        <f t="array" ref="A961">IF(INDEX('Deck 3'!$A:$Z,ROW()-750,'List Setup'!$D$5)="","",INDEX('Deck 3'!$A:$Z,ROW()-750,'List Setup'!$D$5))</f>
        <v/>
      </c>
      <c r="B961" s="80" t="str">
        <f t="array" ref="B961">IF(A961="","",IFERROR(INDEX('Binder Setup'!$B$2:$B$401,MIN(IF(ISNUMBER(SEARCH(CHAR(10)&amp;'Binder Setup'!$B$2:$B$401&amp;CHAR(10),$H961)),'List Setup'!$Q$2:$Q$401,999),IF(ISNUMBER(SEARCH(CHAR(10)&amp;'Set Aliases'!$A$2:$A$501&amp;CHAR(10),$H961)),'Set Aliases'!$C$2:$C$501,999))),"(none)"))</f>
        <v/>
      </c>
      <c r="C961" s="80" t="str">
        <f t="shared" si="1"/>
        <v/>
      </c>
      <c r="D961" s="80" t="str">
        <f t="array" ref="D961">IF(A961="","",IF(ISLOGICAL(INDEX('Deck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61" s="80" t="str">
        <f t="shared" si="2"/>
        <v/>
      </c>
      <c r="F961" s="80" t="str">
        <f t="array" ref="F961">IF(A961="","",IF(ISNUMBER(J961),J961,IF(ISNUMBER(INDEX('Deck 3'!$A:$Z,ROW()-750,'List Setup'!$F$5)),INDEX('Deck 3'!$A:$Z,ROW()-750,'List Setup'!$F$5),0)))</f>
        <v/>
      </c>
      <c r="G961" s="80" t="str">
        <f t="array" ref="G961">IF(A961="","",A961&amp;IF(N(INDEX('Deck 3'!$A:$Z,ROW()-750,'List Setup'!$C$5))&gt;1," (x"&amp;INDEX('Deck 3'!$A:$Z,ROW()-750,'List Setup'!$C$5)&amp;")","")&amp;IF(COUNTIF(Binders!$J$6:$J$30,TRUE())&gt;1," ["&amp;Q961&amp;"]",""))</f>
        <v/>
      </c>
      <c r="H961" s="80" t="str">
        <f t="array" ref="H961">IF(A961="","",CHAR(10)&amp;INDEX('Deck 3'!$A:$Z,ROW()-750,'List Setup'!$E$5)&amp;CHAR(10))</f>
        <v/>
      </c>
      <c r="I961" s="80" t="str">
        <f t="array" ref="I961">IF(OR(B961="",B961="(none)"),"",IF(ISNUMBER(SEARCH(CHAR(10)&amp;B961&amp;CHAR(10),H961)),B961,IFERROR(INDEX('Set Aliases'!$A$2:$A$501,MATCH(1,('Set Aliases'!$B$2:$B$501=B961)*ISNUMBER(SEARCH(CHAR(10)&amp;'Set Aliases'!$A$2:$A$501&amp;CHAR(10),H961)),0)),"")))</f>
        <v/>
      </c>
      <c r="J961" s="80" t="str">
        <f t="array" ref="J961">IF(I961="","",IFERROR(VALUE(TRIM(MID(SUBSTITUTE(INDEX('Deck 3'!$A:$Z,ROW()-750,'List Setup'!$G$5),CHAR(10),REPT(" ",100)),((SEARCH(CHAR(10)&amp;I961&amp;CHAR(10),H961)-LEN(SUBSTITUTE(LEFT(H961,SEARCH(CHAR(10)&amp;I961&amp;CHAR(10),H961)),CHAR(10),"")))-1)*100+1,100))),""))</f>
        <v/>
      </c>
      <c r="K961" s="80" t="str">
        <f t="array" ref="K961">IF(A961="","",IF(ISNUMBER(SEARCH("Land",LEFT(IFERROR(INDEX('Deck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61" s="80" t="str">
        <f t="shared" si="3"/>
        <v/>
      </c>
      <c r="M961" s="80" t="str">
        <f>IF(A961="","",IF(AND(E961="Y",B961='Use at Shop'!$B$4),K961*10000000000+(MAX(0,MIN(26,CODE(MID(UPPER(A961)&amp;"    ",1,1))-64))*19683+MAX(0,MIN(26,CODE(MID(UPPER(A961)&amp;"    ",2,1))-64))*729+MAX(0,MIN(26,CODE(MID(UPPER(A961)&amp;"    ",3,1))-64))*27+MAX(0,MIN(26,CODE(MID(UPPER(A961)&amp;"    ",4,1))-64))*1)*10000+ROW(),""))</f>
        <v/>
      </c>
      <c r="N961" s="80" t="str">
        <f t="shared" si="7"/>
        <v/>
      </c>
      <c r="O961" s="80" t="str">
        <f t="array" ref="O961">IF(A961="","",IFERROR(INDEX('Deck 3'!$A:$Z,ROW()-750,'List Setup'!$J$5)&amp;"",""))</f>
        <v/>
      </c>
      <c r="P961" s="2"/>
      <c r="Q961" s="80" t="str">
        <f>IF(A961="","",'List Setup'!$A$5)</f>
        <v/>
      </c>
      <c r="R961" s="80" t="str">
        <f t="array" ref="R961">IF(A961="","",IFERROR(OR(INDEX(Binders!$J$6:$J$30,MATCH(Q961,Binders!$I$6:$I$30,0))=TRUE(),UPPER(INDEX(Binders!$J$6:$J$30,MATCH(Q961,Binders!$I$6:$I$30,0))&amp;"")="TRUE"),FALSE()))</f>
        <v/>
      </c>
    </row>
    <row r="962" ht="15.75" customHeight="1">
      <c r="A962" s="80" t="str">
        <f t="array" ref="A962">IF(INDEX('Deck 3'!$A:$Z,ROW()-750,'List Setup'!$D$5)="","",INDEX('Deck 3'!$A:$Z,ROW()-750,'List Setup'!$D$5))</f>
        <v/>
      </c>
      <c r="B962" s="80" t="str">
        <f t="array" ref="B962">IF(A962="","",IFERROR(INDEX('Binder Setup'!$B$2:$B$401,MIN(IF(ISNUMBER(SEARCH(CHAR(10)&amp;'Binder Setup'!$B$2:$B$401&amp;CHAR(10),$H962)),'List Setup'!$Q$2:$Q$401,999),IF(ISNUMBER(SEARCH(CHAR(10)&amp;'Set Aliases'!$A$2:$A$501&amp;CHAR(10),$H962)),'Set Aliases'!$C$2:$C$501,999))),"(none)"))</f>
        <v/>
      </c>
      <c r="C962" s="80" t="str">
        <f t="shared" si="1"/>
        <v/>
      </c>
      <c r="D962" s="80" t="str">
        <f t="array" ref="D962">IF(A962="","",IF(ISLOGICAL(INDEX('Deck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62" s="80" t="str">
        <f t="shared" si="2"/>
        <v/>
      </c>
      <c r="F962" s="80" t="str">
        <f t="array" ref="F962">IF(A962="","",IF(ISNUMBER(J962),J962,IF(ISNUMBER(INDEX('Deck 3'!$A:$Z,ROW()-750,'List Setup'!$F$5)),INDEX('Deck 3'!$A:$Z,ROW()-750,'List Setup'!$F$5),0)))</f>
        <v/>
      </c>
      <c r="G962" s="80" t="str">
        <f t="array" ref="G962">IF(A962="","",A962&amp;IF(N(INDEX('Deck 3'!$A:$Z,ROW()-750,'List Setup'!$C$5))&gt;1," (x"&amp;INDEX('Deck 3'!$A:$Z,ROW()-750,'List Setup'!$C$5)&amp;")","")&amp;IF(COUNTIF(Binders!$J$6:$J$30,TRUE())&gt;1," ["&amp;Q962&amp;"]",""))</f>
        <v/>
      </c>
      <c r="H962" s="80" t="str">
        <f t="array" ref="H962">IF(A962="","",CHAR(10)&amp;INDEX('Deck 3'!$A:$Z,ROW()-750,'List Setup'!$E$5)&amp;CHAR(10))</f>
        <v/>
      </c>
      <c r="I962" s="80" t="str">
        <f t="array" ref="I962">IF(OR(B962="",B962="(none)"),"",IF(ISNUMBER(SEARCH(CHAR(10)&amp;B962&amp;CHAR(10),H962)),B962,IFERROR(INDEX('Set Aliases'!$A$2:$A$501,MATCH(1,('Set Aliases'!$B$2:$B$501=B962)*ISNUMBER(SEARCH(CHAR(10)&amp;'Set Aliases'!$A$2:$A$501&amp;CHAR(10),H962)),0)),"")))</f>
        <v/>
      </c>
      <c r="J962" s="80" t="str">
        <f t="array" ref="J962">IF(I962="","",IFERROR(VALUE(TRIM(MID(SUBSTITUTE(INDEX('Deck 3'!$A:$Z,ROW()-750,'List Setup'!$G$5),CHAR(10),REPT(" ",100)),((SEARCH(CHAR(10)&amp;I962&amp;CHAR(10),H962)-LEN(SUBSTITUTE(LEFT(H962,SEARCH(CHAR(10)&amp;I962&amp;CHAR(10),H962)),CHAR(10),"")))-1)*100+1,100))),""))</f>
        <v/>
      </c>
      <c r="K962" s="80" t="str">
        <f t="array" ref="K962">IF(A962="","",IF(ISNUMBER(SEARCH("Land",LEFT(IFERROR(INDEX('Deck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62" s="80" t="str">
        <f t="shared" si="3"/>
        <v/>
      </c>
      <c r="M962" s="80" t="str">
        <f>IF(A962="","",IF(AND(E962="Y",B962='Use at Shop'!$B$4),K962*10000000000+(MAX(0,MIN(26,CODE(MID(UPPER(A962)&amp;"    ",1,1))-64))*19683+MAX(0,MIN(26,CODE(MID(UPPER(A962)&amp;"    ",2,1))-64))*729+MAX(0,MIN(26,CODE(MID(UPPER(A962)&amp;"    ",3,1))-64))*27+MAX(0,MIN(26,CODE(MID(UPPER(A962)&amp;"    ",4,1))-64))*1)*10000+ROW(),""))</f>
        <v/>
      </c>
      <c r="N962" s="80" t="str">
        <f t="shared" si="7"/>
        <v/>
      </c>
      <c r="O962" s="80" t="str">
        <f t="array" ref="O962">IF(A962="","",IFERROR(INDEX('Deck 3'!$A:$Z,ROW()-750,'List Setup'!$J$5)&amp;"",""))</f>
        <v/>
      </c>
      <c r="P962" s="2"/>
      <c r="Q962" s="80" t="str">
        <f>IF(A962="","",'List Setup'!$A$5)</f>
        <v/>
      </c>
      <c r="R962" s="80" t="str">
        <f t="array" ref="R962">IF(A962="","",IFERROR(OR(INDEX(Binders!$J$6:$J$30,MATCH(Q962,Binders!$I$6:$I$30,0))=TRUE(),UPPER(INDEX(Binders!$J$6:$J$30,MATCH(Q962,Binders!$I$6:$I$30,0))&amp;"")="TRUE"),FALSE()))</f>
        <v/>
      </c>
    </row>
    <row r="963" ht="15.75" customHeight="1">
      <c r="A963" s="80" t="str">
        <f t="array" ref="A963">IF(INDEX('Deck 3'!$A:$Z,ROW()-750,'List Setup'!$D$5)="","",INDEX('Deck 3'!$A:$Z,ROW()-750,'List Setup'!$D$5))</f>
        <v/>
      </c>
      <c r="B963" s="80" t="str">
        <f t="array" ref="B963">IF(A963="","",IFERROR(INDEX('Binder Setup'!$B$2:$B$401,MIN(IF(ISNUMBER(SEARCH(CHAR(10)&amp;'Binder Setup'!$B$2:$B$401&amp;CHAR(10),$H963)),'List Setup'!$Q$2:$Q$401,999),IF(ISNUMBER(SEARCH(CHAR(10)&amp;'Set Aliases'!$A$2:$A$501&amp;CHAR(10),$H963)),'Set Aliases'!$C$2:$C$501,999))),"(none)"))</f>
        <v/>
      </c>
      <c r="C963" s="80" t="str">
        <f t="shared" si="1"/>
        <v/>
      </c>
      <c r="D963" s="80" t="str">
        <f t="array" ref="D963">IF(A963="","",IF(ISLOGICAL(INDEX('Deck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63" s="80" t="str">
        <f t="shared" si="2"/>
        <v/>
      </c>
      <c r="F963" s="80" t="str">
        <f t="array" ref="F963">IF(A963="","",IF(ISNUMBER(J963),J963,IF(ISNUMBER(INDEX('Deck 3'!$A:$Z,ROW()-750,'List Setup'!$F$5)),INDEX('Deck 3'!$A:$Z,ROW()-750,'List Setup'!$F$5),0)))</f>
        <v/>
      </c>
      <c r="G963" s="80" t="str">
        <f t="array" ref="G963">IF(A963="","",A963&amp;IF(N(INDEX('Deck 3'!$A:$Z,ROW()-750,'List Setup'!$C$5))&gt;1," (x"&amp;INDEX('Deck 3'!$A:$Z,ROW()-750,'List Setup'!$C$5)&amp;")","")&amp;IF(COUNTIF(Binders!$J$6:$J$30,TRUE())&gt;1," ["&amp;Q963&amp;"]",""))</f>
        <v/>
      </c>
      <c r="H963" s="80" t="str">
        <f t="array" ref="H963">IF(A963="","",CHAR(10)&amp;INDEX('Deck 3'!$A:$Z,ROW()-750,'List Setup'!$E$5)&amp;CHAR(10))</f>
        <v/>
      </c>
      <c r="I963" s="80" t="str">
        <f t="array" ref="I963">IF(OR(B963="",B963="(none)"),"",IF(ISNUMBER(SEARCH(CHAR(10)&amp;B963&amp;CHAR(10),H963)),B963,IFERROR(INDEX('Set Aliases'!$A$2:$A$501,MATCH(1,('Set Aliases'!$B$2:$B$501=B963)*ISNUMBER(SEARCH(CHAR(10)&amp;'Set Aliases'!$A$2:$A$501&amp;CHAR(10),H963)),0)),"")))</f>
        <v/>
      </c>
      <c r="J963" s="80" t="str">
        <f t="array" ref="J963">IF(I963="","",IFERROR(VALUE(TRIM(MID(SUBSTITUTE(INDEX('Deck 3'!$A:$Z,ROW()-750,'List Setup'!$G$5),CHAR(10),REPT(" ",100)),((SEARCH(CHAR(10)&amp;I963&amp;CHAR(10),H963)-LEN(SUBSTITUTE(LEFT(H963,SEARCH(CHAR(10)&amp;I963&amp;CHAR(10),H963)),CHAR(10),"")))-1)*100+1,100))),""))</f>
        <v/>
      </c>
      <c r="K963" s="80" t="str">
        <f t="array" ref="K963">IF(A963="","",IF(ISNUMBER(SEARCH("Land",LEFT(IFERROR(INDEX('Deck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63" s="80" t="str">
        <f t="shared" si="3"/>
        <v/>
      </c>
      <c r="M963" s="80" t="str">
        <f>IF(A963="","",IF(AND(E963="Y",B963='Use at Shop'!$B$4),K963*10000000000+(MAX(0,MIN(26,CODE(MID(UPPER(A963)&amp;"    ",1,1))-64))*19683+MAX(0,MIN(26,CODE(MID(UPPER(A963)&amp;"    ",2,1))-64))*729+MAX(0,MIN(26,CODE(MID(UPPER(A963)&amp;"    ",3,1))-64))*27+MAX(0,MIN(26,CODE(MID(UPPER(A963)&amp;"    ",4,1))-64))*1)*10000+ROW(),""))</f>
        <v/>
      </c>
      <c r="N963" s="80" t="str">
        <f t="shared" si="7"/>
        <v/>
      </c>
      <c r="O963" s="80" t="str">
        <f t="array" ref="O963">IF(A963="","",IFERROR(INDEX('Deck 3'!$A:$Z,ROW()-750,'List Setup'!$J$5)&amp;"",""))</f>
        <v/>
      </c>
      <c r="P963" s="2"/>
      <c r="Q963" s="80" t="str">
        <f>IF(A963="","",'List Setup'!$A$5)</f>
        <v/>
      </c>
      <c r="R963" s="80" t="str">
        <f t="array" ref="R963">IF(A963="","",IFERROR(OR(INDEX(Binders!$J$6:$J$30,MATCH(Q963,Binders!$I$6:$I$30,0))=TRUE(),UPPER(INDEX(Binders!$J$6:$J$30,MATCH(Q963,Binders!$I$6:$I$30,0))&amp;"")="TRUE"),FALSE()))</f>
        <v/>
      </c>
    </row>
    <row r="964" ht="15.75" customHeight="1">
      <c r="A964" s="80" t="str">
        <f t="array" ref="A964">IF(INDEX('Deck 3'!$A:$Z,ROW()-750,'List Setup'!$D$5)="","",INDEX('Deck 3'!$A:$Z,ROW()-750,'List Setup'!$D$5))</f>
        <v/>
      </c>
      <c r="B964" s="80" t="str">
        <f t="array" ref="B964">IF(A964="","",IFERROR(INDEX('Binder Setup'!$B$2:$B$401,MIN(IF(ISNUMBER(SEARCH(CHAR(10)&amp;'Binder Setup'!$B$2:$B$401&amp;CHAR(10),$H964)),'List Setup'!$Q$2:$Q$401,999),IF(ISNUMBER(SEARCH(CHAR(10)&amp;'Set Aliases'!$A$2:$A$501&amp;CHAR(10),$H964)),'Set Aliases'!$C$2:$C$501,999))),"(none)"))</f>
        <v/>
      </c>
      <c r="C964" s="80" t="str">
        <f t="shared" si="1"/>
        <v/>
      </c>
      <c r="D964" s="80" t="str">
        <f t="array" ref="D964">IF(A964="","",IF(ISLOGICAL(INDEX('Deck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64" s="80" t="str">
        <f t="shared" si="2"/>
        <v/>
      </c>
      <c r="F964" s="80" t="str">
        <f t="array" ref="F964">IF(A964="","",IF(ISNUMBER(J964),J964,IF(ISNUMBER(INDEX('Deck 3'!$A:$Z,ROW()-750,'List Setup'!$F$5)),INDEX('Deck 3'!$A:$Z,ROW()-750,'List Setup'!$F$5),0)))</f>
        <v/>
      </c>
      <c r="G964" s="80" t="str">
        <f t="array" ref="G964">IF(A964="","",A964&amp;IF(N(INDEX('Deck 3'!$A:$Z,ROW()-750,'List Setup'!$C$5))&gt;1," (x"&amp;INDEX('Deck 3'!$A:$Z,ROW()-750,'List Setup'!$C$5)&amp;")","")&amp;IF(COUNTIF(Binders!$J$6:$J$30,TRUE())&gt;1," ["&amp;Q964&amp;"]",""))</f>
        <v/>
      </c>
      <c r="H964" s="80" t="str">
        <f t="array" ref="H964">IF(A964="","",CHAR(10)&amp;INDEX('Deck 3'!$A:$Z,ROW()-750,'List Setup'!$E$5)&amp;CHAR(10))</f>
        <v/>
      </c>
      <c r="I964" s="80" t="str">
        <f t="array" ref="I964">IF(OR(B964="",B964="(none)"),"",IF(ISNUMBER(SEARCH(CHAR(10)&amp;B964&amp;CHAR(10),H964)),B964,IFERROR(INDEX('Set Aliases'!$A$2:$A$501,MATCH(1,('Set Aliases'!$B$2:$B$501=B964)*ISNUMBER(SEARCH(CHAR(10)&amp;'Set Aliases'!$A$2:$A$501&amp;CHAR(10),H964)),0)),"")))</f>
        <v/>
      </c>
      <c r="J964" s="80" t="str">
        <f t="array" ref="J964">IF(I964="","",IFERROR(VALUE(TRIM(MID(SUBSTITUTE(INDEX('Deck 3'!$A:$Z,ROW()-750,'List Setup'!$G$5),CHAR(10),REPT(" ",100)),((SEARCH(CHAR(10)&amp;I964&amp;CHAR(10),H964)-LEN(SUBSTITUTE(LEFT(H964,SEARCH(CHAR(10)&amp;I964&amp;CHAR(10),H964)),CHAR(10),"")))-1)*100+1,100))),""))</f>
        <v/>
      </c>
      <c r="K964" s="80" t="str">
        <f t="array" ref="K964">IF(A964="","",IF(ISNUMBER(SEARCH("Land",LEFT(IFERROR(INDEX('Deck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64" s="80" t="str">
        <f t="shared" si="3"/>
        <v/>
      </c>
      <c r="M964" s="80" t="str">
        <f>IF(A964="","",IF(AND(E964="Y",B964='Use at Shop'!$B$4),K964*10000000000+(MAX(0,MIN(26,CODE(MID(UPPER(A964)&amp;"    ",1,1))-64))*19683+MAX(0,MIN(26,CODE(MID(UPPER(A964)&amp;"    ",2,1))-64))*729+MAX(0,MIN(26,CODE(MID(UPPER(A964)&amp;"    ",3,1))-64))*27+MAX(0,MIN(26,CODE(MID(UPPER(A964)&amp;"    ",4,1))-64))*1)*10000+ROW(),""))</f>
        <v/>
      </c>
      <c r="N964" s="80" t="str">
        <f t="shared" si="7"/>
        <v/>
      </c>
      <c r="O964" s="80" t="str">
        <f t="array" ref="O964">IF(A964="","",IFERROR(INDEX('Deck 3'!$A:$Z,ROW()-750,'List Setup'!$J$5)&amp;"",""))</f>
        <v/>
      </c>
      <c r="P964" s="2"/>
      <c r="Q964" s="80" t="str">
        <f>IF(A964="","",'List Setup'!$A$5)</f>
        <v/>
      </c>
      <c r="R964" s="80" t="str">
        <f t="array" ref="R964">IF(A964="","",IFERROR(OR(INDEX(Binders!$J$6:$J$30,MATCH(Q964,Binders!$I$6:$I$30,0))=TRUE(),UPPER(INDEX(Binders!$J$6:$J$30,MATCH(Q964,Binders!$I$6:$I$30,0))&amp;"")="TRUE"),FALSE()))</f>
        <v/>
      </c>
    </row>
    <row r="965" ht="15.75" customHeight="1">
      <c r="A965" s="80" t="str">
        <f t="array" ref="A965">IF(INDEX('Deck 3'!$A:$Z,ROW()-750,'List Setup'!$D$5)="","",INDEX('Deck 3'!$A:$Z,ROW()-750,'List Setup'!$D$5))</f>
        <v/>
      </c>
      <c r="B965" s="80" t="str">
        <f t="array" ref="B965">IF(A965="","",IFERROR(INDEX('Binder Setup'!$B$2:$B$401,MIN(IF(ISNUMBER(SEARCH(CHAR(10)&amp;'Binder Setup'!$B$2:$B$401&amp;CHAR(10),$H965)),'List Setup'!$Q$2:$Q$401,999),IF(ISNUMBER(SEARCH(CHAR(10)&amp;'Set Aliases'!$A$2:$A$501&amp;CHAR(10),$H965)),'Set Aliases'!$C$2:$C$501,999))),"(none)"))</f>
        <v/>
      </c>
      <c r="C965" s="80" t="str">
        <f t="shared" si="1"/>
        <v/>
      </c>
      <c r="D965" s="80" t="str">
        <f t="array" ref="D965">IF(A965="","",IF(ISLOGICAL(INDEX('Deck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65" s="80" t="str">
        <f t="shared" si="2"/>
        <v/>
      </c>
      <c r="F965" s="80" t="str">
        <f t="array" ref="F965">IF(A965="","",IF(ISNUMBER(J965),J965,IF(ISNUMBER(INDEX('Deck 3'!$A:$Z,ROW()-750,'List Setup'!$F$5)),INDEX('Deck 3'!$A:$Z,ROW()-750,'List Setup'!$F$5),0)))</f>
        <v/>
      </c>
      <c r="G965" s="80" t="str">
        <f t="array" ref="G965">IF(A965="","",A965&amp;IF(N(INDEX('Deck 3'!$A:$Z,ROW()-750,'List Setup'!$C$5))&gt;1," (x"&amp;INDEX('Deck 3'!$A:$Z,ROW()-750,'List Setup'!$C$5)&amp;")","")&amp;IF(COUNTIF(Binders!$J$6:$J$30,TRUE())&gt;1," ["&amp;Q965&amp;"]",""))</f>
        <v/>
      </c>
      <c r="H965" s="80" t="str">
        <f t="array" ref="H965">IF(A965="","",CHAR(10)&amp;INDEX('Deck 3'!$A:$Z,ROW()-750,'List Setup'!$E$5)&amp;CHAR(10))</f>
        <v/>
      </c>
      <c r="I965" s="80" t="str">
        <f t="array" ref="I965">IF(OR(B965="",B965="(none)"),"",IF(ISNUMBER(SEARCH(CHAR(10)&amp;B965&amp;CHAR(10),H965)),B965,IFERROR(INDEX('Set Aliases'!$A$2:$A$501,MATCH(1,('Set Aliases'!$B$2:$B$501=B965)*ISNUMBER(SEARCH(CHAR(10)&amp;'Set Aliases'!$A$2:$A$501&amp;CHAR(10),H965)),0)),"")))</f>
        <v/>
      </c>
      <c r="J965" s="80" t="str">
        <f t="array" ref="J965">IF(I965="","",IFERROR(VALUE(TRIM(MID(SUBSTITUTE(INDEX('Deck 3'!$A:$Z,ROW()-750,'List Setup'!$G$5),CHAR(10),REPT(" ",100)),((SEARCH(CHAR(10)&amp;I965&amp;CHAR(10),H965)-LEN(SUBSTITUTE(LEFT(H965,SEARCH(CHAR(10)&amp;I965&amp;CHAR(10),H965)),CHAR(10),"")))-1)*100+1,100))),""))</f>
        <v/>
      </c>
      <c r="K965" s="80" t="str">
        <f t="array" ref="K965">IF(A965="","",IF(ISNUMBER(SEARCH("Land",LEFT(IFERROR(INDEX('Deck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65" s="80" t="str">
        <f t="shared" si="3"/>
        <v/>
      </c>
      <c r="M965" s="80" t="str">
        <f>IF(A965="","",IF(AND(E965="Y",B965='Use at Shop'!$B$4),K965*10000000000+(MAX(0,MIN(26,CODE(MID(UPPER(A965)&amp;"    ",1,1))-64))*19683+MAX(0,MIN(26,CODE(MID(UPPER(A965)&amp;"    ",2,1))-64))*729+MAX(0,MIN(26,CODE(MID(UPPER(A965)&amp;"    ",3,1))-64))*27+MAX(0,MIN(26,CODE(MID(UPPER(A965)&amp;"    ",4,1))-64))*1)*10000+ROW(),""))</f>
        <v/>
      </c>
      <c r="N965" s="80" t="str">
        <f t="shared" si="7"/>
        <v/>
      </c>
      <c r="O965" s="80" t="str">
        <f t="array" ref="O965">IF(A965="","",IFERROR(INDEX('Deck 3'!$A:$Z,ROW()-750,'List Setup'!$J$5)&amp;"",""))</f>
        <v/>
      </c>
      <c r="P965" s="2"/>
      <c r="Q965" s="80" t="str">
        <f>IF(A965="","",'List Setup'!$A$5)</f>
        <v/>
      </c>
      <c r="R965" s="80" t="str">
        <f t="array" ref="R965">IF(A965="","",IFERROR(OR(INDEX(Binders!$J$6:$J$30,MATCH(Q965,Binders!$I$6:$I$30,0))=TRUE(),UPPER(INDEX(Binders!$J$6:$J$30,MATCH(Q965,Binders!$I$6:$I$30,0))&amp;"")="TRUE"),FALSE()))</f>
        <v/>
      </c>
    </row>
    <row r="966" ht="15.75" customHeight="1">
      <c r="A966" s="80" t="str">
        <f t="array" ref="A966">IF(INDEX('Deck 3'!$A:$Z,ROW()-750,'List Setup'!$D$5)="","",INDEX('Deck 3'!$A:$Z,ROW()-750,'List Setup'!$D$5))</f>
        <v/>
      </c>
      <c r="B966" s="80" t="str">
        <f t="array" ref="B966">IF(A966="","",IFERROR(INDEX('Binder Setup'!$B$2:$B$401,MIN(IF(ISNUMBER(SEARCH(CHAR(10)&amp;'Binder Setup'!$B$2:$B$401&amp;CHAR(10),$H966)),'List Setup'!$Q$2:$Q$401,999),IF(ISNUMBER(SEARCH(CHAR(10)&amp;'Set Aliases'!$A$2:$A$501&amp;CHAR(10),$H966)),'Set Aliases'!$C$2:$C$501,999))),"(none)"))</f>
        <v/>
      </c>
      <c r="C966" s="80" t="str">
        <f t="shared" si="1"/>
        <v/>
      </c>
      <c r="D966" s="80" t="str">
        <f t="array" ref="D966">IF(A966="","",IF(ISLOGICAL(INDEX('Deck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66" s="80" t="str">
        <f t="shared" si="2"/>
        <v/>
      </c>
      <c r="F966" s="80" t="str">
        <f t="array" ref="F966">IF(A966="","",IF(ISNUMBER(J966),J966,IF(ISNUMBER(INDEX('Deck 3'!$A:$Z,ROW()-750,'List Setup'!$F$5)),INDEX('Deck 3'!$A:$Z,ROW()-750,'List Setup'!$F$5),0)))</f>
        <v/>
      </c>
      <c r="G966" s="80" t="str">
        <f t="array" ref="G966">IF(A966="","",A966&amp;IF(N(INDEX('Deck 3'!$A:$Z,ROW()-750,'List Setup'!$C$5))&gt;1," (x"&amp;INDEX('Deck 3'!$A:$Z,ROW()-750,'List Setup'!$C$5)&amp;")","")&amp;IF(COUNTIF(Binders!$J$6:$J$30,TRUE())&gt;1," ["&amp;Q966&amp;"]",""))</f>
        <v/>
      </c>
      <c r="H966" s="80" t="str">
        <f t="array" ref="H966">IF(A966="","",CHAR(10)&amp;INDEX('Deck 3'!$A:$Z,ROW()-750,'List Setup'!$E$5)&amp;CHAR(10))</f>
        <v/>
      </c>
      <c r="I966" s="80" t="str">
        <f t="array" ref="I966">IF(OR(B966="",B966="(none)"),"",IF(ISNUMBER(SEARCH(CHAR(10)&amp;B966&amp;CHAR(10),H966)),B966,IFERROR(INDEX('Set Aliases'!$A$2:$A$501,MATCH(1,('Set Aliases'!$B$2:$B$501=B966)*ISNUMBER(SEARCH(CHAR(10)&amp;'Set Aliases'!$A$2:$A$501&amp;CHAR(10),H966)),0)),"")))</f>
        <v/>
      </c>
      <c r="J966" s="80" t="str">
        <f t="array" ref="J966">IF(I966="","",IFERROR(VALUE(TRIM(MID(SUBSTITUTE(INDEX('Deck 3'!$A:$Z,ROW()-750,'List Setup'!$G$5),CHAR(10),REPT(" ",100)),((SEARCH(CHAR(10)&amp;I966&amp;CHAR(10),H966)-LEN(SUBSTITUTE(LEFT(H966,SEARCH(CHAR(10)&amp;I966&amp;CHAR(10),H966)),CHAR(10),"")))-1)*100+1,100))),""))</f>
        <v/>
      </c>
      <c r="K966" s="80" t="str">
        <f t="array" ref="K966">IF(A966="","",IF(ISNUMBER(SEARCH("Land",LEFT(IFERROR(INDEX('Deck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66" s="80" t="str">
        <f t="shared" si="3"/>
        <v/>
      </c>
      <c r="M966" s="80" t="str">
        <f>IF(A966="","",IF(AND(E966="Y",B966='Use at Shop'!$B$4),K966*10000000000+(MAX(0,MIN(26,CODE(MID(UPPER(A966)&amp;"    ",1,1))-64))*19683+MAX(0,MIN(26,CODE(MID(UPPER(A966)&amp;"    ",2,1))-64))*729+MAX(0,MIN(26,CODE(MID(UPPER(A966)&amp;"    ",3,1))-64))*27+MAX(0,MIN(26,CODE(MID(UPPER(A966)&amp;"    ",4,1))-64))*1)*10000+ROW(),""))</f>
        <v/>
      </c>
      <c r="N966" s="80" t="str">
        <f t="shared" si="7"/>
        <v/>
      </c>
      <c r="O966" s="80" t="str">
        <f t="array" ref="O966">IF(A966="","",IFERROR(INDEX('Deck 3'!$A:$Z,ROW()-750,'List Setup'!$J$5)&amp;"",""))</f>
        <v/>
      </c>
      <c r="P966" s="2"/>
      <c r="Q966" s="80" t="str">
        <f>IF(A966="","",'List Setup'!$A$5)</f>
        <v/>
      </c>
      <c r="R966" s="80" t="str">
        <f t="array" ref="R966">IF(A966="","",IFERROR(OR(INDEX(Binders!$J$6:$J$30,MATCH(Q966,Binders!$I$6:$I$30,0))=TRUE(),UPPER(INDEX(Binders!$J$6:$J$30,MATCH(Q966,Binders!$I$6:$I$30,0))&amp;"")="TRUE"),FALSE()))</f>
        <v/>
      </c>
    </row>
    <row r="967" ht="15.75" customHeight="1">
      <c r="A967" s="80" t="str">
        <f t="array" ref="A967">IF(INDEX('Deck 3'!$A:$Z,ROW()-750,'List Setup'!$D$5)="","",INDEX('Deck 3'!$A:$Z,ROW()-750,'List Setup'!$D$5))</f>
        <v/>
      </c>
      <c r="B967" s="80" t="str">
        <f t="array" ref="B967">IF(A967="","",IFERROR(INDEX('Binder Setup'!$B$2:$B$401,MIN(IF(ISNUMBER(SEARCH(CHAR(10)&amp;'Binder Setup'!$B$2:$B$401&amp;CHAR(10),$H967)),'List Setup'!$Q$2:$Q$401,999),IF(ISNUMBER(SEARCH(CHAR(10)&amp;'Set Aliases'!$A$2:$A$501&amp;CHAR(10),$H967)),'Set Aliases'!$C$2:$C$501,999))),"(none)"))</f>
        <v/>
      </c>
      <c r="C967" s="80" t="str">
        <f t="shared" si="1"/>
        <v/>
      </c>
      <c r="D967" s="80" t="str">
        <f t="array" ref="D967">IF(A967="","",IF(ISLOGICAL(INDEX('Deck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67" s="80" t="str">
        <f t="shared" si="2"/>
        <v/>
      </c>
      <c r="F967" s="80" t="str">
        <f t="array" ref="F967">IF(A967="","",IF(ISNUMBER(J967),J967,IF(ISNUMBER(INDEX('Deck 3'!$A:$Z,ROW()-750,'List Setup'!$F$5)),INDEX('Deck 3'!$A:$Z,ROW()-750,'List Setup'!$F$5),0)))</f>
        <v/>
      </c>
      <c r="G967" s="80" t="str">
        <f t="array" ref="G967">IF(A967="","",A967&amp;IF(N(INDEX('Deck 3'!$A:$Z,ROW()-750,'List Setup'!$C$5))&gt;1," (x"&amp;INDEX('Deck 3'!$A:$Z,ROW()-750,'List Setup'!$C$5)&amp;")","")&amp;IF(COUNTIF(Binders!$J$6:$J$30,TRUE())&gt;1," ["&amp;Q967&amp;"]",""))</f>
        <v/>
      </c>
      <c r="H967" s="80" t="str">
        <f t="array" ref="H967">IF(A967="","",CHAR(10)&amp;INDEX('Deck 3'!$A:$Z,ROW()-750,'List Setup'!$E$5)&amp;CHAR(10))</f>
        <v/>
      </c>
      <c r="I967" s="80" t="str">
        <f t="array" ref="I967">IF(OR(B967="",B967="(none)"),"",IF(ISNUMBER(SEARCH(CHAR(10)&amp;B967&amp;CHAR(10),H967)),B967,IFERROR(INDEX('Set Aliases'!$A$2:$A$501,MATCH(1,('Set Aliases'!$B$2:$B$501=B967)*ISNUMBER(SEARCH(CHAR(10)&amp;'Set Aliases'!$A$2:$A$501&amp;CHAR(10),H967)),0)),"")))</f>
        <v/>
      </c>
      <c r="J967" s="80" t="str">
        <f t="array" ref="J967">IF(I967="","",IFERROR(VALUE(TRIM(MID(SUBSTITUTE(INDEX('Deck 3'!$A:$Z,ROW()-750,'List Setup'!$G$5),CHAR(10),REPT(" ",100)),((SEARCH(CHAR(10)&amp;I967&amp;CHAR(10),H967)-LEN(SUBSTITUTE(LEFT(H967,SEARCH(CHAR(10)&amp;I967&amp;CHAR(10),H967)),CHAR(10),"")))-1)*100+1,100))),""))</f>
        <v/>
      </c>
      <c r="K967" s="80" t="str">
        <f t="array" ref="K967">IF(A967="","",IF(ISNUMBER(SEARCH("Land",LEFT(IFERROR(INDEX('Deck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67" s="80" t="str">
        <f t="shared" si="3"/>
        <v/>
      </c>
      <c r="M967" s="80" t="str">
        <f>IF(A967="","",IF(AND(E967="Y",B967='Use at Shop'!$B$4),K967*10000000000+(MAX(0,MIN(26,CODE(MID(UPPER(A967)&amp;"    ",1,1))-64))*19683+MAX(0,MIN(26,CODE(MID(UPPER(A967)&amp;"    ",2,1))-64))*729+MAX(0,MIN(26,CODE(MID(UPPER(A967)&amp;"    ",3,1))-64))*27+MAX(0,MIN(26,CODE(MID(UPPER(A967)&amp;"    ",4,1))-64))*1)*10000+ROW(),""))</f>
        <v/>
      </c>
      <c r="N967" s="80" t="str">
        <f t="shared" si="7"/>
        <v/>
      </c>
      <c r="O967" s="80" t="str">
        <f t="array" ref="O967">IF(A967="","",IFERROR(INDEX('Deck 3'!$A:$Z,ROW()-750,'List Setup'!$J$5)&amp;"",""))</f>
        <v/>
      </c>
      <c r="P967" s="2"/>
      <c r="Q967" s="80" t="str">
        <f>IF(A967="","",'List Setup'!$A$5)</f>
        <v/>
      </c>
      <c r="R967" s="80" t="str">
        <f t="array" ref="R967">IF(A967="","",IFERROR(OR(INDEX(Binders!$J$6:$J$30,MATCH(Q967,Binders!$I$6:$I$30,0))=TRUE(),UPPER(INDEX(Binders!$J$6:$J$30,MATCH(Q967,Binders!$I$6:$I$30,0))&amp;"")="TRUE"),FALSE()))</f>
        <v/>
      </c>
    </row>
    <row r="968" ht="15.75" customHeight="1">
      <c r="A968" s="80" t="str">
        <f t="array" ref="A968">IF(INDEX('Deck 3'!$A:$Z,ROW()-750,'List Setup'!$D$5)="","",INDEX('Deck 3'!$A:$Z,ROW()-750,'List Setup'!$D$5))</f>
        <v/>
      </c>
      <c r="B968" s="80" t="str">
        <f t="array" ref="B968">IF(A968="","",IFERROR(INDEX('Binder Setup'!$B$2:$B$401,MIN(IF(ISNUMBER(SEARCH(CHAR(10)&amp;'Binder Setup'!$B$2:$B$401&amp;CHAR(10),$H968)),'List Setup'!$Q$2:$Q$401,999),IF(ISNUMBER(SEARCH(CHAR(10)&amp;'Set Aliases'!$A$2:$A$501&amp;CHAR(10),$H968)),'Set Aliases'!$C$2:$C$501,999))),"(none)"))</f>
        <v/>
      </c>
      <c r="C968" s="80" t="str">
        <f t="shared" si="1"/>
        <v/>
      </c>
      <c r="D968" s="80" t="str">
        <f t="array" ref="D968">IF(A968="","",IF(ISLOGICAL(INDEX('Deck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68" s="80" t="str">
        <f t="shared" si="2"/>
        <v/>
      </c>
      <c r="F968" s="80" t="str">
        <f t="array" ref="F968">IF(A968="","",IF(ISNUMBER(J968),J968,IF(ISNUMBER(INDEX('Deck 3'!$A:$Z,ROW()-750,'List Setup'!$F$5)),INDEX('Deck 3'!$A:$Z,ROW()-750,'List Setup'!$F$5),0)))</f>
        <v/>
      </c>
      <c r="G968" s="80" t="str">
        <f t="array" ref="G968">IF(A968="","",A968&amp;IF(N(INDEX('Deck 3'!$A:$Z,ROW()-750,'List Setup'!$C$5))&gt;1," (x"&amp;INDEX('Deck 3'!$A:$Z,ROW()-750,'List Setup'!$C$5)&amp;")","")&amp;IF(COUNTIF(Binders!$J$6:$J$30,TRUE())&gt;1," ["&amp;Q968&amp;"]",""))</f>
        <v/>
      </c>
      <c r="H968" s="80" t="str">
        <f t="array" ref="H968">IF(A968="","",CHAR(10)&amp;INDEX('Deck 3'!$A:$Z,ROW()-750,'List Setup'!$E$5)&amp;CHAR(10))</f>
        <v/>
      </c>
      <c r="I968" s="80" t="str">
        <f t="array" ref="I968">IF(OR(B968="",B968="(none)"),"",IF(ISNUMBER(SEARCH(CHAR(10)&amp;B968&amp;CHAR(10),H968)),B968,IFERROR(INDEX('Set Aliases'!$A$2:$A$501,MATCH(1,('Set Aliases'!$B$2:$B$501=B968)*ISNUMBER(SEARCH(CHAR(10)&amp;'Set Aliases'!$A$2:$A$501&amp;CHAR(10),H968)),0)),"")))</f>
        <v/>
      </c>
      <c r="J968" s="80" t="str">
        <f t="array" ref="J968">IF(I968="","",IFERROR(VALUE(TRIM(MID(SUBSTITUTE(INDEX('Deck 3'!$A:$Z,ROW()-750,'List Setup'!$G$5),CHAR(10),REPT(" ",100)),((SEARCH(CHAR(10)&amp;I968&amp;CHAR(10),H968)-LEN(SUBSTITUTE(LEFT(H968,SEARCH(CHAR(10)&amp;I968&amp;CHAR(10),H968)),CHAR(10),"")))-1)*100+1,100))),""))</f>
        <v/>
      </c>
      <c r="K968" s="80" t="str">
        <f t="array" ref="K968">IF(A968="","",IF(ISNUMBER(SEARCH("Land",LEFT(IFERROR(INDEX('Deck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68" s="80" t="str">
        <f t="shared" si="3"/>
        <v/>
      </c>
      <c r="M968" s="80" t="str">
        <f>IF(A968="","",IF(AND(E968="Y",B968='Use at Shop'!$B$4),K968*10000000000+(MAX(0,MIN(26,CODE(MID(UPPER(A968)&amp;"    ",1,1))-64))*19683+MAX(0,MIN(26,CODE(MID(UPPER(A968)&amp;"    ",2,1))-64))*729+MAX(0,MIN(26,CODE(MID(UPPER(A968)&amp;"    ",3,1))-64))*27+MAX(0,MIN(26,CODE(MID(UPPER(A968)&amp;"    ",4,1))-64))*1)*10000+ROW(),""))</f>
        <v/>
      </c>
      <c r="N968" s="80" t="str">
        <f t="shared" si="7"/>
        <v/>
      </c>
      <c r="O968" s="80" t="str">
        <f t="array" ref="O968">IF(A968="","",IFERROR(INDEX('Deck 3'!$A:$Z,ROW()-750,'List Setup'!$J$5)&amp;"",""))</f>
        <v/>
      </c>
      <c r="P968" s="2"/>
      <c r="Q968" s="80" t="str">
        <f>IF(A968="","",'List Setup'!$A$5)</f>
        <v/>
      </c>
      <c r="R968" s="80" t="str">
        <f t="array" ref="R968">IF(A968="","",IFERROR(OR(INDEX(Binders!$J$6:$J$30,MATCH(Q968,Binders!$I$6:$I$30,0))=TRUE(),UPPER(INDEX(Binders!$J$6:$J$30,MATCH(Q968,Binders!$I$6:$I$30,0))&amp;"")="TRUE"),FALSE()))</f>
        <v/>
      </c>
    </row>
    <row r="969" ht="15.75" customHeight="1">
      <c r="A969" s="80" t="str">
        <f t="array" ref="A969">IF(INDEX('Deck 3'!$A:$Z,ROW()-750,'List Setup'!$D$5)="","",INDEX('Deck 3'!$A:$Z,ROW()-750,'List Setup'!$D$5))</f>
        <v/>
      </c>
      <c r="B969" s="80" t="str">
        <f t="array" ref="B969">IF(A969="","",IFERROR(INDEX('Binder Setup'!$B$2:$B$401,MIN(IF(ISNUMBER(SEARCH(CHAR(10)&amp;'Binder Setup'!$B$2:$B$401&amp;CHAR(10),$H969)),'List Setup'!$Q$2:$Q$401,999),IF(ISNUMBER(SEARCH(CHAR(10)&amp;'Set Aliases'!$A$2:$A$501&amp;CHAR(10),$H969)),'Set Aliases'!$C$2:$C$501,999))),"(none)"))</f>
        <v/>
      </c>
      <c r="C969" s="80" t="str">
        <f t="shared" si="1"/>
        <v/>
      </c>
      <c r="D969" s="80" t="str">
        <f t="array" ref="D969">IF(A969="","",IF(ISLOGICAL(INDEX('Deck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69" s="80" t="str">
        <f t="shared" si="2"/>
        <v/>
      </c>
      <c r="F969" s="80" t="str">
        <f t="array" ref="F969">IF(A969="","",IF(ISNUMBER(J969),J969,IF(ISNUMBER(INDEX('Deck 3'!$A:$Z,ROW()-750,'List Setup'!$F$5)),INDEX('Deck 3'!$A:$Z,ROW()-750,'List Setup'!$F$5),0)))</f>
        <v/>
      </c>
      <c r="G969" s="80" t="str">
        <f t="array" ref="G969">IF(A969="","",A969&amp;IF(N(INDEX('Deck 3'!$A:$Z,ROW()-750,'List Setup'!$C$5))&gt;1," (x"&amp;INDEX('Deck 3'!$A:$Z,ROW()-750,'List Setup'!$C$5)&amp;")","")&amp;IF(COUNTIF(Binders!$J$6:$J$30,TRUE())&gt;1," ["&amp;Q969&amp;"]",""))</f>
        <v/>
      </c>
      <c r="H969" s="80" t="str">
        <f t="array" ref="H969">IF(A969="","",CHAR(10)&amp;INDEX('Deck 3'!$A:$Z,ROW()-750,'List Setup'!$E$5)&amp;CHAR(10))</f>
        <v/>
      </c>
      <c r="I969" s="80" t="str">
        <f t="array" ref="I969">IF(OR(B969="",B969="(none)"),"",IF(ISNUMBER(SEARCH(CHAR(10)&amp;B969&amp;CHAR(10),H969)),B969,IFERROR(INDEX('Set Aliases'!$A$2:$A$501,MATCH(1,('Set Aliases'!$B$2:$B$501=B969)*ISNUMBER(SEARCH(CHAR(10)&amp;'Set Aliases'!$A$2:$A$501&amp;CHAR(10),H969)),0)),"")))</f>
        <v/>
      </c>
      <c r="J969" s="80" t="str">
        <f t="array" ref="J969">IF(I969="","",IFERROR(VALUE(TRIM(MID(SUBSTITUTE(INDEX('Deck 3'!$A:$Z,ROW()-750,'List Setup'!$G$5),CHAR(10),REPT(" ",100)),((SEARCH(CHAR(10)&amp;I969&amp;CHAR(10),H969)-LEN(SUBSTITUTE(LEFT(H969,SEARCH(CHAR(10)&amp;I969&amp;CHAR(10),H969)),CHAR(10),"")))-1)*100+1,100))),""))</f>
        <v/>
      </c>
      <c r="K969" s="80" t="str">
        <f t="array" ref="K969">IF(A969="","",IF(ISNUMBER(SEARCH("Land",LEFT(IFERROR(INDEX('Deck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69" s="80" t="str">
        <f t="shared" si="3"/>
        <v/>
      </c>
      <c r="M969" s="80" t="str">
        <f>IF(A969="","",IF(AND(E969="Y",B969='Use at Shop'!$B$4),K969*10000000000+(MAX(0,MIN(26,CODE(MID(UPPER(A969)&amp;"    ",1,1))-64))*19683+MAX(0,MIN(26,CODE(MID(UPPER(A969)&amp;"    ",2,1))-64))*729+MAX(0,MIN(26,CODE(MID(UPPER(A969)&amp;"    ",3,1))-64))*27+MAX(0,MIN(26,CODE(MID(UPPER(A969)&amp;"    ",4,1))-64))*1)*10000+ROW(),""))</f>
        <v/>
      </c>
      <c r="N969" s="80" t="str">
        <f t="shared" si="7"/>
        <v/>
      </c>
      <c r="O969" s="80" t="str">
        <f t="array" ref="O969">IF(A969="","",IFERROR(INDEX('Deck 3'!$A:$Z,ROW()-750,'List Setup'!$J$5)&amp;"",""))</f>
        <v/>
      </c>
      <c r="P969" s="2"/>
      <c r="Q969" s="80" t="str">
        <f>IF(A969="","",'List Setup'!$A$5)</f>
        <v/>
      </c>
      <c r="R969" s="80" t="str">
        <f t="array" ref="R969">IF(A969="","",IFERROR(OR(INDEX(Binders!$J$6:$J$30,MATCH(Q969,Binders!$I$6:$I$30,0))=TRUE(),UPPER(INDEX(Binders!$J$6:$J$30,MATCH(Q969,Binders!$I$6:$I$30,0))&amp;"")="TRUE"),FALSE()))</f>
        <v/>
      </c>
    </row>
    <row r="970" ht="15.75" customHeight="1">
      <c r="A970" s="80" t="str">
        <f t="array" ref="A970">IF(INDEX('Deck 3'!$A:$Z,ROW()-750,'List Setup'!$D$5)="","",INDEX('Deck 3'!$A:$Z,ROW()-750,'List Setup'!$D$5))</f>
        <v/>
      </c>
      <c r="B970" s="80" t="str">
        <f t="array" ref="B970">IF(A970="","",IFERROR(INDEX('Binder Setup'!$B$2:$B$401,MIN(IF(ISNUMBER(SEARCH(CHAR(10)&amp;'Binder Setup'!$B$2:$B$401&amp;CHAR(10),$H970)),'List Setup'!$Q$2:$Q$401,999),IF(ISNUMBER(SEARCH(CHAR(10)&amp;'Set Aliases'!$A$2:$A$501&amp;CHAR(10),$H970)),'Set Aliases'!$C$2:$C$501,999))),"(none)"))</f>
        <v/>
      </c>
      <c r="C970" s="80" t="str">
        <f t="shared" si="1"/>
        <v/>
      </c>
      <c r="D970" s="80" t="str">
        <f t="array" ref="D970">IF(A970="","",IF(ISLOGICAL(INDEX('Deck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70" s="80" t="str">
        <f t="shared" si="2"/>
        <v/>
      </c>
      <c r="F970" s="80" t="str">
        <f t="array" ref="F970">IF(A970="","",IF(ISNUMBER(J970),J970,IF(ISNUMBER(INDEX('Deck 3'!$A:$Z,ROW()-750,'List Setup'!$F$5)),INDEX('Deck 3'!$A:$Z,ROW()-750,'List Setup'!$F$5),0)))</f>
        <v/>
      </c>
      <c r="G970" s="80" t="str">
        <f t="array" ref="G970">IF(A970="","",A970&amp;IF(N(INDEX('Deck 3'!$A:$Z,ROW()-750,'List Setup'!$C$5))&gt;1," (x"&amp;INDEX('Deck 3'!$A:$Z,ROW()-750,'List Setup'!$C$5)&amp;")","")&amp;IF(COUNTIF(Binders!$J$6:$J$30,TRUE())&gt;1," ["&amp;Q970&amp;"]",""))</f>
        <v/>
      </c>
      <c r="H970" s="80" t="str">
        <f t="array" ref="H970">IF(A970="","",CHAR(10)&amp;INDEX('Deck 3'!$A:$Z,ROW()-750,'List Setup'!$E$5)&amp;CHAR(10))</f>
        <v/>
      </c>
      <c r="I970" s="80" t="str">
        <f t="array" ref="I970">IF(OR(B970="",B970="(none)"),"",IF(ISNUMBER(SEARCH(CHAR(10)&amp;B970&amp;CHAR(10),H970)),B970,IFERROR(INDEX('Set Aliases'!$A$2:$A$501,MATCH(1,('Set Aliases'!$B$2:$B$501=B970)*ISNUMBER(SEARCH(CHAR(10)&amp;'Set Aliases'!$A$2:$A$501&amp;CHAR(10),H970)),0)),"")))</f>
        <v/>
      </c>
      <c r="J970" s="80" t="str">
        <f t="array" ref="J970">IF(I970="","",IFERROR(VALUE(TRIM(MID(SUBSTITUTE(INDEX('Deck 3'!$A:$Z,ROW()-750,'List Setup'!$G$5),CHAR(10),REPT(" ",100)),((SEARCH(CHAR(10)&amp;I970&amp;CHAR(10),H970)-LEN(SUBSTITUTE(LEFT(H970,SEARCH(CHAR(10)&amp;I970&amp;CHAR(10),H970)),CHAR(10),"")))-1)*100+1,100))),""))</f>
        <v/>
      </c>
      <c r="K970" s="80" t="str">
        <f t="array" ref="K970">IF(A970="","",IF(ISNUMBER(SEARCH("Land",LEFT(IFERROR(INDEX('Deck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70" s="80" t="str">
        <f t="shared" si="3"/>
        <v/>
      </c>
      <c r="M970" s="80" t="str">
        <f>IF(A970="","",IF(AND(E970="Y",B970='Use at Shop'!$B$4),K970*10000000000+(MAX(0,MIN(26,CODE(MID(UPPER(A970)&amp;"    ",1,1))-64))*19683+MAX(0,MIN(26,CODE(MID(UPPER(A970)&amp;"    ",2,1))-64))*729+MAX(0,MIN(26,CODE(MID(UPPER(A970)&amp;"    ",3,1))-64))*27+MAX(0,MIN(26,CODE(MID(UPPER(A970)&amp;"    ",4,1))-64))*1)*10000+ROW(),""))</f>
        <v/>
      </c>
      <c r="N970" s="80" t="str">
        <f t="shared" si="7"/>
        <v/>
      </c>
      <c r="O970" s="80" t="str">
        <f t="array" ref="O970">IF(A970="","",IFERROR(INDEX('Deck 3'!$A:$Z,ROW()-750,'List Setup'!$J$5)&amp;"",""))</f>
        <v/>
      </c>
      <c r="P970" s="2"/>
      <c r="Q970" s="80" t="str">
        <f>IF(A970="","",'List Setup'!$A$5)</f>
        <v/>
      </c>
      <c r="R970" s="80" t="str">
        <f t="array" ref="R970">IF(A970="","",IFERROR(OR(INDEX(Binders!$J$6:$J$30,MATCH(Q970,Binders!$I$6:$I$30,0))=TRUE(),UPPER(INDEX(Binders!$J$6:$J$30,MATCH(Q970,Binders!$I$6:$I$30,0))&amp;"")="TRUE"),FALSE()))</f>
        <v/>
      </c>
    </row>
    <row r="971" ht="15.75" customHeight="1">
      <c r="A971" s="80" t="str">
        <f t="array" ref="A971">IF(INDEX('Deck 3'!$A:$Z,ROW()-750,'List Setup'!$D$5)="","",INDEX('Deck 3'!$A:$Z,ROW()-750,'List Setup'!$D$5))</f>
        <v/>
      </c>
      <c r="B971" s="80" t="str">
        <f t="array" ref="B971">IF(A971="","",IFERROR(INDEX('Binder Setup'!$B$2:$B$401,MIN(IF(ISNUMBER(SEARCH(CHAR(10)&amp;'Binder Setup'!$B$2:$B$401&amp;CHAR(10),$H971)),'List Setup'!$Q$2:$Q$401,999),IF(ISNUMBER(SEARCH(CHAR(10)&amp;'Set Aliases'!$A$2:$A$501&amp;CHAR(10),$H971)),'Set Aliases'!$C$2:$C$501,999))),"(none)"))</f>
        <v/>
      </c>
      <c r="C971" s="80" t="str">
        <f t="shared" si="1"/>
        <v/>
      </c>
      <c r="D971" s="80" t="str">
        <f t="array" ref="D971">IF(A971="","",IF(ISLOGICAL(INDEX('Deck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71" s="80" t="str">
        <f t="shared" si="2"/>
        <v/>
      </c>
      <c r="F971" s="80" t="str">
        <f t="array" ref="F971">IF(A971="","",IF(ISNUMBER(J971),J971,IF(ISNUMBER(INDEX('Deck 3'!$A:$Z,ROW()-750,'List Setup'!$F$5)),INDEX('Deck 3'!$A:$Z,ROW()-750,'List Setup'!$F$5),0)))</f>
        <v/>
      </c>
      <c r="G971" s="80" t="str">
        <f t="array" ref="G971">IF(A971="","",A971&amp;IF(N(INDEX('Deck 3'!$A:$Z,ROW()-750,'List Setup'!$C$5))&gt;1," (x"&amp;INDEX('Deck 3'!$A:$Z,ROW()-750,'List Setup'!$C$5)&amp;")","")&amp;IF(COUNTIF(Binders!$J$6:$J$30,TRUE())&gt;1," ["&amp;Q971&amp;"]",""))</f>
        <v/>
      </c>
      <c r="H971" s="80" t="str">
        <f t="array" ref="H971">IF(A971="","",CHAR(10)&amp;INDEX('Deck 3'!$A:$Z,ROW()-750,'List Setup'!$E$5)&amp;CHAR(10))</f>
        <v/>
      </c>
      <c r="I971" s="80" t="str">
        <f t="array" ref="I971">IF(OR(B971="",B971="(none)"),"",IF(ISNUMBER(SEARCH(CHAR(10)&amp;B971&amp;CHAR(10),H971)),B971,IFERROR(INDEX('Set Aliases'!$A$2:$A$501,MATCH(1,('Set Aliases'!$B$2:$B$501=B971)*ISNUMBER(SEARCH(CHAR(10)&amp;'Set Aliases'!$A$2:$A$501&amp;CHAR(10),H971)),0)),"")))</f>
        <v/>
      </c>
      <c r="J971" s="80" t="str">
        <f t="array" ref="J971">IF(I971="","",IFERROR(VALUE(TRIM(MID(SUBSTITUTE(INDEX('Deck 3'!$A:$Z,ROW()-750,'List Setup'!$G$5),CHAR(10),REPT(" ",100)),((SEARCH(CHAR(10)&amp;I971&amp;CHAR(10),H971)-LEN(SUBSTITUTE(LEFT(H971,SEARCH(CHAR(10)&amp;I971&amp;CHAR(10),H971)),CHAR(10),"")))-1)*100+1,100))),""))</f>
        <v/>
      </c>
      <c r="K971" s="80" t="str">
        <f t="array" ref="K971">IF(A971="","",IF(ISNUMBER(SEARCH("Land",LEFT(IFERROR(INDEX('Deck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71" s="80" t="str">
        <f t="shared" si="3"/>
        <v/>
      </c>
      <c r="M971" s="80" t="str">
        <f>IF(A971="","",IF(AND(E971="Y",B971='Use at Shop'!$B$4),K971*10000000000+(MAX(0,MIN(26,CODE(MID(UPPER(A971)&amp;"    ",1,1))-64))*19683+MAX(0,MIN(26,CODE(MID(UPPER(A971)&amp;"    ",2,1))-64))*729+MAX(0,MIN(26,CODE(MID(UPPER(A971)&amp;"    ",3,1))-64))*27+MAX(0,MIN(26,CODE(MID(UPPER(A971)&amp;"    ",4,1))-64))*1)*10000+ROW(),""))</f>
        <v/>
      </c>
      <c r="N971" s="80" t="str">
        <f t="shared" si="7"/>
        <v/>
      </c>
      <c r="O971" s="80" t="str">
        <f t="array" ref="O971">IF(A971="","",IFERROR(INDEX('Deck 3'!$A:$Z,ROW()-750,'List Setup'!$J$5)&amp;"",""))</f>
        <v/>
      </c>
      <c r="P971" s="2"/>
      <c r="Q971" s="80" t="str">
        <f>IF(A971="","",'List Setup'!$A$5)</f>
        <v/>
      </c>
      <c r="R971" s="80" t="str">
        <f t="array" ref="R971">IF(A971="","",IFERROR(OR(INDEX(Binders!$J$6:$J$30,MATCH(Q971,Binders!$I$6:$I$30,0))=TRUE(),UPPER(INDEX(Binders!$J$6:$J$30,MATCH(Q971,Binders!$I$6:$I$30,0))&amp;"")="TRUE"),FALSE()))</f>
        <v/>
      </c>
    </row>
    <row r="972" ht="15.75" customHeight="1">
      <c r="A972" s="80" t="str">
        <f t="array" ref="A972">IF(INDEX('Deck 3'!$A:$Z,ROW()-750,'List Setup'!$D$5)="","",INDEX('Deck 3'!$A:$Z,ROW()-750,'List Setup'!$D$5))</f>
        <v/>
      </c>
      <c r="B972" s="80" t="str">
        <f t="array" ref="B972">IF(A972="","",IFERROR(INDEX('Binder Setup'!$B$2:$B$401,MIN(IF(ISNUMBER(SEARCH(CHAR(10)&amp;'Binder Setup'!$B$2:$B$401&amp;CHAR(10),$H972)),'List Setup'!$Q$2:$Q$401,999),IF(ISNUMBER(SEARCH(CHAR(10)&amp;'Set Aliases'!$A$2:$A$501&amp;CHAR(10),$H972)),'Set Aliases'!$C$2:$C$501,999))),"(none)"))</f>
        <v/>
      </c>
      <c r="C972" s="80" t="str">
        <f t="shared" si="1"/>
        <v/>
      </c>
      <c r="D972" s="80" t="str">
        <f t="array" ref="D972">IF(A972="","",IF(ISLOGICAL(INDEX('Deck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72" s="80" t="str">
        <f t="shared" si="2"/>
        <v/>
      </c>
      <c r="F972" s="80" t="str">
        <f t="array" ref="F972">IF(A972="","",IF(ISNUMBER(J972),J972,IF(ISNUMBER(INDEX('Deck 3'!$A:$Z,ROW()-750,'List Setup'!$F$5)),INDEX('Deck 3'!$A:$Z,ROW()-750,'List Setup'!$F$5),0)))</f>
        <v/>
      </c>
      <c r="G972" s="80" t="str">
        <f t="array" ref="G972">IF(A972="","",A972&amp;IF(N(INDEX('Deck 3'!$A:$Z,ROW()-750,'List Setup'!$C$5))&gt;1," (x"&amp;INDEX('Deck 3'!$A:$Z,ROW()-750,'List Setup'!$C$5)&amp;")","")&amp;IF(COUNTIF(Binders!$J$6:$J$30,TRUE())&gt;1," ["&amp;Q972&amp;"]",""))</f>
        <v/>
      </c>
      <c r="H972" s="80" t="str">
        <f t="array" ref="H972">IF(A972="","",CHAR(10)&amp;INDEX('Deck 3'!$A:$Z,ROW()-750,'List Setup'!$E$5)&amp;CHAR(10))</f>
        <v/>
      </c>
      <c r="I972" s="80" t="str">
        <f t="array" ref="I972">IF(OR(B972="",B972="(none)"),"",IF(ISNUMBER(SEARCH(CHAR(10)&amp;B972&amp;CHAR(10),H972)),B972,IFERROR(INDEX('Set Aliases'!$A$2:$A$501,MATCH(1,('Set Aliases'!$B$2:$B$501=B972)*ISNUMBER(SEARCH(CHAR(10)&amp;'Set Aliases'!$A$2:$A$501&amp;CHAR(10),H972)),0)),"")))</f>
        <v/>
      </c>
      <c r="J972" s="80" t="str">
        <f t="array" ref="J972">IF(I972="","",IFERROR(VALUE(TRIM(MID(SUBSTITUTE(INDEX('Deck 3'!$A:$Z,ROW()-750,'List Setup'!$G$5),CHAR(10),REPT(" ",100)),((SEARCH(CHAR(10)&amp;I972&amp;CHAR(10),H972)-LEN(SUBSTITUTE(LEFT(H972,SEARCH(CHAR(10)&amp;I972&amp;CHAR(10),H972)),CHAR(10),"")))-1)*100+1,100))),""))</f>
        <v/>
      </c>
      <c r="K972" s="80" t="str">
        <f t="array" ref="K972">IF(A972="","",IF(ISNUMBER(SEARCH("Land",LEFT(IFERROR(INDEX('Deck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72" s="80" t="str">
        <f t="shared" si="3"/>
        <v/>
      </c>
      <c r="M972" s="80" t="str">
        <f>IF(A972="","",IF(AND(E972="Y",B972='Use at Shop'!$B$4),K972*10000000000+(MAX(0,MIN(26,CODE(MID(UPPER(A972)&amp;"    ",1,1))-64))*19683+MAX(0,MIN(26,CODE(MID(UPPER(A972)&amp;"    ",2,1))-64))*729+MAX(0,MIN(26,CODE(MID(UPPER(A972)&amp;"    ",3,1))-64))*27+MAX(0,MIN(26,CODE(MID(UPPER(A972)&amp;"    ",4,1))-64))*1)*10000+ROW(),""))</f>
        <v/>
      </c>
      <c r="N972" s="80" t="str">
        <f t="shared" si="7"/>
        <v/>
      </c>
      <c r="O972" s="80" t="str">
        <f t="array" ref="O972">IF(A972="","",IFERROR(INDEX('Deck 3'!$A:$Z,ROW()-750,'List Setup'!$J$5)&amp;"",""))</f>
        <v/>
      </c>
      <c r="P972" s="2"/>
      <c r="Q972" s="80" t="str">
        <f>IF(A972="","",'List Setup'!$A$5)</f>
        <v/>
      </c>
      <c r="R972" s="80" t="str">
        <f t="array" ref="R972">IF(A972="","",IFERROR(OR(INDEX(Binders!$J$6:$J$30,MATCH(Q972,Binders!$I$6:$I$30,0))=TRUE(),UPPER(INDEX(Binders!$J$6:$J$30,MATCH(Q972,Binders!$I$6:$I$30,0))&amp;"")="TRUE"),FALSE()))</f>
        <v/>
      </c>
    </row>
    <row r="973" ht="15.75" customHeight="1">
      <c r="A973" s="80" t="str">
        <f t="array" ref="A973">IF(INDEX('Deck 3'!$A:$Z,ROW()-750,'List Setup'!$D$5)="","",INDEX('Deck 3'!$A:$Z,ROW()-750,'List Setup'!$D$5))</f>
        <v/>
      </c>
      <c r="B973" s="80" t="str">
        <f t="array" ref="B973">IF(A973="","",IFERROR(INDEX('Binder Setup'!$B$2:$B$401,MIN(IF(ISNUMBER(SEARCH(CHAR(10)&amp;'Binder Setup'!$B$2:$B$401&amp;CHAR(10),$H973)),'List Setup'!$Q$2:$Q$401,999),IF(ISNUMBER(SEARCH(CHAR(10)&amp;'Set Aliases'!$A$2:$A$501&amp;CHAR(10),$H973)),'Set Aliases'!$C$2:$C$501,999))),"(none)"))</f>
        <v/>
      </c>
      <c r="C973" s="80" t="str">
        <f t="shared" si="1"/>
        <v/>
      </c>
      <c r="D973" s="80" t="str">
        <f t="array" ref="D973">IF(A973="","",IF(ISLOGICAL(INDEX('Deck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73" s="80" t="str">
        <f t="shared" si="2"/>
        <v/>
      </c>
      <c r="F973" s="80" t="str">
        <f t="array" ref="F973">IF(A973="","",IF(ISNUMBER(J973),J973,IF(ISNUMBER(INDEX('Deck 3'!$A:$Z,ROW()-750,'List Setup'!$F$5)),INDEX('Deck 3'!$A:$Z,ROW()-750,'List Setup'!$F$5),0)))</f>
        <v/>
      </c>
      <c r="G973" s="80" t="str">
        <f t="array" ref="G973">IF(A973="","",A973&amp;IF(N(INDEX('Deck 3'!$A:$Z,ROW()-750,'List Setup'!$C$5))&gt;1," (x"&amp;INDEX('Deck 3'!$A:$Z,ROW()-750,'List Setup'!$C$5)&amp;")","")&amp;IF(COUNTIF(Binders!$J$6:$J$30,TRUE())&gt;1," ["&amp;Q973&amp;"]",""))</f>
        <v/>
      </c>
      <c r="H973" s="80" t="str">
        <f t="array" ref="H973">IF(A973="","",CHAR(10)&amp;INDEX('Deck 3'!$A:$Z,ROW()-750,'List Setup'!$E$5)&amp;CHAR(10))</f>
        <v/>
      </c>
      <c r="I973" s="80" t="str">
        <f t="array" ref="I973">IF(OR(B973="",B973="(none)"),"",IF(ISNUMBER(SEARCH(CHAR(10)&amp;B973&amp;CHAR(10),H973)),B973,IFERROR(INDEX('Set Aliases'!$A$2:$A$501,MATCH(1,('Set Aliases'!$B$2:$B$501=B973)*ISNUMBER(SEARCH(CHAR(10)&amp;'Set Aliases'!$A$2:$A$501&amp;CHAR(10),H973)),0)),"")))</f>
        <v/>
      </c>
      <c r="J973" s="80" t="str">
        <f t="array" ref="J973">IF(I973="","",IFERROR(VALUE(TRIM(MID(SUBSTITUTE(INDEX('Deck 3'!$A:$Z,ROW()-750,'List Setup'!$G$5),CHAR(10),REPT(" ",100)),((SEARCH(CHAR(10)&amp;I973&amp;CHAR(10),H973)-LEN(SUBSTITUTE(LEFT(H973,SEARCH(CHAR(10)&amp;I973&amp;CHAR(10),H973)),CHAR(10),"")))-1)*100+1,100))),""))</f>
        <v/>
      </c>
      <c r="K973" s="80" t="str">
        <f t="array" ref="K973">IF(A973="","",IF(ISNUMBER(SEARCH("Land",LEFT(IFERROR(INDEX('Deck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73" s="80" t="str">
        <f t="shared" si="3"/>
        <v/>
      </c>
      <c r="M973" s="80" t="str">
        <f>IF(A973="","",IF(AND(E973="Y",B973='Use at Shop'!$B$4),K973*10000000000+(MAX(0,MIN(26,CODE(MID(UPPER(A973)&amp;"    ",1,1))-64))*19683+MAX(0,MIN(26,CODE(MID(UPPER(A973)&amp;"    ",2,1))-64))*729+MAX(0,MIN(26,CODE(MID(UPPER(A973)&amp;"    ",3,1))-64))*27+MAX(0,MIN(26,CODE(MID(UPPER(A973)&amp;"    ",4,1))-64))*1)*10000+ROW(),""))</f>
        <v/>
      </c>
      <c r="N973" s="80" t="str">
        <f t="shared" si="7"/>
        <v/>
      </c>
      <c r="O973" s="80" t="str">
        <f t="array" ref="O973">IF(A973="","",IFERROR(INDEX('Deck 3'!$A:$Z,ROW()-750,'List Setup'!$J$5)&amp;"",""))</f>
        <v/>
      </c>
      <c r="P973" s="2"/>
      <c r="Q973" s="80" t="str">
        <f>IF(A973="","",'List Setup'!$A$5)</f>
        <v/>
      </c>
      <c r="R973" s="80" t="str">
        <f t="array" ref="R973">IF(A973="","",IFERROR(OR(INDEX(Binders!$J$6:$J$30,MATCH(Q973,Binders!$I$6:$I$30,0))=TRUE(),UPPER(INDEX(Binders!$J$6:$J$30,MATCH(Q973,Binders!$I$6:$I$30,0))&amp;"")="TRUE"),FALSE()))</f>
        <v/>
      </c>
    </row>
    <row r="974" ht="15.75" customHeight="1">
      <c r="A974" s="80" t="str">
        <f t="array" ref="A974">IF(INDEX('Deck 3'!$A:$Z,ROW()-750,'List Setup'!$D$5)="","",INDEX('Deck 3'!$A:$Z,ROW()-750,'List Setup'!$D$5))</f>
        <v/>
      </c>
      <c r="B974" s="80" t="str">
        <f t="array" ref="B974">IF(A974="","",IFERROR(INDEX('Binder Setup'!$B$2:$B$401,MIN(IF(ISNUMBER(SEARCH(CHAR(10)&amp;'Binder Setup'!$B$2:$B$401&amp;CHAR(10),$H974)),'List Setup'!$Q$2:$Q$401,999),IF(ISNUMBER(SEARCH(CHAR(10)&amp;'Set Aliases'!$A$2:$A$501&amp;CHAR(10),$H974)),'Set Aliases'!$C$2:$C$501,999))),"(none)"))</f>
        <v/>
      </c>
      <c r="C974" s="80" t="str">
        <f t="shared" si="1"/>
        <v/>
      </c>
      <c r="D974" s="80" t="str">
        <f t="array" ref="D974">IF(A974="","",IF(ISLOGICAL(INDEX('Deck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74" s="80" t="str">
        <f t="shared" si="2"/>
        <v/>
      </c>
      <c r="F974" s="80" t="str">
        <f t="array" ref="F974">IF(A974="","",IF(ISNUMBER(J974),J974,IF(ISNUMBER(INDEX('Deck 3'!$A:$Z,ROW()-750,'List Setup'!$F$5)),INDEX('Deck 3'!$A:$Z,ROW()-750,'List Setup'!$F$5),0)))</f>
        <v/>
      </c>
      <c r="G974" s="80" t="str">
        <f t="array" ref="G974">IF(A974="","",A974&amp;IF(N(INDEX('Deck 3'!$A:$Z,ROW()-750,'List Setup'!$C$5))&gt;1," (x"&amp;INDEX('Deck 3'!$A:$Z,ROW()-750,'List Setup'!$C$5)&amp;")","")&amp;IF(COUNTIF(Binders!$J$6:$J$30,TRUE())&gt;1," ["&amp;Q974&amp;"]",""))</f>
        <v/>
      </c>
      <c r="H974" s="80" t="str">
        <f t="array" ref="H974">IF(A974="","",CHAR(10)&amp;INDEX('Deck 3'!$A:$Z,ROW()-750,'List Setup'!$E$5)&amp;CHAR(10))</f>
        <v/>
      </c>
      <c r="I974" s="80" t="str">
        <f t="array" ref="I974">IF(OR(B974="",B974="(none)"),"",IF(ISNUMBER(SEARCH(CHAR(10)&amp;B974&amp;CHAR(10),H974)),B974,IFERROR(INDEX('Set Aliases'!$A$2:$A$501,MATCH(1,('Set Aliases'!$B$2:$B$501=B974)*ISNUMBER(SEARCH(CHAR(10)&amp;'Set Aliases'!$A$2:$A$501&amp;CHAR(10),H974)),0)),"")))</f>
        <v/>
      </c>
      <c r="J974" s="80" t="str">
        <f t="array" ref="J974">IF(I974="","",IFERROR(VALUE(TRIM(MID(SUBSTITUTE(INDEX('Deck 3'!$A:$Z,ROW()-750,'List Setup'!$G$5),CHAR(10),REPT(" ",100)),((SEARCH(CHAR(10)&amp;I974&amp;CHAR(10),H974)-LEN(SUBSTITUTE(LEFT(H974,SEARCH(CHAR(10)&amp;I974&amp;CHAR(10),H974)),CHAR(10),"")))-1)*100+1,100))),""))</f>
        <v/>
      </c>
      <c r="K974" s="80" t="str">
        <f t="array" ref="K974">IF(A974="","",IF(ISNUMBER(SEARCH("Land",LEFT(IFERROR(INDEX('Deck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74" s="80" t="str">
        <f t="shared" si="3"/>
        <v/>
      </c>
      <c r="M974" s="80" t="str">
        <f>IF(A974="","",IF(AND(E974="Y",B974='Use at Shop'!$B$4),K974*10000000000+(MAX(0,MIN(26,CODE(MID(UPPER(A974)&amp;"    ",1,1))-64))*19683+MAX(0,MIN(26,CODE(MID(UPPER(A974)&amp;"    ",2,1))-64))*729+MAX(0,MIN(26,CODE(MID(UPPER(A974)&amp;"    ",3,1))-64))*27+MAX(0,MIN(26,CODE(MID(UPPER(A974)&amp;"    ",4,1))-64))*1)*10000+ROW(),""))</f>
        <v/>
      </c>
      <c r="N974" s="80" t="str">
        <f t="shared" si="7"/>
        <v/>
      </c>
      <c r="O974" s="80" t="str">
        <f t="array" ref="O974">IF(A974="","",IFERROR(INDEX('Deck 3'!$A:$Z,ROW()-750,'List Setup'!$J$5)&amp;"",""))</f>
        <v/>
      </c>
      <c r="P974" s="2"/>
      <c r="Q974" s="80" t="str">
        <f>IF(A974="","",'List Setup'!$A$5)</f>
        <v/>
      </c>
      <c r="R974" s="80" t="str">
        <f t="array" ref="R974">IF(A974="","",IFERROR(OR(INDEX(Binders!$J$6:$J$30,MATCH(Q974,Binders!$I$6:$I$30,0))=TRUE(),UPPER(INDEX(Binders!$J$6:$J$30,MATCH(Q974,Binders!$I$6:$I$30,0))&amp;"")="TRUE"),FALSE()))</f>
        <v/>
      </c>
    </row>
    <row r="975" ht="15.75" customHeight="1">
      <c r="A975" s="80" t="str">
        <f t="array" ref="A975">IF(INDEX('Deck 3'!$A:$Z,ROW()-750,'List Setup'!$D$5)="","",INDEX('Deck 3'!$A:$Z,ROW()-750,'List Setup'!$D$5))</f>
        <v/>
      </c>
      <c r="B975" s="80" t="str">
        <f t="array" ref="B975">IF(A975="","",IFERROR(INDEX('Binder Setup'!$B$2:$B$401,MIN(IF(ISNUMBER(SEARCH(CHAR(10)&amp;'Binder Setup'!$B$2:$B$401&amp;CHAR(10),$H975)),'List Setup'!$Q$2:$Q$401,999),IF(ISNUMBER(SEARCH(CHAR(10)&amp;'Set Aliases'!$A$2:$A$501&amp;CHAR(10),$H975)),'Set Aliases'!$C$2:$C$501,999))),"(none)"))</f>
        <v/>
      </c>
      <c r="C975" s="80" t="str">
        <f t="shared" si="1"/>
        <v/>
      </c>
      <c r="D975" s="80" t="str">
        <f t="array" ref="D975">IF(A975="","",IF(ISLOGICAL(INDEX('Deck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75" s="80" t="str">
        <f t="shared" si="2"/>
        <v/>
      </c>
      <c r="F975" s="80" t="str">
        <f t="array" ref="F975">IF(A975="","",IF(ISNUMBER(J975),J975,IF(ISNUMBER(INDEX('Deck 3'!$A:$Z,ROW()-750,'List Setup'!$F$5)),INDEX('Deck 3'!$A:$Z,ROW()-750,'List Setup'!$F$5),0)))</f>
        <v/>
      </c>
      <c r="G975" s="80" t="str">
        <f t="array" ref="G975">IF(A975="","",A975&amp;IF(N(INDEX('Deck 3'!$A:$Z,ROW()-750,'List Setup'!$C$5))&gt;1," (x"&amp;INDEX('Deck 3'!$A:$Z,ROW()-750,'List Setup'!$C$5)&amp;")","")&amp;IF(COUNTIF(Binders!$J$6:$J$30,TRUE())&gt;1," ["&amp;Q975&amp;"]",""))</f>
        <v/>
      </c>
      <c r="H975" s="80" t="str">
        <f t="array" ref="H975">IF(A975="","",CHAR(10)&amp;INDEX('Deck 3'!$A:$Z,ROW()-750,'List Setup'!$E$5)&amp;CHAR(10))</f>
        <v/>
      </c>
      <c r="I975" s="80" t="str">
        <f t="array" ref="I975">IF(OR(B975="",B975="(none)"),"",IF(ISNUMBER(SEARCH(CHAR(10)&amp;B975&amp;CHAR(10),H975)),B975,IFERROR(INDEX('Set Aliases'!$A$2:$A$501,MATCH(1,('Set Aliases'!$B$2:$B$501=B975)*ISNUMBER(SEARCH(CHAR(10)&amp;'Set Aliases'!$A$2:$A$501&amp;CHAR(10),H975)),0)),"")))</f>
        <v/>
      </c>
      <c r="J975" s="80" t="str">
        <f t="array" ref="J975">IF(I975="","",IFERROR(VALUE(TRIM(MID(SUBSTITUTE(INDEX('Deck 3'!$A:$Z,ROW()-750,'List Setup'!$G$5),CHAR(10),REPT(" ",100)),((SEARCH(CHAR(10)&amp;I975&amp;CHAR(10),H975)-LEN(SUBSTITUTE(LEFT(H975,SEARCH(CHAR(10)&amp;I975&amp;CHAR(10),H975)),CHAR(10),"")))-1)*100+1,100))),""))</f>
        <v/>
      </c>
      <c r="K975" s="80" t="str">
        <f t="array" ref="K975">IF(A975="","",IF(ISNUMBER(SEARCH("Land",LEFT(IFERROR(INDEX('Deck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75" s="80" t="str">
        <f t="shared" si="3"/>
        <v/>
      </c>
      <c r="M975" s="80" t="str">
        <f>IF(A975="","",IF(AND(E975="Y",B975='Use at Shop'!$B$4),K975*10000000000+(MAX(0,MIN(26,CODE(MID(UPPER(A975)&amp;"    ",1,1))-64))*19683+MAX(0,MIN(26,CODE(MID(UPPER(A975)&amp;"    ",2,1))-64))*729+MAX(0,MIN(26,CODE(MID(UPPER(A975)&amp;"    ",3,1))-64))*27+MAX(0,MIN(26,CODE(MID(UPPER(A975)&amp;"    ",4,1))-64))*1)*10000+ROW(),""))</f>
        <v/>
      </c>
      <c r="N975" s="80" t="str">
        <f t="shared" si="7"/>
        <v/>
      </c>
      <c r="O975" s="80" t="str">
        <f t="array" ref="O975">IF(A975="","",IFERROR(INDEX('Deck 3'!$A:$Z,ROW()-750,'List Setup'!$J$5)&amp;"",""))</f>
        <v/>
      </c>
      <c r="P975" s="2"/>
      <c r="Q975" s="80" t="str">
        <f>IF(A975="","",'List Setup'!$A$5)</f>
        <v/>
      </c>
      <c r="R975" s="80" t="str">
        <f t="array" ref="R975">IF(A975="","",IFERROR(OR(INDEX(Binders!$J$6:$J$30,MATCH(Q975,Binders!$I$6:$I$30,0))=TRUE(),UPPER(INDEX(Binders!$J$6:$J$30,MATCH(Q975,Binders!$I$6:$I$30,0))&amp;"")="TRUE"),FALSE()))</f>
        <v/>
      </c>
    </row>
    <row r="976" ht="15.75" customHeight="1">
      <c r="A976" s="80" t="str">
        <f t="array" ref="A976">IF(INDEX('Deck 3'!$A:$Z,ROW()-750,'List Setup'!$D$5)="","",INDEX('Deck 3'!$A:$Z,ROW()-750,'List Setup'!$D$5))</f>
        <v/>
      </c>
      <c r="B976" s="80" t="str">
        <f t="array" ref="B976">IF(A976="","",IFERROR(INDEX('Binder Setup'!$B$2:$B$401,MIN(IF(ISNUMBER(SEARCH(CHAR(10)&amp;'Binder Setup'!$B$2:$B$401&amp;CHAR(10),$H976)),'List Setup'!$Q$2:$Q$401,999),IF(ISNUMBER(SEARCH(CHAR(10)&amp;'Set Aliases'!$A$2:$A$501&amp;CHAR(10),$H976)),'Set Aliases'!$C$2:$C$501,999))),"(none)"))</f>
        <v/>
      </c>
      <c r="C976" s="80" t="str">
        <f t="shared" si="1"/>
        <v/>
      </c>
      <c r="D976" s="80" t="str">
        <f t="array" ref="D976">IF(A976="","",IF(ISLOGICAL(INDEX('Deck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76" s="80" t="str">
        <f t="shared" si="2"/>
        <v/>
      </c>
      <c r="F976" s="80" t="str">
        <f t="array" ref="F976">IF(A976="","",IF(ISNUMBER(J976),J976,IF(ISNUMBER(INDEX('Deck 3'!$A:$Z,ROW()-750,'List Setup'!$F$5)),INDEX('Deck 3'!$A:$Z,ROW()-750,'List Setup'!$F$5),0)))</f>
        <v/>
      </c>
      <c r="G976" s="80" t="str">
        <f t="array" ref="G976">IF(A976="","",A976&amp;IF(N(INDEX('Deck 3'!$A:$Z,ROW()-750,'List Setup'!$C$5))&gt;1," (x"&amp;INDEX('Deck 3'!$A:$Z,ROW()-750,'List Setup'!$C$5)&amp;")","")&amp;IF(COUNTIF(Binders!$J$6:$J$30,TRUE())&gt;1," ["&amp;Q976&amp;"]",""))</f>
        <v/>
      </c>
      <c r="H976" s="80" t="str">
        <f t="array" ref="H976">IF(A976="","",CHAR(10)&amp;INDEX('Deck 3'!$A:$Z,ROW()-750,'List Setup'!$E$5)&amp;CHAR(10))</f>
        <v/>
      </c>
      <c r="I976" s="80" t="str">
        <f t="array" ref="I976">IF(OR(B976="",B976="(none)"),"",IF(ISNUMBER(SEARCH(CHAR(10)&amp;B976&amp;CHAR(10),H976)),B976,IFERROR(INDEX('Set Aliases'!$A$2:$A$501,MATCH(1,('Set Aliases'!$B$2:$B$501=B976)*ISNUMBER(SEARCH(CHAR(10)&amp;'Set Aliases'!$A$2:$A$501&amp;CHAR(10),H976)),0)),"")))</f>
        <v/>
      </c>
      <c r="J976" s="80" t="str">
        <f t="array" ref="J976">IF(I976="","",IFERROR(VALUE(TRIM(MID(SUBSTITUTE(INDEX('Deck 3'!$A:$Z,ROW()-750,'List Setup'!$G$5),CHAR(10),REPT(" ",100)),((SEARCH(CHAR(10)&amp;I976&amp;CHAR(10),H976)-LEN(SUBSTITUTE(LEFT(H976,SEARCH(CHAR(10)&amp;I976&amp;CHAR(10),H976)),CHAR(10),"")))-1)*100+1,100))),""))</f>
        <v/>
      </c>
      <c r="K976" s="80" t="str">
        <f t="array" ref="K976">IF(A976="","",IF(ISNUMBER(SEARCH("Land",LEFT(IFERROR(INDEX('Deck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76" s="80" t="str">
        <f t="shared" si="3"/>
        <v/>
      </c>
      <c r="M976" s="80" t="str">
        <f>IF(A976="","",IF(AND(E976="Y",B976='Use at Shop'!$B$4),K976*10000000000+(MAX(0,MIN(26,CODE(MID(UPPER(A976)&amp;"    ",1,1))-64))*19683+MAX(0,MIN(26,CODE(MID(UPPER(A976)&amp;"    ",2,1))-64))*729+MAX(0,MIN(26,CODE(MID(UPPER(A976)&amp;"    ",3,1))-64))*27+MAX(0,MIN(26,CODE(MID(UPPER(A976)&amp;"    ",4,1))-64))*1)*10000+ROW(),""))</f>
        <v/>
      </c>
      <c r="N976" s="80" t="str">
        <f t="shared" si="7"/>
        <v/>
      </c>
      <c r="O976" s="80" t="str">
        <f t="array" ref="O976">IF(A976="","",IFERROR(INDEX('Deck 3'!$A:$Z,ROW()-750,'List Setup'!$J$5)&amp;"",""))</f>
        <v/>
      </c>
      <c r="P976" s="2"/>
      <c r="Q976" s="80" t="str">
        <f>IF(A976="","",'List Setup'!$A$5)</f>
        <v/>
      </c>
      <c r="R976" s="80" t="str">
        <f t="array" ref="R976">IF(A976="","",IFERROR(OR(INDEX(Binders!$J$6:$J$30,MATCH(Q976,Binders!$I$6:$I$30,0))=TRUE(),UPPER(INDEX(Binders!$J$6:$J$30,MATCH(Q976,Binders!$I$6:$I$30,0))&amp;"")="TRUE"),FALSE()))</f>
        <v/>
      </c>
    </row>
    <row r="977" ht="15.75" customHeight="1">
      <c r="A977" s="80" t="str">
        <f t="array" ref="A977">IF(INDEX('Deck 3'!$A:$Z,ROW()-750,'List Setup'!$D$5)="","",INDEX('Deck 3'!$A:$Z,ROW()-750,'List Setup'!$D$5))</f>
        <v/>
      </c>
      <c r="B977" s="80" t="str">
        <f t="array" ref="B977">IF(A977="","",IFERROR(INDEX('Binder Setup'!$B$2:$B$401,MIN(IF(ISNUMBER(SEARCH(CHAR(10)&amp;'Binder Setup'!$B$2:$B$401&amp;CHAR(10),$H977)),'List Setup'!$Q$2:$Q$401,999),IF(ISNUMBER(SEARCH(CHAR(10)&amp;'Set Aliases'!$A$2:$A$501&amp;CHAR(10),$H977)),'Set Aliases'!$C$2:$C$501,999))),"(none)"))</f>
        <v/>
      </c>
      <c r="C977" s="80" t="str">
        <f t="shared" si="1"/>
        <v/>
      </c>
      <c r="D977" s="80" t="str">
        <f t="array" ref="D977">IF(A977="","",IF(ISLOGICAL(INDEX('Deck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77" s="80" t="str">
        <f t="shared" si="2"/>
        <v/>
      </c>
      <c r="F977" s="80" t="str">
        <f t="array" ref="F977">IF(A977="","",IF(ISNUMBER(J977),J977,IF(ISNUMBER(INDEX('Deck 3'!$A:$Z,ROW()-750,'List Setup'!$F$5)),INDEX('Deck 3'!$A:$Z,ROW()-750,'List Setup'!$F$5),0)))</f>
        <v/>
      </c>
      <c r="G977" s="80" t="str">
        <f t="array" ref="G977">IF(A977="","",A977&amp;IF(N(INDEX('Deck 3'!$A:$Z,ROW()-750,'List Setup'!$C$5))&gt;1," (x"&amp;INDEX('Deck 3'!$A:$Z,ROW()-750,'List Setup'!$C$5)&amp;")","")&amp;IF(COUNTIF(Binders!$J$6:$J$30,TRUE())&gt;1," ["&amp;Q977&amp;"]",""))</f>
        <v/>
      </c>
      <c r="H977" s="80" t="str">
        <f t="array" ref="H977">IF(A977="","",CHAR(10)&amp;INDEX('Deck 3'!$A:$Z,ROW()-750,'List Setup'!$E$5)&amp;CHAR(10))</f>
        <v/>
      </c>
      <c r="I977" s="80" t="str">
        <f t="array" ref="I977">IF(OR(B977="",B977="(none)"),"",IF(ISNUMBER(SEARCH(CHAR(10)&amp;B977&amp;CHAR(10),H977)),B977,IFERROR(INDEX('Set Aliases'!$A$2:$A$501,MATCH(1,('Set Aliases'!$B$2:$B$501=B977)*ISNUMBER(SEARCH(CHAR(10)&amp;'Set Aliases'!$A$2:$A$501&amp;CHAR(10),H977)),0)),"")))</f>
        <v/>
      </c>
      <c r="J977" s="80" t="str">
        <f t="array" ref="J977">IF(I977="","",IFERROR(VALUE(TRIM(MID(SUBSTITUTE(INDEX('Deck 3'!$A:$Z,ROW()-750,'List Setup'!$G$5),CHAR(10),REPT(" ",100)),((SEARCH(CHAR(10)&amp;I977&amp;CHAR(10),H977)-LEN(SUBSTITUTE(LEFT(H977,SEARCH(CHAR(10)&amp;I977&amp;CHAR(10),H977)),CHAR(10),"")))-1)*100+1,100))),""))</f>
        <v/>
      </c>
      <c r="K977" s="80" t="str">
        <f t="array" ref="K977">IF(A977="","",IF(ISNUMBER(SEARCH("Land",LEFT(IFERROR(INDEX('Deck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77" s="80" t="str">
        <f t="shared" si="3"/>
        <v/>
      </c>
      <c r="M977" s="80" t="str">
        <f>IF(A977="","",IF(AND(E977="Y",B977='Use at Shop'!$B$4),K977*10000000000+(MAX(0,MIN(26,CODE(MID(UPPER(A977)&amp;"    ",1,1))-64))*19683+MAX(0,MIN(26,CODE(MID(UPPER(A977)&amp;"    ",2,1))-64))*729+MAX(0,MIN(26,CODE(MID(UPPER(A977)&amp;"    ",3,1))-64))*27+MAX(0,MIN(26,CODE(MID(UPPER(A977)&amp;"    ",4,1))-64))*1)*10000+ROW(),""))</f>
        <v/>
      </c>
      <c r="N977" s="80" t="str">
        <f t="shared" si="7"/>
        <v/>
      </c>
      <c r="O977" s="80" t="str">
        <f t="array" ref="O977">IF(A977="","",IFERROR(INDEX('Deck 3'!$A:$Z,ROW()-750,'List Setup'!$J$5)&amp;"",""))</f>
        <v/>
      </c>
      <c r="P977" s="2"/>
      <c r="Q977" s="80" t="str">
        <f>IF(A977="","",'List Setup'!$A$5)</f>
        <v/>
      </c>
      <c r="R977" s="80" t="str">
        <f t="array" ref="R977">IF(A977="","",IFERROR(OR(INDEX(Binders!$J$6:$J$30,MATCH(Q977,Binders!$I$6:$I$30,0))=TRUE(),UPPER(INDEX(Binders!$J$6:$J$30,MATCH(Q977,Binders!$I$6:$I$30,0))&amp;"")="TRUE"),FALSE()))</f>
        <v/>
      </c>
    </row>
    <row r="978" ht="15.75" customHeight="1">
      <c r="A978" s="80" t="str">
        <f t="array" ref="A978">IF(INDEX('Deck 3'!$A:$Z,ROW()-750,'List Setup'!$D$5)="","",INDEX('Deck 3'!$A:$Z,ROW()-750,'List Setup'!$D$5))</f>
        <v/>
      </c>
      <c r="B978" s="80" t="str">
        <f t="array" ref="B978">IF(A978="","",IFERROR(INDEX('Binder Setup'!$B$2:$B$401,MIN(IF(ISNUMBER(SEARCH(CHAR(10)&amp;'Binder Setup'!$B$2:$B$401&amp;CHAR(10),$H978)),'List Setup'!$Q$2:$Q$401,999),IF(ISNUMBER(SEARCH(CHAR(10)&amp;'Set Aliases'!$A$2:$A$501&amp;CHAR(10),$H978)),'Set Aliases'!$C$2:$C$501,999))),"(none)"))</f>
        <v/>
      </c>
      <c r="C978" s="80" t="str">
        <f t="shared" si="1"/>
        <v/>
      </c>
      <c r="D978" s="80" t="str">
        <f t="array" ref="D978">IF(A978="","",IF(ISLOGICAL(INDEX('Deck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78" s="80" t="str">
        <f t="shared" si="2"/>
        <v/>
      </c>
      <c r="F978" s="80" t="str">
        <f t="array" ref="F978">IF(A978="","",IF(ISNUMBER(J978),J978,IF(ISNUMBER(INDEX('Deck 3'!$A:$Z,ROW()-750,'List Setup'!$F$5)),INDEX('Deck 3'!$A:$Z,ROW()-750,'List Setup'!$F$5),0)))</f>
        <v/>
      </c>
      <c r="G978" s="80" t="str">
        <f t="array" ref="G978">IF(A978="","",A978&amp;IF(N(INDEX('Deck 3'!$A:$Z,ROW()-750,'List Setup'!$C$5))&gt;1," (x"&amp;INDEX('Deck 3'!$A:$Z,ROW()-750,'List Setup'!$C$5)&amp;")","")&amp;IF(COUNTIF(Binders!$J$6:$J$30,TRUE())&gt;1," ["&amp;Q978&amp;"]",""))</f>
        <v/>
      </c>
      <c r="H978" s="80" t="str">
        <f t="array" ref="H978">IF(A978="","",CHAR(10)&amp;INDEX('Deck 3'!$A:$Z,ROW()-750,'List Setup'!$E$5)&amp;CHAR(10))</f>
        <v/>
      </c>
      <c r="I978" s="80" t="str">
        <f t="array" ref="I978">IF(OR(B978="",B978="(none)"),"",IF(ISNUMBER(SEARCH(CHAR(10)&amp;B978&amp;CHAR(10),H978)),B978,IFERROR(INDEX('Set Aliases'!$A$2:$A$501,MATCH(1,('Set Aliases'!$B$2:$B$501=B978)*ISNUMBER(SEARCH(CHAR(10)&amp;'Set Aliases'!$A$2:$A$501&amp;CHAR(10),H978)),0)),"")))</f>
        <v/>
      </c>
      <c r="J978" s="80" t="str">
        <f t="array" ref="J978">IF(I978="","",IFERROR(VALUE(TRIM(MID(SUBSTITUTE(INDEX('Deck 3'!$A:$Z,ROW()-750,'List Setup'!$G$5),CHAR(10),REPT(" ",100)),((SEARCH(CHAR(10)&amp;I978&amp;CHAR(10),H978)-LEN(SUBSTITUTE(LEFT(H978,SEARCH(CHAR(10)&amp;I978&amp;CHAR(10),H978)),CHAR(10),"")))-1)*100+1,100))),""))</f>
        <v/>
      </c>
      <c r="K978" s="80" t="str">
        <f t="array" ref="K978">IF(A978="","",IF(ISNUMBER(SEARCH("Land",LEFT(IFERROR(INDEX('Deck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78" s="80" t="str">
        <f t="shared" si="3"/>
        <v/>
      </c>
      <c r="M978" s="80" t="str">
        <f>IF(A978="","",IF(AND(E978="Y",B978='Use at Shop'!$B$4),K978*10000000000+(MAX(0,MIN(26,CODE(MID(UPPER(A978)&amp;"    ",1,1))-64))*19683+MAX(0,MIN(26,CODE(MID(UPPER(A978)&amp;"    ",2,1))-64))*729+MAX(0,MIN(26,CODE(MID(UPPER(A978)&amp;"    ",3,1))-64))*27+MAX(0,MIN(26,CODE(MID(UPPER(A978)&amp;"    ",4,1))-64))*1)*10000+ROW(),""))</f>
        <v/>
      </c>
      <c r="N978" s="80" t="str">
        <f t="shared" si="7"/>
        <v/>
      </c>
      <c r="O978" s="80" t="str">
        <f t="array" ref="O978">IF(A978="","",IFERROR(INDEX('Deck 3'!$A:$Z,ROW()-750,'List Setup'!$J$5)&amp;"",""))</f>
        <v/>
      </c>
      <c r="P978" s="2"/>
      <c r="Q978" s="80" t="str">
        <f>IF(A978="","",'List Setup'!$A$5)</f>
        <v/>
      </c>
      <c r="R978" s="80" t="str">
        <f t="array" ref="R978">IF(A978="","",IFERROR(OR(INDEX(Binders!$J$6:$J$30,MATCH(Q978,Binders!$I$6:$I$30,0))=TRUE(),UPPER(INDEX(Binders!$J$6:$J$30,MATCH(Q978,Binders!$I$6:$I$30,0))&amp;"")="TRUE"),FALSE()))</f>
        <v/>
      </c>
    </row>
    <row r="979" ht="15.75" customHeight="1">
      <c r="A979" s="80" t="str">
        <f t="array" ref="A979">IF(INDEX('Deck 3'!$A:$Z,ROW()-750,'List Setup'!$D$5)="","",INDEX('Deck 3'!$A:$Z,ROW()-750,'List Setup'!$D$5))</f>
        <v/>
      </c>
      <c r="B979" s="80" t="str">
        <f t="array" ref="B979">IF(A979="","",IFERROR(INDEX('Binder Setup'!$B$2:$B$401,MIN(IF(ISNUMBER(SEARCH(CHAR(10)&amp;'Binder Setup'!$B$2:$B$401&amp;CHAR(10),$H979)),'List Setup'!$Q$2:$Q$401,999),IF(ISNUMBER(SEARCH(CHAR(10)&amp;'Set Aliases'!$A$2:$A$501&amp;CHAR(10),$H979)),'Set Aliases'!$C$2:$C$501,999))),"(none)"))</f>
        <v/>
      </c>
      <c r="C979" s="80" t="str">
        <f t="shared" si="1"/>
        <v/>
      </c>
      <c r="D979" s="80" t="str">
        <f t="array" ref="D979">IF(A979="","",IF(ISLOGICAL(INDEX('Deck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79" s="80" t="str">
        <f t="shared" si="2"/>
        <v/>
      </c>
      <c r="F979" s="80" t="str">
        <f t="array" ref="F979">IF(A979="","",IF(ISNUMBER(J979),J979,IF(ISNUMBER(INDEX('Deck 3'!$A:$Z,ROW()-750,'List Setup'!$F$5)),INDEX('Deck 3'!$A:$Z,ROW()-750,'List Setup'!$F$5),0)))</f>
        <v/>
      </c>
      <c r="G979" s="80" t="str">
        <f t="array" ref="G979">IF(A979="","",A979&amp;IF(N(INDEX('Deck 3'!$A:$Z,ROW()-750,'List Setup'!$C$5))&gt;1," (x"&amp;INDEX('Deck 3'!$A:$Z,ROW()-750,'List Setup'!$C$5)&amp;")","")&amp;IF(COUNTIF(Binders!$J$6:$J$30,TRUE())&gt;1," ["&amp;Q979&amp;"]",""))</f>
        <v/>
      </c>
      <c r="H979" s="80" t="str">
        <f t="array" ref="H979">IF(A979="","",CHAR(10)&amp;INDEX('Deck 3'!$A:$Z,ROW()-750,'List Setup'!$E$5)&amp;CHAR(10))</f>
        <v/>
      </c>
      <c r="I979" s="80" t="str">
        <f t="array" ref="I979">IF(OR(B979="",B979="(none)"),"",IF(ISNUMBER(SEARCH(CHAR(10)&amp;B979&amp;CHAR(10),H979)),B979,IFERROR(INDEX('Set Aliases'!$A$2:$A$501,MATCH(1,('Set Aliases'!$B$2:$B$501=B979)*ISNUMBER(SEARCH(CHAR(10)&amp;'Set Aliases'!$A$2:$A$501&amp;CHAR(10),H979)),0)),"")))</f>
        <v/>
      </c>
      <c r="J979" s="80" t="str">
        <f t="array" ref="J979">IF(I979="","",IFERROR(VALUE(TRIM(MID(SUBSTITUTE(INDEX('Deck 3'!$A:$Z,ROW()-750,'List Setup'!$G$5),CHAR(10),REPT(" ",100)),((SEARCH(CHAR(10)&amp;I979&amp;CHAR(10),H979)-LEN(SUBSTITUTE(LEFT(H979,SEARCH(CHAR(10)&amp;I979&amp;CHAR(10),H979)),CHAR(10),"")))-1)*100+1,100))),""))</f>
        <v/>
      </c>
      <c r="K979" s="80" t="str">
        <f t="array" ref="K979">IF(A979="","",IF(ISNUMBER(SEARCH("Land",LEFT(IFERROR(INDEX('Deck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79" s="80" t="str">
        <f t="shared" si="3"/>
        <v/>
      </c>
      <c r="M979" s="80" t="str">
        <f>IF(A979="","",IF(AND(E979="Y",B979='Use at Shop'!$B$4),K979*10000000000+(MAX(0,MIN(26,CODE(MID(UPPER(A979)&amp;"    ",1,1))-64))*19683+MAX(0,MIN(26,CODE(MID(UPPER(A979)&amp;"    ",2,1))-64))*729+MAX(0,MIN(26,CODE(MID(UPPER(A979)&amp;"    ",3,1))-64))*27+MAX(0,MIN(26,CODE(MID(UPPER(A979)&amp;"    ",4,1))-64))*1)*10000+ROW(),""))</f>
        <v/>
      </c>
      <c r="N979" s="80" t="str">
        <f t="shared" si="7"/>
        <v/>
      </c>
      <c r="O979" s="80" t="str">
        <f t="array" ref="O979">IF(A979="","",IFERROR(INDEX('Deck 3'!$A:$Z,ROW()-750,'List Setup'!$J$5)&amp;"",""))</f>
        <v/>
      </c>
      <c r="P979" s="2"/>
      <c r="Q979" s="80" t="str">
        <f>IF(A979="","",'List Setup'!$A$5)</f>
        <v/>
      </c>
      <c r="R979" s="80" t="str">
        <f t="array" ref="R979">IF(A979="","",IFERROR(OR(INDEX(Binders!$J$6:$J$30,MATCH(Q979,Binders!$I$6:$I$30,0))=TRUE(),UPPER(INDEX(Binders!$J$6:$J$30,MATCH(Q979,Binders!$I$6:$I$30,0))&amp;"")="TRUE"),FALSE()))</f>
        <v/>
      </c>
    </row>
    <row r="980" ht="15.75" customHeight="1">
      <c r="A980" s="80" t="str">
        <f t="array" ref="A980">IF(INDEX('Deck 3'!$A:$Z,ROW()-750,'List Setup'!$D$5)="","",INDEX('Deck 3'!$A:$Z,ROW()-750,'List Setup'!$D$5))</f>
        <v/>
      </c>
      <c r="B980" s="80" t="str">
        <f t="array" ref="B980">IF(A980="","",IFERROR(INDEX('Binder Setup'!$B$2:$B$401,MIN(IF(ISNUMBER(SEARCH(CHAR(10)&amp;'Binder Setup'!$B$2:$B$401&amp;CHAR(10),$H980)),'List Setup'!$Q$2:$Q$401,999),IF(ISNUMBER(SEARCH(CHAR(10)&amp;'Set Aliases'!$A$2:$A$501&amp;CHAR(10),$H980)),'Set Aliases'!$C$2:$C$501,999))),"(none)"))</f>
        <v/>
      </c>
      <c r="C980" s="80" t="str">
        <f t="shared" si="1"/>
        <v/>
      </c>
      <c r="D980" s="80" t="str">
        <f t="array" ref="D980">IF(A980="","",IF(ISLOGICAL(INDEX('Deck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80" s="80" t="str">
        <f t="shared" si="2"/>
        <v/>
      </c>
      <c r="F980" s="80" t="str">
        <f t="array" ref="F980">IF(A980="","",IF(ISNUMBER(J980),J980,IF(ISNUMBER(INDEX('Deck 3'!$A:$Z,ROW()-750,'List Setup'!$F$5)),INDEX('Deck 3'!$A:$Z,ROW()-750,'List Setup'!$F$5),0)))</f>
        <v/>
      </c>
      <c r="G980" s="80" t="str">
        <f t="array" ref="G980">IF(A980="","",A980&amp;IF(N(INDEX('Deck 3'!$A:$Z,ROW()-750,'List Setup'!$C$5))&gt;1," (x"&amp;INDEX('Deck 3'!$A:$Z,ROW()-750,'List Setup'!$C$5)&amp;")","")&amp;IF(COUNTIF(Binders!$J$6:$J$30,TRUE())&gt;1," ["&amp;Q980&amp;"]",""))</f>
        <v/>
      </c>
      <c r="H980" s="80" t="str">
        <f t="array" ref="H980">IF(A980="","",CHAR(10)&amp;INDEX('Deck 3'!$A:$Z,ROW()-750,'List Setup'!$E$5)&amp;CHAR(10))</f>
        <v/>
      </c>
      <c r="I980" s="80" t="str">
        <f t="array" ref="I980">IF(OR(B980="",B980="(none)"),"",IF(ISNUMBER(SEARCH(CHAR(10)&amp;B980&amp;CHAR(10),H980)),B980,IFERROR(INDEX('Set Aliases'!$A$2:$A$501,MATCH(1,('Set Aliases'!$B$2:$B$501=B980)*ISNUMBER(SEARCH(CHAR(10)&amp;'Set Aliases'!$A$2:$A$501&amp;CHAR(10),H980)),0)),"")))</f>
        <v/>
      </c>
      <c r="J980" s="80" t="str">
        <f t="array" ref="J980">IF(I980="","",IFERROR(VALUE(TRIM(MID(SUBSTITUTE(INDEX('Deck 3'!$A:$Z,ROW()-750,'List Setup'!$G$5),CHAR(10),REPT(" ",100)),((SEARCH(CHAR(10)&amp;I980&amp;CHAR(10),H980)-LEN(SUBSTITUTE(LEFT(H980,SEARCH(CHAR(10)&amp;I980&amp;CHAR(10),H980)),CHAR(10),"")))-1)*100+1,100))),""))</f>
        <v/>
      </c>
      <c r="K980" s="80" t="str">
        <f t="array" ref="K980">IF(A980="","",IF(ISNUMBER(SEARCH("Land",LEFT(IFERROR(INDEX('Deck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80" s="80" t="str">
        <f t="shared" si="3"/>
        <v/>
      </c>
      <c r="M980" s="80" t="str">
        <f>IF(A980="","",IF(AND(E980="Y",B980='Use at Shop'!$B$4),K980*10000000000+(MAX(0,MIN(26,CODE(MID(UPPER(A980)&amp;"    ",1,1))-64))*19683+MAX(0,MIN(26,CODE(MID(UPPER(A980)&amp;"    ",2,1))-64))*729+MAX(0,MIN(26,CODE(MID(UPPER(A980)&amp;"    ",3,1))-64))*27+MAX(0,MIN(26,CODE(MID(UPPER(A980)&amp;"    ",4,1))-64))*1)*10000+ROW(),""))</f>
        <v/>
      </c>
      <c r="N980" s="80" t="str">
        <f t="shared" si="7"/>
        <v/>
      </c>
      <c r="O980" s="80" t="str">
        <f t="array" ref="O980">IF(A980="","",IFERROR(INDEX('Deck 3'!$A:$Z,ROW()-750,'List Setup'!$J$5)&amp;"",""))</f>
        <v/>
      </c>
      <c r="P980" s="2"/>
      <c r="Q980" s="80" t="str">
        <f>IF(A980="","",'List Setup'!$A$5)</f>
        <v/>
      </c>
      <c r="R980" s="80" t="str">
        <f t="array" ref="R980">IF(A980="","",IFERROR(OR(INDEX(Binders!$J$6:$J$30,MATCH(Q980,Binders!$I$6:$I$30,0))=TRUE(),UPPER(INDEX(Binders!$J$6:$J$30,MATCH(Q980,Binders!$I$6:$I$30,0))&amp;"")="TRUE"),FALSE()))</f>
        <v/>
      </c>
    </row>
    <row r="981" ht="15.75" customHeight="1">
      <c r="A981" s="80" t="str">
        <f t="array" ref="A981">IF(INDEX('Deck 3'!$A:$Z,ROW()-750,'List Setup'!$D$5)="","",INDEX('Deck 3'!$A:$Z,ROW()-750,'List Setup'!$D$5))</f>
        <v/>
      </c>
      <c r="B981" s="80" t="str">
        <f t="array" ref="B981">IF(A981="","",IFERROR(INDEX('Binder Setup'!$B$2:$B$401,MIN(IF(ISNUMBER(SEARCH(CHAR(10)&amp;'Binder Setup'!$B$2:$B$401&amp;CHAR(10),$H981)),'List Setup'!$Q$2:$Q$401,999),IF(ISNUMBER(SEARCH(CHAR(10)&amp;'Set Aliases'!$A$2:$A$501&amp;CHAR(10),$H981)),'Set Aliases'!$C$2:$C$501,999))),"(none)"))</f>
        <v/>
      </c>
      <c r="C981" s="80" t="str">
        <f t="shared" si="1"/>
        <v/>
      </c>
      <c r="D981" s="80" t="str">
        <f t="array" ref="D981">IF(A981="","",IF(ISLOGICAL(INDEX('Deck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81" s="80" t="str">
        <f t="shared" si="2"/>
        <v/>
      </c>
      <c r="F981" s="80" t="str">
        <f t="array" ref="F981">IF(A981="","",IF(ISNUMBER(J981),J981,IF(ISNUMBER(INDEX('Deck 3'!$A:$Z,ROW()-750,'List Setup'!$F$5)),INDEX('Deck 3'!$A:$Z,ROW()-750,'List Setup'!$F$5),0)))</f>
        <v/>
      </c>
      <c r="G981" s="80" t="str">
        <f t="array" ref="G981">IF(A981="","",A981&amp;IF(N(INDEX('Deck 3'!$A:$Z,ROW()-750,'List Setup'!$C$5))&gt;1," (x"&amp;INDEX('Deck 3'!$A:$Z,ROW()-750,'List Setup'!$C$5)&amp;")","")&amp;IF(COUNTIF(Binders!$J$6:$J$30,TRUE())&gt;1," ["&amp;Q981&amp;"]",""))</f>
        <v/>
      </c>
      <c r="H981" s="80" t="str">
        <f t="array" ref="H981">IF(A981="","",CHAR(10)&amp;INDEX('Deck 3'!$A:$Z,ROW()-750,'List Setup'!$E$5)&amp;CHAR(10))</f>
        <v/>
      </c>
      <c r="I981" s="80" t="str">
        <f t="array" ref="I981">IF(OR(B981="",B981="(none)"),"",IF(ISNUMBER(SEARCH(CHAR(10)&amp;B981&amp;CHAR(10),H981)),B981,IFERROR(INDEX('Set Aliases'!$A$2:$A$501,MATCH(1,('Set Aliases'!$B$2:$B$501=B981)*ISNUMBER(SEARCH(CHAR(10)&amp;'Set Aliases'!$A$2:$A$501&amp;CHAR(10),H981)),0)),"")))</f>
        <v/>
      </c>
      <c r="J981" s="80" t="str">
        <f t="array" ref="J981">IF(I981="","",IFERROR(VALUE(TRIM(MID(SUBSTITUTE(INDEX('Deck 3'!$A:$Z,ROW()-750,'List Setup'!$G$5),CHAR(10),REPT(" ",100)),((SEARCH(CHAR(10)&amp;I981&amp;CHAR(10),H981)-LEN(SUBSTITUTE(LEFT(H981,SEARCH(CHAR(10)&amp;I981&amp;CHAR(10),H981)),CHAR(10),"")))-1)*100+1,100))),""))</f>
        <v/>
      </c>
      <c r="K981" s="80" t="str">
        <f t="array" ref="K981">IF(A981="","",IF(ISNUMBER(SEARCH("Land",LEFT(IFERROR(INDEX('Deck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81" s="80" t="str">
        <f t="shared" si="3"/>
        <v/>
      </c>
      <c r="M981" s="80" t="str">
        <f>IF(A981="","",IF(AND(E981="Y",B981='Use at Shop'!$B$4),K981*10000000000+(MAX(0,MIN(26,CODE(MID(UPPER(A981)&amp;"    ",1,1))-64))*19683+MAX(0,MIN(26,CODE(MID(UPPER(A981)&amp;"    ",2,1))-64))*729+MAX(0,MIN(26,CODE(MID(UPPER(A981)&amp;"    ",3,1))-64))*27+MAX(0,MIN(26,CODE(MID(UPPER(A981)&amp;"    ",4,1))-64))*1)*10000+ROW(),""))</f>
        <v/>
      </c>
      <c r="N981" s="80" t="str">
        <f t="shared" si="7"/>
        <v/>
      </c>
      <c r="O981" s="80" t="str">
        <f t="array" ref="O981">IF(A981="","",IFERROR(INDEX('Deck 3'!$A:$Z,ROW()-750,'List Setup'!$J$5)&amp;"",""))</f>
        <v/>
      </c>
      <c r="P981" s="2"/>
      <c r="Q981" s="80" t="str">
        <f>IF(A981="","",'List Setup'!$A$5)</f>
        <v/>
      </c>
      <c r="R981" s="80" t="str">
        <f t="array" ref="R981">IF(A981="","",IFERROR(OR(INDEX(Binders!$J$6:$J$30,MATCH(Q981,Binders!$I$6:$I$30,0))=TRUE(),UPPER(INDEX(Binders!$J$6:$J$30,MATCH(Q981,Binders!$I$6:$I$30,0))&amp;"")="TRUE"),FALSE()))</f>
        <v/>
      </c>
    </row>
    <row r="982" ht="15.75" customHeight="1">
      <c r="A982" s="80" t="str">
        <f t="array" ref="A982">IF(INDEX('Deck 3'!$A:$Z,ROW()-750,'List Setup'!$D$5)="","",INDEX('Deck 3'!$A:$Z,ROW()-750,'List Setup'!$D$5))</f>
        <v/>
      </c>
      <c r="B982" s="80" t="str">
        <f t="array" ref="B982">IF(A982="","",IFERROR(INDEX('Binder Setup'!$B$2:$B$401,MIN(IF(ISNUMBER(SEARCH(CHAR(10)&amp;'Binder Setup'!$B$2:$B$401&amp;CHAR(10),$H982)),'List Setup'!$Q$2:$Q$401,999),IF(ISNUMBER(SEARCH(CHAR(10)&amp;'Set Aliases'!$A$2:$A$501&amp;CHAR(10),$H982)),'Set Aliases'!$C$2:$C$501,999))),"(none)"))</f>
        <v/>
      </c>
      <c r="C982" s="80" t="str">
        <f t="shared" si="1"/>
        <v/>
      </c>
      <c r="D982" s="80" t="str">
        <f t="array" ref="D982">IF(A982="","",IF(ISLOGICAL(INDEX('Deck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82" s="80" t="str">
        <f t="shared" si="2"/>
        <v/>
      </c>
      <c r="F982" s="80" t="str">
        <f t="array" ref="F982">IF(A982="","",IF(ISNUMBER(J982),J982,IF(ISNUMBER(INDEX('Deck 3'!$A:$Z,ROW()-750,'List Setup'!$F$5)),INDEX('Deck 3'!$A:$Z,ROW()-750,'List Setup'!$F$5),0)))</f>
        <v/>
      </c>
      <c r="G982" s="80" t="str">
        <f t="array" ref="G982">IF(A982="","",A982&amp;IF(N(INDEX('Deck 3'!$A:$Z,ROW()-750,'List Setup'!$C$5))&gt;1," (x"&amp;INDEX('Deck 3'!$A:$Z,ROW()-750,'List Setup'!$C$5)&amp;")","")&amp;IF(COUNTIF(Binders!$J$6:$J$30,TRUE())&gt;1," ["&amp;Q982&amp;"]",""))</f>
        <v/>
      </c>
      <c r="H982" s="80" t="str">
        <f t="array" ref="H982">IF(A982="","",CHAR(10)&amp;INDEX('Deck 3'!$A:$Z,ROW()-750,'List Setup'!$E$5)&amp;CHAR(10))</f>
        <v/>
      </c>
      <c r="I982" s="80" t="str">
        <f t="array" ref="I982">IF(OR(B982="",B982="(none)"),"",IF(ISNUMBER(SEARCH(CHAR(10)&amp;B982&amp;CHAR(10),H982)),B982,IFERROR(INDEX('Set Aliases'!$A$2:$A$501,MATCH(1,('Set Aliases'!$B$2:$B$501=B982)*ISNUMBER(SEARCH(CHAR(10)&amp;'Set Aliases'!$A$2:$A$501&amp;CHAR(10),H982)),0)),"")))</f>
        <v/>
      </c>
      <c r="J982" s="80" t="str">
        <f t="array" ref="J982">IF(I982="","",IFERROR(VALUE(TRIM(MID(SUBSTITUTE(INDEX('Deck 3'!$A:$Z,ROW()-750,'List Setup'!$G$5),CHAR(10),REPT(" ",100)),((SEARCH(CHAR(10)&amp;I982&amp;CHAR(10),H982)-LEN(SUBSTITUTE(LEFT(H982,SEARCH(CHAR(10)&amp;I982&amp;CHAR(10),H982)),CHAR(10),"")))-1)*100+1,100))),""))</f>
        <v/>
      </c>
      <c r="K982" s="80" t="str">
        <f t="array" ref="K982">IF(A982="","",IF(ISNUMBER(SEARCH("Land",LEFT(IFERROR(INDEX('Deck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82" s="80" t="str">
        <f t="shared" si="3"/>
        <v/>
      </c>
      <c r="M982" s="80" t="str">
        <f>IF(A982="","",IF(AND(E982="Y",B982='Use at Shop'!$B$4),K982*10000000000+(MAX(0,MIN(26,CODE(MID(UPPER(A982)&amp;"    ",1,1))-64))*19683+MAX(0,MIN(26,CODE(MID(UPPER(A982)&amp;"    ",2,1))-64))*729+MAX(0,MIN(26,CODE(MID(UPPER(A982)&amp;"    ",3,1))-64))*27+MAX(0,MIN(26,CODE(MID(UPPER(A982)&amp;"    ",4,1))-64))*1)*10000+ROW(),""))</f>
        <v/>
      </c>
      <c r="N982" s="80" t="str">
        <f t="shared" si="7"/>
        <v/>
      </c>
      <c r="O982" s="80" t="str">
        <f t="array" ref="O982">IF(A982="","",IFERROR(INDEX('Deck 3'!$A:$Z,ROW()-750,'List Setup'!$J$5)&amp;"",""))</f>
        <v/>
      </c>
      <c r="P982" s="2"/>
      <c r="Q982" s="80" t="str">
        <f>IF(A982="","",'List Setup'!$A$5)</f>
        <v/>
      </c>
      <c r="R982" s="80" t="str">
        <f t="array" ref="R982">IF(A982="","",IFERROR(OR(INDEX(Binders!$J$6:$J$30,MATCH(Q982,Binders!$I$6:$I$30,0))=TRUE(),UPPER(INDEX(Binders!$J$6:$J$30,MATCH(Q982,Binders!$I$6:$I$30,0))&amp;"")="TRUE"),FALSE()))</f>
        <v/>
      </c>
    </row>
    <row r="983" ht="15.75" customHeight="1">
      <c r="A983" s="80" t="str">
        <f t="array" ref="A983">IF(INDEX('Deck 3'!$A:$Z,ROW()-750,'List Setup'!$D$5)="","",INDEX('Deck 3'!$A:$Z,ROW()-750,'List Setup'!$D$5))</f>
        <v/>
      </c>
      <c r="B983" s="80" t="str">
        <f t="array" ref="B983">IF(A983="","",IFERROR(INDEX('Binder Setup'!$B$2:$B$401,MIN(IF(ISNUMBER(SEARCH(CHAR(10)&amp;'Binder Setup'!$B$2:$B$401&amp;CHAR(10),$H983)),'List Setup'!$Q$2:$Q$401,999),IF(ISNUMBER(SEARCH(CHAR(10)&amp;'Set Aliases'!$A$2:$A$501&amp;CHAR(10),$H983)),'Set Aliases'!$C$2:$C$501,999))),"(none)"))</f>
        <v/>
      </c>
      <c r="C983" s="80" t="str">
        <f t="shared" si="1"/>
        <v/>
      </c>
      <c r="D983" s="80" t="str">
        <f t="array" ref="D983">IF(A983="","",IF(ISLOGICAL(INDEX('Deck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83" s="80" t="str">
        <f t="shared" si="2"/>
        <v/>
      </c>
      <c r="F983" s="80" t="str">
        <f t="array" ref="F983">IF(A983="","",IF(ISNUMBER(J983),J983,IF(ISNUMBER(INDEX('Deck 3'!$A:$Z,ROW()-750,'List Setup'!$F$5)),INDEX('Deck 3'!$A:$Z,ROW()-750,'List Setup'!$F$5),0)))</f>
        <v/>
      </c>
      <c r="G983" s="80" t="str">
        <f t="array" ref="G983">IF(A983="","",A983&amp;IF(N(INDEX('Deck 3'!$A:$Z,ROW()-750,'List Setup'!$C$5))&gt;1," (x"&amp;INDEX('Deck 3'!$A:$Z,ROW()-750,'List Setup'!$C$5)&amp;")","")&amp;IF(COUNTIF(Binders!$J$6:$J$30,TRUE())&gt;1," ["&amp;Q983&amp;"]",""))</f>
        <v/>
      </c>
      <c r="H983" s="80" t="str">
        <f t="array" ref="H983">IF(A983="","",CHAR(10)&amp;INDEX('Deck 3'!$A:$Z,ROW()-750,'List Setup'!$E$5)&amp;CHAR(10))</f>
        <v/>
      </c>
      <c r="I983" s="80" t="str">
        <f t="array" ref="I983">IF(OR(B983="",B983="(none)"),"",IF(ISNUMBER(SEARCH(CHAR(10)&amp;B983&amp;CHAR(10),H983)),B983,IFERROR(INDEX('Set Aliases'!$A$2:$A$501,MATCH(1,('Set Aliases'!$B$2:$B$501=B983)*ISNUMBER(SEARCH(CHAR(10)&amp;'Set Aliases'!$A$2:$A$501&amp;CHAR(10),H983)),0)),"")))</f>
        <v/>
      </c>
      <c r="J983" s="80" t="str">
        <f t="array" ref="J983">IF(I983="","",IFERROR(VALUE(TRIM(MID(SUBSTITUTE(INDEX('Deck 3'!$A:$Z,ROW()-750,'List Setup'!$G$5),CHAR(10),REPT(" ",100)),((SEARCH(CHAR(10)&amp;I983&amp;CHAR(10),H983)-LEN(SUBSTITUTE(LEFT(H983,SEARCH(CHAR(10)&amp;I983&amp;CHAR(10),H983)),CHAR(10),"")))-1)*100+1,100))),""))</f>
        <v/>
      </c>
      <c r="K983" s="80" t="str">
        <f t="array" ref="K983">IF(A983="","",IF(ISNUMBER(SEARCH("Land",LEFT(IFERROR(INDEX('Deck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83" s="80" t="str">
        <f t="shared" si="3"/>
        <v/>
      </c>
      <c r="M983" s="80" t="str">
        <f>IF(A983="","",IF(AND(E983="Y",B983='Use at Shop'!$B$4),K983*10000000000+(MAX(0,MIN(26,CODE(MID(UPPER(A983)&amp;"    ",1,1))-64))*19683+MAX(0,MIN(26,CODE(MID(UPPER(A983)&amp;"    ",2,1))-64))*729+MAX(0,MIN(26,CODE(MID(UPPER(A983)&amp;"    ",3,1))-64))*27+MAX(0,MIN(26,CODE(MID(UPPER(A983)&amp;"    ",4,1))-64))*1)*10000+ROW(),""))</f>
        <v/>
      </c>
      <c r="N983" s="80" t="str">
        <f t="shared" si="7"/>
        <v/>
      </c>
      <c r="O983" s="80" t="str">
        <f t="array" ref="O983">IF(A983="","",IFERROR(INDEX('Deck 3'!$A:$Z,ROW()-750,'List Setup'!$J$5)&amp;"",""))</f>
        <v/>
      </c>
      <c r="P983" s="2"/>
      <c r="Q983" s="80" t="str">
        <f>IF(A983="","",'List Setup'!$A$5)</f>
        <v/>
      </c>
      <c r="R983" s="80" t="str">
        <f t="array" ref="R983">IF(A983="","",IFERROR(OR(INDEX(Binders!$J$6:$J$30,MATCH(Q983,Binders!$I$6:$I$30,0))=TRUE(),UPPER(INDEX(Binders!$J$6:$J$30,MATCH(Q983,Binders!$I$6:$I$30,0))&amp;"")="TRUE"),FALSE()))</f>
        <v/>
      </c>
    </row>
    <row r="984" ht="15.75" customHeight="1">
      <c r="A984" s="80" t="str">
        <f t="array" ref="A984">IF(INDEX('Deck 3'!$A:$Z,ROW()-750,'List Setup'!$D$5)="","",INDEX('Deck 3'!$A:$Z,ROW()-750,'List Setup'!$D$5))</f>
        <v/>
      </c>
      <c r="B984" s="80" t="str">
        <f t="array" ref="B984">IF(A984="","",IFERROR(INDEX('Binder Setup'!$B$2:$B$401,MIN(IF(ISNUMBER(SEARCH(CHAR(10)&amp;'Binder Setup'!$B$2:$B$401&amp;CHAR(10),$H984)),'List Setup'!$Q$2:$Q$401,999),IF(ISNUMBER(SEARCH(CHAR(10)&amp;'Set Aliases'!$A$2:$A$501&amp;CHAR(10),$H984)),'Set Aliases'!$C$2:$C$501,999))),"(none)"))</f>
        <v/>
      </c>
      <c r="C984" s="80" t="str">
        <f t="shared" si="1"/>
        <v/>
      </c>
      <c r="D984" s="80" t="str">
        <f t="array" ref="D984">IF(A984="","",IF(ISLOGICAL(INDEX('Deck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84" s="80" t="str">
        <f t="shared" si="2"/>
        <v/>
      </c>
      <c r="F984" s="80" t="str">
        <f t="array" ref="F984">IF(A984="","",IF(ISNUMBER(J984),J984,IF(ISNUMBER(INDEX('Deck 3'!$A:$Z,ROW()-750,'List Setup'!$F$5)),INDEX('Deck 3'!$A:$Z,ROW()-750,'List Setup'!$F$5),0)))</f>
        <v/>
      </c>
      <c r="G984" s="80" t="str">
        <f t="array" ref="G984">IF(A984="","",A984&amp;IF(N(INDEX('Deck 3'!$A:$Z,ROW()-750,'List Setup'!$C$5))&gt;1," (x"&amp;INDEX('Deck 3'!$A:$Z,ROW()-750,'List Setup'!$C$5)&amp;")","")&amp;IF(COUNTIF(Binders!$J$6:$J$30,TRUE())&gt;1," ["&amp;Q984&amp;"]",""))</f>
        <v/>
      </c>
      <c r="H984" s="80" t="str">
        <f t="array" ref="H984">IF(A984="","",CHAR(10)&amp;INDEX('Deck 3'!$A:$Z,ROW()-750,'List Setup'!$E$5)&amp;CHAR(10))</f>
        <v/>
      </c>
      <c r="I984" s="80" t="str">
        <f t="array" ref="I984">IF(OR(B984="",B984="(none)"),"",IF(ISNUMBER(SEARCH(CHAR(10)&amp;B984&amp;CHAR(10),H984)),B984,IFERROR(INDEX('Set Aliases'!$A$2:$A$501,MATCH(1,('Set Aliases'!$B$2:$B$501=B984)*ISNUMBER(SEARCH(CHAR(10)&amp;'Set Aliases'!$A$2:$A$501&amp;CHAR(10),H984)),0)),"")))</f>
        <v/>
      </c>
      <c r="J984" s="80" t="str">
        <f t="array" ref="J984">IF(I984="","",IFERROR(VALUE(TRIM(MID(SUBSTITUTE(INDEX('Deck 3'!$A:$Z,ROW()-750,'List Setup'!$G$5),CHAR(10),REPT(" ",100)),((SEARCH(CHAR(10)&amp;I984&amp;CHAR(10),H984)-LEN(SUBSTITUTE(LEFT(H984,SEARCH(CHAR(10)&amp;I984&amp;CHAR(10),H984)),CHAR(10),"")))-1)*100+1,100))),""))</f>
        <v/>
      </c>
      <c r="K984" s="80" t="str">
        <f t="array" ref="K984">IF(A984="","",IF(ISNUMBER(SEARCH("Land",LEFT(IFERROR(INDEX('Deck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84" s="80" t="str">
        <f t="shared" si="3"/>
        <v/>
      </c>
      <c r="M984" s="80" t="str">
        <f>IF(A984="","",IF(AND(E984="Y",B984='Use at Shop'!$B$4),K984*10000000000+(MAX(0,MIN(26,CODE(MID(UPPER(A984)&amp;"    ",1,1))-64))*19683+MAX(0,MIN(26,CODE(MID(UPPER(A984)&amp;"    ",2,1))-64))*729+MAX(0,MIN(26,CODE(MID(UPPER(A984)&amp;"    ",3,1))-64))*27+MAX(0,MIN(26,CODE(MID(UPPER(A984)&amp;"    ",4,1))-64))*1)*10000+ROW(),""))</f>
        <v/>
      </c>
      <c r="N984" s="80" t="str">
        <f t="shared" si="7"/>
        <v/>
      </c>
      <c r="O984" s="80" t="str">
        <f t="array" ref="O984">IF(A984="","",IFERROR(INDEX('Deck 3'!$A:$Z,ROW()-750,'List Setup'!$J$5)&amp;"",""))</f>
        <v/>
      </c>
      <c r="P984" s="2"/>
      <c r="Q984" s="80" t="str">
        <f>IF(A984="","",'List Setup'!$A$5)</f>
        <v/>
      </c>
      <c r="R984" s="80" t="str">
        <f t="array" ref="R984">IF(A984="","",IFERROR(OR(INDEX(Binders!$J$6:$J$30,MATCH(Q984,Binders!$I$6:$I$30,0))=TRUE(),UPPER(INDEX(Binders!$J$6:$J$30,MATCH(Q984,Binders!$I$6:$I$30,0))&amp;"")="TRUE"),FALSE()))</f>
        <v/>
      </c>
    </row>
    <row r="985" ht="15.75" customHeight="1">
      <c r="A985" s="80" t="str">
        <f t="array" ref="A985">IF(INDEX('Deck 3'!$A:$Z,ROW()-750,'List Setup'!$D$5)="","",INDEX('Deck 3'!$A:$Z,ROW()-750,'List Setup'!$D$5))</f>
        <v/>
      </c>
      <c r="B985" s="80" t="str">
        <f t="array" ref="B985">IF(A985="","",IFERROR(INDEX('Binder Setup'!$B$2:$B$401,MIN(IF(ISNUMBER(SEARCH(CHAR(10)&amp;'Binder Setup'!$B$2:$B$401&amp;CHAR(10),$H985)),'List Setup'!$Q$2:$Q$401,999),IF(ISNUMBER(SEARCH(CHAR(10)&amp;'Set Aliases'!$A$2:$A$501&amp;CHAR(10),$H985)),'Set Aliases'!$C$2:$C$501,999))),"(none)"))</f>
        <v/>
      </c>
      <c r="C985" s="80" t="str">
        <f t="shared" si="1"/>
        <v/>
      </c>
      <c r="D985" s="80" t="str">
        <f t="array" ref="D985">IF(A985="","",IF(ISLOGICAL(INDEX('Deck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85" s="80" t="str">
        <f t="shared" si="2"/>
        <v/>
      </c>
      <c r="F985" s="80" t="str">
        <f t="array" ref="F985">IF(A985="","",IF(ISNUMBER(J985),J985,IF(ISNUMBER(INDEX('Deck 3'!$A:$Z,ROW()-750,'List Setup'!$F$5)),INDEX('Deck 3'!$A:$Z,ROW()-750,'List Setup'!$F$5),0)))</f>
        <v/>
      </c>
      <c r="G985" s="80" t="str">
        <f t="array" ref="G985">IF(A985="","",A985&amp;IF(N(INDEX('Deck 3'!$A:$Z,ROW()-750,'List Setup'!$C$5))&gt;1," (x"&amp;INDEX('Deck 3'!$A:$Z,ROW()-750,'List Setup'!$C$5)&amp;")","")&amp;IF(COUNTIF(Binders!$J$6:$J$30,TRUE())&gt;1," ["&amp;Q985&amp;"]",""))</f>
        <v/>
      </c>
      <c r="H985" s="80" t="str">
        <f t="array" ref="H985">IF(A985="","",CHAR(10)&amp;INDEX('Deck 3'!$A:$Z,ROW()-750,'List Setup'!$E$5)&amp;CHAR(10))</f>
        <v/>
      </c>
      <c r="I985" s="80" t="str">
        <f t="array" ref="I985">IF(OR(B985="",B985="(none)"),"",IF(ISNUMBER(SEARCH(CHAR(10)&amp;B985&amp;CHAR(10),H985)),B985,IFERROR(INDEX('Set Aliases'!$A$2:$A$501,MATCH(1,('Set Aliases'!$B$2:$B$501=B985)*ISNUMBER(SEARCH(CHAR(10)&amp;'Set Aliases'!$A$2:$A$501&amp;CHAR(10),H985)),0)),"")))</f>
        <v/>
      </c>
      <c r="J985" s="80" t="str">
        <f t="array" ref="J985">IF(I985="","",IFERROR(VALUE(TRIM(MID(SUBSTITUTE(INDEX('Deck 3'!$A:$Z,ROW()-750,'List Setup'!$G$5),CHAR(10),REPT(" ",100)),((SEARCH(CHAR(10)&amp;I985&amp;CHAR(10),H985)-LEN(SUBSTITUTE(LEFT(H985,SEARCH(CHAR(10)&amp;I985&amp;CHAR(10),H985)),CHAR(10),"")))-1)*100+1,100))),""))</f>
        <v/>
      </c>
      <c r="K985" s="80" t="str">
        <f t="array" ref="K985">IF(A985="","",IF(ISNUMBER(SEARCH("Land",LEFT(IFERROR(INDEX('Deck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85" s="80" t="str">
        <f t="shared" si="3"/>
        <v/>
      </c>
      <c r="M985" s="80" t="str">
        <f>IF(A985="","",IF(AND(E985="Y",B985='Use at Shop'!$B$4),K985*10000000000+(MAX(0,MIN(26,CODE(MID(UPPER(A985)&amp;"    ",1,1))-64))*19683+MAX(0,MIN(26,CODE(MID(UPPER(A985)&amp;"    ",2,1))-64))*729+MAX(0,MIN(26,CODE(MID(UPPER(A985)&amp;"    ",3,1))-64))*27+MAX(0,MIN(26,CODE(MID(UPPER(A985)&amp;"    ",4,1))-64))*1)*10000+ROW(),""))</f>
        <v/>
      </c>
      <c r="N985" s="80" t="str">
        <f t="shared" si="7"/>
        <v/>
      </c>
      <c r="O985" s="80" t="str">
        <f t="array" ref="O985">IF(A985="","",IFERROR(INDEX('Deck 3'!$A:$Z,ROW()-750,'List Setup'!$J$5)&amp;"",""))</f>
        <v/>
      </c>
      <c r="P985" s="2"/>
      <c r="Q985" s="80" t="str">
        <f>IF(A985="","",'List Setup'!$A$5)</f>
        <v/>
      </c>
      <c r="R985" s="80" t="str">
        <f t="array" ref="R985">IF(A985="","",IFERROR(OR(INDEX(Binders!$J$6:$J$30,MATCH(Q985,Binders!$I$6:$I$30,0))=TRUE(),UPPER(INDEX(Binders!$J$6:$J$30,MATCH(Q985,Binders!$I$6:$I$30,0))&amp;"")="TRUE"),FALSE()))</f>
        <v/>
      </c>
    </row>
    <row r="986" ht="15.75" customHeight="1">
      <c r="A986" s="80" t="str">
        <f t="array" ref="A986">IF(INDEX('Deck 3'!$A:$Z,ROW()-750,'List Setup'!$D$5)="","",INDEX('Deck 3'!$A:$Z,ROW()-750,'List Setup'!$D$5))</f>
        <v/>
      </c>
      <c r="B986" s="80" t="str">
        <f t="array" ref="B986">IF(A986="","",IFERROR(INDEX('Binder Setup'!$B$2:$B$401,MIN(IF(ISNUMBER(SEARCH(CHAR(10)&amp;'Binder Setup'!$B$2:$B$401&amp;CHAR(10),$H986)),'List Setup'!$Q$2:$Q$401,999),IF(ISNUMBER(SEARCH(CHAR(10)&amp;'Set Aliases'!$A$2:$A$501&amp;CHAR(10),$H986)),'Set Aliases'!$C$2:$C$501,999))),"(none)"))</f>
        <v/>
      </c>
      <c r="C986" s="80" t="str">
        <f t="shared" si="1"/>
        <v/>
      </c>
      <c r="D986" s="80" t="str">
        <f t="array" ref="D986">IF(A986="","",IF(ISLOGICAL(INDEX('Deck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86" s="80" t="str">
        <f t="shared" si="2"/>
        <v/>
      </c>
      <c r="F986" s="80" t="str">
        <f t="array" ref="F986">IF(A986="","",IF(ISNUMBER(J986),J986,IF(ISNUMBER(INDEX('Deck 3'!$A:$Z,ROW()-750,'List Setup'!$F$5)),INDEX('Deck 3'!$A:$Z,ROW()-750,'List Setup'!$F$5),0)))</f>
        <v/>
      </c>
      <c r="G986" s="80" t="str">
        <f t="array" ref="G986">IF(A986="","",A986&amp;IF(N(INDEX('Deck 3'!$A:$Z,ROW()-750,'List Setup'!$C$5))&gt;1," (x"&amp;INDEX('Deck 3'!$A:$Z,ROW()-750,'List Setup'!$C$5)&amp;")","")&amp;IF(COUNTIF(Binders!$J$6:$J$30,TRUE())&gt;1," ["&amp;Q986&amp;"]",""))</f>
        <v/>
      </c>
      <c r="H986" s="80" t="str">
        <f t="array" ref="H986">IF(A986="","",CHAR(10)&amp;INDEX('Deck 3'!$A:$Z,ROW()-750,'List Setup'!$E$5)&amp;CHAR(10))</f>
        <v/>
      </c>
      <c r="I986" s="80" t="str">
        <f t="array" ref="I986">IF(OR(B986="",B986="(none)"),"",IF(ISNUMBER(SEARCH(CHAR(10)&amp;B986&amp;CHAR(10),H986)),B986,IFERROR(INDEX('Set Aliases'!$A$2:$A$501,MATCH(1,('Set Aliases'!$B$2:$B$501=B986)*ISNUMBER(SEARCH(CHAR(10)&amp;'Set Aliases'!$A$2:$A$501&amp;CHAR(10),H986)),0)),"")))</f>
        <v/>
      </c>
      <c r="J986" s="80" t="str">
        <f t="array" ref="J986">IF(I986="","",IFERROR(VALUE(TRIM(MID(SUBSTITUTE(INDEX('Deck 3'!$A:$Z,ROW()-750,'List Setup'!$G$5),CHAR(10),REPT(" ",100)),((SEARCH(CHAR(10)&amp;I986&amp;CHAR(10),H986)-LEN(SUBSTITUTE(LEFT(H986,SEARCH(CHAR(10)&amp;I986&amp;CHAR(10),H986)),CHAR(10),"")))-1)*100+1,100))),""))</f>
        <v/>
      </c>
      <c r="K986" s="80" t="str">
        <f t="array" ref="K986">IF(A986="","",IF(ISNUMBER(SEARCH("Land",LEFT(IFERROR(INDEX('Deck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86" s="80" t="str">
        <f t="shared" si="3"/>
        <v/>
      </c>
      <c r="M986" s="80" t="str">
        <f>IF(A986="","",IF(AND(E986="Y",B986='Use at Shop'!$B$4),K986*10000000000+(MAX(0,MIN(26,CODE(MID(UPPER(A986)&amp;"    ",1,1))-64))*19683+MAX(0,MIN(26,CODE(MID(UPPER(A986)&amp;"    ",2,1))-64))*729+MAX(0,MIN(26,CODE(MID(UPPER(A986)&amp;"    ",3,1))-64))*27+MAX(0,MIN(26,CODE(MID(UPPER(A986)&amp;"    ",4,1))-64))*1)*10000+ROW(),""))</f>
        <v/>
      </c>
      <c r="N986" s="80" t="str">
        <f t="shared" si="7"/>
        <v/>
      </c>
      <c r="O986" s="80" t="str">
        <f t="array" ref="O986">IF(A986="","",IFERROR(INDEX('Deck 3'!$A:$Z,ROW()-750,'List Setup'!$J$5)&amp;"",""))</f>
        <v/>
      </c>
      <c r="P986" s="2"/>
      <c r="Q986" s="80" t="str">
        <f>IF(A986="","",'List Setup'!$A$5)</f>
        <v/>
      </c>
      <c r="R986" s="80" t="str">
        <f t="array" ref="R986">IF(A986="","",IFERROR(OR(INDEX(Binders!$J$6:$J$30,MATCH(Q986,Binders!$I$6:$I$30,0))=TRUE(),UPPER(INDEX(Binders!$J$6:$J$30,MATCH(Q986,Binders!$I$6:$I$30,0))&amp;"")="TRUE"),FALSE()))</f>
        <v/>
      </c>
    </row>
    <row r="987" ht="15.75" customHeight="1">
      <c r="A987" s="80" t="str">
        <f t="array" ref="A987">IF(INDEX('Deck 3'!$A:$Z,ROW()-750,'List Setup'!$D$5)="","",INDEX('Deck 3'!$A:$Z,ROW()-750,'List Setup'!$D$5))</f>
        <v/>
      </c>
      <c r="B987" s="80" t="str">
        <f t="array" ref="B987">IF(A987="","",IFERROR(INDEX('Binder Setup'!$B$2:$B$401,MIN(IF(ISNUMBER(SEARCH(CHAR(10)&amp;'Binder Setup'!$B$2:$B$401&amp;CHAR(10),$H987)),'List Setup'!$Q$2:$Q$401,999),IF(ISNUMBER(SEARCH(CHAR(10)&amp;'Set Aliases'!$A$2:$A$501&amp;CHAR(10),$H987)),'Set Aliases'!$C$2:$C$501,999))),"(none)"))</f>
        <v/>
      </c>
      <c r="C987" s="80" t="str">
        <f t="shared" si="1"/>
        <v/>
      </c>
      <c r="D987" s="80" t="str">
        <f t="array" ref="D987">IF(A987="","",IF(ISLOGICAL(INDEX('Deck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87" s="80" t="str">
        <f t="shared" si="2"/>
        <v/>
      </c>
      <c r="F987" s="80" t="str">
        <f t="array" ref="F987">IF(A987="","",IF(ISNUMBER(J987),J987,IF(ISNUMBER(INDEX('Deck 3'!$A:$Z,ROW()-750,'List Setup'!$F$5)),INDEX('Deck 3'!$A:$Z,ROW()-750,'List Setup'!$F$5),0)))</f>
        <v/>
      </c>
      <c r="G987" s="80" t="str">
        <f t="array" ref="G987">IF(A987="","",A987&amp;IF(N(INDEX('Deck 3'!$A:$Z,ROW()-750,'List Setup'!$C$5))&gt;1," (x"&amp;INDEX('Deck 3'!$A:$Z,ROW()-750,'List Setup'!$C$5)&amp;")","")&amp;IF(COUNTIF(Binders!$J$6:$J$30,TRUE())&gt;1," ["&amp;Q987&amp;"]",""))</f>
        <v/>
      </c>
      <c r="H987" s="80" t="str">
        <f t="array" ref="H987">IF(A987="","",CHAR(10)&amp;INDEX('Deck 3'!$A:$Z,ROW()-750,'List Setup'!$E$5)&amp;CHAR(10))</f>
        <v/>
      </c>
      <c r="I987" s="80" t="str">
        <f t="array" ref="I987">IF(OR(B987="",B987="(none)"),"",IF(ISNUMBER(SEARCH(CHAR(10)&amp;B987&amp;CHAR(10),H987)),B987,IFERROR(INDEX('Set Aliases'!$A$2:$A$501,MATCH(1,('Set Aliases'!$B$2:$B$501=B987)*ISNUMBER(SEARCH(CHAR(10)&amp;'Set Aliases'!$A$2:$A$501&amp;CHAR(10),H987)),0)),"")))</f>
        <v/>
      </c>
      <c r="J987" s="80" t="str">
        <f t="array" ref="J987">IF(I987="","",IFERROR(VALUE(TRIM(MID(SUBSTITUTE(INDEX('Deck 3'!$A:$Z,ROW()-750,'List Setup'!$G$5),CHAR(10),REPT(" ",100)),((SEARCH(CHAR(10)&amp;I987&amp;CHAR(10),H987)-LEN(SUBSTITUTE(LEFT(H987,SEARCH(CHAR(10)&amp;I987&amp;CHAR(10),H987)),CHAR(10),"")))-1)*100+1,100))),""))</f>
        <v/>
      </c>
      <c r="K987" s="80" t="str">
        <f t="array" ref="K987">IF(A987="","",IF(ISNUMBER(SEARCH("Land",LEFT(IFERROR(INDEX('Deck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87" s="80" t="str">
        <f t="shared" si="3"/>
        <v/>
      </c>
      <c r="M987" s="80" t="str">
        <f>IF(A987="","",IF(AND(E987="Y",B987='Use at Shop'!$B$4),K987*10000000000+(MAX(0,MIN(26,CODE(MID(UPPER(A987)&amp;"    ",1,1))-64))*19683+MAX(0,MIN(26,CODE(MID(UPPER(A987)&amp;"    ",2,1))-64))*729+MAX(0,MIN(26,CODE(MID(UPPER(A987)&amp;"    ",3,1))-64))*27+MAX(0,MIN(26,CODE(MID(UPPER(A987)&amp;"    ",4,1))-64))*1)*10000+ROW(),""))</f>
        <v/>
      </c>
      <c r="N987" s="80" t="str">
        <f t="shared" si="7"/>
        <v/>
      </c>
      <c r="O987" s="80" t="str">
        <f t="array" ref="O987">IF(A987="","",IFERROR(INDEX('Deck 3'!$A:$Z,ROW()-750,'List Setup'!$J$5)&amp;"",""))</f>
        <v/>
      </c>
      <c r="P987" s="2"/>
      <c r="Q987" s="80" t="str">
        <f>IF(A987="","",'List Setup'!$A$5)</f>
        <v/>
      </c>
      <c r="R987" s="80" t="str">
        <f t="array" ref="R987">IF(A987="","",IFERROR(OR(INDEX(Binders!$J$6:$J$30,MATCH(Q987,Binders!$I$6:$I$30,0))=TRUE(),UPPER(INDEX(Binders!$J$6:$J$30,MATCH(Q987,Binders!$I$6:$I$30,0))&amp;"")="TRUE"),FALSE()))</f>
        <v/>
      </c>
    </row>
    <row r="988" ht="15.75" customHeight="1">
      <c r="A988" s="80" t="str">
        <f t="array" ref="A988">IF(INDEX('Deck 3'!$A:$Z,ROW()-750,'List Setup'!$D$5)="","",INDEX('Deck 3'!$A:$Z,ROW()-750,'List Setup'!$D$5))</f>
        <v/>
      </c>
      <c r="B988" s="80" t="str">
        <f t="array" ref="B988">IF(A988="","",IFERROR(INDEX('Binder Setup'!$B$2:$B$401,MIN(IF(ISNUMBER(SEARCH(CHAR(10)&amp;'Binder Setup'!$B$2:$B$401&amp;CHAR(10),$H988)),'List Setup'!$Q$2:$Q$401,999),IF(ISNUMBER(SEARCH(CHAR(10)&amp;'Set Aliases'!$A$2:$A$501&amp;CHAR(10),$H988)),'Set Aliases'!$C$2:$C$501,999))),"(none)"))</f>
        <v/>
      </c>
      <c r="C988" s="80" t="str">
        <f t="shared" si="1"/>
        <v/>
      </c>
      <c r="D988" s="80" t="str">
        <f t="array" ref="D988">IF(A988="","",IF(ISLOGICAL(INDEX('Deck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88" s="80" t="str">
        <f t="shared" si="2"/>
        <v/>
      </c>
      <c r="F988" s="80" t="str">
        <f t="array" ref="F988">IF(A988="","",IF(ISNUMBER(J988),J988,IF(ISNUMBER(INDEX('Deck 3'!$A:$Z,ROW()-750,'List Setup'!$F$5)),INDEX('Deck 3'!$A:$Z,ROW()-750,'List Setup'!$F$5),0)))</f>
        <v/>
      </c>
      <c r="G988" s="80" t="str">
        <f t="array" ref="G988">IF(A988="","",A988&amp;IF(N(INDEX('Deck 3'!$A:$Z,ROW()-750,'List Setup'!$C$5))&gt;1," (x"&amp;INDEX('Deck 3'!$A:$Z,ROW()-750,'List Setup'!$C$5)&amp;")","")&amp;IF(COUNTIF(Binders!$J$6:$J$30,TRUE())&gt;1," ["&amp;Q988&amp;"]",""))</f>
        <v/>
      </c>
      <c r="H988" s="80" t="str">
        <f t="array" ref="H988">IF(A988="","",CHAR(10)&amp;INDEX('Deck 3'!$A:$Z,ROW()-750,'List Setup'!$E$5)&amp;CHAR(10))</f>
        <v/>
      </c>
      <c r="I988" s="80" t="str">
        <f t="array" ref="I988">IF(OR(B988="",B988="(none)"),"",IF(ISNUMBER(SEARCH(CHAR(10)&amp;B988&amp;CHAR(10),H988)),B988,IFERROR(INDEX('Set Aliases'!$A$2:$A$501,MATCH(1,('Set Aliases'!$B$2:$B$501=B988)*ISNUMBER(SEARCH(CHAR(10)&amp;'Set Aliases'!$A$2:$A$501&amp;CHAR(10),H988)),0)),"")))</f>
        <v/>
      </c>
      <c r="J988" s="80" t="str">
        <f t="array" ref="J988">IF(I988="","",IFERROR(VALUE(TRIM(MID(SUBSTITUTE(INDEX('Deck 3'!$A:$Z,ROW()-750,'List Setup'!$G$5),CHAR(10),REPT(" ",100)),((SEARCH(CHAR(10)&amp;I988&amp;CHAR(10),H988)-LEN(SUBSTITUTE(LEFT(H988,SEARCH(CHAR(10)&amp;I988&amp;CHAR(10),H988)),CHAR(10),"")))-1)*100+1,100))),""))</f>
        <v/>
      </c>
      <c r="K988" s="80" t="str">
        <f t="array" ref="K988">IF(A988="","",IF(ISNUMBER(SEARCH("Land",LEFT(IFERROR(INDEX('Deck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88" s="80" t="str">
        <f t="shared" si="3"/>
        <v/>
      </c>
      <c r="M988" s="80" t="str">
        <f>IF(A988="","",IF(AND(E988="Y",B988='Use at Shop'!$B$4),K988*10000000000+(MAX(0,MIN(26,CODE(MID(UPPER(A988)&amp;"    ",1,1))-64))*19683+MAX(0,MIN(26,CODE(MID(UPPER(A988)&amp;"    ",2,1))-64))*729+MAX(0,MIN(26,CODE(MID(UPPER(A988)&amp;"    ",3,1))-64))*27+MAX(0,MIN(26,CODE(MID(UPPER(A988)&amp;"    ",4,1))-64))*1)*10000+ROW(),""))</f>
        <v/>
      </c>
      <c r="N988" s="80" t="str">
        <f t="shared" si="7"/>
        <v/>
      </c>
      <c r="O988" s="80" t="str">
        <f t="array" ref="O988">IF(A988="","",IFERROR(INDEX('Deck 3'!$A:$Z,ROW()-750,'List Setup'!$J$5)&amp;"",""))</f>
        <v/>
      </c>
      <c r="P988" s="2"/>
      <c r="Q988" s="80" t="str">
        <f>IF(A988="","",'List Setup'!$A$5)</f>
        <v/>
      </c>
      <c r="R988" s="80" t="str">
        <f t="array" ref="R988">IF(A988="","",IFERROR(OR(INDEX(Binders!$J$6:$J$30,MATCH(Q988,Binders!$I$6:$I$30,0))=TRUE(),UPPER(INDEX(Binders!$J$6:$J$30,MATCH(Q988,Binders!$I$6:$I$30,0))&amp;"")="TRUE"),FALSE()))</f>
        <v/>
      </c>
    </row>
    <row r="989" ht="15.75" customHeight="1">
      <c r="A989" s="80" t="str">
        <f t="array" ref="A989">IF(INDEX('Deck 3'!$A:$Z,ROW()-750,'List Setup'!$D$5)="","",INDEX('Deck 3'!$A:$Z,ROW()-750,'List Setup'!$D$5))</f>
        <v/>
      </c>
      <c r="B989" s="80" t="str">
        <f t="array" ref="B989">IF(A989="","",IFERROR(INDEX('Binder Setup'!$B$2:$B$401,MIN(IF(ISNUMBER(SEARCH(CHAR(10)&amp;'Binder Setup'!$B$2:$B$401&amp;CHAR(10),$H989)),'List Setup'!$Q$2:$Q$401,999),IF(ISNUMBER(SEARCH(CHAR(10)&amp;'Set Aliases'!$A$2:$A$501&amp;CHAR(10),$H989)),'Set Aliases'!$C$2:$C$501,999))),"(none)"))</f>
        <v/>
      </c>
      <c r="C989" s="80" t="str">
        <f t="shared" si="1"/>
        <v/>
      </c>
      <c r="D989" s="80" t="str">
        <f t="array" ref="D989">IF(A989="","",IF(ISLOGICAL(INDEX('Deck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89" s="80" t="str">
        <f t="shared" si="2"/>
        <v/>
      </c>
      <c r="F989" s="80" t="str">
        <f t="array" ref="F989">IF(A989="","",IF(ISNUMBER(J989),J989,IF(ISNUMBER(INDEX('Deck 3'!$A:$Z,ROW()-750,'List Setup'!$F$5)),INDEX('Deck 3'!$A:$Z,ROW()-750,'List Setup'!$F$5),0)))</f>
        <v/>
      </c>
      <c r="G989" s="80" t="str">
        <f t="array" ref="G989">IF(A989="","",A989&amp;IF(N(INDEX('Deck 3'!$A:$Z,ROW()-750,'List Setup'!$C$5))&gt;1," (x"&amp;INDEX('Deck 3'!$A:$Z,ROW()-750,'List Setup'!$C$5)&amp;")","")&amp;IF(COUNTIF(Binders!$J$6:$J$30,TRUE())&gt;1," ["&amp;Q989&amp;"]",""))</f>
        <v/>
      </c>
      <c r="H989" s="80" t="str">
        <f t="array" ref="H989">IF(A989="","",CHAR(10)&amp;INDEX('Deck 3'!$A:$Z,ROW()-750,'List Setup'!$E$5)&amp;CHAR(10))</f>
        <v/>
      </c>
      <c r="I989" s="80" t="str">
        <f t="array" ref="I989">IF(OR(B989="",B989="(none)"),"",IF(ISNUMBER(SEARCH(CHAR(10)&amp;B989&amp;CHAR(10),H989)),B989,IFERROR(INDEX('Set Aliases'!$A$2:$A$501,MATCH(1,('Set Aliases'!$B$2:$B$501=B989)*ISNUMBER(SEARCH(CHAR(10)&amp;'Set Aliases'!$A$2:$A$501&amp;CHAR(10),H989)),0)),"")))</f>
        <v/>
      </c>
      <c r="J989" s="80" t="str">
        <f t="array" ref="J989">IF(I989="","",IFERROR(VALUE(TRIM(MID(SUBSTITUTE(INDEX('Deck 3'!$A:$Z,ROW()-750,'List Setup'!$G$5),CHAR(10),REPT(" ",100)),((SEARCH(CHAR(10)&amp;I989&amp;CHAR(10),H989)-LEN(SUBSTITUTE(LEFT(H989,SEARCH(CHAR(10)&amp;I989&amp;CHAR(10),H989)),CHAR(10),"")))-1)*100+1,100))),""))</f>
        <v/>
      </c>
      <c r="K989" s="80" t="str">
        <f t="array" ref="K989">IF(A989="","",IF(ISNUMBER(SEARCH("Land",LEFT(IFERROR(INDEX('Deck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89" s="80" t="str">
        <f t="shared" si="3"/>
        <v/>
      </c>
      <c r="M989" s="80" t="str">
        <f>IF(A989="","",IF(AND(E989="Y",B989='Use at Shop'!$B$4),K989*10000000000+(MAX(0,MIN(26,CODE(MID(UPPER(A989)&amp;"    ",1,1))-64))*19683+MAX(0,MIN(26,CODE(MID(UPPER(A989)&amp;"    ",2,1))-64))*729+MAX(0,MIN(26,CODE(MID(UPPER(A989)&amp;"    ",3,1))-64))*27+MAX(0,MIN(26,CODE(MID(UPPER(A989)&amp;"    ",4,1))-64))*1)*10000+ROW(),""))</f>
        <v/>
      </c>
      <c r="N989" s="80" t="str">
        <f t="shared" si="7"/>
        <v/>
      </c>
      <c r="O989" s="80" t="str">
        <f t="array" ref="O989">IF(A989="","",IFERROR(INDEX('Deck 3'!$A:$Z,ROW()-750,'List Setup'!$J$5)&amp;"",""))</f>
        <v/>
      </c>
      <c r="P989" s="2"/>
      <c r="Q989" s="80" t="str">
        <f>IF(A989="","",'List Setup'!$A$5)</f>
        <v/>
      </c>
      <c r="R989" s="80" t="str">
        <f t="array" ref="R989">IF(A989="","",IFERROR(OR(INDEX(Binders!$J$6:$J$30,MATCH(Q989,Binders!$I$6:$I$30,0))=TRUE(),UPPER(INDEX(Binders!$J$6:$J$30,MATCH(Q989,Binders!$I$6:$I$30,0))&amp;"")="TRUE"),FALSE()))</f>
        <v/>
      </c>
    </row>
    <row r="990" ht="15.75" customHeight="1">
      <c r="A990" s="80" t="str">
        <f t="array" ref="A990">IF(INDEX('Deck 3'!$A:$Z,ROW()-750,'List Setup'!$D$5)="","",INDEX('Deck 3'!$A:$Z,ROW()-750,'List Setup'!$D$5))</f>
        <v/>
      </c>
      <c r="B990" s="80" t="str">
        <f t="array" ref="B990">IF(A990="","",IFERROR(INDEX('Binder Setup'!$B$2:$B$401,MIN(IF(ISNUMBER(SEARCH(CHAR(10)&amp;'Binder Setup'!$B$2:$B$401&amp;CHAR(10),$H990)),'List Setup'!$Q$2:$Q$401,999),IF(ISNUMBER(SEARCH(CHAR(10)&amp;'Set Aliases'!$A$2:$A$501&amp;CHAR(10),$H990)),'Set Aliases'!$C$2:$C$501,999))),"(none)"))</f>
        <v/>
      </c>
      <c r="C990" s="80" t="str">
        <f t="shared" si="1"/>
        <v/>
      </c>
      <c r="D990" s="80" t="str">
        <f t="array" ref="D990">IF(A990="","",IF(ISLOGICAL(INDEX('Deck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90" s="80" t="str">
        <f t="shared" si="2"/>
        <v/>
      </c>
      <c r="F990" s="80" t="str">
        <f t="array" ref="F990">IF(A990="","",IF(ISNUMBER(J990),J990,IF(ISNUMBER(INDEX('Deck 3'!$A:$Z,ROW()-750,'List Setup'!$F$5)),INDEX('Deck 3'!$A:$Z,ROW()-750,'List Setup'!$F$5),0)))</f>
        <v/>
      </c>
      <c r="G990" s="80" t="str">
        <f t="array" ref="G990">IF(A990="","",A990&amp;IF(N(INDEX('Deck 3'!$A:$Z,ROW()-750,'List Setup'!$C$5))&gt;1," (x"&amp;INDEX('Deck 3'!$A:$Z,ROW()-750,'List Setup'!$C$5)&amp;")","")&amp;IF(COUNTIF(Binders!$J$6:$J$30,TRUE())&gt;1," ["&amp;Q990&amp;"]",""))</f>
        <v/>
      </c>
      <c r="H990" s="80" t="str">
        <f t="array" ref="H990">IF(A990="","",CHAR(10)&amp;INDEX('Deck 3'!$A:$Z,ROW()-750,'List Setup'!$E$5)&amp;CHAR(10))</f>
        <v/>
      </c>
      <c r="I990" s="80" t="str">
        <f t="array" ref="I990">IF(OR(B990="",B990="(none)"),"",IF(ISNUMBER(SEARCH(CHAR(10)&amp;B990&amp;CHAR(10),H990)),B990,IFERROR(INDEX('Set Aliases'!$A$2:$A$501,MATCH(1,('Set Aliases'!$B$2:$B$501=B990)*ISNUMBER(SEARCH(CHAR(10)&amp;'Set Aliases'!$A$2:$A$501&amp;CHAR(10),H990)),0)),"")))</f>
        <v/>
      </c>
      <c r="J990" s="80" t="str">
        <f t="array" ref="J990">IF(I990="","",IFERROR(VALUE(TRIM(MID(SUBSTITUTE(INDEX('Deck 3'!$A:$Z,ROW()-750,'List Setup'!$G$5),CHAR(10),REPT(" ",100)),((SEARCH(CHAR(10)&amp;I990&amp;CHAR(10),H990)-LEN(SUBSTITUTE(LEFT(H990,SEARCH(CHAR(10)&amp;I990&amp;CHAR(10),H990)),CHAR(10),"")))-1)*100+1,100))),""))</f>
        <v/>
      </c>
      <c r="K990" s="80" t="str">
        <f t="array" ref="K990">IF(A990="","",IF(ISNUMBER(SEARCH("Land",LEFT(IFERROR(INDEX('Deck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90" s="80" t="str">
        <f t="shared" si="3"/>
        <v/>
      </c>
      <c r="M990" s="80" t="str">
        <f>IF(A990="","",IF(AND(E990="Y",B990='Use at Shop'!$B$4),K990*10000000000+(MAX(0,MIN(26,CODE(MID(UPPER(A990)&amp;"    ",1,1))-64))*19683+MAX(0,MIN(26,CODE(MID(UPPER(A990)&amp;"    ",2,1))-64))*729+MAX(0,MIN(26,CODE(MID(UPPER(A990)&amp;"    ",3,1))-64))*27+MAX(0,MIN(26,CODE(MID(UPPER(A990)&amp;"    ",4,1))-64))*1)*10000+ROW(),""))</f>
        <v/>
      </c>
      <c r="N990" s="80" t="str">
        <f t="shared" si="7"/>
        <v/>
      </c>
      <c r="O990" s="80" t="str">
        <f t="array" ref="O990">IF(A990="","",IFERROR(INDEX('Deck 3'!$A:$Z,ROW()-750,'List Setup'!$J$5)&amp;"",""))</f>
        <v/>
      </c>
      <c r="P990" s="2"/>
      <c r="Q990" s="80" t="str">
        <f>IF(A990="","",'List Setup'!$A$5)</f>
        <v/>
      </c>
      <c r="R990" s="80" t="str">
        <f t="array" ref="R990">IF(A990="","",IFERROR(OR(INDEX(Binders!$J$6:$J$30,MATCH(Q990,Binders!$I$6:$I$30,0))=TRUE(),UPPER(INDEX(Binders!$J$6:$J$30,MATCH(Q990,Binders!$I$6:$I$30,0))&amp;"")="TRUE"),FALSE()))</f>
        <v/>
      </c>
    </row>
    <row r="991" ht="15.75" customHeight="1">
      <c r="A991" s="80" t="str">
        <f t="array" ref="A991">IF(INDEX('Deck 3'!$A:$Z,ROW()-750,'List Setup'!$D$5)="","",INDEX('Deck 3'!$A:$Z,ROW()-750,'List Setup'!$D$5))</f>
        <v/>
      </c>
      <c r="B991" s="80" t="str">
        <f t="array" ref="B991">IF(A991="","",IFERROR(INDEX('Binder Setup'!$B$2:$B$401,MIN(IF(ISNUMBER(SEARCH(CHAR(10)&amp;'Binder Setup'!$B$2:$B$401&amp;CHAR(10),$H991)),'List Setup'!$Q$2:$Q$401,999),IF(ISNUMBER(SEARCH(CHAR(10)&amp;'Set Aliases'!$A$2:$A$501&amp;CHAR(10),$H991)),'Set Aliases'!$C$2:$C$501,999))),"(none)"))</f>
        <v/>
      </c>
      <c r="C991" s="80" t="str">
        <f t="shared" si="1"/>
        <v/>
      </c>
      <c r="D991" s="80" t="str">
        <f t="array" ref="D991">IF(A991="","",IF(ISLOGICAL(INDEX('Deck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91" s="80" t="str">
        <f t="shared" si="2"/>
        <v/>
      </c>
      <c r="F991" s="80" t="str">
        <f t="array" ref="F991">IF(A991="","",IF(ISNUMBER(J991),J991,IF(ISNUMBER(INDEX('Deck 3'!$A:$Z,ROW()-750,'List Setup'!$F$5)),INDEX('Deck 3'!$A:$Z,ROW()-750,'List Setup'!$F$5),0)))</f>
        <v/>
      </c>
      <c r="G991" s="80" t="str">
        <f t="array" ref="G991">IF(A991="","",A991&amp;IF(N(INDEX('Deck 3'!$A:$Z,ROW()-750,'List Setup'!$C$5))&gt;1," (x"&amp;INDEX('Deck 3'!$A:$Z,ROW()-750,'List Setup'!$C$5)&amp;")","")&amp;IF(COUNTIF(Binders!$J$6:$J$30,TRUE())&gt;1," ["&amp;Q991&amp;"]",""))</f>
        <v/>
      </c>
      <c r="H991" s="80" t="str">
        <f t="array" ref="H991">IF(A991="","",CHAR(10)&amp;INDEX('Deck 3'!$A:$Z,ROW()-750,'List Setup'!$E$5)&amp;CHAR(10))</f>
        <v/>
      </c>
      <c r="I991" s="80" t="str">
        <f t="array" ref="I991">IF(OR(B991="",B991="(none)"),"",IF(ISNUMBER(SEARCH(CHAR(10)&amp;B991&amp;CHAR(10),H991)),B991,IFERROR(INDEX('Set Aliases'!$A$2:$A$501,MATCH(1,('Set Aliases'!$B$2:$B$501=B991)*ISNUMBER(SEARCH(CHAR(10)&amp;'Set Aliases'!$A$2:$A$501&amp;CHAR(10),H991)),0)),"")))</f>
        <v/>
      </c>
      <c r="J991" s="80" t="str">
        <f t="array" ref="J991">IF(I991="","",IFERROR(VALUE(TRIM(MID(SUBSTITUTE(INDEX('Deck 3'!$A:$Z,ROW()-750,'List Setup'!$G$5),CHAR(10),REPT(" ",100)),((SEARCH(CHAR(10)&amp;I991&amp;CHAR(10),H991)-LEN(SUBSTITUTE(LEFT(H991,SEARCH(CHAR(10)&amp;I991&amp;CHAR(10),H991)),CHAR(10),"")))-1)*100+1,100))),""))</f>
        <v/>
      </c>
      <c r="K991" s="80" t="str">
        <f t="array" ref="K991">IF(A991="","",IF(ISNUMBER(SEARCH("Land",LEFT(IFERROR(INDEX('Deck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91" s="80" t="str">
        <f t="shared" si="3"/>
        <v/>
      </c>
      <c r="M991" s="80" t="str">
        <f>IF(A991="","",IF(AND(E991="Y",B991='Use at Shop'!$B$4),K991*10000000000+(MAX(0,MIN(26,CODE(MID(UPPER(A991)&amp;"    ",1,1))-64))*19683+MAX(0,MIN(26,CODE(MID(UPPER(A991)&amp;"    ",2,1))-64))*729+MAX(0,MIN(26,CODE(MID(UPPER(A991)&amp;"    ",3,1))-64))*27+MAX(0,MIN(26,CODE(MID(UPPER(A991)&amp;"    ",4,1))-64))*1)*10000+ROW(),""))</f>
        <v/>
      </c>
      <c r="N991" s="80" t="str">
        <f t="shared" si="7"/>
        <v/>
      </c>
      <c r="O991" s="80" t="str">
        <f t="array" ref="O991">IF(A991="","",IFERROR(INDEX('Deck 3'!$A:$Z,ROW()-750,'List Setup'!$J$5)&amp;"",""))</f>
        <v/>
      </c>
      <c r="P991" s="2"/>
      <c r="Q991" s="80" t="str">
        <f>IF(A991="","",'List Setup'!$A$5)</f>
        <v/>
      </c>
      <c r="R991" s="80" t="str">
        <f t="array" ref="R991">IF(A991="","",IFERROR(OR(INDEX(Binders!$J$6:$J$30,MATCH(Q991,Binders!$I$6:$I$30,0))=TRUE(),UPPER(INDEX(Binders!$J$6:$J$30,MATCH(Q991,Binders!$I$6:$I$30,0))&amp;"")="TRUE"),FALSE()))</f>
        <v/>
      </c>
    </row>
    <row r="992" ht="15.75" customHeight="1">
      <c r="A992" s="80" t="str">
        <f t="array" ref="A992">IF(INDEX('Deck 3'!$A:$Z,ROW()-750,'List Setup'!$D$5)="","",INDEX('Deck 3'!$A:$Z,ROW()-750,'List Setup'!$D$5))</f>
        <v/>
      </c>
      <c r="B992" s="80" t="str">
        <f t="array" ref="B992">IF(A992="","",IFERROR(INDEX('Binder Setup'!$B$2:$B$401,MIN(IF(ISNUMBER(SEARCH(CHAR(10)&amp;'Binder Setup'!$B$2:$B$401&amp;CHAR(10),$H992)),'List Setup'!$Q$2:$Q$401,999),IF(ISNUMBER(SEARCH(CHAR(10)&amp;'Set Aliases'!$A$2:$A$501&amp;CHAR(10),$H992)),'Set Aliases'!$C$2:$C$501,999))),"(none)"))</f>
        <v/>
      </c>
      <c r="C992" s="80" t="str">
        <f t="shared" si="1"/>
        <v/>
      </c>
      <c r="D992" s="80" t="str">
        <f t="array" ref="D992">IF(A992="","",IF(ISLOGICAL(INDEX('Deck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92" s="80" t="str">
        <f t="shared" si="2"/>
        <v/>
      </c>
      <c r="F992" s="80" t="str">
        <f t="array" ref="F992">IF(A992="","",IF(ISNUMBER(J992),J992,IF(ISNUMBER(INDEX('Deck 3'!$A:$Z,ROW()-750,'List Setup'!$F$5)),INDEX('Deck 3'!$A:$Z,ROW()-750,'List Setup'!$F$5),0)))</f>
        <v/>
      </c>
      <c r="G992" s="80" t="str">
        <f t="array" ref="G992">IF(A992="","",A992&amp;IF(N(INDEX('Deck 3'!$A:$Z,ROW()-750,'List Setup'!$C$5))&gt;1," (x"&amp;INDEX('Deck 3'!$A:$Z,ROW()-750,'List Setup'!$C$5)&amp;")","")&amp;IF(COUNTIF(Binders!$J$6:$J$30,TRUE())&gt;1," ["&amp;Q992&amp;"]",""))</f>
        <v/>
      </c>
      <c r="H992" s="80" t="str">
        <f t="array" ref="H992">IF(A992="","",CHAR(10)&amp;INDEX('Deck 3'!$A:$Z,ROW()-750,'List Setup'!$E$5)&amp;CHAR(10))</f>
        <v/>
      </c>
      <c r="I992" s="80" t="str">
        <f t="array" ref="I992">IF(OR(B992="",B992="(none)"),"",IF(ISNUMBER(SEARCH(CHAR(10)&amp;B992&amp;CHAR(10),H992)),B992,IFERROR(INDEX('Set Aliases'!$A$2:$A$501,MATCH(1,('Set Aliases'!$B$2:$B$501=B992)*ISNUMBER(SEARCH(CHAR(10)&amp;'Set Aliases'!$A$2:$A$501&amp;CHAR(10),H992)),0)),"")))</f>
        <v/>
      </c>
      <c r="J992" s="80" t="str">
        <f t="array" ref="J992">IF(I992="","",IFERROR(VALUE(TRIM(MID(SUBSTITUTE(INDEX('Deck 3'!$A:$Z,ROW()-750,'List Setup'!$G$5),CHAR(10),REPT(" ",100)),((SEARCH(CHAR(10)&amp;I992&amp;CHAR(10),H992)-LEN(SUBSTITUTE(LEFT(H992,SEARCH(CHAR(10)&amp;I992&amp;CHAR(10),H992)),CHAR(10),"")))-1)*100+1,100))),""))</f>
        <v/>
      </c>
      <c r="K992" s="80" t="str">
        <f t="array" ref="K992">IF(A992="","",IF(ISNUMBER(SEARCH("Land",LEFT(IFERROR(INDEX('Deck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92" s="80" t="str">
        <f t="shared" si="3"/>
        <v/>
      </c>
      <c r="M992" s="80" t="str">
        <f>IF(A992="","",IF(AND(E992="Y",B992='Use at Shop'!$B$4),K992*10000000000+(MAX(0,MIN(26,CODE(MID(UPPER(A992)&amp;"    ",1,1))-64))*19683+MAX(0,MIN(26,CODE(MID(UPPER(A992)&amp;"    ",2,1))-64))*729+MAX(0,MIN(26,CODE(MID(UPPER(A992)&amp;"    ",3,1))-64))*27+MAX(0,MIN(26,CODE(MID(UPPER(A992)&amp;"    ",4,1))-64))*1)*10000+ROW(),""))</f>
        <v/>
      </c>
      <c r="N992" s="80" t="str">
        <f t="shared" si="7"/>
        <v/>
      </c>
      <c r="O992" s="80" t="str">
        <f t="array" ref="O992">IF(A992="","",IFERROR(INDEX('Deck 3'!$A:$Z,ROW()-750,'List Setup'!$J$5)&amp;"",""))</f>
        <v/>
      </c>
      <c r="P992" s="2"/>
      <c r="Q992" s="80" t="str">
        <f>IF(A992="","",'List Setup'!$A$5)</f>
        <v/>
      </c>
      <c r="R992" s="80" t="str">
        <f t="array" ref="R992">IF(A992="","",IFERROR(OR(INDEX(Binders!$J$6:$J$30,MATCH(Q992,Binders!$I$6:$I$30,0))=TRUE(),UPPER(INDEX(Binders!$J$6:$J$30,MATCH(Q992,Binders!$I$6:$I$30,0))&amp;"")="TRUE"),FALSE()))</f>
        <v/>
      </c>
    </row>
    <row r="993" ht="15.75" customHeight="1">
      <c r="A993" s="80" t="str">
        <f t="array" ref="A993">IF(INDEX('Deck 3'!$A:$Z,ROW()-750,'List Setup'!$D$5)="","",INDEX('Deck 3'!$A:$Z,ROW()-750,'List Setup'!$D$5))</f>
        <v/>
      </c>
      <c r="B993" s="80" t="str">
        <f t="array" ref="B993">IF(A993="","",IFERROR(INDEX('Binder Setup'!$B$2:$B$401,MIN(IF(ISNUMBER(SEARCH(CHAR(10)&amp;'Binder Setup'!$B$2:$B$401&amp;CHAR(10),$H993)),'List Setup'!$Q$2:$Q$401,999),IF(ISNUMBER(SEARCH(CHAR(10)&amp;'Set Aliases'!$A$2:$A$501&amp;CHAR(10),$H993)),'Set Aliases'!$C$2:$C$501,999))),"(none)"))</f>
        <v/>
      </c>
      <c r="C993" s="80" t="str">
        <f t="shared" si="1"/>
        <v/>
      </c>
      <c r="D993" s="80" t="str">
        <f t="array" ref="D993">IF(A993="","",IF(ISLOGICAL(INDEX('Deck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93" s="80" t="str">
        <f t="shared" si="2"/>
        <v/>
      </c>
      <c r="F993" s="80" t="str">
        <f t="array" ref="F993">IF(A993="","",IF(ISNUMBER(J993),J993,IF(ISNUMBER(INDEX('Deck 3'!$A:$Z,ROW()-750,'List Setup'!$F$5)),INDEX('Deck 3'!$A:$Z,ROW()-750,'List Setup'!$F$5),0)))</f>
        <v/>
      </c>
      <c r="G993" s="80" t="str">
        <f t="array" ref="G993">IF(A993="","",A993&amp;IF(N(INDEX('Deck 3'!$A:$Z,ROW()-750,'List Setup'!$C$5))&gt;1," (x"&amp;INDEX('Deck 3'!$A:$Z,ROW()-750,'List Setup'!$C$5)&amp;")","")&amp;IF(COUNTIF(Binders!$J$6:$J$30,TRUE())&gt;1," ["&amp;Q993&amp;"]",""))</f>
        <v/>
      </c>
      <c r="H993" s="80" t="str">
        <f t="array" ref="H993">IF(A993="","",CHAR(10)&amp;INDEX('Deck 3'!$A:$Z,ROW()-750,'List Setup'!$E$5)&amp;CHAR(10))</f>
        <v/>
      </c>
      <c r="I993" s="80" t="str">
        <f t="array" ref="I993">IF(OR(B993="",B993="(none)"),"",IF(ISNUMBER(SEARCH(CHAR(10)&amp;B993&amp;CHAR(10),H993)),B993,IFERROR(INDEX('Set Aliases'!$A$2:$A$501,MATCH(1,('Set Aliases'!$B$2:$B$501=B993)*ISNUMBER(SEARCH(CHAR(10)&amp;'Set Aliases'!$A$2:$A$501&amp;CHAR(10),H993)),0)),"")))</f>
        <v/>
      </c>
      <c r="J993" s="80" t="str">
        <f t="array" ref="J993">IF(I993="","",IFERROR(VALUE(TRIM(MID(SUBSTITUTE(INDEX('Deck 3'!$A:$Z,ROW()-750,'List Setup'!$G$5),CHAR(10),REPT(" ",100)),((SEARCH(CHAR(10)&amp;I993&amp;CHAR(10),H993)-LEN(SUBSTITUTE(LEFT(H993,SEARCH(CHAR(10)&amp;I993&amp;CHAR(10),H993)),CHAR(10),"")))-1)*100+1,100))),""))</f>
        <v/>
      </c>
      <c r="K993" s="80" t="str">
        <f t="array" ref="K993">IF(A993="","",IF(ISNUMBER(SEARCH("Land",LEFT(IFERROR(INDEX('Deck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93" s="80" t="str">
        <f t="shared" si="3"/>
        <v/>
      </c>
      <c r="M993" s="80" t="str">
        <f>IF(A993="","",IF(AND(E993="Y",B993='Use at Shop'!$B$4),K993*10000000000+(MAX(0,MIN(26,CODE(MID(UPPER(A993)&amp;"    ",1,1))-64))*19683+MAX(0,MIN(26,CODE(MID(UPPER(A993)&amp;"    ",2,1))-64))*729+MAX(0,MIN(26,CODE(MID(UPPER(A993)&amp;"    ",3,1))-64))*27+MAX(0,MIN(26,CODE(MID(UPPER(A993)&amp;"    ",4,1))-64))*1)*10000+ROW(),""))</f>
        <v/>
      </c>
      <c r="N993" s="80" t="str">
        <f t="shared" si="7"/>
        <v/>
      </c>
      <c r="O993" s="80" t="str">
        <f t="array" ref="O993">IF(A993="","",IFERROR(INDEX('Deck 3'!$A:$Z,ROW()-750,'List Setup'!$J$5)&amp;"",""))</f>
        <v/>
      </c>
      <c r="P993" s="2"/>
      <c r="Q993" s="80" t="str">
        <f>IF(A993="","",'List Setup'!$A$5)</f>
        <v/>
      </c>
      <c r="R993" s="80" t="str">
        <f t="array" ref="R993">IF(A993="","",IFERROR(OR(INDEX(Binders!$J$6:$J$30,MATCH(Q993,Binders!$I$6:$I$30,0))=TRUE(),UPPER(INDEX(Binders!$J$6:$J$30,MATCH(Q993,Binders!$I$6:$I$30,0))&amp;"")="TRUE"),FALSE()))</f>
        <v/>
      </c>
    </row>
    <row r="994" ht="15.75" customHeight="1">
      <c r="A994" s="80" t="str">
        <f t="array" ref="A994">IF(INDEX('Deck 3'!$A:$Z,ROW()-750,'List Setup'!$D$5)="","",INDEX('Deck 3'!$A:$Z,ROW()-750,'List Setup'!$D$5))</f>
        <v/>
      </c>
      <c r="B994" s="80" t="str">
        <f t="array" ref="B994">IF(A994="","",IFERROR(INDEX('Binder Setup'!$B$2:$B$401,MIN(IF(ISNUMBER(SEARCH(CHAR(10)&amp;'Binder Setup'!$B$2:$B$401&amp;CHAR(10),$H994)),'List Setup'!$Q$2:$Q$401,999),IF(ISNUMBER(SEARCH(CHAR(10)&amp;'Set Aliases'!$A$2:$A$501&amp;CHAR(10),$H994)),'Set Aliases'!$C$2:$C$501,999))),"(none)"))</f>
        <v/>
      </c>
      <c r="C994" s="80" t="str">
        <f t="shared" si="1"/>
        <v/>
      </c>
      <c r="D994" s="80" t="str">
        <f t="array" ref="D994">IF(A994="","",IF(ISLOGICAL(INDEX('Deck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94" s="80" t="str">
        <f t="shared" si="2"/>
        <v/>
      </c>
      <c r="F994" s="80" t="str">
        <f t="array" ref="F994">IF(A994="","",IF(ISNUMBER(J994),J994,IF(ISNUMBER(INDEX('Deck 3'!$A:$Z,ROW()-750,'List Setup'!$F$5)),INDEX('Deck 3'!$A:$Z,ROW()-750,'List Setup'!$F$5),0)))</f>
        <v/>
      </c>
      <c r="G994" s="80" t="str">
        <f t="array" ref="G994">IF(A994="","",A994&amp;IF(N(INDEX('Deck 3'!$A:$Z,ROW()-750,'List Setup'!$C$5))&gt;1," (x"&amp;INDEX('Deck 3'!$A:$Z,ROW()-750,'List Setup'!$C$5)&amp;")","")&amp;IF(COUNTIF(Binders!$J$6:$J$30,TRUE())&gt;1," ["&amp;Q994&amp;"]",""))</f>
        <v/>
      </c>
      <c r="H994" s="80" t="str">
        <f t="array" ref="H994">IF(A994="","",CHAR(10)&amp;INDEX('Deck 3'!$A:$Z,ROW()-750,'List Setup'!$E$5)&amp;CHAR(10))</f>
        <v/>
      </c>
      <c r="I994" s="80" t="str">
        <f t="array" ref="I994">IF(OR(B994="",B994="(none)"),"",IF(ISNUMBER(SEARCH(CHAR(10)&amp;B994&amp;CHAR(10),H994)),B994,IFERROR(INDEX('Set Aliases'!$A$2:$A$501,MATCH(1,('Set Aliases'!$B$2:$B$501=B994)*ISNUMBER(SEARCH(CHAR(10)&amp;'Set Aliases'!$A$2:$A$501&amp;CHAR(10),H994)),0)),"")))</f>
        <v/>
      </c>
      <c r="J994" s="80" t="str">
        <f t="array" ref="J994">IF(I994="","",IFERROR(VALUE(TRIM(MID(SUBSTITUTE(INDEX('Deck 3'!$A:$Z,ROW()-750,'List Setup'!$G$5),CHAR(10),REPT(" ",100)),((SEARCH(CHAR(10)&amp;I994&amp;CHAR(10),H994)-LEN(SUBSTITUTE(LEFT(H994,SEARCH(CHAR(10)&amp;I994&amp;CHAR(10),H994)),CHAR(10),"")))-1)*100+1,100))),""))</f>
        <v/>
      </c>
      <c r="K994" s="80" t="str">
        <f t="array" ref="K994">IF(A994="","",IF(ISNUMBER(SEARCH("Land",LEFT(IFERROR(INDEX('Deck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94" s="80" t="str">
        <f t="shared" si="3"/>
        <v/>
      </c>
      <c r="M994" s="80" t="str">
        <f>IF(A994="","",IF(AND(E994="Y",B994='Use at Shop'!$B$4),K994*10000000000+(MAX(0,MIN(26,CODE(MID(UPPER(A994)&amp;"    ",1,1))-64))*19683+MAX(0,MIN(26,CODE(MID(UPPER(A994)&amp;"    ",2,1))-64))*729+MAX(0,MIN(26,CODE(MID(UPPER(A994)&amp;"    ",3,1))-64))*27+MAX(0,MIN(26,CODE(MID(UPPER(A994)&amp;"    ",4,1))-64))*1)*10000+ROW(),""))</f>
        <v/>
      </c>
      <c r="N994" s="80" t="str">
        <f t="shared" si="7"/>
        <v/>
      </c>
      <c r="O994" s="80" t="str">
        <f t="array" ref="O994">IF(A994="","",IFERROR(INDEX('Deck 3'!$A:$Z,ROW()-750,'List Setup'!$J$5)&amp;"",""))</f>
        <v/>
      </c>
      <c r="P994" s="2"/>
      <c r="Q994" s="80" t="str">
        <f>IF(A994="","",'List Setup'!$A$5)</f>
        <v/>
      </c>
      <c r="R994" s="80" t="str">
        <f t="array" ref="R994">IF(A994="","",IFERROR(OR(INDEX(Binders!$J$6:$J$30,MATCH(Q994,Binders!$I$6:$I$30,0))=TRUE(),UPPER(INDEX(Binders!$J$6:$J$30,MATCH(Q994,Binders!$I$6:$I$30,0))&amp;"")="TRUE"),FALSE()))</f>
        <v/>
      </c>
    </row>
    <row r="995" ht="15.75" customHeight="1">
      <c r="A995" s="80" t="str">
        <f t="array" ref="A995">IF(INDEX('Deck 3'!$A:$Z,ROW()-750,'List Setup'!$D$5)="","",INDEX('Deck 3'!$A:$Z,ROW()-750,'List Setup'!$D$5))</f>
        <v/>
      </c>
      <c r="B995" s="80" t="str">
        <f t="array" ref="B995">IF(A995="","",IFERROR(INDEX('Binder Setup'!$B$2:$B$401,MIN(IF(ISNUMBER(SEARCH(CHAR(10)&amp;'Binder Setup'!$B$2:$B$401&amp;CHAR(10),$H995)),'List Setup'!$Q$2:$Q$401,999),IF(ISNUMBER(SEARCH(CHAR(10)&amp;'Set Aliases'!$A$2:$A$501&amp;CHAR(10),$H995)),'Set Aliases'!$C$2:$C$501,999))),"(none)"))</f>
        <v/>
      </c>
      <c r="C995" s="80" t="str">
        <f t="shared" si="1"/>
        <v/>
      </c>
      <c r="D995" s="80" t="str">
        <f t="array" ref="D995">IF(A995="","",IF(ISLOGICAL(INDEX('Deck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95" s="80" t="str">
        <f t="shared" si="2"/>
        <v/>
      </c>
      <c r="F995" s="80" t="str">
        <f t="array" ref="F995">IF(A995="","",IF(ISNUMBER(J995),J995,IF(ISNUMBER(INDEX('Deck 3'!$A:$Z,ROW()-750,'List Setup'!$F$5)),INDEX('Deck 3'!$A:$Z,ROW()-750,'List Setup'!$F$5),0)))</f>
        <v/>
      </c>
      <c r="G995" s="80" t="str">
        <f t="array" ref="G995">IF(A995="","",A995&amp;IF(N(INDEX('Deck 3'!$A:$Z,ROW()-750,'List Setup'!$C$5))&gt;1," (x"&amp;INDEX('Deck 3'!$A:$Z,ROW()-750,'List Setup'!$C$5)&amp;")","")&amp;IF(COUNTIF(Binders!$J$6:$J$30,TRUE())&gt;1," ["&amp;Q995&amp;"]",""))</f>
        <v/>
      </c>
      <c r="H995" s="80" t="str">
        <f t="array" ref="H995">IF(A995="","",CHAR(10)&amp;INDEX('Deck 3'!$A:$Z,ROW()-750,'List Setup'!$E$5)&amp;CHAR(10))</f>
        <v/>
      </c>
      <c r="I995" s="80" t="str">
        <f t="array" ref="I995">IF(OR(B995="",B995="(none)"),"",IF(ISNUMBER(SEARCH(CHAR(10)&amp;B995&amp;CHAR(10),H995)),B995,IFERROR(INDEX('Set Aliases'!$A$2:$A$501,MATCH(1,('Set Aliases'!$B$2:$B$501=B995)*ISNUMBER(SEARCH(CHAR(10)&amp;'Set Aliases'!$A$2:$A$501&amp;CHAR(10),H995)),0)),"")))</f>
        <v/>
      </c>
      <c r="J995" s="80" t="str">
        <f t="array" ref="J995">IF(I995="","",IFERROR(VALUE(TRIM(MID(SUBSTITUTE(INDEX('Deck 3'!$A:$Z,ROW()-750,'List Setup'!$G$5),CHAR(10),REPT(" ",100)),((SEARCH(CHAR(10)&amp;I995&amp;CHAR(10),H995)-LEN(SUBSTITUTE(LEFT(H995,SEARCH(CHAR(10)&amp;I995&amp;CHAR(10),H995)),CHAR(10),"")))-1)*100+1,100))),""))</f>
        <v/>
      </c>
      <c r="K995" s="80" t="str">
        <f t="array" ref="K995">IF(A995="","",IF(ISNUMBER(SEARCH("Land",LEFT(IFERROR(INDEX('Deck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95" s="80" t="str">
        <f t="shared" si="3"/>
        <v/>
      </c>
      <c r="M995" s="80" t="str">
        <f>IF(A995="","",IF(AND(E995="Y",B995='Use at Shop'!$B$4),K995*10000000000+(MAX(0,MIN(26,CODE(MID(UPPER(A995)&amp;"    ",1,1))-64))*19683+MAX(0,MIN(26,CODE(MID(UPPER(A995)&amp;"    ",2,1))-64))*729+MAX(0,MIN(26,CODE(MID(UPPER(A995)&amp;"    ",3,1))-64))*27+MAX(0,MIN(26,CODE(MID(UPPER(A995)&amp;"    ",4,1))-64))*1)*10000+ROW(),""))</f>
        <v/>
      </c>
      <c r="N995" s="80" t="str">
        <f t="shared" si="7"/>
        <v/>
      </c>
      <c r="O995" s="80" t="str">
        <f t="array" ref="O995">IF(A995="","",IFERROR(INDEX('Deck 3'!$A:$Z,ROW()-750,'List Setup'!$J$5)&amp;"",""))</f>
        <v/>
      </c>
      <c r="P995" s="2"/>
      <c r="Q995" s="80" t="str">
        <f>IF(A995="","",'List Setup'!$A$5)</f>
        <v/>
      </c>
      <c r="R995" s="80" t="str">
        <f t="array" ref="R995">IF(A995="","",IFERROR(OR(INDEX(Binders!$J$6:$J$30,MATCH(Q995,Binders!$I$6:$I$30,0))=TRUE(),UPPER(INDEX(Binders!$J$6:$J$30,MATCH(Q995,Binders!$I$6:$I$30,0))&amp;"")="TRUE"),FALSE()))</f>
        <v/>
      </c>
    </row>
    <row r="996" ht="15.75" customHeight="1">
      <c r="A996" s="80" t="str">
        <f t="array" ref="A996">IF(INDEX('Deck 3'!$A:$Z,ROW()-750,'List Setup'!$D$5)="","",INDEX('Deck 3'!$A:$Z,ROW()-750,'List Setup'!$D$5))</f>
        <v/>
      </c>
      <c r="B996" s="80" t="str">
        <f t="array" ref="B996">IF(A996="","",IFERROR(INDEX('Binder Setup'!$B$2:$B$401,MIN(IF(ISNUMBER(SEARCH(CHAR(10)&amp;'Binder Setup'!$B$2:$B$401&amp;CHAR(10),$H996)),'List Setup'!$Q$2:$Q$401,999),IF(ISNUMBER(SEARCH(CHAR(10)&amp;'Set Aliases'!$A$2:$A$501&amp;CHAR(10),$H996)),'Set Aliases'!$C$2:$C$501,999))),"(none)"))</f>
        <v/>
      </c>
      <c r="C996" s="80" t="str">
        <f t="shared" si="1"/>
        <v/>
      </c>
      <c r="D996" s="80" t="str">
        <f t="array" ref="D996">IF(A996="","",IF(ISLOGICAL(INDEX('Deck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96" s="80" t="str">
        <f t="shared" si="2"/>
        <v/>
      </c>
      <c r="F996" s="80" t="str">
        <f t="array" ref="F996">IF(A996="","",IF(ISNUMBER(J996),J996,IF(ISNUMBER(INDEX('Deck 3'!$A:$Z,ROW()-750,'List Setup'!$F$5)),INDEX('Deck 3'!$A:$Z,ROW()-750,'List Setup'!$F$5),0)))</f>
        <v/>
      </c>
      <c r="G996" s="80" t="str">
        <f t="array" ref="G996">IF(A996="","",A996&amp;IF(N(INDEX('Deck 3'!$A:$Z,ROW()-750,'List Setup'!$C$5))&gt;1," (x"&amp;INDEX('Deck 3'!$A:$Z,ROW()-750,'List Setup'!$C$5)&amp;")","")&amp;IF(COUNTIF(Binders!$J$6:$J$30,TRUE())&gt;1," ["&amp;Q996&amp;"]",""))</f>
        <v/>
      </c>
      <c r="H996" s="80" t="str">
        <f t="array" ref="H996">IF(A996="","",CHAR(10)&amp;INDEX('Deck 3'!$A:$Z,ROW()-750,'List Setup'!$E$5)&amp;CHAR(10))</f>
        <v/>
      </c>
      <c r="I996" s="80" t="str">
        <f t="array" ref="I996">IF(OR(B996="",B996="(none)"),"",IF(ISNUMBER(SEARCH(CHAR(10)&amp;B996&amp;CHAR(10),H996)),B996,IFERROR(INDEX('Set Aliases'!$A$2:$A$501,MATCH(1,('Set Aliases'!$B$2:$B$501=B996)*ISNUMBER(SEARCH(CHAR(10)&amp;'Set Aliases'!$A$2:$A$501&amp;CHAR(10),H996)),0)),"")))</f>
        <v/>
      </c>
      <c r="J996" s="80" t="str">
        <f t="array" ref="J996">IF(I996="","",IFERROR(VALUE(TRIM(MID(SUBSTITUTE(INDEX('Deck 3'!$A:$Z,ROW()-750,'List Setup'!$G$5),CHAR(10),REPT(" ",100)),((SEARCH(CHAR(10)&amp;I996&amp;CHAR(10),H996)-LEN(SUBSTITUTE(LEFT(H996,SEARCH(CHAR(10)&amp;I996&amp;CHAR(10),H996)),CHAR(10),"")))-1)*100+1,100))),""))</f>
        <v/>
      </c>
      <c r="K996" s="80" t="str">
        <f t="array" ref="K996">IF(A996="","",IF(ISNUMBER(SEARCH("Land",LEFT(IFERROR(INDEX('Deck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96" s="80" t="str">
        <f t="shared" si="3"/>
        <v/>
      </c>
      <c r="M996" s="80" t="str">
        <f>IF(A996="","",IF(AND(E996="Y",B996='Use at Shop'!$B$4),K996*10000000000+(MAX(0,MIN(26,CODE(MID(UPPER(A996)&amp;"    ",1,1))-64))*19683+MAX(0,MIN(26,CODE(MID(UPPER(A996)&amp;"    ",2,1))-64))*729+MAX(0,MIN(26,CODE(MID(UPPER(A996)&amp;"    ",3,1))-64))*27+MAX(0,MIN(26,CODE(MID(UPPER(A996)&amp;"    ",4,1))-64))*1)*10000+ROW(),""))</f>
        <v/>
      </c>
      <c r="N996" s="80" t="str">
        <f t="shared" si="7"/>
        <v/>
      </c>
      <c r="O996" s="80" t="str">
        <f t="array" ref="O996">IF(A996="","",IFERROR(INDEX('Deck 3'!$A:$Z,ROW()-750,'List Setup'!$J$5)&amp;"",""))</f>
        <v/>
      </c>
      <c r="P996" s="2"/>
      <c r="Q996" s="80" t="str">
        <f>IF(A996="","",'List Setup'!$A$5)</f>
        <v/>
      </c>
      <c r="R996" s="80" t="str">
        <f t="array" ref="R996">IF(A996="","",IFERROR(OR(INDEX(Binders!$J$6:$J$30,MATCH(Q996,Binders!$I$6:$I$30,0))=TRUE(),UPPER(INDEX(Binders!$J$6:$J$30,MATCH(Q996,Binders!$I$6:$I$30,0))&amp;"")="TRUE"),FALSE()))</f>
        <v/>
      </c>
    </row>
    <row r="997" ht="15.75" customHeight="1">
      <c r="A997" s="80" t="str">
        <f t="array" ref="A997">IF(INDEX('Deck 3'!$A:$Z,ROW()-750,'List Setup'!$D$5)="","",INDEX('Deck 3'!$A:$Z,ROW()-750,'List Setup'!$D$5))</f>
        <v/>
      </c>
      <c r="B997" s="80" t="str">
        <f t="array" ref="B997">IF(A997="","",IFERROR(INDEX('Binder Setup'!$B$2:$B$401,MIN(IF(ISNUMBER(SEARCH(CHAR(10)&amp;'Binder Setup'!$B$2:$B$401&amp;CHAR(10),$H997)),'List Setup'!$Q$2:$Q$401,999),IF(ISNUMBER(SEARCH(CHAR(10)&amp;'Set Aliases'!$A$2:$A$501&amp;CHAR(10),$H997)),'Set Aliases'!$C$2:$C$501,999))),"(none)"))</f>
        <v/>
      </c>
      <c r="C997" s="80" t="str">
        <f t="shared" si="1"/>
        <v/>
      </c>
      <c r="D997" s="80" t="str">
        <f t="array" ref="D997">IF(A997="","",IF(ISLOGICAL(INDEX('Deck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97" s="80" t="str">
        <f t="shared" si="2"/>
        <v/>
      </c>
      <c r="F997" s="80" t="str">
        <f t="array" ref="F997">IF(A997="","",IF(ISNUMBER(J997),J997,IF(ISNUMBER(INDEX('Deck 3'!$A:$Z,ROW()-750,'List Setup'!$F$5)),INDEX('Deck 3'!$A:$Z,ROW()-750,'List Setup'!$F$5),0)))</f>
        <v/>
      </c>
      <c r="G997" s="80" t="str">
        <f t="array" ref="G997">IF(A997="","",A997&amp;IF(N(INDEX('Deck 3'!$A:$Z,ROW()-750,'List Setup'!$C$5))&gt;1," (x"&amp;INDEX('Deck 3'!$A:$Z,ROW()-750,'List Setup'!$C$5)&amp;")","")&amp;IF(COUNTIF(Binders!$J$6:$J$30,TRUE())&gt;1," ["&amp;Q997&amp;"]",""))</f>
        <v/>
      </c>
      <c r="H997" s="80" t="str">
        <f t="array" ref="H997">IF(A997="","",CHAR(10)&amp;INDEX('Deck 3'!$A:$Z,ROW()-750,'List Setup'!$E$5)&amp;CHAR(10))</f>
        <v/>
      </c>
      <c r="I997" s="80" t="str">
        <f t="array" ref="I997">IF(OR(B997="",B997="(none)"),"",IF(ISNUMBER(SEARCH(CHAR(10)&amp;B997&amp;CHAR(10),H997)),B997,IFERROR(INDEX('Set Aliases'!$A$2:$A$501,MATCH(1,('Set Aliases'!$B$2:$B$501=B997)*ISNUMBER(SEARCH(CHAR(10)&amp;'Set Aliases'!$A$2:$A$501&amp;CHAR(10),H997)),0)),"")))</f>
        <v/>
      </c>
      <c r="J997" s="80" t="str">
        <f t="array" ref="J997">IF(I997="","",IFERROR(VALUE(TRIM(MID(SUBSTITUTE(INDEX('Deck 3'!$A:$Z,ROW()-750,'List Setup'!$G$5),CHAR(10),REPT(" ",100)),((SEARCH(CHAR(10)&amp;I997&amp;CHAR(10),H997)-LEN(SUBSTITUTE(LEFT(H997,SEARCH(CHAR(10)&amp;I997&amp;CHAR(10),H997)),CHAR(10),"")))-1)*100+1,100))),""))</f>
        <v/>
      </c>
      <c r="K997" s="80" t="str">
        <f t="array" ref="K997">IF(A997="","",IF(ISNUMBER(SEARCH("Land",LEFT(IFERROR(INDEX('Deck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97" s="80" t="str">
        <f t="shared" si="3"/>
        <v/>
      </c>
      <c r="M997" s="80" t="str">
        <f>IF(A997="","",IF(AND(E997="Y",B997='Use at Shop'!$B$4),K997*10000000000+(MAX(0,MIN(26,CODE(MID(UPPER(A997)&amp;"    ",1,1))-64))*19683+MAX(0,MIN(26,CODE(MID(UPPER(A997)&amp;"    ",2,1))-64))*729+MAX(0,MIN(26,CODE(MID(UPPER(A997)&amp;"    ",3,1))-64))*27+MAX(0,MIN(26,CODE(MID(UPPER(A997)&amp;"    ",4,1))-64))*1)*10000+ROW(),""))</f>
        <v/>
      </c>
      <c r="N997" s="80" t="str">
        <f t="shared" si="7"/>
        <v/>
      </c>
      <c r="O997" s="80" t="str">
        <f t="array" ref="O997">IF(A997="","",IFERROR(INDEX('Deck 3'!$A:$Z,ROW()-750,'List Setup'!$J$5)&amp;"",""))</f>
        <v/>
      </c>
      <c r="P997" s="2"/>
      <c r="Q997" s="80" t="str">
        <f>IF(A997="","",'List Setup'!$A$5)</f>
        <v/>
      </c>
      <c r="R997" s="80" t="str">
        <f t="array" ref="R997">IF(A997="","",IFERROR(OR(INDEX(Binders!$J$6:$J$30,MATCH(Q997,Binders!$I$6:$I$30,0))=TRUE(),UPPER(INDEX(Binders!$J$6:$J$30,MATCH(Q997,Binders!$I$6:$I$30,0))&amp;"")="TRUE"),FALSE()))</f>
        <v/>
      </c>
    </row>
    <row r="998" ht="15.75" customHeight="1">
      <c r="A998" s="80" t="str">
        <f t="array" ref="A998">IF(INDEX('Deck 3'!$A:$Z,ROW()-750,'List Setup'!$D$5)="","",INDEX('Deck 3'!$A:$Z,ROW()-750,'List Setup'!$D$5))</f>
        <v/>
      </c>
      <c r="B998" s="80" t="str">
        <f t="array" ref="B998">IF(A998="","",IFERROR(INDEX('Binder Setup'!$B$2:$B$401,MIN(IF(ISNUMBER(SEARCH(CHAR(10)&amp;'Binder Setup'!$B$2:$B$401&amp;CHAR(10),$H998)),'List Setup'!$Q$2:$Q$401,999),IF(ISNUMBER(SEARCH(CHAR(10)&amp;'Set Aliases'!$A$2:$A$501&amp;CHAR(10),$H998)),'Set Aliases'!$C$2:$C$501,999))),"(none)"))</f>
        <v/>
      </c>
      <c r="C998" s="80" t="str">
        <f t="shared" si="1"/>
        <v/>
      </c>
      <c r="D998" s="80" t="str">
        <f t="array" ref="D998">IF(A998="","",IF(ISLOGICAL(INDEX('Deck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98" s="80" t="str">
        <f t="shared" si="2"/>
        <v/>
      </c>
      <c r="F998" s="80" t="str">
        <f t="array" ref="F998">IF(A998="","",IF(ISNUMBER(J998),J998,IF(ISNUMBER(INDEX('Deck 3'!$A:$Z,ROW()-750,'List Setup'!$F$5)),INDEX('Deck 3'!$A:$Z,ROW()-750,'List Setup'!$F$5),0)))</f>
        <v/>
      </c>
      <c r="G998" s="80" t="str">
        <f t="array" ref="G998">IF(A998="","",A998&amp;IF(N(INDEX('Deck 3'!$A:$Z,ROW()-750,'List Setup'!$C$5))&gt;1," (x"&amp;INDEX('Deck 3'!$A:$Z,ROW()-750,'List Setup'!$C$5)&amp;")","")&amp;IF(COUNTIF(Binders!$J$6:$J$30,TRUE())&gt;1," ["&amp;Q998&amp;"]",""))</f>
        <v/>
      </c>
      <c r="H998" s="80" t="str">
        <f t="array" ref="H998">IF(A998="","",CHAR(10)&amp;INDEX('Deck 3'!$A:$Z,ROW()-750,'List Setup'!$E$5)&amp;CHAR(10))</f>
        <v/>
      </c>
      <c r="I998" s="80" t="str">
        <f t="array" ref="I998">IF(OR(B998="",B998="(none)"),"",IF(ISNUMBER(SEARCH(CHAR(10)&amp;B998&amp;CHAR(10),H998)),B998,IFERROR(INDEX('Set Aliases'!$A$2:$A$501,MATCH(1,('Set Aliases'!$B$2:$B$501=B998)*ISNUMBER(SEARCH(CHAR(10)&amp;'Set Aliases'!$A$2:$A$501&amp;CHAR(10),H998)),0)),"")))</f>
        <v/>
      </c>
      <c r="J998" s="80" t="str">
        <f t="array" ref="J998">IF(I998="","",IFERROR(VALUE(TRIM(MID(SUBSTITUTE(INDEX('Deck 3'!$A:$Z,ROW()-750,'List Setup'!$G$5),CHAR(10),REPT(" ",100)),((SEARCH(CHAR(10)&amp;I998&amp;CHAR(10),H998)-LEN(SUBSTITUTE(LEFT(H998,SEARCH(CHAR(10)&amp;I998&amp;CHAR(10),H998)),CHAR(10),"")))-1)*100+1,100))),""))</f>
        <v/>
      </c>
      <c r="K998" s="80" t="str">
        <f t="array" ref="K998">IF(A998="","",IF(ISNUMBER(SEARCH("Land",LEFT(IFERROR(INDEX('Deck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98" s="80" t="str">
        <f t="shared" si="3"/>
        <v/>
      </c>
      <c r="M998" s="80" t="str">
        <f>IF(A998="","",IF(AND(E998="Y",B998='Use at Shop'!$B$4),K998*10000000000+(MAX(0,MIN(26,CODE(MID(UPPER(A998)&amp;"    ",1,1))-64))*19683+MAX(0,MIN(26,CODE(MID(UPPER(A998)&amp;"    ",2,1))-64))*729+MAX(0,MIN(26,CODE(MID(UPPER(A998)&amp;"    ",3,1))-64))*27+MAX(0,MIN(26,CODE(MID(UPPER(A998)&amp;"    ",4,1))-64))*1)*10000+ROW(),""))</f>
        <v/>
      </c>
      <c r="N998" s="80" t="str">
        <f t="shared" si="7"/>
        <v/>
      </c>
      <c r="O998" s="80" t="str">
        <f t="array" ref="O998">IF(A998="","",IFERROR(INDEX('Deck 3'!$A:$Z,ROW()-750,'List Setup'!$J$5)&amp;"",""))</f>
        <v/>
      </c>
      <c r="P998" s="2"/>
      <c r="Q998" s="80" t="str">
        <f>IF(A998="","",'List Setup'!$A$5)</f>
        <v/>
      </c>
      <c r="R998" s="80" t="str">
        <f t="array" ref="R998">IF(A998="","",IFERROR(OR(INDEX(Binders!$J$6:$J$30,MATCH(Q998,Binders!$I$6:$I$30,0))=TRUE(),UPPER(INDEX(Binders!$J$6:$J$30,MATCH(Q998,Binders!$I$6:$I$30,0))&amp;"")="TRUE"),FALSE()))</f>
        <v/>
      </c>
    </row>
    <row r="999" ht="15.75" customHeight="1">
      <c r="A999" s="80" t="str">
        <f t="array" ref="A999">IF(INDEX('Deck 3'!$A:$Z,ROW()-750,'List Setup'!$D$5)="","",INDEX('Deck 3'!$A:$Z,ROW()-750,'List Setup'!$D$5))</f>
        <v/>
      </c>
      <c r="B999" s="80" t="str">
        <f t="array" ref="B999">IF(A999="","",IFERROR(INDEX('Binder Setup'!$B$2:$B$401,MIN(IF(ISNUMBER(SEARCH(CHAR(10)&amp;'Binder Setup'!$B$2:$B$401&amp;CHAR(10),$H999)),'List Setup'!$Q$2:$Q$401,999),IF(ISNUMBER(SEARCH(CHAR(10)&amp;'Set Aliases'!$A$2:$A$501&amp;CHAR(10),$H999)),'Set Aliases'!$C$2:$C$501,999))),"(none)"))</f>
        <v/>
      </c>
      <c r="C999" s="80" t="str">
        <f t="shared" si="1"/>
        <v/>
      </c>
      <c r="D999" s="80" t="str">
        <f t="array" ref="D999">IF(A999="","",IF(ISLOGICAL(INDEX('Deck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999" s="80" t="str">
        <f t="shared" si="2"/>
        <v/>
      </c>
      <c r="F999" s="80" t="str">
        <f t="array" ref="F999">IF(A999="","",IF(ISNUMBER(J999),J999,IF(ISNUMBER(INDEX('Deck 3'!$A:$Z,ROW()-750,'List Setup'!$F$5)),INDEX('Deck 3'!$A:$Z,ROW()-750,'List Setup'!$F$5),0)))</f>
        <v/>
      </c>
      <c r="G999" s="80" t="str">
        <f t="array" ref="G999">IF(A999="","",A999&amp;IF(N(INDEX('Deck 3'!$A:$Z,ROW()-750,'List Setup'!$C$5))&gt;1," (x"&amp;INDEX('Deck 3'!$A:$Z,ROW()-750,'List Setup'!$C$5)&amp;")","")&amp;IF(COUNTIF(Binders!$J$6:$J$30,TRUE())&gt;1," ["&amp;Q999&amp;"]",""))</f>
        <v/>
      </c>
      <c r="H999" s="80" t="str">
        <f t="array" ref="H999">IF(A999="","",CHAR(10)&amp;INDEX('Deck 3'!$A:$Z,ROW()-750,'List Setup'!$E$5)&amp;CHAR(10))</f>
        <v/>
      </c>
      <c r="I999" s="80" t="str">
        <f t="array" ref="I999">IF(OR(B999="",B999="(none)"),"",IF(ISNUMBER(SEARCH(CHAR(10)&amp;B999&amp;CHAR(10),H999)),B999,IFERROR(INDEX('Set Aliases'!$A$2:$A$501,MATCH(1,('Set Aliases'!$B$2:$B$501=B999)*ISNUMBER(SEARCH(CHAR(10)&amp;'Set Aliases'!$A$2:$A$501&amp;CHAR(10),H999)),0)),"")))</f>
        <v/>
      </c>
      <c r="J999" s="80" t="str">
        <f t="array" ref="J999">IF(I999="","",IFERROR(VALUE(TRIM(MID(SUBSTITUTE(INDEX('Deck 3'!$A:$Z,ROW()-750,'List Setup'!$G$5),CHAR(10),REPT(" ",100)),((SEARCH(CHAR(10)&amp;I999&amp;CHAR(10),H999)-LEN(SUBSTITUTE(LEFT(H999,SEARCH(CHAR(10)&amp;I999&amp;CHAR(10),H999)),CHAR(10),"")))-1)*100+1,100))),""))</f>
        <v/>
      </c>
      <c r="K999" s="80" t="str">
        <f t="array" ref="K999">IF(A999="","",IF(ISNUMBER(SEARCH("Land",LEFT(IFERROR(INDEX('Deck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999" s="80" t="str">
        <f t="shared" si="3"/>
        <v/>
      </c>
      <c r="M999" s="80" t="str">
        <f>IF(A999="","",IF(AND(E999="Y",B999='Use at Shop'!$B$4),K999*10000000000+(MAX(0,MIN(26,CODE(MID(UPPER(A999)&amp;"    ",1,1))-64))*19683+MAX(0,MIN(26,CODE(MID(UPPER(A999)&amp;"    ",2,1))-64))*729+MAX(0,MIN(26,CODE(MID(UPPER(A999)&amp;"    ",3,1))-64))*27+MAX(0,MIN(26,CODE(MID(UPPER(A999)&amp;"    ",4,1))-64))*1)*10000+ROW(),""))</f>
        <v/>
      </c>
      <c r="N999" s="80" t="str">
        <f t="shared" si="7"/>
        <v/>
      </c>
      <c r="O999" s="80" t="str">
        <f t="array" ref="O999">IF(A999="","",IFERROR(INDEX('Deck 3'!$A:$Z,ROW()-750,'List Setup'!$J$5)&amp;"",""))</f>
        <v/>
      </c>
      <c r="P999" s="2"/>
      <c r="Q999" s="80" t="str">
        <f>IF(A999="","",'List Setup'!$A$5)</f>
        <v/>
      </c>
      <c r="R999" s="80" t="str">
        <f t="array" ref="R999">IF(A999="","",IFERROR(OR(INDEX(Binders!$J$6:$J$30,MATCH(Q999,Binders!$I$6:$I$30,0))=TRUE(),UPPER(INDEX(Binders!$J$6:$J$30,MATCH(Q999,Binders!$I$6:$I$30,0))&amp;"")="TRUE"),FALSE()))</f>
        <v/>
      </c>
    </row>
    <row r="1000" ht="15.75" customHeight="1">
      <c r="A1000" s="80" t="str">
        <f t="array" ref="A1000">IF(INDEX('Deck 3'!$A:$Z,ROW()-750,'List Setup'!$D$5)="","",INDEX('Deck 3'!$A:$Z,ROW()-750,'List Setup'!$D$5))</f>
        <v/>
      </c>
      <c r="B1000" s="80" t="str">
        <f t="array" ref="B1000">IF(A1000="","",IFERROR(INDEX('Binder Setup'!$B$2:$B$401,MIN(IF(ISNUMBER(SEARCH(CHAR(10)&amp;'Binder Setup'!$B$2:$B$401&amp;CHAR(10),$H1000)),'List Setup'!$Q$2:$Q$401,999),IF(ISNUMBER(SEARCH(CHAR(10)&amp;'Set Aliases'!$A$2:$A$501&amp;CHAR(10),$H1000)),'Set Aliases'!$C$2:$C$501,999))),"(none)"))</f>
        <v/>
      </c>
      <c r="C1000" s="80" t="str">
        <f t="shared" si="1"/>
        <v/>
      </c>
      <c r="D1000" s="80" t="str">
        <f t="array" ref="D1000">IF(A1000="","",IF(ISLOGICAL(INDEX('Deck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1000" s="80" t="str">
        <f t="shared" si="2"/>
        <v/>
      </c>
      <c r="F1000" s="80" t="str">
        <f t="array" ref="F1000">IF(A1000="","",IF(ISNUMBER(J1000),J1000,IF(ISNUMBER(INDEX('Deck 3'!$A:$Z,ROW()-750,'List Setup'!$F$5)),INDEX('Deck 3'!$A:$Z,ROW()-750,'List Setup'!$F$5),0)))</f>
        <v/>
      </c>
      <c r="G1000" s="80" t="str">
        <f t="array" ref="G1000">IF(A1000="","",A1000&amp;IF(N(INDEX('Deck 3'!$A:$Z,ROW()-750,'List Setup'!$C$5))&gt;1," (x"&amp;INDEX('Deck 3'!$A:$Z,ROW()-750,'List Setup'!$C$5)&amp;")","")&amp;IF(COUNTIF(Binders!$J$6:$J$30,TRUE())&gt;1," ["&amp;Q1000&amp;"]",""))</f>
        <v/>
      </c>
      <c r="H1000" s="80" t="str">
        <f t="array" ref="H1000">IF(A1000="","",CHAR(10)&amp;INDEX('Deck 3'!$A:$Z,ROW()-750,'List Setup'!$E$5)&amp;CHAR(10))</f>
        <v/>
      </c>
      <c r="I1000" s="80" t="str">
        <f t="array" ref="I1000">IF(OR(B1000="",B1000="(none)"),"",IF(ISNUMBER(SEARCH(CHAR(10)&amp;B1000&amp;CHAR(10),H1000)),B1000,IFERROR(INDEX('Set Aliases'!$A$2:$A$501,MATCH(1,('Set Aliases'!$B$2:$B$501=B1000)*ISNUMBER(SEARCH(CHAR(10)&amp;'Set Aliases'!$A$2:$A$501&amp;CHAR(10),H1000)),0)),"")))</f>
        <v/>
      </c>
      <c r="J1000" s="80" t="str">
        <f t="array" ref="J1000">IF(I1000="","",IFERROR(VALUE(TRIM(MID(SUBSTITUTE(INDEX('Deck 3'!$A:$Z,ROW()-750,'List Setup'!$G$5),CHAR(10),REPT(" ",100)),((SEARCH(CHAR(10)&amp;I1000&amp;CHAR(10),H1000)-LEN(SUBSTITUTE(LEFT(H1000,SEARCH(CHAR(10)&amp;I1000&amp;CHAR(10),H1000)),CHAR(10),"")))-1)*100+1,100))),""))</f>
        <v/>
      </c>
      <c r="K1000" s="80" t="str">
        <f t="array" ref="K1000">IF(A1000="","",IF(ISNUMBER(SEARCH("Land",LEFT(IFERROR(INDEX('Deck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1000" s="80" t="str">
        <f t="shared" si="3"/>
        <v/>
      </c>
      <c r="M1000" s="80" t="str">
        <f>IF(A1000="","",IF(AND(E1000="Y",B1000='Use at Shop'!$B$4),K1000*10000000000+(MAX(0,MIN(26,CODE(MID(UPPER(A1000)&amp;"    ",1,1))-64))*19683+MAX(0,MIN(26,CODE(MID(UPPER(A1000)&amp;"    ",2,1))-64))*729+MAX(0,MIN(26,CODE(MID(UPPER(A1000)&amp;"    ",3,1))-64))*27+MAX(0,MIN(26,CODE(MID(UPPER(A1000)&amp;"    ",4,1))-64))*1)*10000+ROW(),""))</f>
        <v/>
      </c>
      <c r="N1000" s="80" t="str">
        <f t="shared" si="7"/>
        <v/>
      </c>
      <c r="O1000" s="80" t="str">
        <f t="array" ref="O1000">IF(A1000="","",IFERROR(INDEX('Deck 3'!$A:$Z,ROW()-750,'List Setup'!$J$5)&amp;"",""))</f>
        <v/>
      </c>
      <c r="P1000" s="2"/>
      <c r="Q1000" s="80" t="str">
        <f>IF(A1000="","",'List Setup'!$A$5)</f>
        <v/>
      </c>
      <c r="R1000" s="80" t="str">
        <f t="array" ref="R1000">IF(A1000="","",IFERROR(OR(INDEX(Binders!$J$6:$J$30,MATCH(Q1000,Binders!$I$6:$I$30,0))=TRUE(),UPPER(INDEX(Binders!$J$6:$J$30,MATCH(Q1000,Binders!$I$6:$I$30,0))&amp;"")="TRUE"),FALSE()))</f>
        <v/>
      </c>
    </row>
    <row r="1001" ht="15.75" customHeight="1">
      <c r="A1001" s="80" t="str">
        <f t="array" ref="A1001">IF(INDEX('Deck 3'!$A:$Z,ROW()-750,'List Setup'!$D$5)="","",INDEX('Deck 3'!$A:$Z,ROW()-750,'List Setup'!$D$5))</f>
        <v/>
      </c>
      <c r="B1001" s="80" t="str">
        <f t="array" ref="B1001">IF(A1001="","",IFERROR(INDEX('Binder Setup'!$B$2:$B$401,MIN(IF(ISNUMBER(SEARCH(CHAR(10)&amp;'Binder Setup'!$B$2:$B$401&amp;CHAR(10),$H1001)),'List Setup'!$Q$2:$Q$401,999),IF(ISNUMBER(SEARCH(CHAR(10)&amp;'Set Aliases'!$A$2:$A$501&amp;CHAR(10),$H1001)),'Set Aliases'!$C$2:$C$501,999))),"(none)"))</f>
        <v/>
      </c>
      <c r="C1001" s="80" t="str">
        <f t="shared" si="1"/>
        <v/>
      </c>
      <c r="D1001" s="80" t="str">
        <f t="array" ref="D1001">IF(A1001="","",IF(ISLOGICAL(INDEX('Deck 3'!$A:$Z,ROW()-750,'List Setup'!$B$5)),IF(INDEX('Deck 3'!$A:$Z,ROW()-750,'List Setup'!$B$5),"In collection","Needed"),IF(UPPER(TRIM(INDEX('Deck 3'!$A:$Z,ROW()-750,'List Setup'!$B$5)))="ORDERED","Ordered",IF(UPPER(TRIM(INDEX('Deck 3'!$A:$Z,ROW()-750,'List Setup'!$B$5)))="PROXY","Proxy",IF(UPPER(TRIM(INDEX('Deck 3'!$A:$Z,ROW()-750,'List Setup'!$B$5)))="OUT OF DECK","Out of deck",IF(UPPER(TRIM(INDEX('Deck 3'!$A:$Z,ROW()-750,'List Setup'!$B$5)))="TRUE","In collection","Needed"))))))</f>
        <v/>
      </c>
      <c r="E1001" s="80" t="str">
        <f t="shared" si="2"/>
        <v/>
      </c>
      <c r="F1001" s="80" t="str">
        <f t="array" ref="F1001">IF(A1001="","",IF(ISNUMBER(J1001),J1001,IF(ISNUMBER(INDEX('Deck 3'!$A:$Z,ROW()-750,'List Setup'!$F$5)),INDEX('Deck 3'!$A:$Z,ROW()-750,'List Setup'!$F$5),0)))</f>
        <v/>
      </c>
      <c r="G1001" s="80" t="str">
        <f t="array" ref="G1001">IF(A1001="","",A1001&amp;IF(N(INDEX('Deck 3'!$A:$Z,ROW()-750,'List Setup'!$C$5))&gt;1," (x"&amp;INDEX('Deck 3'!$A:$Z,ROW()-750,'List Setup'!$C$5)&amp;")","")&amp;IF(COUNTIF(Binders!$J$6:$J$30,TRUE())&gt;1," ["&amp;Q1001&amp;"]",""))</f>
        <v/>
      </c>
      <c r="H1001" s="80" t="str">
        <f t="array" ref="H1001">IF(A1001="","",CHAR(10)&amp;INDEX('Deck 3'!$A:$Z,ROW()-750,'List Setup'!$E$5)&amp;CHAR(10))</f>
        <v/>
      </c>
      <c r="I1001" s="80" t="str">
        <f t="array" ref="I1001">IF(OR(B1001="",B1001="(none)"),"",IF(ISNUMBER(SEARCH(CHAR(10)&amp;B1001&amp;CHAR(10),H1001)),B1001,IFERROR(INDEX('Set Aliases'!$A$2:$A$501,MATCH(1,('Set Aliases'!$B$2:$B$501=B1001)*ISNUMBER(SEARCH(CHAR(10)&amp;'Set Aliases'!$A$2:$A$501&amp;CHAR(10),H1001)),0)),"")))</f>
        <v/>
      </c>
      <c r="J1001" s="80" t="str">
        <f t="array" ref="J1001">IF(I1001="","",IFERROR(VALUE(TRIM(MID(SUBSTITUTE(INDEX('Deck 3'!$A:$Z,ROW()-750,'List Setup'!$G$5),CHAR(10),REPT(" ",100)),((SEARCH(CHAR(10)&amp;I1001&amp;CHAR(10),H1001)-LEN(SUBSTITUTE(LEFT(H1001,SEARCH(CHAR(10)&amp;I1001&amp;CHAR(10),H1001)),CHAR(10),"")))-1)*100+1,100))),""))</f>
        <v/>
      </c>
      <c r="K1001" s="80" t="str">
        <f t="array" ref="K1001">IF(A1001="","",IF(ISNUMBER(SEARCH("Land",LEFT(IFERROR(INDEX('Deck 3'!$A:$Z,ROW()-750,'List Setup'!$I$5)&amp;"",""),IFERROR(SEARCH(" // ",IFERROR(INDEX('Deck 3'!$A:$Z,ROW()-750,'List Setup'!$I$5)&amp;"",""))-1,LEN(IFERROR(INDEX('Deck 3'!$A:$Z,ROW()-750,'List Setup'!$I$5)&amp;"","")))))),8,IF(LEN(IFERROR(INDEX('Deck 3'!$A:$Z,ROW()-750,'List Setup'!$H$5)&amp;"",""))=0,7,IF(LEN(IFERROR(INDEX('Deck 3'!$A:$Z,ROW()-750,'List Setup'!$H$5)&amp;"",""))&gt;1,6,FIND(IFERROR(INDEX('Deck 3'!$A:$Z,ROW()-750,'List Setup'!$H$5)&amp;"",""),"WUBRG")))))</f>
        <v/>
      </c>
      <c r="L1001" s="80" t="str">
        <f t="shared" si="3"/>
        <v/>
      </c>
      <c r="M1001" s="80" t="str">
        <f>IF(A1001="","",IF(AND(E1001="Y",B1001='Use at Shop'!$B$4),K1001*10000000000+(MAX(0,MIN(26,CODE(MID(UPPER(A1001)&amp;"    ",1,1))-64))*19683+MAX(0,MIN(26,CODE(MID(UPPER(A1001)&amp;"    ",2,1))-64))*729+MAX(0,MIN(26,CODE(MID(UPPER(A1001)&amp;"    ",3,1))-64))*27+MAX(0,MIN(26,CODE(MID(UPPER(A1001)&amp;"    ",4,1))-64))*1)*10000+ROW(),""))</f>
        <v/>
      </c>
      <c r="N1001" s="80" t="str">
        <f t="shared" si="7"/>
        <v/>
      </c>
      <c r="O1001" s="80" t="str">
        <f t="array" ref="O1001">IF(A1001="","",IFERROR(INDEX('Deck 3'!$A:$Z,ROW()-750,'List Setup'!$J$5)&amp;"",""))</f>
        <v/>
      </c>
      <c r="P1001" s="2"/>
      <c r="Q1001" s="80" t="str">
        <f>IF(A1001="","",'List Setup'!$A$5)</f>
        <v/>
      </c>
      <c r="R1001" s="80" t="str">
        <f t="array" ref="R1001">IF(A1001="","",IFERROR(OR(INDEX(Binders!$J$6:$J$30,MATCH(Q1001,Binders!$I$6:$I$30,0))=TRUE(),UPPER(INDEX(Binders!$J$6:$J$30,MATCH(Q1001,Binders!$I$6:$I$30,0))&amp;"")="TRUE"),FALSE()))</f>
        <v/>
      </c>
    </row>
    <row r="1002" ht="15.75" customHeight="1">
      <c r="A1002" s="80" t="str">
        <f t="array" ref="A1002">IF(INDEX('Deck 4'!$A:$Z,ROW()-1000,'List Setup'!$D$6)="","",INDEX('Deck 4'!$A:$Z,ROW()-1000,'List Setup'!$D$6))</f>
        <v/>
      </c>
      <c r="B1002" s="80" t="str">
        <f t="array" ref="B1002">IF(A1002="","",IFERROR(INDEX('Binder Setup'!$B$2:$B$401,MIN(IF(ISNUMBER(SEARCH(CHAR(10)&amp;'Binder Setup'!$B$2:$B$401&amp;CHAR(10),$H1002)),'List Setup'!$Q$2:$Q$401,999),IF(ISNUMBER(SEARCH(CHAR(10)&amp;'Set Aliases'!$A$2:$A$501&amp;CHAR(10),$H1002)),'Set Aliases'!$C$2:$C$501,999))),"(none)"))</f>
        <v/>
      </c>
      <c r="C1002" s="80" t="str">
        <f t="shared" si="1"/>
        <v/>
      </c>
      <c r="D1002" s="80" t="str">
        <f t="array" ref="D1002">IF(A1002="","",IF(ISLOGICAL(INDEX('Deck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02" s="80" t="str">
        <f t="shared" si="2"/>
        <v/>
      </c>
      <c r="F1002" s="80" t="str">
        <f t="array" ref="F1002">IF(A1002="","",IF(ISNUMBER(J1002),J1002,IF(ISNUMBER(INDEX('Deck 4'!$A:$Z,ROW()-1000,'List Setup'!$F$6)),INDEX('Deck 4'!$A:$Z,ROW()-1000,'List Setup'!$F$6),0)))</f>
        <v/>
      </c>
      <c r="G1002" s="80" t="str">
        <f t="array" ref="G1002">IF(A1002="","",A1002&amp;IF(N(INDEX('Deck 4'!$A:$Z,ROW()-1000,'List Setup'!$C$6))&gt;1," (x"&amp;INDEX('Deck 4'!$A:$Z,ROW()-1000,'List Setup'!$C$6)&amp;")","")&amp;IF(COUNTIF(Binders!$J$6:$J$30,TRUE())&gt;1," ["&amp;Q1002&amp;"]",""))</f>
        <v/>
      </c>
      <c r="H1002" s="80" t="str">
        <f t="array" ref="H1002">IF(A1002="","",CHAR(10)&amp;INDEX('Deck 4'!$A:$Z,ROW()-1000,'List Setup'!$E$6)&amp;CHAR(10))</f>
        <v/>
      </c>
      <c r="I1002" s="80" t="str">
        <f t="array" ref="I1002">IF(OR(B1002="",B1002="(none)"),"",IF(ISNUMBER(SEARCH(CHAR(10)&amp;B1002&amp;CHAR(10),H1002)),B1002,IFERROR(INDEX('Set Aliases'!$A$2:$A$501,MATCH(1,('Set Aliases'!$B$2:$B$501=B1002)*ISNUMBER(SEARCH(CHAR(10)&amp;'Set Aliases'!$A$2:$A$501&amp;CHAR(10),H1002)),0)),"")))</f>
        <v/>
      </c>
      <c r="J1002" s="80" t="str">
        <f t="array" ref="J1002">IF(I1002="","",IFERROR(VALUE(TRIM(MID(SUBSTITUTE(INDEX('Deck 4'!$A:$Z,ROW()-1000,'List Setup'!$G$6),CHAR(10),REPT(" ",100)),((SEARCH(CHAR(10)&amp;I1002&amp;CHAR(10),H1002)-LEN(SUBSTITUTE(LEFT(H1002,SEARCH(CHAR(10)&amp;I1002&amp;CHAR(10),H1002)),CHAR(10),"")))-1)*100+1,100))),""))</f>
        <v/>
      </c>
      <c r="K1002" s="80" t="str">
        <f t="array" ref="K1002">IF(A1002="","",IF(ISNUMBER(SEARCH("Land",LEFT(IFERROR(INDEX('Deck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02" s="80" t="str">
        <f t="shared" si="3"/>
        <v/>
      </c>
      <c r="M1002" s="80" t="str">
        <f>IF(A1002="","",IF(AND(E1002="Y",B1002='Use at Shop'!$B$4),K1002*10000000000+(MAX(0,MIN(26,CODE(MID(UPPER(A1002)&amp;"    ",1,1))-64))*19683+MAX(0,MIN(26,CODE(MID(UPPER(A1002)&amp;"    ",2,1))-64))*729+MAX(0,MIN(26,CODE(MID(UPPER(A1002)&amp;"    ",3,1))-64))*27+MAX(0,MIN(26,CODE(MID(UPPER(A1002)&amp;"    ",4,1))-64))*1)*10000+ROW(),""))</f>
        <v/>
      </c>
      <c r="N1002" s="80" t="str">
        <f t="shared" ref="N1002:N1251" si="8">IF(A1002="","",ROW()-1000)</f>
        <v/>
      </c>
      <c r="O1002" s="80" t="str">
        <f t="array" ref="O1002">IF(A1002="","",IFERROR(INDEX('Deck 4'!$A:$Z,ROW()-1000,'List Setup'!$J$6)&amp;"",""))</f>
        <v/>
      </c>
      <c r="P1002" s="2"/>
      <c r="Q1002" s="80" t="str">
        <f>IF(A1002="","",'List Setup'!$A$6)</f>
        <v/>
      </c>
      <c r="R1002" s="80" t="str">
        <f t="array" ref="R1002">IF(A1002="","",IFERROR(OR(INDEX(Binders!$J$6:$J$30,MATCH(Q1002,Binders!$I$6:$I$30,0))=TRUE(),UPPER(INDEX(Binders!$J$6:$J$30,MATCH(Q1002,Binders!$I$6:$I$30,0))&amp;"")="TRUE"),FALSE()))</f>
        <v/>
      </c>
    </row>
    <row r="1003" ht="15.75" customHeight="1">
      <c r="A1003" s="80" t="str">
        <f t="array" ref="A1003">IF(INDEX('Deck 4'!$A:$Z,ROW()-1000,'List Setup'!$D$6)="","",INDEX('Deck 4'!$A:$Z,ROW()-1000,'List Setup'!$D$6))</f>
        <v/>
      </c>
      <c r="B1003" s="80" t="str">
        <f t="array" ref="B1003">IF(A1003="","",IFERROR(INDEX('Binder Setup'!$B$2:$B$401,MIN(IF(ISNUMBER(SEARCH(CHAR(10)&amp;'Binder Setup'!$B$2:$B$401&amp;CHAR(10),$H1003)),'List Setup'!$Q$2:$Q$401,999),IF(ISNUMBER(SEARCH(CHAR(10)&amp;'Set Aliases'!$A$2:$A$501&amp;CHAR(10),$H1003)),'Set Aliases'!$C$2:$C$501,999))),"(none)"))</f>
        <v/>
      </c>
      <c r="C1003" s="80" t="str">
        <f t="shared" si="1"/>
        <v/>
      </c>
      <c r="D1003" s="80" t="str">
        <f t="array" ref="D1003">IF(A1003="","",IF(ISLOGICAL(INDEX('Deck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03" s="80" t="str">
        <f t="shared" si="2"/>
        <v/>
      </c>
      <c r="F1003" s="80" t="str">
        <f t="array" ref="F1003">IF(A1003="","",IF(ISNUMBER(J1003),J1003,IF(ISNUMBER(INDEX('Deck 4'!$A:$Z,ROW()-1000,'List Setup'!$F$6)),INDEX('Deck 4'!$A:$Z,ROW()-1000,'List Setup'!$F$6),0)))</f>
        <v/>
      </c>
      <c r="G1003" s="80" t="str">
        <f t="array" ref="G1003">IF(A1003="","",A1003&amp;IF(N(INDEX('Deck 4'!$A:$Z,ROW()-1000,'List Setup'!$C$6))&gt;1," (x"&amp;INDEX('Deck 4'!$A:$Z,ROW()-1000,'List Setup'!$C$6)&amp;")","")&amp;IF(COUNTIF(Binders!$J$6:$J$30,TRUE())&gt;1," ["&amp;Q1003&amp;"]",""))</f>
        <v/>
      </c>
      <c r="H1003" s="80" t="str">
        <f t="array" ref="H1003">IF(A1003="","",CHAR(10)&amp;INDEX('Deck 4'!$A:$Z,ROW()-1000,'List Setup'!$E$6)&amp;CHAR(10))</f>
        <v/>
      </c>
      <c r="I1003" s="80" t="str">
        <f t="array" ref="I1003">IF(OR(B1003="",B1003="(none)"),"",IF(ISNUMBER(SEARCH(CHAR(10)&amp;B1003&amp;CHAR(10),H1003)),B1003,IFERROR(INDEX('Set Aliases'!$A$2:$A$501,MATCH(1,('Set Aliases'!$B$2:$B$501=B1003)*ISNUMBER(SEARCH(CHAR(10)&amp;'Set Aliases'!$A$2:$A$501&amp;CHAR(10),H1003)),0)),"")))</f>
        <v/>
      </c>
      <c r="J1003" s="80" t="str">
        <f t="array" ref="J1003">IF(I1003="","",IFERROR(VALUE(TRIM(MID(SUBSTITUTE(INDEX('Deck 4'!$A:$Z,ROW()-1000,'List Setup'!$G$6),CHAR(10),REPT(" ",100)),((SEARCH(CHAR(10)&amp;I1003&amp;CHAR(10),H1003)-LEN(SUBSTITUTE(LEFT(H1003,SEARCH(CHAR(10)&amp;I1003&amp;CHAR(10),H1003)),CHAR(10),"")))-1)*100+1,100))),""))</f>
        <v/>
      </c>
      <c r="K1003" s="80" t="str">
        <f t="array" ref="K1003">IF(A1003="","",IF(ISNUMBER(SEARCH("Land",LEFT(IFERROR(INDEX('Deck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03" s="80" t="str">
        <f t="shared" si="3"/>
        <v/>
      </c>
      <c r="M1003" s="80" t="str">
        <f>IF(A1003="","",IF(AND(E1003="Y",B1003='Use at Shop'!$B$4),K1003*10000000000+(MAX(0,MIN(26,CODE(MID(UPPER(A1003)&amp;"    ",1,1))-64))*19683+MAX(0,MIN(26,CODE(MID(UPPER(A1003)&amp;"    ",2,1))-64))*729+MAX(0,MIN(26,CODE(MID(UPPER(A1003)&amp;"    ",3,1))-64))*27+MAX(0,MIN(26,CODE(MID(UPPER(A1003)&amp;"    ",4,1))-64))*1)*10000+ROW(),""))</f>
        <v/>
      </c>
      <c r="N1003" s="80" t="str">
        <f t="shared" si="8"/>
        <v/>
      </c>
      <c r="O1003" s="80" t="str">
        <f t="array" ref="O1003">IF(A1003="","",IFERROR(INDEX('Deck 4'!$A:$Z,ROW()-1000,'List Setup'!$J$6)&amp;"",""))</f>
        <v/>
      </c>
      <c r="P1003" s="2"/>
      <c r="Q1003" s="80" t="str">
        <f>IF(A1003="","",'List Setup'!$A$6)</f>
        <v/>
      </c>
      <c r="R1003" s="80" t="str">
        <f t="array" ref="R1003">IF(A1003="","",IFERROR(OR(INDEX(Binders!$J$6:$J$30,MATCH(Q1003,Binders!$I$6:$I$30,0))=TRUE(),UPPER(INDEX(Binders!$J$6:$J$30,MATCH(Q1003,Binders!$I$6:$I$30,0))&amp;"")="TRUE"),FALSE()))</f>
        <v/>
      </c>
    </row>
    <row r="1004" ht="15.75" customHeight="1">
      <c r="A1004" s="80" t="str">
        <f t="array" ref="A1004">IF(INDEX('Deck 4'!$A:$Z,ROW()-1000,'List Setup'!$D$6)="","",INDEX('Deck 4'!$A:$Z,ROW()-1000,'List Setup'!$D$6))</f>
        <v/>
      </c>
      <c r="B1004" s="80" t="str">
        <f t="array" ref="B1004">IF(A1004="","",IFERROR(INDEX('Binder Setup'!$B$2:$B$401,MIN(IF(ISNUMBER(SEARCH(CHAR(10)&amp;'Binder Setup'!$B$2:$B$401&amp;CHAR(10),$H1004)),'List Setup'!$Q$2:$Q$401,999),IF(ISNUMBER(SEARCH(CHAR(10)&amp;'Set Aliases'!$A$2:$A$501&amp;CHAR(10),$H1004)),'Set Aliases'!$C$2:$C$501,999))),"(none)"))</f>
        <v/>
      </c>
      <c r="C1004" s="80" t="str">
        <f t="shared" si="1"/>
        <v/>
      </c>
      <c r="D1004" s="80" t="str">
        <f t="array" ref="D1004">IF(A1004="","",IF(ISLOGICAL(INDEX('Deck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04" s="80" t="str">
        <f t="shared" si="2"/>
        <v/>
      </c>
      <c r="F1004" s="80" t="str">
        <f t="array" ref="F1004">IF(A1004="","",IF(ISNUMBER(J1004),J1004,IF(ISNUMBER(INDEX('Deck 4'!$A:$Z,ROW()-1000,'List Setup'!$F$6)),INDEX('Deck 4'!$A:$Z,ROW()-1000,'List Setup'!$F$6),0)))</f>
        <v/>
      </c>
      <c r="G1004" s="80" t="str">
        <f t="array" ref="G1004">IF(A1004="","",A1004&amp;IF(N(INDEX('Deck 4'!$A:$Z,ROW()-1000,'List Setup'!$C$6))&gt;1," (x"&amp;INDEX('Deck 4'!$A:$Z,ROW()-1000,'List Setup'!$C$6)&amp;")","")&amp;IF(COUNTIF(Binders!$J$6:$J$30,TRUE())&gt;1," ["&amp;Q1004&amp;"]",""))</f>
        <v/>
      </c>
      <c r="H1004" s="80" t="str">
        <f t="array" ref="H1004">IF(A1004="","",CHAR(10)&amp;INDEX('Deck 4'!$A:$Z,ROW()-1000,'List Setup'!$E$6)&amp;CHAR(10))</f>
        <v/>
      </c>
      <c r="I1004" s="80" t="str">
        <f t="array" ref="I1004">IF(OR(B1004="",B1004="(none)"),"",IF(ISNUMBER(SEARCH(CHAR(10)&amp;B1004&amp;CHAR(10),H1004)),B1004,IFERROR(INDEX('Set Aliases'!$A$2:$A$501,MATCH(1,('Set Aliases'!$B$2:$B$501=B1004)*ISNUMBER(SEARCH(CHAR(10)&amp;'Set Aliases'!$A$2:$A$501&amp;CHAR(10),H1004)),0)),"")))</f>
        <v/>
      </c>
      <c r="J1004" s="80" t="str">
        <f t="array" ref="J1004">IF(I1004="","",IFERROR(VALUE(TRIM(MID(SUBSTITUTE(INDEX('Deck 4'!$A:$Z,ROW()-1000,'List Setup'!$G$6),CHAR(10),REPT(" ",100)),((SEARCH(CHAR(10)&amp;I1004&amp;CHAR(10),H1004)-LEN(SUBSTITUTE(LEFT(H1004,SEARCH(CHAR(10)&amp;I1004&amp;CHAR(10),H1004)),CHAR(10),"")))-1)*100+1,100))),""))</f>
        <v/>
      </c>
      <c r="K1004" s="80" t="str">
        <f t="array" ref="K1004">IF(A1004="","",IF(ISNUMBER(SEARCH("Land",LEFT(IFERROR(INDEX('Deck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04" s="80" t="str">
        <f t="shared" si="3"/>
        <v/>
      </c>
      <c r="M1004" s="80" t="str">
        <f>IF(A1004="","",IF(AND(E1004="Y",B1004='Use at Shop'!$B$4),K1004*10000000000+(MAX(0,MIN(26,CODE(MID(UPPER(A1004)&amp;"    ",1,1))-64))*19683+MAX(0,MIN(26,CODE(MID(UPPER(A1004)&amp;"    ",2,1))-64))*729+MAX(0,MIN(26,CODE(MID(UPPER(A1004)&amp;"    ",3,1))-64))*27+MAX(0,MIN(26,CODE(MID(UPPER(A1004)&amp;"    ",4,1))-64))*1)*10000+ROW(),""))</f>
        <v/>
      </c>
      <c r="N1004" s="80" t="str">
        <f t="shared" si="8"/>
        <v/>
      </c>
      <c r="O1004" s="80" t="str">
        <f t="array" ref="O1004">IF(A1004="","",IFERROR(INDEX('Deck 4'!$A:$Z,ROW()-1000,'List Setup'!$J$6)&amp;"",""))</f>
        <v/>
      </c>
      <c r="P1004" s="2"/>
      <c r="Q1004" s="80" t="str">
        <f>IF(A1004="","",'List Setup'!$A$6)</f>
        <v/>
      </c>
      <c r="R1004" s="80" t="str">
        <f t="array" ref="R1004">IF(A1004="","",IFERROR(OR(INDEX(Binders!$J$6:$J$30,MATCH(Q1004,Binders!$I$6:$I$30,0))=TRUE(),UPPER(INDEX(Binders!$J$6:$J$30,MATCH(Q1004,Binders!$I$6:$I$30,0))&amp;"")="TRUE"),FALSE()))</f>
        <v/>
      </c>
    </row>
    <row r="1005" ht="15.75" customHeight="1">
      <c r="A1005" s="80" t="str">
        <f t="array" ref="A1005">IF(INDEX('Deck 4'!$A:$Z,ROW()-1000,'List Setup'!$D$6)="","",INDEX('Deck 4'!$A:$Z,ROW()-1000,'List Setup'!$D$6))</f>
        <v/>
      </c>
      <c r="B1005" s="80" t="str">
        <f t="array" ref="B1005">IF(A1005="","",IFERROR(INDEX('Binder Setup'!$B$2:$B$401,MIN(IF(ISNUMBER(SEARCH(CHAR(10)&amp;'Binder Setup'!$B$2:$B$401&amp;CHAR(10),$H1005)),'List Setup'!$Q$2:$Q$401,999),IF(ISNUMBER(SEARCH(CHAR(10)&amp;'Set Aliases'!$A$2:$A$501&amp;CHAR(10),$H1005)),'Set Aliases'!$C$2:$C$501,999))),"(none)"))</f>
        <v/>
      </c>
      <c r="C1005" s="80" t="str">
        <f t="shared" si="1"/>
        <v/>
      </c>
      <c r="D1005" s="80" t="str">
        <f t="array" ref="D1005">IF(A1005="","",IF(ISLOGICAL(INDEX('Deck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05" s="80" t="str">
        <f t="shared" si="2"/>
        <v/>
      </c>
      <c r="F1005" s="80" t="str">
        <f t="array" ref="F1005">IF(A1005="","",IF(ISNUMBER(J1005),J1005,IF(ISNUMBER(INDEX('Deck 4'!$A:$Z,ROW()-1000,'List Setup'!$F$6)),INDEX('Deck 4'!$A:$Z,ROW()-1000,'List Setup'!$F$6),0)))</f>
        <v/>
      </c>
      <c r="G1005" s="80" t="str">
        <f t="array" ref="G1005">IF(A1005="","",A1005&amp;IF(N(INDEX('Deck 4'!$A:$Z,ROW()-1000,'List Setup'!$C$6))&gt;1," (x"&amp;INDEX('Deck 4'!$A:$Z,ROW()-1000,'List Setup'!$C$6)&amp;")","")&amp;IF(COUNTIF(Binders!$J$6:$J$30,TRUE())&gt;1," ["&amp;Q1005&amp;"]",""))</f>
        <v/>
      </c>
      <c r="H1005" s="80" t="str">
        <f t="array" ref="H1005">IF(A1005="","",CHAR(10)&amp;INDEX('Deck 4'!$A:$Z,ROW()-1000,'List Setup'!$E$6)&amp;CHAR(10))</f>
        <v/>
      </c>
      <c r="I1005" s="80" t="str">
        <f t="array" ref="I1005">IF(OR(B1005="",B1005="(none)"),"",IF(ISNUMBER(SEARCH(CHAR(10)&amp;B1005&amp;CHAR(10),H1005)),B1005,IFERROR(INDEX('Set Aliases'!$A$2:$A$501,MATCH(1,('Set Aliases'!$B$2:$B$501=B1005)*ISNUMBER(SEARCH(CHAR(10)&amp;'Set Aliases'!$A$2:$A$501&amp;CHAR(10),H1005)),0)),"")))</f>
        <v/>
      </c>
      <c r="J1005" s="80" t="str">
        <f t="array" ref="J1005">IF(I1005="","",IFERROR(VALUE(TRIM(MID(SUBSTITUTE(INDEX('Deck 4'!$A:$Z,ROW()-1000,'List Setup'!$G$6),CHAR(10),REPT(" ",100)),((SEARCH(CHAR(10)&amp;I1005&amp;CHAR(10),H1005)-LEN(SUBSTITUTE(LEFT(H1005,SEARCH(CHAR(10)&amp;I1005&amp;CHAR(10),H1005)),CHAR(10),"")))-1)*100+1,100))),""))</f>
        <v/>
      </c>
      <c r="K1005" s="80" t="str">
        <f t="array" ref="K1005">IF(A1005="","",IF(ISNUMBER(SEARCH("Land",LEFT(IFERROR(INDEX('Deck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05" s="80" t="str">
        <f t="shared" si="3"/>
        <v/>
      </c>
      <c r="M1005" s="80" t="str">
        <f>IF(A1005="","",IF(AND(E1005="Y",B1005='Use at Shop'!$B$4),K1005*10000000000+(MAX(0,MIN(26,CODE(MID(UPPER(A1005)&amp;"    ",1,1))-64))*19683+MAX(0,MIN(26,CODE(MID(UPPER(A1005)&amp;"    ",2,1))-64))*729+MAX(0,MIN(26,CODE(MID(UPPER(A1005)&amp;"    ",3,1))-64))*27+MAX(0,MIN(26,CODE(MID(UPPER(A1005)&amp;"    ",4,1))-64))*1)*10000+ROW(),""))</f>
        <v/>
      </c>
      <c r="N1005" s="80" t="str">
        <f t="shared" si="8"/>
        <v/>
      </c>
      <c r="O1005" s="80" t="str">
        <f t="array" ref="O1005">IF(A1005="","",IFERROR(INDEX('Deck 4'!$A:$Z,ROW()-1000,'List Setup'!$J$6)&amp;"",""))</f>
        <v/>
      </c>
      <c r="P1005" s="2"/>
      <c r="Q1005" s="80" t="str">
        <f>IF(A1005="","",'List Setup'!$A$6)</f>
        <v/>
      </c>
      <c r="R1005" s="80" t="str">
        <f t="array" ref="R1005">IF(A1005="","",IFERROR(OR(INDEX(Binders!$J$6:$J$30,MATCH(Q1005,Binders!$I$6:$I$30,0))=TRUE(),UPPER(INDEX(Binders!$J$6:$J$30,MATCH(Q1005,Binders!$I$6:$I$30,0))&amp;"")="TRUE"),FALSE()))</f>
        <v/>
      </c>
    </row>
    <row r="1006" ht="15.75" customHeight="1">
      <c r="A1006" s="80" t="str">
        <f t="array" ref="A1006">IF(INDEX('Deck 4'!$A:$Z,ROW()-1000,'List Setup'!$D$6)="","",INDEX('Deck 4'!$A:$Z,ROW()-1000,'List Setup'!$D$6))</f>
        <v/>
      </c>
      <c r="B1006" s="80" t="str">
        <f t="array" ref="B1006">IF(A1006="","",IFERROR(INDEX('Binder Setup'!$B$2:$B$401,MIN(IF(ISNUMBER(SEARCH(CHAR(10)&amp;'Binder Setup'!$B$2:$B$401&amp;CHAR(10),$H1006)),'List Setup'!$Q$2:$Q$401,999),IF(ISNUMBER(SEARCH(CHAR(10)&amp;'Set Aliases'!$A$2:$A$501&amp;CHAR(10),$H1006)),'Set Aliases'!$C$2:$C$501,999))),"(none)"))</f>
        <v/>
      </c>
      <c r="C1006" s="80" t="str">
        <f t="shared" si="1"/>
        <v/>
      </c>
      <c r="D1006" s="80" t="str">
        <f t="array" ref="D1006">IF(A1006="","",IF(ISLOGICAL(INDEX('Deck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06" s="80" t="str">
        <f t="shared" si="2"/>
        <v/>
      </c>
      <c r="F1006" s="80" t="str">
        <f t="array" ref="F1006">IF(A1006="","",IF(ISNUMBER(J1006),J1006,IF(ISNUMBER(INDEX('Deck 4'!$A:$Z,ROW()-1000,'List Setup'!$F$6)),INDEX('Deck 4'!$A:$Z,ROW()-1000,'List Setup'!$F$6),0)))</f>
        <v/>
      </c>
      <c r="G1006" s="80" t="str">
        <f t="array" ref="G1006">IF(A1006="","",A1006&amp;IF(N(INDEX('Deck 4'!$A:$Z,ROW()-1000,'List Setup'!$C$6))&gt;1," (x"&amp;INDEX('Deck 4'!$A:$Z,ROW()-1000,'List Setup'!$C$6)&amp;")","")&amp;IF(COUNTIF(Binders!$J$6:$J$30,TRUE())&gt;1," ["&amp;Q1006&amp;"]",""))</f>
        <v/>
      </c>
      <c r="H1006" s="80" t="str">
        <f t="array" ref="H1006">IF(A1006="","",CHAR(10)&amp;INDEX('Deck 4'!$A:$Z,ROW()-1000,'List Setup'!$E$6)&amp;CHAR(10))</f>
        <v/>
      </c>
      <c r="I1006" s="80" t="str">
        <f t="array" ref="I1006">IF(OR(B1006="",B1006="(none)"),"",IF(ISNUMBER(SEARCH(CHAR(10)&amp;B1006&amp;CHAR(10),H1006)),B1006,IFERROR(INDEX('Set Aliases'!$A$2:$A$501,MATCH(1,('Set Aliases'!$B$2:$B$501=B1006)*ISNUMBER(SEARCH(CHAR(10)&amp;'Set Aliases'!$A$2:$A$501&amp;CHAR(10),H1006)),0)),"")))</f>
        <v/>
      </c>
      <c r="J1006" s="80" t="str">
        <f t="array" ref="J1006">IF(I1006="","",IFERROR(VALUE(TRIM(MID(SUBSTITUTE(INDEX('Deck 4'!$A:$Z,ROW()-1000,'List Setup'!$G$6),CHAR(10),REPT(" ",100)),((SEARCH(CHAR(10)&amp;I1006&amp;CHAR(10),H1006)-LEN(SUBSTITUTE(LEFT(H1006,SEARCH(CHAR(10)&amp;I1006&amp;CHAR(10),H1006)),CHAR(10),"")))-1)*100+1,100))),""))</f>
        <v/>
      </c>
      <c r="K1006" s="80" t="str">
        <f t="array" ref="K1006">IF(A1006="","",IF(ISNUMBER(SEARCH("Land",LEFT(IFERROR(INDEX('Deck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06" s="80" t="str">
        <f t="shared" si="3"/>
        <v/>
      </c>
      <c r="M1006" s="80" t="str">
        <f>IF(A1006="","",IF(AND(E1006="Y",B1006='Use at Shop'!$B$4),K1006*10000000000+(MAX(0,MIN(26,CODE(MID(UPPER(A1006)&amp;"    ",1,1))-64))*19683+MAX(0,MIN(26,CODE(MID(UPPER(A1006)&amp;"    ",2,1))-64))*729+MAX(0,MIN(26,CODE(MID(UPPER(A1006)&amp;"    ",3,1))-64))*27+MAX(0,MIN(26,CODE(MID(UPPER(A1006)&amp;"    ",4,1))-64))*1)*10000+ROW(),""))</f>
        <v/>
      </c>
      <c r="N1006" s="80" t="str">
        <f t="shared" si="8"/>
        <v/>
      </c>
      <c r="O1006" s="80" t="str">
        <f t="array" ref="O1006">IF(A1006="","",IFERROR(INDEX('Deck 4'!$A:$Z,ROW()-1000,'List Setup'!$J$6)&amp;"",""))</f>
        <v/>
      </c>
      <c r="P1006" s="2"/>
      <c r="Q1006" s="80" t="str">
        <f>IF(A1006="","",'List Setup'!$A$6)</f>
        <v/>
      </c>
      <c r="R1006" s="80" t="str">
        <f t="array" ref="R1006">IF(A1006="","",IFERROR(OR(INDEX(Binders!$J$6:$J$30,MATCH(Q1006,Binders!$I$6:$I$30,0))=TRUE(),UPPER(INDEX(Binders!$J$6:$J$30,MATCH(Q1006,Binders!$I$6:$I$30,0))&amp;"")="TRUE"),FALSE()))</f>
        <v/>
      </c>
    </row>
    <row r="1007" ht="15.75" customHeight="1">
      <c r="A1007" s="80" t="str">
        <f t="array" ref="A1007">IF(INDEX('Deck 4'!$A:$Z,ROW()-1000,'List Setup'!$D$6)="","",INDEX('Deck 4'!$A:$Z,ROW()-1000,'List Setup'!$D$6))</f>
        <v/>
      </c>
      <c r="B1007" s="80" t="str">
        <f t="array" ref="B1007">IF(A1007="","",IFERROR(INDEX('Binder Setup'!$B$2:$B$401,MIN(IF(ISNUMBER(SEARCH(CHAR(10)&amp;'Binder Setup'!$B$2:$B$401&amp;CHAR(10),$H1007)),'List Setup'!$Q$2:$Q$401,999),IF(ISNUMBER(SEARCH(CHAR(10)&amp;'Set Aliases'!$A$2:$A$501&amp;CHAR(10),$H1007)),'Set Aliases'!$C$2:$C$501,999))),"(none)"))</f>
        <v/>
      </c>
      <c r="C1007" s="80" t="str">
        <f t="shared" si="1"/>
        <v/>
      </c>
      <c r="D1007" s="80" t="str">
        <f t="array" ref="D1007">IF(A1007="","",IF(ISLOGICAL(INDEX('Deck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07" s="80" t="str">
        <f t="shared" si="2"/>
        <v/>
      </c>
      <c r="F1007" s="80" t="str">
        <f t="array" ref="F1007">IF(A1007="","",IF(ISNUMBER(J1007),J1007,IF(ISNUMBER(INDEX('Deck 4'!$A:$Z,ROW()-1000,'List Setup'!$F$6)),INDEX('Deck 4'!$A:$Z,ROW()-1000,'List Setup'!$F$6),0)))</f>
        <v/>
      </c>
      <c r="G1007" s="80" t="str">
        <f t="array" ref="G1007">IF(A1007="","",A1007&amp;IF(N(INDEX('Deck 4'!$A:$Z,ROW()-1000,'List Setup'!$C$6))&gt;1," (x"&amp;INDEX('Deck 4'!$A:$Z,ROW()-1000,'List Setup'!$C$6)&amp;")","")&amp;IF(COUNTIF(Binders!$J$6:$J$30,TRUE())&gt;1," ["&amp;Q1007&amp;"]",""))</f>
        <v/>
      </c>
      <c r="H1007" s="80" t="str">
        <f t="array" ref="H1007">IF(A1007="","",CHAR(10)&amp;INDEX('Deck 4'!$A:$Z,ROW()-1000,'List Setup'!$E$6)&amp;CHAR(10))</f>
        <v/>
      </c>
      <c r="I1007" s="80" t="str">
        <f t="array" ref="I1007">IF(OR(B1007="",B1007="(none)"),"",IF(ISNUMBER(SEARCH(CHAR(10)&amp;B1007&amp;CHAR(10),H1007)),B1007,IFERROR(INDEX('Set Aliases'!$A$2:$A$501,MATCH(1,('Set Aliases'!$B$2:$B$501=B1007)*ISNUMBER(SEARCH(CHAR(10)&amp;'Set Aliases'!$A$2:$A$501&amp;CHAR(10),H1007)),0)),"")))</f>
        <v/>
      </c>
      <c r="J1007" s="80" t="str">
        <f t="array" ref="J1007">IF(I1007="","",IFERROR(VALUE(TRIM(MID(SUBSTITUTE(INDEX('Deck 4'!$A:$Z,ROW()-1000,'List Setup'!$G$6),CHAR(10),REPT(" ",100)),((SEARCH(CHAR(10)&amp;I1007&amp;CHAR(10),H1007)-LEN(SUBSTITUTE(LEFT(H1007,SEARCH(CHAR(10)&amp;I1007&amp;CHAR(10),H1007)),CHAR(10),"")))-1)*100+1,100))),""))</f>
        <v/>
      </c>
      <c r="K1007" s="80" t="str">
        <f t="array" ref="K1007">IF(A1007="","",IF(ISNUMBER(SEARCH("Land",LEFT(IFERROR(INDEX('Deck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07" s="80" t="str">
        <f t="shared" si="3"/>
        <v/>
      </c>
      <c r="M1007" s="80" t="str">
        <f>IF(A1007="","",IF(AND(E1007="Y",B1007='Use at Shop'!$B$4),K1007*10000000000+(MAX(0,MIN(26,CODE(MID(UPPER(A1007)&amp;"    ",1,1))-64))*19683+MAX(0,MIN(26,CODE(MID(UPPER(A1007)&amp;"    ",2,1))-64))*729+MAX(0,MIN(26,CODE(MID(UPPER(A1007)&amp;"    ",3,1))-64))*27+MAX(0,MIN(26,CODE(MID(UPPER(A1007)&amp;"    ",4,1))-64))*1)*10000+ROW(),""))</f>
        <v/>
      </c>
      <c r="N1007" s="80" t="str">
        <f t="shared" si="8"/>
        <v/>
      </c>
      <c r="O1007" s="80" t="str">
        <f t="array" ref="O1007">IF(A1007="","",IFERROR(INDEX('Deck 4'!$A:$Z,ROW()-1000,'List Setup'!$J$6)&amp;"",""))</f>
        <v/>
      </c>
      <c r="P1007" s="2"/>
      <c r="Q1007" s="80" t="str">
        <f>IF(A1007="","",'List Setup'!$A$6)</f>
        <v/>
      </c>
      <c r="R1007" s="80" t="str">
        <f t="array" ref="R1007">IF(A1007="","",IFERROR(OR(INDEX(Binders!$J$6:$J$30,MATCH(Q1007,Binders!$I$6:$I$30,0))=TRUE(),UPPER(INDEX(Binders!$J$6:$J$30,MATCH(Q1007,Binders!$I$6:$I$30,0))&amp;"")="TRUE"),FALSE()))</f>
        <v/>
      </c>
    </row>
    <row r="1008" ht="15.75" customHeight="1">
      <c r="A1008" s="80" t="str">
        <f t="array" ref="A1008">IF(INDEX('Deck 4'!$A:$Z,ROW()-1000,'List Setup'!$D$6)="","",INDEX('Deck 4'!$A:$Z,ROW()-1000,'List Setup'!$D$6))</f>
        <v/>
      </c>
      <c r="B1008" s="80" t="str">
        <f t="array" ref="B1008">IF(A1008="","",IFERROR(INDEX('Binder Setup'!$B$2:$B$401,MIN(IF(ISNUMBER(SEARCH(CHAR(10)&amp;'Binder Setup'!$B$2:$B$401&amp;CHAR(10),$H1008)),'List Setup'!$Q$2:$Q$401,999),IF(ISNUMBER(SEARCH(CHAR(10)&amp;'Set Aliases'!$A$2:$A$501&amp;CHAR(10),$H1008)),'Set Aliases'!$C$2:$C$501,999))),"(none)"))</f>
        <v/>
      </c>
      <c r="C1008" s="80" t="str">
        <f t="shared" si="1"/>
        <v/>
      </c>
      <c r="D1008" s="80" t="str">
        <f t="array" ref="D1008">IF(A1008="","",IF(ISLOGICAL(INDEX('Deck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08" s="80" t="str">
        <f t="shared" si="2"/>
        <v/>
      </c>
      <c r="F1008" s="80" t="str">
        <f t="array" ref="F1008">IF(A1008="","",IF(ISNUMBER(J1008),J1008,IF(ISNUMBER(INDEX('Deck 4'!$A:$Z,ROW()-1000,'List Setup'!$F$6)),INDEX('Deck 4'!$A:$Z,ROW()-1000,'List Setup'!$F$6),0)))</f>
        <v/>
      </c>
      <c r="G1008" s="80" t="str">
        <f t="array" ref="G1008">IF(A1008="","",A1008&amp;IF(N(INDEX('Deck 4'!$A:$Z,ROW()-1000,'List Setup'!$C$6))&gt;1," (x"&amp;INDEX('Deck 4'!$A:$Z,ROW()-1000,'List Setup'!$C$6)&amp;")","")&amp;IF(COUNTIF(Binders!$J$6:$J$30,TRUE())&gt;1," ["&amp;Q1008&amp;"]",""))</f>
        <v/>
      </c>
      <c r="H1008" s="80" t="str">
        <f t="array" ref="H1008">IF(A1008="","",CHAR(10)&amp;INDEX('Deck 4'!$A:$Z,ROW()-1000,'List Setup'!$E$6)&amp;CHAR(10))</f>
        <v/>
      </c>
      <c r="I1008" s="80" t="str">
        <f t="array" ref="I1008">IF(OR(B1008="",B1008="(none)"),"",IF(ISNUMBER(SEARCH(CHAR(10)&amp;B1008&amp;CHAR(10),H1008)),B1008,IFERROR(INDEX('Set Aliases'!$A$2:$A$501,MATCH(1,('Set Aliases'!$B$2:$B$501=B1008)*ISNUMBER(SEARCH(CHAR(10)&amp;'Set Aliases'!$A$2:$A$501&amp;CHAR(10),H1008)),0)),"")))</f>
        <v/>
      </c>
      <c r="J1008" s="80" t="str">
        <f t="array" ref="J1008">IF(I1008="","",IFERROR(VALUE(TRIM(MID(SUBSTITUTE(INDEX('Deck 4'!$A:$Z,ROW()-1000,'List Setup'!$G$6),CHAR(10),REPT(" ",100)),((SEARCH(CHAR(10)&amp;I1008&amp;CHAR(10),H1008)-LEN(SUBSTITUTE(LEFT(H1008,SEARCH(CHAR(10)&amp;I1008&amp;CHAR(10),H1008)),CHAR(10),"")))-1)*100+1,100))),""))</f>
        <v/>
      </c>
      <c r="K1008" s="80" t="str">
        <f t="array" ref="K1008">IF(A1008="","",IF(ISNUMBER(SEARCH("Land",LEFT(IFERROR(INDEX('Deck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08" s="80" t="str">
        <f t="shared" si="3"/>
        <v/>
      </c>
      <c r="M1008" s="80" t="str">
        <f>IF(A1008="","",IF(AND(E1008="Y",B1008='Use at Shop'!$B$4),K1008*10000000000+(MAX(0,MIN(26,CODE(MID(UPPER(A1008)&amp;"    ",1,1))-64))*19683+MAX(0,MIN(26,CODE(MID(UPPER(A1008)&amp;"    ",2,1))-64))*729+MAX(0,MIN(26,CODE(MID(UPPER(A1008)&amp;"    ",3,1))-64))*27+MAX(0,MIN(26,CODE(MID(UPPER(A1008)&amp;"    ",4,1))-64))*1)*10000+ROW(),""))</f>
        <v/>
      </c>
      <c r="N1008" s="80" t="str">
        <f t="shared" si="8"/>
        <v/>
      </c>
      <c r="O1008" s="80" t="str">
        <f t="array" ref="O1008">IF(A1008="","",IFERROR(INDEX('Deck 4'!$A:$Z,ROW()-1000,'List Setup'!$J$6)&amp;"",""))</f>
        <v/>
      </c>
      <c r="P1008" s="2"/>
      <c r="Q1008" s="80" t="str">
        <f>IF(A1008="","",'List Setup'!$A$6)</f>
        <v/>
      </c>
      <c r="R1008" s="80" t="str">
        <f t="array" ref="R1008">IF(A1008="","",IFERROR(OR(INDEX(Binders!$J$6:$J$30,MATCH(Q1008,Binders!$I$6:$I$30,0))=TRUE(),UPPER(INDEX(Binders!$J$6:$J$30,MATCH(Q1008,Binders!$I$6:$I$30,0))&amp;"")="TRUE"),FALSE()))</f>
        <v/>
      </c>
    </row>
    <row r="1009" ht="15.75" customHeight="1">
      <c r="A1009" s="80" t="str">
        <f t="array" ref="A1009">IF(INDEX('Deck 4'!$A:$Z,ROW()-1000,'List Setup'!$D$6)="","",INDEX('Deck 4'!$A:$Z,ROW()-1000,'List Setup'!$D$6))</f>
        <v/>
      </c>
      <c r="B1009" s="80" t="str">
        <f t="array" ref="B1009">IF(A1009="","",IFERROR(INDEX('Binder Setup'!$B$2:$B$401,MIN(IF(ISNUMBER(SEARCH(CHAR(10)&amp;'Binder Setup'!$B$2:$B$401&amp;CHAR(10),$H1009)),'List Setup'!$Q$2:$Q$401,999),IF(ISNUMBER(SEARCH(CHAR(10)&amp;'Set Aliases'!$A$2:$A$501&amp;CHAR(10),$H1009)),'Set Aliases'!$C$2:$C$501,999))),"(none)"))</f>
        <v/>
      </c>
      <c r="C1009" s="80" t="str">
        <f t="shared" si="1"/>
        <v/>
      </c>
      <c r="D1009" s="80" t="str">
        <f t="array" ref="D1009">IF(A1009="","",IF(ISLOGICAL(INDEX('Deck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09" s="80" t="str">
        <f t="shared" si="2"/>
        <v/>
      </c>
      <c r="F1009" s="80" t="str">
        <f t="array" ref="F1009">IF(A1009="","",IF(ISNUMBER(J1009),J1009,IF(ISNUMBER(INDEX('Deck 4'!$A:$Z,ROW()-1000,'List Setup'!$F$6)),INDEX('Deck 4'!$A:$Z,ROW()-1000,'List Setup'!$F$6),0)))</f>
        <v/>
      </c>
      <c r="G1009" s="80" t="str">
        <f t="array" ref="G1009">IF(A1009="","",A1009&amp;IF(N(INDEX('Deck 4'!$A:$Z,ROW()-1000,'List Setup'!$C$6))&gt;1," (x"&amp;INDEX('Deck 4'!$A:$Z,ROW()-1000,'List Setup'!$C$6)&amp;")","")&amp;IF(COUNTIF(Binders!$J$6:$J$30,TRUE())&gt;1," ["&amp;Q1009&amp;"]",""))</f>
        <v/>
      </c>
      <c r="H1009" s="80" t="str">
        <f t="array" ref="H1009">IF(A1009="","",CHAR(10)&amp;INDEX('Deck 4'!$A:$Z,ROW()-1000,'List Setup'!$E$6)&amp;CHAR(10))</f>
        <v/>
      </c>
      <c r="I1009" s="80" t="str">
        <f t="array" ref="I1009">IF(OR(B1009="",B1009="(none)"),"",IF(ISNUMBER(SEARCH(CHAR(10)&amp;B1009&amp;CHAR(10),H1009)),B1009,IFERROR(INDEX('Set Aliases'!$A$2:$A$501,MATCH(1,('Set Aliases'!$B$2:$B$501=B1009)*ISNUMBER(SEARCH(CHAR(10)&amp;'Set Aliases'!$A$2:$A$501&amp;CHAR(10),H1009)),0)),"")))</f>
        <v/>
      </c>
      <c r="J1009" s="80" t="str">
        <f t="array" ref="J1009">IF(I1009="","",IFERROR(VALUE(TRIM(MID(SUBSTITUTE(INDEX('Deck 4'!$A:$Z,ROW()-1000,'List Setup'!$G$6),CHAR(10),REPT(" ",100)),((SEARCH(CHAR(10)&amp;I1009&amp;CHAR(10),H1009)-LEN(SUBSTITUTE(LEFT(H1009,SEARCH(CHAR(10)&amp;I1009&amp;CHAR(10),H1009)),CHAR(10),"")))-1)*100+1,100))),""))</f>
        <v/>
      </c>
      <c r="K1009" s="80" t="str">
        <f t="array" ref="K1009">IF(A1009="","",IF(ISNUMBER(SEARCH("Land",LEFT(IFERROR(INDEX('Deck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09" s="80" t="str">
        <f t="shared" si="3"/>
        <v/>
      </c>
      <c r="M1009" s="80" t="str">
        <f>IF(A1009="","",IF(AND(E1009="Y",B1009='Use at Shop'!$B$4),K1009*10000000000+(MAX(0,MIN(26,CODE(MID(UPPER(A1009)&amp;"    ",1,1))-64))*19683+MAX(0,MIN(26,CODE(MID(UPPER(A1009)&amp;"    ",2,1))-64))*729+MAX(0,MIN(26,CODE(MID(UPPER(A1009)&amp;"    ",3,1))-64))*27+MAX(0,MIN(26,CODE(MID(UPPER(A1009)&amp;"    ",4,1))-64))*1)*10000+ROW(),""))</f>
        <v/>
      </c>
      <c r="N1009" s="80" t="str">
        <f t="shared" si="8"/>
        <v/>
      </c>
      <c r="O1009" s="80" t="str">
        <f t="array" ref="O1009">IF(A1009="","",IFERROR(INDEX('Deck 4'!$A:$Z,ROW()-1000,'List Setup'!$J$6)&amp;"",""))</f>
        <v/>
      </c>
      <c r="P1009" s="2"/>
      <c r="Q1009" s="80" t="str">
        <f>IF(A1009="","",'List Setup'!$A$6)</f>
        <v/>
      </c>
      <c r="R1009" s="80" t="str">
        <f t="array" ref="R1009">IF(A1009="","",IFERROR(OR(INDEX(Binders!$J$6:$J$30,MATCH(Q1009,Binders!$I$6:$I$30,0))=TRUE(),UPPER(INDEX(Binders!$J$6:$J$30,MATCH(Q1009,Binders!$I$6:$I$30,0))&amp;"")="TRUE"),FALSE()))</f>
        <v/>
      </c>
    </row>
    <row r="1010" ht="15.75" customHeight="1">
      <c r="A1010" s="80" t="str">
        <f t="array" ref="A1010">IF(INDEX('Deck 4'!$A:$Z,ROW()-1000,'List Setup'!$D$6)="","",INDEX('Deck 4'!$A:$Z,ROW()-1000,'List Setup'!$D$6))</f>
        <v/>
      </c>
      <c r="B1010" s="80" t="str">
        <f t="array" ref="B1010">IF(A1010="","",IFERROR(INDEX('Binder Setup'!$B$2:$B$401,MIN(IF(ISNUMBER(SEARCH(CHAR(10)&amp;'Binder Setup'!$B$2:$B$401&amp;CHAR(10),$H1010)),'List Setup'!$Q$2:$Q$401,999),IF(ISNUMBER(SEARCH(CHAR(10)&amp;'Set Aliases'!$A$2:$A$501&amp;CHAR(10),$H1010)),'Set Aliases'!$C$2:$C$501,999))),"(none)"))</f>
        <v/>
      </c>
      <c r="C1010" s="80" t="str">
        <f t="shared" si="1"/>
        <v/>
      </c>
      <c r="D1010" s="80" t="str">
        <f t="array" ref="D1010">IF(A1010="","",IF(ISLOGICAL(INDEX('Deck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10" s="80" t="str">
        <f t="shared" si="2"/>
        <v/>
      </c>
      <c r="F1010" s="80" t="str">
        <f t="array" ref="F1010">IF(A1010="","",IF(ISNUMBER(J1010),J1010,IF(ISNUMBER(INDEX('Deck 4'!$A:$Z,ROW()-1000,'List Setup'!$F$6)),INDEX('Deck 4'!$A:$Z,ROW()-1000,'List Setup'!$F$6),0)))</f>
        <v/>
      </c>
      <c r="G1010" s="80" t="str">
        <f t="array" ref="G1010">IF(A1010="","",A1010&amp;IF(N(INDEX('Deck 4'!$A:$Z,ROW()-1000,'List Setup'!$C$6))&gt;1," (x"&amp;INDEX('Deck 4'!$A:$Z,ROW()-1000,'List Setup'!$C$6)&amp;")","")&amp;IF(COUNTIF(Binders!$J$6:$J$30,TRUE())&gt;1," ["&amp;Q1010&amp;"]",""))</f>
        <v/>
      </c>
      <c r="H1010" s="80" t="str">
        <f t="array" ref="H1010">IF(A1010="","",CHAR(10)&amp;INDEX('Deck 4'!$A:$Z,ROW()-1000,'List Setup'!$E$6)&amp;CHAR(10))</f>
        <v/>
      </c>
      <c r="I1010" s="80" t="str">
        <f t="array" ref="I1010">IF(OR(B1010="",B1010="(none)"),"",IF(ISNUMBER(SEARCH(CHAR(10)&amp;B1010&amp;CHAR(10),H1010)),B1010,IFERROR(INDEX('Set Aliases'!$A$2:$A$501,MATCH(1,('Set Aliases'!$B$2:$B$501=B1010)*ISNUMBER(SEARCH(CHAR(10)&amp;'Set Aliases'!$A$2:$A$501&amp;CHAR(10),H1010)),0)),"")))</f>
        <v/>
      </c>
      <c r="J1010" s="80" t="str">
        <f t="array" ref="J1010">IF(I1010="","",IFERROR(VALUE(TRIM(MID(SUBSTITUTE(INDEX('Deck 4'!$A:$Z,ROW()-1000,'List Setup'!$G$6),CHAR(10),REPT(" ",100)),((SEARCH(CHAR(10)&amp;I1010&amp;CHAR(10),H1010)-LEN(SUBSTITUTE(LEFT(H1010,SEARCH(CHAR(10)&amp;I1010&amp;CHAR(10),H1010)),CHAR(10),"")))-1)*100+1,100))),""))</f>
        <v/>
      </c>
      <c r="K1010" s="80" t="str">
        <f t="array" ref="K1010">IF(A1010="","",IF(ISNUMBER(SEARCH("Land",LEFT(IFERROR(INDEX('Deck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10" s="80" t="str">
        <f t="shared" si="3"/>
        <v/>
      </c>
      <c r="M1010" s="80" t="str">
        <f>IF(A1010="","",IF(AND(E1010="Y",B1010='Use at Shop'!$B$4),K1010*10000000000+(MAX(0,MIN(26,CODE(MID(UPPER(A1010)&amp;"    ",1,1))-64))*19683+MAX(0,MIN(26,CODE(MID(UPPER(A1010)&amp;"    ",2,1))-64))*729+MAX(0,MIN(26,CODE(MID(UPPER(A1010)&amp;"    ",3,1))-64))*27+MAX(0,MIN(26,CODE(MID(UPPER(A1010)&amp;"    ",4,1))-64))*1)*10000+ROW(),""))</f>
        <v/>
      </c>
      <c r="N1010" s="80" t="str">
        <f t="shared" si="8"/>
        <v/>
      </c>
      <c r="O1010" s="80" t="str">
        <f t="array" ref="O1010">IF(A1010="","",IFERROR(INDEX('Deck 4'!$A:$Z,ROW()-1000,'List Setup'!$J$6)&amp;"",""))</f>
        <v/>
      </c>
      <c r="P1010" s="2"/>
      <c r="Q1010" s="80" t="str">
        <f>IF(A1010="","",'List Setup'!$A$6)</f>
        <v/>
      </c>
      <c r="R1010" s="80" t="str">
        <f t="array" ref="R1010">IF(A1010="","",IFERROR(OR(INDEX(Binders!$J$6:$J$30,MATCH(Q1010,Binders!$I$6:$I$30,0))=TRUE(),UPPER(INDEX(Binders!$J$6:$J$30,MATCH(Q1010,Binders!$I$6:$I$30,0))&amp;"")="TRUE"),FALSE()))</f>
        <v/>
      </c>
    </row>
    <row r="1011" ht="15.75" customHeight="1">
      <c r="A1011" s="80" t="str">
        <f t="array" ref="A1011">IF(INDEX('Deck 4'!$A:$Z,ROW()-1000,'List Setup'!$D$6)="","",INDEX('Deck 4'!$A:$Z,ROW()-1000,'List Setup'!$D$6))</f>
        <v/>
      </c>
      <c r="B1011" s="80" t="str">
        <f t="array" ref="B1011">IF(A1011="","",IFERROR(INDEX('Binder Setup'!$B$2:$B$401,MIN(IF(ISNUMBER(SEARCH(CHAR(10)&amp;'Binder Setup'!$B$2:$B$401&amp;CHAR(10),$H1011)),'List Setup'!$Q$2:$Q$401,999),IF(ISNUMBER(SEARCH(CHAR(10)&amp;'Set Aliases'!$A$2:$A$501&amp;CHAR(10),$H1011)),'Set Aliases'!$C$2:$C$501,999))),"(none)"))</f>
        <v/>
      </c>
      <c r="C1011" s="80" t="str">
        <f t="shared" si="1"/>
        <v/>
      </c>
      <c r="D1011" s="80" t="str">
        <f t="array" ref="D1011">IF(A1011="","",IF(ISLOGICAL(INDEX('Deck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11" s="80" t="str">
        <f t="shared" si="2"/>
        <v/>
      </c>
      <c r="F1011" s="80" t="str">
        <f t="array" ref="F1011">IF(A1011="","",IF(ISNUMBER(J1011),J1011,IF(ISNUMBER(INDEX('Deck 4'!$A:$Z,ROW()-1000,'List Setup'!$F$6)),INDEX('Deck 4'!$A:$Z,ROW()-1000,'List Setup'!$F$6),0)))</f>
        <v/>
      </c>
      <c r="G1011" s="80" t="str">
        <f t="array" ref="G1011">IF(A1011="","",A1011&amp;IF(N(INDEX('Deck 4'!$A:$Z,ROW()-1000,'List Setup'!$C$6))&gt;1," (x"&amp;INDEX('Deck 4'!$A:$Z,ROW()-1000,'List Setup'!$C$6)&amp;")","")&amp;IF(COUNTIF(Binders!$J$6:$J$30,TRUE())&gt;1," ["&amp;Q1011&amp;"]",""))</f>
        <v/>
      </c>
      <c r="H1011" s="80" t="str">
        <f t="array" ref="H1011">IF(A1011="","",CHAR(10)&amp;INDEX('Deck 4'!$A:$Z,ROW()-1000,'List Setup'!$E$6)&amp;CHAR(10))</f>
        <v/>
      </c>
      <c r="I1011" s="80" t="str">
        <f t="array" ref="I1011">IF(OR(B1011="",B1011="(none)"),"",IF(ISNUMBER(SEARCH(CHAR(10)&amp;B1011&amp;CHAR(10),H1011)),B1011,IFERROR(INDEX('Set Aliases'!$A$2:$A$501,MATCH(1,('Set Aliases'!$B$2:$B$501=B1011)*ISNUMBER(SEARCH(CHAR(10)&amp;'Set Aliases'!$A$2:$A$501&amp;CHAR(10),H1011)),0)),"")))</f>
        <v/>
      </c>
      <c r="J1011" s="80" t="str">
        <f t="array" ref="J1011">IF(I1011="","",IFERROR(VALUE(TRIM(MID(SUBSTITUTE(INDEX('Deck 4'!$A:$Z,ROW()-1000,'List Setup'!$G$6),CHAR(10),REPT(" ",100)),((SEARCH(CHAR(10)&amp;I1011&amp;CHAR(10),H1011)-LEN(SUBSTITUTE(LEFT(H1011,SEARCH(CHAR(10)&amp;I1011&amp;CHAR(10),H1011)),CHAR(10),"")))-1)*100+1,100))),""))</f>
        <v/>
      </c>
      <c r="K1011" s="80" t="str">
        <f t="array" ref="K1011">IF(A1011="","",IF(ISNUMBER(SEARCH("Land",LEFT(IFERROR(INDEX('Deck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11" s="80" t="str">
        <f t="shared" si="3"/>
        <v/>
      </c>
      <c r="M1011" s="80" t="str">
        <f>IF(A1011="","",IF(AND(E1011="Y",B1011='Use at Shop'!$B$4),K1011*10000000000+(MAX(0,MIN(26,CODE(MID(UPPER(A1011)&amp;"    ",1,1))-64))*19683+MAX(0,MIN(26,CODE(MID(UPPER(A1011)&amp;"    ",2,1))-64))*729+MAX(0,MIN(26,CODE(MID(UPPER(A1011)&amp;"    ",3,1))-64))*27+MAX(0,MIN(26,CODE(MID(UPPER(A1011)&amp;"    ",4,1))-64))*1)*10000+ROW(),""))</f>
        <v/>
      </c>
      <c r="N1011" s="80" t="str">
        <f t="shared" si="8"/>
        <v/>
      </c>
      <c r="O1011" s="80" t="str">
        <f t="array" ref="O1011">IF(A1011="","",IFERROR(INDEX('Deck 4'!$A:$Z,ROW()-1000,'List Setup'!$J$6)&amp;"",""))</f>
        <v/>
      </c>
      <c r="P1011" s="2"/>
      <c r="Q1011" s="80" t="str">
        <f>IF(A1011="","",'List Setup'!$A$6)</f>
        <v/>
      </c>
      <c r="R1011" s="80" t="str">
        <f t="array" ref="R1011">IF(A1011="","",IFERROR(OR(INDEX(Binders!$J$6:$J$30,MATCH(Q1011,Binders!$I$6:$I$30,0))=TRUE(),UPPER(INDEX(Binders!$J$6:$J$30,MATCH(Q1011,Binders!$I$6:$I$30,0))&amp;"")="TRUE"),FALSE()))</f>
        <v/>
      </c>
    </row>
    <row r="1012" ht="15.75" customHeight="1">
      <c r="A1012" s="80" t="str">
        <f t="array" ref="A1012">IF(INDEX('Deck 4'!$A:$Z,ROW()-1000,'List Setup'!$D$6)="","",INDEX('Deck 4'!$A:$Z,ROW()-1000,'List Setup'!$D$6))</f>
        <v/>
      </c>
      <c r="B1012" s="80" t="str">
        <f t="array" ref="B1012">IF(A1012="","",IFERROR(INDEX('Binder Setup'!$B$2:$B$401,MIN(IF(ISNUMBER(SEARCH(CHAR(10)&amp;'Binder Setup'!$B$2:$B$401&amp;CHAR(10),$H1012)),'List Setup'!$Q$2:$Q$401,999),IF(ISNUMBER(SEARCH(CHAR(10)&amp;'Set Aliases'!$A$2:$A$501&amp;CHAR(10),$H1012)),'Set Aliases'!$C$2:$C$501,999))),"(none)"))</f>
        <v/>
      </c>
      <c r="C1012" s="80" t="str">
        <f t="shared" si="1"/>
        <v/>
      </c>
      <c r="D1012" s="80" t="str">
        <f t="array" ref="D1012">IF(A1012="","",IF(ISLOGICAL(INDEX('Deck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12" s="80" t="str">
        <f t="shared" si="2"/>
        <v/>
      </c>
      <c r="F1012" s="80" t="str">
        <f t="array" ref="F1012">IF(A1012="","",IF(ISNUMBER(J1012),J1012,IF(ISNUMBER(INDEX('Deck 4'!$A:$Z,ROW()-1000,'List Setup'!$F$6)),INDEX('Deck 4'!$A:$Z,ROW()-1000,'List Setup'!$F$6),0)))</f>
        <v/>
      </c>
      <c r="G1012" s="80" t="str">
        <f t="array" ref="G1012">IF(A1012="","",A1012&amp;IF(N(INDEX('Deck 4'!$A:$Z,ROW()-1000,'List Setup'!$C$6))&gt;1," (x"&amp;INDEX('Deck 4'!$A:$Z,ROW()-1000,'List Setup'!$C$6)&amp;")","")&amp;IF(COUNTIF(Binders!$J$6:$J$30,TRUE())&gt;1," ["&amp;Q1012&amp;"]",""))</f>
        <v/>
      </c>
      <c r="H1012" s="80" t="str">
        <f t="array" ref="H1012">IF(A1012="","",CHAR(10)&amp;INDEX('Deck 4'!$A:$Z,ROW()-1000,'List Setup'!$E$6)&amp;CHAR(10))</f>
        <v/>
      </c>
      <c r="I1012" s="80" t="str">
        <f t="array" ref="I1012">IF(OR(B1012="",B1012="(none)"),"",IF(ISNUMBER(SEARCH(CHAR(10)&amp;B1012&amp;CHAR(10),H1012)),B1012,IFERROR(INDEX('Set Aliases'!$A$2:$A$501,MATCH(1,('Set Aliases'!$B$2:$B$501=B1012)*ISNUMBER(SEARCH(CHAR(10)&amp;'Set Aliases'!$A$2:$A$501&amp;CHAR(10),H1012)),0)),"")))</f>
        <v/>
      </c>
      <c r="J1012" s="80" t="str">
        <f t="array" ref="J1012">IF(I1012="","",IFERROR(VALUE(TRIM(MID(SUBSTITUTE(INDEX('Deck 4'!$A:$Z,ROW()-1000,'List Setup'!$G$6),CHAR(10),REPT(" ",100)),((SEARCH(CHAR(10)&amp;I1012&amp;CHAR(10),H1012)-LEN(SUBSTITUTE(LEFT(H1012,SEARCH(CHAR(10)&amp;I1012&amp;CHAR(10),H1012)),CHAR(10),"")))-1)*100+1,100))),""))</f>
        <v/>
      </c>
      <c r="K1012" s="80" t="str">
        <f t="array" ref="K1012">IF(A1012="","",IF(ISNUMBER(SEARCH("Land",LEFT(IFERROR(INDEX('Deck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12" s="80" t="str">
        <f t="shared" si="3"/>
        <v/>
      </c>
      <c r="M1012" s="80" t="str">
        <f>IF(A1012="","",IF(AND(E1012="Y",B1012='Use at Shop'!$B$4),K1012*10000000000+(MAX(0,MIN(26,CODE(MID(UPPER(A1012)&amp;"    ",1,1))-64))*19683+MAX(0,MIN(26,CODE(MID(UPPER(A1012)&amp;"    ",2,1))-64))*729+MAX(0,MIN(26,CODE(MID(UPPER(A1012)&amp;"    ",3,1))-64))*27+MAX(0,MIN(26,CODE(MID(UPPER(A1012)&amp;"    ",4,1))-64))*1)*10000+ROW(),""))</f>
        <v/>
      </c>
      <c r="N1012" s="80" t="str">
        <f t="shared" si="8"/>
        <v/>
      </c>
      <c r="O1012" s="80" t="str">
        <f t="array" ref="O1012">IF(A1012="","",IFERROR(INDEX('Deck 4'!$A:$Z,ROW()-1000,'List Setup'!$J$6)&amp;"",""))</f>
        <v/>
      </c>
      <c r="P1012" s="2"/>
      <c r="Q1012" s="80" t="str">
        <f>IF(A1012="","",'List Setup'!$A$6)</f>
        <v/>
      </c>
      <c r="R1012" s="80" t="str">
        <f t="array" ref="R1012">IF(A1012="","",IFERROR(OR(INDEX(Binders!$J$6:$J$30,MATCH(Q1012,Binders!$I$6:$I$30,0))=TRUE(),UPPER(INDEX(Binders!$J$6:$J$30,MATCH(Q1012,Binders!$I$6:$I$30,0))&amp;"")="TRUE"),FALSE()))</f>
        <v/>
      </c>
    </row>
    <row r="1013" ht="15.75" customHeight="1">
      <c r="A1013" s="80" t="str">
        <f t="array" ref="A1013">IF(INDEX('Deck 4'!$A:$Z,ROW()-1000,'List Setup'!$D$6)="","",INDEX('Deck 4'!$A:$Z,ROW()-1000,'List Setup'!$D$6))</f>
        <v/>
      </c>
      <c r="B1013" s="80" t="str">
        <f t="array" ref="B1013">IF(A1013="","",IFERROR(INDEX('Binder Setup'!$B$2:$B$401,MIN(IF(ISNUMBER(SEARCH(CHAR(10)&amp;'Binder Setup'!$B$2:$B$401&amp;CHAR(10),$H1013)),'List Setup'!$Q$2:$Q$401,999),IF(ISNUMBER(SEARCH(CHAR(10)&amp;'Set Aliases'!$A$2:$A$501&amp;CHAR(10),$H1013)),'Set Aliases'!$C$2:$C$501,999))),"(none)"))</f>
        <v/>
      </c>
      <c r="C1013" s="80" t="str">
        <f t="shared" si="1"/>
        <v/>
      </c>
      <c r="D1013" s="80" t="str">
        <f t="array" ref="D1013">IF(A1013="","",IF(ISLOGICAL(INDEX('Deck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13" s="80" t="str">
        <f t="shared" si="2"/>
        <v/>
      </c>
      <c r="F1013" s="80" t="str">
        <f t="array" ref="F1013">IF(A1013="","",IF(ISNUMBER(J1013),J1013,IF(ISNUMBER(INDEX('Deck 4'!$A:$Z,ROW()-1000,'List Setup'!$F$6)),INDEX('Deck 4'!$A:$Z,ROW()-1000,'List Setup'!$F$6),0)))</f>
        <v/>
      </c>
      <c r="G1013" s="80" t="str">
        <f t="array" ref="G1013">IF(A1013="","",A1013&amp;IF(N(INDEX('Deck 4'!$A:$Z,ROW()-1000,'List Setup'!$C$6))&gt;1," (x"&amp;INDEX('Deck 4'!$A:$Z,ROW()-1000,'List Setup'!$C$6)&amp;")","")&amp;IF(COUNTIF(Binders!$J$6:$J$30,TRUE())&gt;1," ["&amp;Q1013&amp;"]",""))</f>
        <v/>
      </c>
      <c r="H1013" s="80" t="str">
        <f t="array" ref="H1013">IF(A1013="","",CHAR(10)&amp;INDEX('Deck 4'!$A:$Z,ROW()-1000,'List Setup'!$E$6)&amp;CHAR(10))</f>
        <v/>
      </c>
      <c r="I1013" s="80" t="str">
        <f t="array" ref="I1013">IF(OR(B1013="",B1013="(none)"),"",IF(ISNUMBER(SEARCH(CHAR(10)&amp;B1013&amp;CHAR(10),H1013)),B1013,IFERROR(INDEX('Set Aliases'!$A$2:$A$501,MATCH(1,('Set Aliases'!$B$2:$B$501=B1013)*ISNUMBER(SEARCH(CHAR(10)&amp;'Set Aliases'!$A$2:$A$501&amp;CHAR(10),H1013)),0)),"")))</f>
        <v/>
      </c>
      <c r="J1013" s="80" t="str">
        <f t="array" ref="J1013">IF(I1013="","",IFERROR(VALUE(TRIM(MID(SUBSTITUTE(INDEX('Deck 4'!$A:$Z,ROW()-1000,'List Setup'!$G$6),CHAR(10),REPT(" ",100)),((SEARCH(CHAR(10)&amp;I1013&amp;CHAR(10),H1013)-LEN(SUBSTITUTE(LEFT(H1013,SEARCH(CHAR(10)&amp;I1013&amp;CHAR(10),H1013)),CHAR(10),"")))-1)*100+1,100))),""))</f>
        <v/>
      </c>
      <c r="K1013" s="80" t="str">
        <f t="array" ref="K1013">IF(A1013="","",IF(ISNUMBER(SEARCH("Land",LEFT(IFERROR(INDEX('Deck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13" s="80" t="str">
        <f t="shared" si="3"/>
        <v/>
      </c>
      <c r="M1013" s="80" t="str">
        <f>IF(A1013="","",IF(AND(E1013="Y",B1013='Use at Shop'!$B$4),K1013*10000000000+(MAX(0,MIN(26,CODE(MID(UPPER(A1013)&amp;"    ",1,1))-64))*19683+MAX(0,MIN(26,CODE(MID(UPPER(A1013)&amp;"    ",2,1))-64))*729+MAX(0,MIN(26,CODE(MID(UPPER(A1013)&amp;"    ",3,1))-64))*27+MAX(0,MIN(26,CODE(MID(UPPER(A1013)&amp;"    ",4,1))-64))*1)*10000+ROW(),""))</f>
        <v/>
      </c>
      <c r="N1013" s="80" t="str">
        <f t="shared" si="8"/>
        <v/>
      </c>
      <c r="O1013" s="80" t="str">
        <f t="array" ref="O1013">IF(A1013="","",IFERROR(INDEX('Deck 4'!$A:$Z,ROW()-1000,'List Setup'!$J$6)&amp;"",""))</f>
        <v/>
      </c>
      <c r="P1013" s="2"/>
      <c r="Q1013" s="80" t="str">
        <f>IF(A1013="","",'List Setup'!$A$6)</f>
        <v/>
      </c>
      <c r="R1013" s="80" t="str">
        <f t="array" ref="R1013">IF(A1013="","",IFERROR(OR(INDEX(Binders!$J$6:$J$30,MATCH(Q1013,Binders!$I$6:$I$30,0))=TRUE(),UPPER(INDEX(Binders!$J$6:$J$30,MATCH(Q1013,Binders!$I$6:$I$30,0))&amp;"")="TRUE"),FALSE()))</f>
        <v/>
      </c>
    </row>
    <row r="1014" ht="15.75" customHeight="1">
      <c r="A1014" s="80" t="str">
        <f t="array" ref="A1014">IF(INDEX('Deck 4'!$A:$Z,ROW()-1000,'List Setup'!$D$6)="","",INDEX('Deck 4'!$A:$Z,ROW()-1000,'List Setup'!$D$6))</f>
        <v/>
      </c>
      <c r="B1014" s="80" t="str">
        <f t="array" ref="B1014">IF(A1014="","",IFERROR(INDEX('Binder Setup'!$B$2:$B$401,MIN(IF(ISNUMBER(SEARCH(CHAR(10)&amp;'Binder Setup'!$B$2:$B$401&amp;CHAR(10),$H1014)),'List Setup'!$Q$2:$Q$401,999),IF(ISNUMBER(SEARCH(CHAR(10)&amp;'Set Aliases'!$A$2:$A$501&amp;CHAR(10),$H1014)),'Set Aliases'!$C$2:$C$501,999))),"(none)"))</f>
        <v/>
      </c>
      <c r="C1014" s="80" t="str">
        <f t="shared" si="1"/>
        <v/>
      </c>
      <c r="D1014" s="80" t="str">
        <f t="array" ref="D1014">IF(A1014="","",IF(ISLOGICAL(INDEX('Deck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14" s="80" t="str">
        <f t="shared" si="2"/>
        <v/>
      </c>
      <c r="F1014" s="80" t="str">
        <f t="array" ref="F1014">IF(A1014="","",IF(ISNUMBER(J1014),J1014,IF(ISNUMBER(INDEX('Deck 4'!$A:$Z,ROW()-1000,'List Setup'!$F$6)),INDEX('Deck 4'!$A:$Z,ROW()-1000,'List Setup'!$F$6),0)))</f>
        <v/>
      </c>
      <c r="G1014" s="80" t="str">
        <f t="array" ref="G1014">IF(A1014="","",A1014&amp;IF(N(INDEX('Deck 4'!$A:$Z,ROW()-1000,'List Setup'!$C$6))&gt;1," (x"&amp;INDEX('Deck 4'!$A:$Z,ROW()-1000,'List Setup'!$C$6)&amp;")","")&amp;IF(COUNTIF(Binders!$J$6:$J$30,TRUE())&gt;1," ["&amp;Q1014&amp;"]",""))</f>
        <v/>
      </c>
      <c r="H1014" s="80" t="str">
        <f t="array" ref="H1014">IF(A1014="","",CHAR(10)&amp;INDEX('Deck 4'!$A:$Z,ROW()-1000,'List Setup'!$E$6)&amp;CHAR(10))</f>
        <v/>
      </c>
      <c r="I1014" s="80" t="str">
        <f t="array" ref="I1014">IF(OR(B1014="",B1014="(none)"),"",IF(ISNUMBER(SEARCH(CHAR(10)&amp;B1014&amp;CHAR(10),H1014)),B1014,IFERROR(INDEX('Set Aliases'!$A$2:$A$501,MATCH(1,('Set Aliases'!$B$2:$B$501=B1014)*ISNUMBER(SEARCH(CHAR(10)&amp;'Set Aliases'!$A$2:$A$501&amp;CHAR(10),H1014)),0)),"")))</f>
        <v/>
      </c>
      <c r="J1014" s="80" t="str">
        <f t="array" ref="J1014">IF(I1014="","",IFERROR(VALUE(TRIM(MID(SUBSTITUTE(INDEX('Deck 4'!$A:$Z,ROW()-1000,'List Setup'!$G$6),CHAR(10),REPT(" ",100)),((SEARCH(CHAR(10)&amp;I1014&amp;CHAR(10),H1014)-LEN(SUBSTITUTE(LEFT(H1014,SEARCH(CHAR(10)&amp;I1014&amp;CHAR(10),H1014)),CHAR(10),"")))-1)*100+1,100))),""))</f>
        <v/>
      </c>
      <c r="K1014" s="80" t="str">
        <f t="array" ref="K1014">IF(A1014="","",IF(ISNUMBER(SEARCH("Land",LEFT(IFERROR(INDEX('Deck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14" s="80" t="str">
        <f t="shared" si="3"/>
        <v/>
      </c>
      <c r="M1014" s="80" t="str">
        <f>IF(A1014="","",IF(AND(E1014="Y",B1014='Use at Shop'!$B$4),K1014*10000000000+(MAX(0,MIN(26,CODE(MID(UPPER(A1014)&amp;"    ",1,1))-64))*19683+MAX(0,MIN(26,CODE(MID(UPPER(A1014)&amp;"    ",2,1))-64))*729+MAX(0,MIN(26,CODE(MID(UPPER(A1014)&amp;"    ",3,1))-64))*27+MAX(0,MIN(26,CODE(MID(UPPER(A1014)&amp;"    ",4,1))-64))*1)*10000+ROW(),""))</f>
        <v/>
      </c>
      <c r="N1014" s="80" t="str">
        <f t="shared" si="8"/>
        <v/>
      </c>
      <c r="O1014" s="80" t="str">
        <f t="array" ref="O1014">IF(A1014="","",IFERROR(INDEX('Deck 4'!$A:$Z,ROW()-1000,'List Setup'!$J$6)&amp;"",""))</f>
        <v/>
      </c>
      <c r="P1014" s="2"/>
      <c r="Q1014" s="80" t="str">
        <f>IF(A1014="","",'List Setup'!$A$6)</f>
        <v/>
      </c>
      <c r="R1014" s="80" t="str">
        <f t="array" ref="R1014">IF(A1014="","",IFERROR(OR(INDEX(Binders!$J$6:$J$30,MATCH(Q1014,Binders!$I$6:$I$30,0))=TRUE(),UPPER(INDEX(Binders!$J$6:$J$30,MATCH(Q1014,Binders!$I$6:$I$30,0))&amp;"")="TRUE"),FALSE()))</f>
        <v/>
      </c>
    </row>
    <row r="1015" ht="15.75" customHeight="1">
      <c r="A1015" s="80" t="str">
        <f t="array" ref="A1015">IF(INDEX('Deck 4'!$A:$Z,ROW()-1000,'List Setup'!$D$6)="","",INDEX('Deck 4'!$A:$Z,ROW()-1000,'List Setup'!$D$6))</f>
        <v/>
      </c>
      <c r="B1015" s="80" t="str">
        <f t="array" ref="B1015">IF(A1015="","",IFERROR(INDEX('Binder Setup'!$B$2:$B$401,MIN(IF(ISNUMBER(SEARCH(CHAR(10)&amp;'Binder Setup'!$B$2:$B$401&amp;CHAR(10),$H1015)),'List Setup'!$Q$2:$Q$401,999),IF(ISNUMBER(SEARCH(CHAR(10)&amp;'Set Aliases'!$A$2:$A$501&amp;CHAR(10),$H1015)),'Set Aliases'!$C$2:$C$501,999))),"(none)"))</f>
        <v/>
      </c>
      <c r="C1015" s="80" t="str">
        <f t="shared" si="1"/>
        <v/>
      </c>
      <c r="D1015" s="80" t="str">
        <f t="array" ref="D1015">IF(A1015="","",IF(ISLOGICAL(INDEX('Deck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15" s="80" t="str">
        <f t="shared" si="2"/>
        <v/>
      </c>
      <c r="F1015" s="80" t="str">
        <f t="array" ref="F1015">IF(A1015="","",IF(ISNUMBER(J1015),J1015,IF(ISNUMBER(INDEX('Deck 4'!$A:$Z,ROW()-1000,'List Setup'!$F$6)),INDEX('Deck 4'!$A:$Z,ROW()-1000,'List Setup'!$F$6),0)))</f>
        <v/>
      </c>
      <c r="G1015" s="80" t="str">
        <f t="array" ref="G1015">IF(A1015="","",A1015&amp;IF(N(INDEX('Deck 4'!$A:$Z,ROW()-1000,'List Setup'!$C$6))&gt;1," (x"&amp;INDEX('Deck 4'!$A:$Z,ROW()-1000,'List Setup'!$C$6)&amp;")","")&amp;IF(COUNTIF(Binders!$J$6:$J$30,TRUE())&gt;1," ["&amp;Q1015&amp;"]",""))</f>
        <v/>
      </c>
      <c r="H1015" s="80" t="str">
        <f t="array" ref="H1015">IF(A1015="","",CHAR(10)&amp;INDEX('Deck 4'!$A:$Z,ROW()-1000,'List Setup'!$E$6)&amp;CHAR(10))</f>
        <v/>
      </c>
      <c r="I1015" s="80" t="str">
        <f t="array" ref="I1015">IF(OR(B1015="",B1015="(none)"),"",IF(ISNUMBER(SEARCH(CHAR(10)&amp;B1015&amp;CHAR(10),H1015)),B1015,IFERROR(INDEX('Set Aliases'!$A$2:$A$501,MATCH(1,('Set Aliases'!$B$2:$B$501=B1015)*ISNUMBER(SEARCH(CHAR(10)&amp;'Set Aliases'!$A$2:$A$501&amp;CHAR(10),H1015)),0)),"")))</f>
        <v/>
      </c>
      <c r="J1015" s="80" t="str">
        <f t="array" ref="J1015">IF(I1015="","",IFERROR(VALUE(TRIM(MID(SUBSTITUTE(INDEX('Deck 4'!$A:$Z,ROW()-1000,'List Setup'!$G$6),CHAR(10),REPT(" ",100)),((SEARCH(CHAR(10)&amp;I1015&amp;CHAR(10),H1015)-LEN(SUBSTITUTE(LEFT(H1015,SEARCH(CHAR(10)&amp;I1015&amp;CHAR(10),H1015)),CHAR(10),"")))-1)*100+1,100))),""))</f>
        <v/>
      </c>
      <c r="K1015" s="80" t="str">
        <f t="array" ref="K1015">IF(A1015="","",IF(ISNUMBER(SEARCH("Land",LEFT(IFERROR(INDEX('Deck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15" s="80" t="str">
        <f t="shared" si="3"/>
        <v/>
      </c>
      <c r="M1015" s="80" t="str">
        <f>IF(A1015="","",IF(AND(E1015="Y",B1015='Use at Shop'!$B$4),K1015*10000000000+(MAX(0,MIN(26,CODE(MID(UPPER(A1015)&amp;"    ",1,1))-64))*19683+MAX(0,MIN(26,CODE(MID(UPPER(A1015)&amp;"    ",2,1))-64))*729+MAX(0,MIN(26,CODE(MID(UPPER(A1015)&amp;"    ",3,1))-64))*27+MAX(0,MIN(26,CODE(MID(UPPER(A1015)&amp;"    ",4,1))-64))*1)*10000+ROW(),""))</f>
        <v/>
      </c>
      <c r="N1015" s="80" t="str">
        <f t="shared" si="8"/>
        <v/>
      </c>
      <c r="O1015" s="80" t="str">
        <f t="array" ref="O1015">IF(A1015="","",IFERROR(INDEX('Deck 4'!$A:$Z,ROW()-1000,'List Setup'!$J$6)&amp;"",""))</f>
        <v/>
      </c>
      <c r="P1015" s="2"/>
      <c r="Q1015" s="80" t="str">
        <f>IF(A1015="","",'List Setup'!$A$6)</f>
        <v/>
      </c>
      <c r="R1015" s="80" t="str">
        <f t="array" ref="R1015">IF(A1015="","",IFERROR(OR(INDEX(Binders!$J$6:$J$30,MATCH(Q1015,Binders!$I$6:$I$30,0))=TRUE(),UPPER(INDEX(Binders!$J$6:$J$30,MATCH(Q1015,Binders!$I$6:$I$30,0))&amp;"")="TRUE"),FALSE()))</f>
        <v/>
      </c>
    </row>
    <row r="1016" ht="15.75" customHeight="1">
      <c r="A1016" s="80" t="str">
        <f t="array" ref="A1016">IF(INDEX('Deck 4'!$A:$Z,ROW()-1000,'List Setup'!$D$6)="","",INDEX('Deck 4'!$A:$Z,ROW()-1000,'List Setup'!$D$6))</f>
        <v/>
      </c>
      <c r="B1016" s="80" t="str">
        <f t="array" ref="B1016">IF(A1016="","",IFERROR(INDEX('Binder Setup'!$B$2:$B$401,MIN(IF(ISNUMBER(SEARCH(CHAR(10)&amp;'Binder Setup'!$B$2:$B$401&amp;CHAR(10),$H1016)),'List Setup'!$Q$2:$Q$401,999),IF(ISNUMBER(SEARCH(CHAR(10)&amp;'Set Aliases'!$A$2:$A$501&amp;CHAR(10),$H1016)),'Set Aliases'!$C$2:$C$501,999))),"(none)"))</f>
        <v/>
      </c>
      <c r="C1016" s="80" t="str">
        <f t="shared" si="1"/>
        <v/>
      </c>
      <c r="D1016" s="80" t="str">
        <f t="array" ref="D1016">IF(A1016="","",IF(ISLOGICAL(INDEX('Deck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16" s="80" t="str">
        <f t="shared" si="2"/>
        <v/>
      </c>
      <c r="F1016" s="80" t="str">
        <f t="array" ref="F1016">IF(A1016="","",IF(ISNUMBER(J1016),J1016,IF(ISNUMBER(INDEX('Deck 4'!$A:$Z,ROW()-1000,'List Setup'!$F$6)),INDEX('Deck 4'!$A:$Z,ROW()-1000,'List Setup'!$F$6),0)))</f>
        <v/>
      </c>
      <c r="G1016" s="80" t="str">
        <f t="array" ref="G1016">IF(A1016="","",A1016&amp;IF(N(INDEX('Deck 4'!$A:$Z,ROW()-1000,'List Setup'!$C$6))&gt;1," (x"&amp;INDEX('Deck 4'!$A:$Z,ROW()-1000,'List Setup'!$C$6)&amp;")","")&amp;IF(COUNTIF(Binders!$J$6:$J$30,TRUE())&gt;1," ["&amp;Q1016&amp;"]",""))</f>
        <v/>
      </c>
      <c r="H1016" s="80" t="str">
        <f t="array" ref="H1016">IF(A1016="","",CHAR(10)&amp;INDEX('Deck 4'!$A:$Z,ROW()-1000,'List Setup'!$E$6)&amp;CHAR(10))</f>
        <v/>
      </c>
      <c r="I1016" s="80" t="str">
        <f t="array" ref="I1016">IF(OR(B1016="",B1016="(none)"),"",IF(ISNUMBER(SEARCH(CHAR(10)&amp;B1016&amp;CHAR(10),H1016)),B1016,IFERROR(INDEX('Set Aliases'!$A$2:$A$501,MATCH(1,('Set Aliases'!$B$2:$B$501=B1016)*ISNUMBER(SEARCH(CHAR(10)&amp;'Set Aliases'!$A$2:$A$501&amp;CHAR(10),H1016)),0)),"")))</f>
        <v/>
      </c>
      <c r="J1016" s="80" t="str">
        <f t="array" ref="J1016">IF(I1016="","",IFERROR(VALUE(TRIM(MID(SUBSTITUTE(INDEX('Deck 4'!$A:$Z,ROW()-1000,'List Setup'!$G$6),CHAR(10),REPT(" ",100)),((SEARCH(CHAR(10)&amp;I1016&amp;CHAR(10),H1016)-LEN(SUBSTITUTE(LEFT(H1016,SEARCH(CHAR(10)&amp;I1016&amp;CHAR(10),H1016)),CHAR(10),"")))-1)*100+1,100))),""))</f>
        <v/>
      </c>
      <c r="K1016" s="80" t="str">
        <f t="array" ref="K1016">IF(A1016="","",IF(ISNUMBER(SEARCH("Land",LEFT(IFERROR(INDEX('Deck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16" s="80" t="str">
        <f t="shared" si="3"/>
        <v/>
      </c>
      <c r="M1016" s="80" t="str">
        <f>IF(A1016="","",IF(AND(E1016="Y",B1016='Use at Shop'!$B$4),K1016*10000000000+(MAX(0,MIN(26,CODE(MID(UPPER(A1016)&amp;"    ",1,1))-64))*19683+MAX(0,MIN(26,CODE(MID(UPPER(A1016)&amp;"    ",2,1))-64))*729+MAX(0,MIN(26,CODE(MID(UPPER(A1016)&amp;"    ",3,1))-64))*27+MAX(0,MIN(26,CODE(MID(UPPER(A1016)&amp;"    ",4,1))-64))*1)*10000+ROW(),""))</f>
        <v/>
      </c>
      <c r="N1016" s="80" t="str">
        <f t="shared" si="8"/>
        <v/>
      </c>
      <c r="O1016" s="80" t="str">
        <f t="array" ref="O1016">IF(A1016="","",IFERROR(INDEX('Deck 4'!$A:$Z,ROW()-1000,'List Setup'!$J$6)&amp;"",""))</f>
        <v/>
      </c>
      <c r="P1016" s="2"/>
      <c r="Q1016" s="80" t="str">
        <f>IF(A1016="","",'List Setup'!$A$6)</f>
        <v/>
      </c>
      <c r="R1016" s="80" t="str">
        <f t="array" ref="R1016">IF(A1016="","",IFERROR(OR(INDEX(Binders!$J$6:$J$30,MATCH(Q1016,Binders!$I$6:$I$30,0))=TRUE(),UPPER(INDEX(Binders!$J$6:$J$30,MATCH(Q1016,Binders!$I$6:$I$30,0))&amp;"")="TRUE"),FALSE()))</f>
        <v/>
      </c>
    </row>
    <row r="1017" ht="15.75" customHeight="1">
      <c r="A1017" s="80" t="str">
        <f t="array" ref="A1017">IF(INDEX('Deck 4'!$A:$Z,ROW()-1000,'List Setup'!$D$6)="","",INDEX('Deck 4'!$A:$Z,ROW()-1000,'List Setup'!$D$6))</f>
        <v/>
      </c>
      <c r="B1017" s="80" t="str">
        <f t="array" ref="B1017">IF(A1017="","",IFERROR(INDEX('Binder Setup'!$B$2:$B$401,MIN(IF(ISNUMBER(SEARCH(CHAR(10)&amp;'Binder Setup'!$B$2:$B$401&amp;CHAR(10),$H1017)),'List Setup'!$Q$2:$Q$401,999),IF(ISNUMBER(SEARCH(CHAR(10)&amp;'Set Aliases'!$A$2:$A$501&amp;CHAR(10),$H1017)),'Set Aliases'!$C$2:$C$501,999))),"(none)"))</f>
        <v/>
      </c>
      <c r="C1017" s="80" t="str">
        <f t="shared" si="1"/>
        <v/>
      </c>
      <c r="D1017" s="80" t="str">
        <f t="array" ref="D1017">IF(A1017="","",IF(ISLOGICAL(INDEX('Deck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17" s="80" t="str">
        <f t="shared" si="2"/>
        <v/>
      </c>
      <c r="F1017" s="80" t="str">
        <f t="array" ref="F1017">IF(A1017="","",IF(ISNUMBER(J1017),J1017,IF(ISNUMBER(INDEX('Deck 4'!$A:$Z,ROW()-1000,'List Setup'!$F$6)),INDEX('Deck 4'!$A:$Z,ROW()-1000,'List Setup'!$F$6),0)))</f>
        <v/>
      </c>
      <c r="G1017" s="80" t="str">
        <f t="array" ref="G1017">IF(A1017="","",A1017&amp;IF(N(INDEX('Deck 4'!$A:$Z,ROW()-1000,'List Setup'!$C$6))&gt;1," (x"&amp;INDEX('Deck 4'!$A:$Z,ROW()-1000,'List Setup'!$C$6)&amp;")","")&amp;IF(COUNTIF(Binders!$J$6:$J$30,TRUE())&gt;1," ["&amp;Q1017&amp;"]",""))</f>
        <v/>
      </c>
      <c r="H1017" s="80" t="str">
        <f t="array" ref="H1017">IF(A1017="","",CHAR(10)&amp;INDEX('Deck 4'!$A:$Z,ROW()-1000,'List Setup'!$E$6)&amp;CHAR(10))</f>
        <v/>
      </c>
      <c r="I1017" s="80" t="str">
        <f t="array" ref="I1017">IF(OR(B1017="",B1017="(none)"),"",IF(ISNUMBER(SEARCH(CHAR(10)&amp;B1017&amp;CHAR(10),H1017)),B1017,IFERROR(INDEX('Set Aliases'!$A$2:$A$501,MATCH(1,('Set Aliases'!$B$2:$B$501=B1017)*ISNUMBER(SEARCH(CHAR(10)&amp;'Set Aliases'!$A$2:$A$501&amp;CHAR(10),H1017)),0)),"")))</f>
        <v/>
      </c>
      <c r="J1017" s="80" t="str">
        <f t="array" ref="J1017">IF(I1017="","",IFERROR(VALUE(TRIM(MID(SUBSTITUTE(INDEX('Deck 4'!$A:$Z,ROW()-1000,'List Setup'!$G$6),CHAR(10),REPT(" ",100)),((SEARCH(CHAR(10)&amp;I1017&amp;CHAR(10),H1017)-LEN(SUBSTITUTE(LEFT(H1017,SEARCH(CHAR(10)&amp;I1017&amp;CHAR(10),H1017)),CHAR(10),"")))-1)*100+1,100))),""))</f>
        <v/>
      </c>
      <c r="K1017" s="80" t="str">
        <f t="array" ref="K1017">IF(A1017="","",IF(ISNUMBER(SEARCH("Land",LEFT(IFERROR(INDEX('Deck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17" s="80" t="str">
        <f t="shared" si="3"/>
        <v/>
      </c>
      <c r="M1017" s="80" t="str">
        <f>IF(A1017="","",IF(AND(E1017="Y",B1017='Use at Shop'!$B$4),K1017*10000000000+(MAX(0,MIN(26,CODE(MID(UPPER(A1017)&amp;"    ",1,1))-64))*19683+MAX(0,MIN(26,CODE(MID(UPPER(A1017)&amp;"    ",2,1))-64))*729+MAX(0,MIN(26,CODE(MID(UPPER(A1017)&amp;"    ",3,1))-64))*27+MAX(0,MIN(26,CODE(MID(UPPER(A1017)&amp;"    ",4,1))-64))*1)*10000+ROW(),""))</f>
        <v/>
      </c>
      <c r="N1017" s="80" t="str">
        <f t="shared" si="8"/>
        <v/>
      </c>
      <c r="O1017" s="80" t="str">
        <f t="array" ref="O1017">IF(A1017="","",IFERROR(INDEX('Deck 4'!$A:$Z,ROW()-1000,'List Setup'!$J$6)&amp;"",""))</f>
        <v/>
      </c>
      <c r="P1017" s="2"/>
      <c r="Q1017" s="80" t="str">
        <f>IF(A1017="","",'List Setup'!$A$6)</f>
        <v/>
      </c>
      <c r="R1017" s="80" t="str">
        <f t="array" ref="R1017">IF(A1017="","",IFERROR(OR(INDEX(Binders!$J$6:$J$30,MATCH(Q1017,Binders!$I$6:$I$30,0))=TRUE(),UPPER(INDEX(Binders!$J$6:$J$30,MATCH(Q1017,Binders!$I$6:$I$30,0))&amp;"")="TRUE"),FALSE()))</f>
        <v/>
      </c>
    </row>
    <row r="1018" ht="15.75" customHeight="1">
      <c r="A1018" s="80" t="str">
        <f t="array" ref="A1018">IF(INDEX('Deck 4'!$A:$Z,ROW()-1000,'List Setup'!$D$6)="","",INDEX('Deck 4'!$A:$Z,ROW()-1000,'List Setup'!$D$6))</f>
        <v/>
      </c>
      <c r="B1018" s="80" t="str">
        <f t="array" ref="B1018">IF(A1018="","",IFERROR(INDEX('Binder Setup'!$B$2:$B$401,MIN(IF(ISNUMBER(SEARCH(CHAR(10)&amp;'Binder Setup'!$B$2:$B$401&amp;CHAR(10),$H1018)),'List Setup'!$Q$2:$Q$401,999),IF(ISNUMBER(SEARCH(CHAR(10)&amp;'Set Aliases'!$A$2:$A$501&amp;CHAR(10),$H1018)),'Set Aliases'!$C$2:$C$501,999))),"(none)"))</f>
        <v/>
      </c>
      <c r="C1018" s="80" t="str">
        <f t="shared" si="1"/>
        <v/>
      </c>
      <c r="D1018" s="80" t="str">
        <f t="array" ref="D1018">IF(A1018="","",IF(ISLOGICAL(INDEX('Deck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18" s="80" t="str">
        <f t="shared" si="2"/>
        <v/>
      </c>
      <c r="F1018" s="80" t="str">
        <f t="array" ref="F1018">IF(A1018="","",IF(ISNUMBER(J1018),J1018,IF(ISNUMBER(INDEX('Deck 4'!$A:$Z,ROW()-1000,'List Setup'!$F$6)),INDEX('Deck 4'!$A:$Z,ROW()-1000,'List Setup'!$F$6),0)))</f>
        <v/>
      </c>
      <c r="G1018" s="80" t="str">
        <f t="array" ref="G1018">IF(A1018="","",A1018&amp;IF(N(INDEX('Deck 4'!$A:$Z,ROW()-1000,'List Setup'!$C$6))&gt;1," (x"&amp;INDEX('Deck 4'!$A:$Z,ROW()-1000,'List Setup'!$C$6)&amp;")","")&amp;IF(COUNTIF(Binders!$J$6:$J$30,TRUE())&gt;1," ["&amp;Q1018&amp;"]",""))</f>
        <v/>
      </c>
      <c r="H1018" s="80" t="str">
        <f t="array" ref="H1018">IF(A1018="","",CHAR(10)&amp;INDEX('Deck 4'!$A:$Z,ROW()-1000,'List Setup'!$E$6)&amp;CHAR(10))</f>
        <v/>
      </c>
      <c r="I1018" s="80" t="str">
        <f t="array" ref="I1018">IF(OR(B1018="",B1018="(none)"),"",IF(ISNUMBER(SEARCH(CHAR(10)&amp;B1018&amp;CHAR(10),H1018)),B1018,IFERROR(INDEX('Set Aliases'!$A$2:$A$501,MATCH(1,('Set Aliases'!$B$2:$B$501=B1018)*ISNUMBER(SEARCH(CHAR(10)&amp;'Set Aliases'!$A$2:$A$501&amp;CHAR(10),H1018)),0)),"")))</f>
        <v/>
      </c>
      <c r="J1018" s="80" t="str">
        <f t="array" ref="J1018">IF(I1018="","",IFERROR(VALUE(TRIM(MID(SUBSTITUTE(INDEX('Deck 4'!$A:$Z,ROW()-1000,'List Setup'!$G$6),CHAR(10),REPT(" ",100)),((SEARCH(CHAR(10)&amp;I1018&amp;CHAR(10),H1018)-LEN(SUBSTITUTE(LEFT(H1018,SEARCH(CHAR(10)&amp;I1018&amp;CHAR(10),H1018)),CHAR(10),"")))-1)*100+1,100))),""))</f>
        <v/>
      </c>
      <c r="K1018" s="80" t="str">
        <f t="array" ref="K1018">IF(A1018="","",IF(ISNUMBER(SEARCH("Land",LEFT(IFERROR(INDEX('Deck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18" s="80" t="str">
        <f t="shared" si="3"/>
        <v/>
      </c>
      <c r="M1018" s="80" t="str">
        <f>IF(A1018="","",IF(AND(E1018="Y",B1018='Use at Shop'!$B$4),K1018*10000000000+(MAX(0,MIN(26,CODE(MID(UPPER(A1018)&amp;"    ",1,1))-64))*19683+MAX(0,MIN(26,CODE(MID(UPPER(A1018)&amp;"    ",2,1))-64))*729+MAX(0,MIN(26,CODE(MID(UPPER(A1018)&amp;"    ",3,1))-64))*27+MAX(0,MIN(26,CODE(MID(UPPER(A1018)&amp;"    ",4,1))-64))*1)*10000+ROW(),""))</f>
        <v/>
      </c>
      <c r="N1018" s="80" t="str">
        <f t="shared" si="8"/>
        <v/>
      </c>
      <c r="O1018" s="80" t="str">
        <f t="array" ref="O1018">IF(A1018="","",IFERROR(INDEX('Deck 4'!$A:$Z,ROW()-1000,'List Setup'!$J$6)&amp;"",""))</f>
        <v/>
      </c>
      <c r="P1018" s="2"/>
      <c r="Q1018" s="80" t="str">
        <f>IF(A1018="","",'List Setup'!$A$6)</f>
        <v/>
      </c>
      <c r="R1018" s="80" t="str">
        <f t="array" ref="R1018">IF(A1018="","",IFERROR(OR(INDEX(Binders!$J$6:$J$30,MATCH(Q1018,Binders!$I$6:$I$30,0))=TRUE(),UPPER(INDEX(Binders!$J$6:$J$30,MATCH(Q1018,Binders!$I$6:$I$30,0))&amp;"")="TRUE"),FALSE()))</f>
        <v/>
      </c>
    </row>
    <row r="1019" ht="15.75" customHeight="1">
      <c r="A1019" s="80" t="str">
        <f t="array" ref="A1019">IF(INDEX('Deck 4'!$A:$Z,ROW()-1000,'List Setup'!$D$6)="","",INDEX('Deck 4'!$A:$Z,ROW()-1000,'List Setup'!$D$6))</f>
        <v/>
      </c>
      <c r="B1019" s="80" t="str">
        <f t="array" ref="B1019">IF(A1019="","",IFERROR(INDEX('Binder Setup'!$B$2:$B$401,MIN(IF(ISNUMBER(SEARCH(CHAR(10)&amp;'Binder Setup'!$B$2:$B$401&amp;CHAR(10),$H1019)),'List Setup'!$Q$2:$Q$401,999),IF(ISNUMBER(SEARCH(CHAR(10)&amp;'Set Aliases'!$A$2:$A$501&amp;CHAR(10),$H1019)),'Set Aliases'!$C$2:$C$501,999))),"(none)"))</f>
        <v/>
      </c>
      <c r="C1019" s="80" t="str">
        <f t="shared" si="1"/>
        <v/>
      </c>
      <c r="D1019" s="80" t="str">
        <f t="array" ref="D1019">IF(A1019="","",IF(ISLOGICAL(INDEX('Deck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19" s="80" t="str">
        <f t="shared" si="2"/>
        <v/>
      </c>
      <c r="F1019" s="80" t="str">
        <f t="array" ref="F1019">IF(A1019="","",IF(ISNUMBER(J1019),J1019,IF(ISNUMBER(INDEX('Deck 4'!$A:$Z,ROW()-1000,'List Setup'!$F$6)),INDEX('Deck 4'!$A:$Z,ROW()-1000,'List Setup'!$F$6),0)))</f>
        <v/>
      </c>
      <c r="G1019" s="80" t="str">
        <f t="array" ref="G1019">IF(A1019="","",A1019&amp;IF(N(INDEX('Deck 4'!$A:$Z,ROW()-1000,'List Setup'!$C$6))&gt;1," (x"&amp;INDEX('Deck 4'!$A:$Z,ROW()-1000,'List Setup'!$C$6)&amp;")","")&amp;IF(COUNTIF(Binders!$J$6:$J$30,TRUE())&gt;1," ["&amp;Q1019&amp;"]",""))</f>
        <v/>
      </c>
      <c r="H1019" s="80" t="str">
        <f t="array" ref="H1019">IF(A1019="","",CHAR(10)&amp;INDEX('Deck 4'!$A:$Z,ROW()-1000,'List Setup'!$E$6)&amp;CHAR(10))</f>
        <v/>
      </c>
      <c r="I1019" s="80" t="str">
        <f t="array" ref="I1019">IF(OR(B1019="",B1019="(none)"),"",IF(ISNUMBER(SEARCH(CHAR(10)&amp;B1019&amp;CHAR(10),H1019)),B1019,IFERROR(INDEX('Set Aliases'!$A$2:$A$501,MATCH(1,('Set Aliases'!$B$2:$B$501=B1019)*ISNUMBER(SEARCH(CHAR(10)&amp;'Set Aliases'!$A$2:$A$501&amp;CHAR(10),H1019)),0)),"")))</f>
        <v/>
      </c>
      <c r="J1019" s="80" t="str">
        <f t="array" ref="J1019">IF(I1019="","",IFERROR(VALUE(TRIM(MID(SUBSTITUTE(INDEX('Deck 4'!$A:$Z,ROW()-1000,'List Setup'!$G$6),CHAR(10),REPT(" ",100)),((SEARCH(CHAR(10)&amp;I1019&amp;CHAR(10),H1019)-LEN(SUBSTITUTE(LEFT(H1019,SEARCH(CHAR(10)&amp;I1019&amp;CHAR(10),H1019)),CHAR(10),"")))-1)*100+1,100))),""))</f>
        <v/>
      </c>
      <c r="K1019" s="80" t="str">
        <f t="array" ref="K1019">IF(A1019="","",IF(ISNUMBER(SEARCH("Land",LEFT(IFERROR(INDEX('Deck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19" s="80" t="str">
        <f t="shared" si="3"/>
        <v/>
      </c>
      <c r="M1019" s="80" t="str">
        <f>IF(A1019="","",IF(AND(E1019="Y",B1019='Use at Shop'!$B$4),K1019*10000000000+(MAX(0,MIN(26,CODE(MID(UPPER(A1019)&amp;"    ",1,1))-64))*19683+MAX(0,MIN(26,CODE(MID(UPPER(A1019)&amp;"    ",2,1))-64))*729+MAX(0,MIN(26,CODE(MID(UPPER(A1019)&amp;"    ",3,1))-64))*27+MAX(0,MIN(26,CODE(MID(UPPER(A1019)&amp;"    ",4,1))-64))*1)*10000+ROW(),""))</f>
        <v/>
      </c>
      <c r="N1019" s="80" t="str">
        <f t="shared" si="8"/>
        <v/>
      </c>
      <c r="O1019" s="80" t="str">
        <f t="array" ref="O1019">IF(A1019="","",IFERROR(INDEX('Deck 4'!$A:$Z,ROW()-1000,'List Setup'!$J$6)&amp;"",""))</f>
        <v/>
      </c>
      <c r="P1019" s="2"/>
      <c r="Q1019" s="80" t="str">
        <f>IF(A1019="","",'List Setup'!$A$6)</f>
        <v/>
      </c>
      <c r="R1019" s="80" t="str">
        <f t="array" ref="R1019">IF(A1019="","",IFERROR(OR(INDEX(Binders!$J$6:$J$30,MATCH(Q1019,Binders!$I$6:$I$30,0))=TRUE(),UPPER(INDEX(Binders!$J$6:$J$30,MATCH(Q1019,Binders!$I$6:$I$30,0))&amp;"")="TRUE"),FALSE()))</f>
        <v/>
      </c>
    </row>
    <row r="1020" ht="15.75" customHeight="1">
      <c r="A1020" s="80" t="str">
        <f t="array" ref="A1020">IF(INDEX('Deck 4'!$A:$Z,ROW()-1000,'List Setup'!$D$6)="","",INDEX('Deck 4'!$A:$Z,ROW()-1000,'List Setup'!$D$6))</f>
        <v/>
      </c>
      <c r="B1020" s="80" t="str">
        <f t="array" ref="B1020">IF(A1020="","",IFERROR(INDEX('Binder Setup'!$B$2:$B$401,MIN(IF(ISNUMBER(SEARCH(CHAR(10)&amp;'Binder Setup'!$B$2:$B$401&amp;CHAR(10),$H1020)),'List Setup'!$Q$2:$Q$401,999),IF(ISNUMBER(SEARCH(CHAR(10)&amp;'Set Aliases'!$A$2:$A$501&amp;CHAR(10),$H1020)),'Set Aliases'!$C$2:$C$501,999))),"(none)"))</f>
        <v/>
      </c>
      <c r="C1020" s="80" t="str">
        <f t="shared" si="1"/>
        <v/>
      </c>
      <c r="D1020" s="80" t="str">
        <f t="array" ref="D1020">IF(A1020="","",IF(ISLOGICAL(INDEX('Deck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20" s="80" t="str">
        <f t="shared" si="2"/>
        <v/>
      </c>
      <c r="F1020" s="80" t="str">
        <f t="array" ref="F1020">IF(A1020="","",IF(ISNUMBER(J1020),J1020,IF(ISNUMBER(INDEX('Deck 4'!$A:$Z,ROW()-1000,'List Setup'!$F$6)),INDEX('Deck 4'!$A:$Z,ROW()-1000,'List Setup'!$F$6),0)))</f>
        <v/>
      </c>
      <c r="G1020" s="80" t="str">
        <f t="array" ref="G1020">IF(A1020="","",A1020&amp;IF(N(INDEX('Deck 4'!$A:$Z,ROW()-1000,'List Setup'!$C$6))&gt;1," (x"&amp;INDEX('Deck 4'!$A:$Z,ROW()-1000,'List Setup'!$C$6)&amp;")","")&amp;IF(COUNTIF(Binders!$J$6:$J$30,TRUE())&gt;1," ["&amp;Q1020&amp;"]",""))</f>
        <v/>
      </c>
      <c r="H1020" s="80" t="str">
        <f t="array" ref="H1020">IF(A1020="","",CHAR(10)&amp;INDEX('Deck 4'!$A:$Z,ROW()-1000,'List Setup'!$E$6)&amp;CHAR(10))</f>
        <v/>
      </c>
      <c r="I1020" s="80" t="str">
        <f t="array" ref="I1020">IF(OR(B1020="",B1020="(none)"),"",IF(ISNUMBER(SEARCH(CHAR(10)&amp;B1020&amp;CHAR(10),H1020)),B1020,IFERROR(INDEX('Set Aliases'!$A$2:$A$501,MATCH(1,('Set Aliases'!$B$2:$B$501=B1020)*ISNUMBER(SEARCH(CHAR(10)&amp;'Set Aliases'!$A$2:$A$501&amp;CHAR(10),H1020)),0)),"")))</f>
        <v/>
      </c>
      <c r="J1020" s="80" t="str">
        <f t="array" ref="J1020">IF(I1020="","",IFERROR(VALUE(TRIM(MID(SUBSTITUTE(INDEX('Deck 4'!$A:$Z,ROW()-1000,'List Setup'!$G$6),CHAR(10),REPT(" ",100)),((SEARCH(CHAR(10)&amp;I1020&amp;CHAR(10),H1020)-LEN(SUBSTITUTE(LEFT(H1020,SEARCH(CHAR(10)&amp;I1020&amp;CHAR(10),H1020)),CHAR(10),"")))-1)*100+1,100))),""))</f>
        <v/>
      </c>
      <c r="K1020" s="80" t="str">
        <f t="array" ref="K1020">IF(A1020="","",IF(ISNUMBER(SEARCH("Land",LEFT(IFERROR(INDEX('Deck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20" s="80" t="str">
        <f t="shared" si="3"/>
        <v/>
      </c>
      <c r="M1020" s="80" t="str">
        <f>IF(A1020="","",IF(AND(E1020="Y",B1020='Use at Shop'!$B$4),K1020*10000000000+(MAX(0,MIN(26,CODE(MID(UPPER(A1020)&amp;"    ",1,1))-64))*19683+MAX(0,MIN(26,CODE(MID(UPPER(A1020)&amp;"    ",2,1))-64))*729+MAX(0,MIN(26,CODE(MID(UPPER(A1020)&amp;"    ",3,1))-64))*27+MAX(0,MIN(26,CODE(MID(UPPER(A1020)&amp;"    ",4,1))-64))*1)*10000+ROW(),""))</f>
        <v/>
      </c>
      <c r="N1020" s="80" t="str">
        <f t="shared" si="8"/>
        <v/>
      </c>
      <c r="O1020" s="80" t="str">
        <f t="array" ref="O1020">IF(A1020="","",IFERROR(INDEX('Deck 4'!$A:$Z,ROW()-1000,'List Setup'!$J$6)&amp;"",""))</f>
        <v/>
      </c>
      <c r="P1020" s="2"/>
      <c r="Q1020" s="80" t="str">
        <f>IF(A1020="","",'List Setup'!$A$6)</f>
        <v/>
      </c>
      <c r="R1020" s="80" t="str">
        <f t="array" ref="R1020">IF(A1020="","",IFERROR(OR(INDEX(Binders!$J$6:$J$30,MATCH(Q1020,Binders!$I$6:$I$30,0))=TRUE(),UPPER(INDEX(Binders!$J$6:$J$30,MATCH(Q1020,Binders!$I$6:$I$30,0))&amp;"")="TRUE"),FALSE()))</f>
        <v/>
      </c>
    </row>
    <row r="1021" ht="15.75" customHeight="1">
      <c r="A1021" s="80" t="str">
        <f t="array" ref="A1021">IF(INDEX('Deck 4'!$A:$Z,ROW()-1000,'List Setup'!$D$6)="","",INDEX('Deck 4'!$A:$Z,ROW()-1000,'List Setup'!$D$6))</f>
        <v/>
      </c>
      <c r="B1021" s="80" t="str">
        <f t="array" ref="B1021">IF(A1021="","",IFERROR(INDEX('Binder Setup'!$B$2:$B$401,MIN(IF(ISNUMBER(SEARCH(CHAR(10)&amp;'Binder Setup'!$B$2:$B$401&amp;CHAR(10),$H1021)),'List Setup'!$Q$2:$Q$401,999),IF(ISNUMBER(SEARCH(CHAR(10)&amp;'Set Aliases'!$A$2:$A$501&amp;CHAR(10),$H1021)),'Set Aliases'!$C$2:$C$501,999))),"(none)"))</f>
        <v/>
      </c>
      <c r="C1021" s="80" t="str">
        <f t="shared" si="1"/>
        <v/>
      </c>
      <c r="D1021" s="80" t="str">
        <f t="array" ref="D1021">IF(A1021="","",IF(ISLOGICAL(INDEX('Deck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21" s="80" t="str">
        <f t="shared" si="2"/>
        <v/>
      </c>
      <c r="F1021" s="80" t="str">
        <f t="array" ref="F1021">IF(A1021="","",IF(ISNUMBER(J1021),J1021,IF(ISNUMBER(INDEX('Deck 4'!$A:$Z,ROW()-1000,'List Setup'!$F$6)),INDEX('Deck 4'!$A:$Z,ROW()-1000,'List Setup'!$F$6),0)))</f>
        <v/>
      </c>
      <c r="G1021" s="80" t="str">
        <f t="array" ref="G1021">IF(A1021="","",A1021&amp;IF(N(INDEX('Deck 4'!$A:$Z,ROW()-1000,'List Setup'!$C$6))&gt;1," (x"&amp;INDEX('Deck 4'!$A:$Z,ROW()-1000,'List Setup'!$C$6)&amp;")","")&amp;IF(COUNTIF(Binders!$J$6:$J$30,TRUE())&gt;1," ["&amp;Q1021&amp;"]",""))</f>
        <v/>
      </c>
      <c r="H1021" s="80" t="str">
        <f t="array" ref="H1021">IF(A1021="","",CHAR(10)&amp;INDEX('Deck 4'!$A:$Z,ROW()-1000,'List Setup'!$E$6)&amp;CHAR(10))</f>
        <v/>
      </c>
      <c r="I1021" s="80" t="str">
        <f t="array" ref="I1021">IF(OR(B1021="",B1021="(none)"),"",IF(ISNUMBER(SEARCH(CHAR(10)&amp;B1021&amp;CHAR(10),H1021)),B1021,IFERROR(INDEX('Set Aliases'!$A$2:$A$501,MATCH(1,('Set Aliases'!$B$2:$B$501=B1021)*ISNUMBER(SEARCH(CHAR(10)&amp;'Set Aliases'!$A$2:$A$501&amp;CHAR(10),H1021)),0)),"")))</f>
        <v/>
      </c>
      <c r="J1021" s="80" t="str">
        <f t="array" ref="J1021">IF(I1021="","",IFERROR(VALUE(TRIM(MID(SUBSTITUTE(INDEX('Deck 4'!$A:$Z,ROW()-1000,'List Setup'!$G$6),CHAR(10),REPT(" ",100)),((SEARCH(CHAR(10)&amp;I1021&amp;CHAR(10),H1021)-LEN(SUBSTITUTE(LEFT(H1021,SEARCH(CHAR(10)&amp;I1021&amp;CHAR(10),H1021)),CHAR(10),"")))-1)*100+1,100))),""))</f>
        <v/>
      </c>
      <c r="K1021" s="80" t="str">
        <f t="array" ref="K1021">IF(A1021="","",IF(ISNUMBER(SEARCH("Land",LEFT(IFERROR(INDEX('Deck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21" s="80" t="str">
        <f t="shared" si="3"/>
        <v/>
      </c>
      <c r="M1021" s="80" t="str">
        <f>IF(A1021="","",IF(AND(E1021="Y",B1021='Use at Shop'!$B$4),K1021*10000000000+(MAX(0,MIN(26,CODE(MID(UPPER(A1021)&amp;"    ",1,1))-64))*19683+MAX(0,MIN(26,CODE(MID(UPPER(A1021)&amp;"    ",2,1))-64))*729+MAX(0,MIN(26,CODE(MID(UPPER(A1021)&amp;"    ",3,1))-64))*27+MAX(0,MIN(26,CODE(MID(UPPER(A1021)&amp;"    ",4,1))-64))*1)*10000+ROW(),""))</f>
        <v/>
      </c>
      <c r="N1021" s="80" t="str">
        <f t="shared" si="8"/>
        <v/>
      </c>
      <c r="O1021" s="80" t="str">
        <f t="array" ref="O1021">IF(A1021="","",IFERROR(INDEX('Deck 4'!$A:$Z,ROW()-1000,'List Setup'!$J$6)&amp;"",""))</f>
        <v/>
      </c>
      <c r="P1021" s="2"/>
      <c r="Q1021" s="80" t="str">
        <f>IF(A1021="","",'List Setup'!$A$6)</f>
        <v/>
      </c>
      <c r="R1021" s="80" t="str">
        <f t="array" ref="R1021">IF(A1021="","",IFERROR(OR(INDEX(Binders!$J$6:$J$30,MATCH(Q1021,Binders!$I$6:$I$30,0))=TRUE(),UPPER(INDEX(Binders!$J$6:$J$30,MATCH(Q1021,Binders!$I$6:$I$30,0))&amp;"")="TRUE"),FALSE()))</f>
        <v/>
      </c>
    </row>
    <row r="1022" ht="15.75" customHeight="1">
      <c r="A1022" s="80" t="str">
        <f t="array" ref="A1022">IF(INDEX('Deck 4'!$A:$Z,ROW()-1000,'List Setup'!$D$6)="","",INDEX('Deck 4'!$A:$Z,ROW()-1000,'List Setup'!$D$6))</f>
        <v/>
      </c>
      <c r="B1022" s="80" t="str">
        <f t="array" ref="B1022">IF(A1022="","",IFERROR(INDEX('Binder Setup'!$B$2:$B$401,MIN(IF(ISNUMBER(SEARCH(CHAR(10)&amp;'Binder Setup'!$B$2:$B$401&amp;CHAR(10),$H1022)),'List Setup'!$Q$2:$Q$401,999),IF(ISNUMBER(SEARCH(CHAR(10)&amp;'Set Aliases'!$A$2:$A$501&amp;CHAR(10),$H1022)),'Set Aliases'!$C$2:$C$501,999))),"(none)"))</f>
        <v/>
      </c>
      <c r="C1022" s="80" t="str">
        <f t="shared" si="1"/>
        <v/>
      </c>
      <c r="D1022" s="80" t="str">
        <f t="array" ref="D1022">IF(A1022="","",IF(ISLOGICAL(INDEX('Deck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22" s="80" t="str">
        <f t="shared" si="2"/>
        <v/>
      </c>
      <c r="F1022" s="80" t="str">
        <f t="array" ref="F1022">IF(A1022="","",IF(ISNUMBER(J1022),J1022,IF(ISNUMBER(INDEX('Deck 4'!$A:$Z,ROW()-1000,'List Setup'!$F$6)),INDEX('Deck 4'!$A:$Z,ROW()-1000,'List Setup'!$F$6),0)))</f>
        <v/>
      </c>
      <c r="G1022" s="80" t="str">
        <f t="array" ref="G1022">IF(A1022="","",A1022&amp;IF(N(INDEX('Deck 4'!$A:$Z,ROW()-1000,'List Setup'!$C$6))&gt;1," (x"&amp;INDEX('Deck 4'!$A:$Z,ROW()-1000,'List Setup'!$C$6)&amp;")","")&amp;IF(COUNTIF(Binders!$J$6:$J$30,TRUE())&gt;1," ["&amp;Q1022&amp;"]",""))</f>
        <v/>
      </c>
      <c r="H1022" s="80" t="str">
        <f t="array" ref="H1022">IF(A1022="","",CHAR(10)&amp;INDEX('Deck 4'!$A:$Z,ROW()-1000,'List Setup'!$E$6)&amp;CHAR(10))</f>
        <v/>
      </c>
      <c r="I1022" s="80" t="str">
        <f t="array" ref="I1022">IF(OR(B1022="",B1022="(none)"),"",IF(ISNUMBER(SEARCH(CHAR(10)&amp;B1022&amp;CHAR(10),H1022)),B1022,IFERROR(INDEX('Set Aliases'!$A$2:$A$501,MATCH(1,('Set Aliases'!$B$2:$B$501=B1022)*ISNUMBER(SEARCH(CHAR(10)&amp;'Set Aliases'!$A$2:$A$501&amp;CHAR(10),H1022)),0)),"")))</f>
        <v/>
      </c>
      <c r="J1022" s="80" t="str">
        <f t="array" ref="J1022">IF(I1022="","",IFERROR(VALUE(TRIM(MID(SUBSTITUTE(INDEX('Deck 4'!$A:$Z,ROW()-1000,'List Setup'!$G$6),CHAR(10),REPT(" ",100)),((SEARCH(CHAR(10)&amp;I1022&amp;CHAR(10),H1022)-LEN(SUBSTITUTE(LEFT(H1022,SEARCH(CHAR(10)&amp;I1022&amp;CHAR(10),H1022)),CHAR(10),"")))-1)*100+1,100))),""))</f>
        <v/>
      </c>
      <c r="K1022" s="80" t="str">
        <f t="array" ref="K1022">IF(A1022="","",IF(ISNUMBER(SEARCH("Land",LEFT(IFERROR(INDEX('Deck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22" s="80" t="str">
        <f t="shared" si="3"/>
        <v/>
      </c>
      <c r="M1022" s="80" t="str">
        <f>IF(A1022="","",IF(AND(E1022="Y",B1022='Use at Shop'!$B$4),K1022*10000000000+(MAX(0,MIN(26,CODE(MID(UPPER(A1022)&amp;"    ",1,1))-64))*19683+MAX(0,MIN(26,CODE(MID(UPPER(A1022)&amp;"    ",2,1))-64))*729+MAX(0,MIN(26,CODE(MID(UPPER(A1022)&amp;"    ",3,1))-64))*27+MAX(0,MIN(26,CODE(MID(UPPER(A1022)&amp;"    ",4,1))-64))*1)*10000+ROW(),""))</f>
        <v/>
      </c>
      <c r="N1022" s="80" t="str">
        <f t="shared" si="8"/>
        <v/>
      </c>
      <c r="O1022" s="80" t="str">
        <f t="array" ref="O1022">IF(A1022="","",IFERROR(INDEX('Deck 4'!$A:$Z,ROW()-1000,'List Setup'!$J$6)&amp;"",""))</f>
        <v/>
      </c>
      <c r="P1022" s="2"/>
      <c r="Q1022" s="80" t="str">
        <f>IF(A1022="","",'List Setup'!$A$6)</f>
        <v/>
      </c>
      <c r="R1022" s="80" t="str">
        <f t="array" ref="R1022">IF(A1022="","",IFERROR(OR(INDEX(Binders!$J$6:$J$30,MATCH(Q1022,Binders!$I$6:$I$30,0))=TRUE(),UPPER(INDEX(Binders!$J$6:$J$30,MATCH(Q1022,Binders!$I$6:$I$30,0))&amp;"")="TRUE"),FALSE()))</f>
        <v/>
      </c>
    </row>
    <row r="1023" ht="15.75" customHeight="1">
      <c r="A1023" s="80" t="str">
        <f t="array" ref="A1023">IF(INDEX('Deck 4'!$A:$Z,ROW()-1000,'List Setup'!$D$6)="","",INDEX('Deck 4'!$A:$Z,ROW()-1000,'List Setup'!$D$6))</f>
        <v/>
      </c>
      <c r="B1023" s="80" t="str">
        <f t="array" ref="B1023">IF(A1023="","",IFERROR(INDEX('Binder Setup'!$B$2:$B$401,MIN(IF(ISNUMBER(SEARCH(CHAR(10)&amp;'Binder Setup'!$B$2:$B$401&amp;CHAR(10),$H1023)),'List Setup'!$Q$2:$Q$401,999),IF(ISNUMBER(SEARCH(CHAR(10)&amp;'Set Aliases'!$A$2:$A$501&amp;CHAR(10),$H1023)),'Set Aliases'!$C$2:$C$501,999))),"(none)"))</f>
        <v/>
      </c>
      <c r="C1023" s="80" t="str">
        <f t="shared" si="1"/>
        <v/>
      </c>
      <c r="D1023" s="80" t="str">
        <f t="array" ref="D1023">IF(A1023="","",IF(ISLOGICAL(INDEX('Deck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23" s="80" t="str">
        <f t="shared" si="2"/>
        <v/>
      </c>
      <c r="F1023" s="80" t="str">
        <f t="array" ref="F1023">IF(A1023="","",IF(ISNUMBER(J1023),J1023,IF(ISNUMBER(INDEX('Deck 4'!$A:$Z,ROW()-1000,'List Setup'!$F$6)),INDEX('Deck 4'!$A:$Z,ROW()-1000,'List Setup'!$F$6),0)))</f>
        <v/>
      </c>
      <c r="G1023" s="80" t="str">
        <f t="array" ref="G1023">IF(A1023="","",A1023&amp;IF(N(INDEX('Deck 4'!$A:$Z,ROW()-1000,'List Setup'!$C$6))&gt;1," (x"&amp;INDEX('Deck 4'!$A:$Z,ROW()-1000,'List Setup'!$C$6)&amp;")","")&amp;IF(COUNTIF(Binders!$J$6:$J$30,TRUE())&gt;1," ["&amp;Q1023&amp;"]",""))</f>
        <v/>
      </c>
      <c r="H1023" s="80" t="str">
        <f t="array" ref="H1023">IF(A1023="","",CHAR(10)&amp;INDEX('Deck 4'!$A:$Z,ROW()-1000,'List Setup'!$E$6)&amp;CHAR(10))</f>
        <v/>
      </c>
      <c r="I1023" s="80" t="str">
        <f t="array" ref="I1023">IF(OR(B1023="",B1023="(none)"),"",IF(ISNUMBER(SEARCH(CHAR(10)&amp;B1023&amp;CHAR(10),H1023)),B1023,IFERROR(INDEX('Set Aliases'!$A$2:$A$501,MATCH(1,('Set Aliases'!$B$2:$B$501=B1023)*ISNUMBER(SEARCH(CHAR(10)&amp;'Set Aliases'!$A$2:$A$501&amp;CHAR(10),H1023)),0)),"")))</f>
        <v/>
      </c>
      <c r="J1023" s="80" t="str">
        <f t="array" ref="J1023">IF(I1023="","",IFERROR(VALUE(TRIM(MID(SUBSTITUTE(INDEX('Deck 4'!$A:$Z,ROW()-1000,'List Setup'!$G$6),CHAR(10),REPT(" ",100)),((SEARCH(CHAR(10)&amp;I1023&amp;CHAR(10),H1023)-LEN(SUBSTITUTE(LEFT(H1023,SEARCH(CHAR(10)&amp;I1023&amp;CHAR(10),H1023)),CHAR(10),"")))-1)*100+1,100))),""))</f>
        <v/>
      </c>
      <c r="K1023" s="80" t="str">
        <f t="array" ref="K1023">IF(A1023="","",IF(ISNUMBER(SEARCH("Land",LEFT(IFERROR(INDEX('Deck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23" s="80" t="str">
        <f t="shared" si="3"/>
        <v/>
      </c>
      <c r="M1023" s="80" t="str">
        <f>IF(A1023="","",IF(AND(E1023="Y",B1023='Use at Shop'!$B$4),K1023*10000000000+(MAX(0,MIN(26,CODE(MID(UPPER(A1023)&amp;"    ",1,1))-64))*19683+MAX(0,MIN(26,CODE(MID(UPPER(A1023)&amp;"    ",2,1))-64))*729+MAX(0,MIN(26,CODE(MID(UPPER(A1023)&amp;"    ",3,1))-64))*27+MAX(0,MIN(26,CODE(MID(UPPER(A1023)&amp;"    ",4,1))-64))*1)*10000+ROW(),""))</f>
        <v/>
      </c>
      <c r="N1023" s="80" t="str">
        <f t="shared" si="8"/>
        <v/>
      </c>
      <c r="O1023" s="80" t="str">
        <f t="array" ref="O1023">IF(A1023="","",IFERROR(INDEX('Deck 4'!$A:$Z,ROW()-1000,'List Setup'!$J$6)&amp;"",""))</f>
        <v/>
      </c>
      <c r="P1023" s="2"/>
      <c r="Q1023" s="80" t="str">
        <f>IF(A1023="","",'List Setup'!$A$6)</f>
        <v/>
      </c>
      <c r="R1023" s="80" t="str">
        <f t="array" ref="R1023">IF(A1023="","",IFERROR(OR(INDEX(Binders!$J$6:$J$30,MATCH(Q1023,Binders!$I$6:$I$30,0))=TRUE(),UPPER(INDEX(Binders!$J$6:$J$30,MATCH(Q1023,Binders!$I$6:$I$30,0))&amp;"")="TRUE"),FALSE()))</f>
        <v/>
      </c>
    </row>
    <row r="1024" ht="15.75" customHeight="1">
      <c r="A1024" s="80" t="str">
        <f t="array" ref="A1024">IF(INDEX('Deck 4'!$A:$Z,ROW()-1000,'List Setup'!$D$6)="","",INDEX('Deck 4'!$A:$Z,ROW()-1000,'List Setup'!$D$6))</f>
        <v/>
      </c>
      <c r="B1024" s="80" t="str">
        <f t="array" ref="B1024">IF(A1024="","",IFERROR(INDEX('Binder Setup'!$B$2:$B$401,MIN(IF(ISNUMBER(SEARCH(CHAR(10)&amp;'Binder Setup'!$B$2:$B$401&amp;CHAR(10),$H1024)),'List Setup'!$Q$2:$Q$401,999),IF(ISNUMBER(SEARCH(CHAR(10)&amp;'Set Aliases'!$A$2:$A$501&amp;CHAR(10),$H1024)),'Set Aliases'!$C$2:$C$501,999))),"(none)"))</f>
        <v/>
      </c>
      <c r="C1024" s="80" t="str">
        <f t="shared" si="1"/>
        <v/>
      </c>
      <c r="D1024" s="80" t="str">
        <f t="array" ref="D1024">IF(A1024="","",IF(ISLOGICAL(INDEX('Deck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24" s="80" t="str">
        <f t="shared" si="2"/>
        <v/>
      </c>
      <c r="F1024" s="80" t="str">
        <f t="array" ref="F1024">IF(A1024="","",IF(ISNUMBER(J1024),J1024,IF(ISNUMBER(INDEX('Deck 4'!$A:$Z,ROW()-1000,'List Setup'!$F$6)),INDEX('Deck 4'!$A:$Z,ROW()-1000,'List Setup'!$F$6),0)))</f>
        <v/>
      </c>
      <c r="G1024" s="80" t="str">
        <f t="array" ref="G1024">IF(A1024="","",A1024&amp;IF(N(INDEX('Deck 4'!$A:$Z,ROW()-1000,'List Setup'!$C$6))&gt;1," (x"&amp;INDEX('Deck 4'!$A:$Z,ROW()-1000,'List Setup'!$C$6)&amp;")","")&amp;IF(COUNTIF(Binders!$J$6:$J$30,TRUE())&gt;1," ["&amp;Q1024&amp;"]",""))</f>
        <v/>
      </c>
      <c r="H1024" s="80" t="str">
        <f t="array" ref="H1024">IF(A1024="","",CHAR(10)&amp;INDEX('Deck 4'!$A:$Z,ROW()-1000,'List Setup'!$E$6)&amp;CHAR(10))</f>
        <v/>
      </c>
      <c r="I1024" s="80" t="str">
        <f t="array" ref="I1024">IF(OR(B1024="",B1024="(none)"),"",IF(ISNUMBER(SEARCH(CHAR(10)&amp;B1024&amp;CHAR(10),H1024)),B1024,IFERROR(INDEX('Set Aliases'!$A$2:$A$501,MATCH(1,('Set Aliases'!$B$2:$B$501=B1024)*ISNUMBER(SEARCH(CHAR(10)&amp;'Set Aliases'!$A$2:$A$501&amp;CHAR(10),H1024)),0)),"")))</f>
        <v/>
      </c>
      <c r="J1024" s="80" t="str">
        <f t="array" ref="J1024">IF(I1024="","",IFERROR(VALUE(TRIM(MID(SUBSTITUTE(INDEX('Deck 4'!$A:$Z,ROW()-1000,'List Setup'!$G$6),CHAR(10),REPT(" ",100)),((SEARCH(CHAR(10)&amp;I1024&amp;CHAR(10),H1024)-LEN(SUBSTITUTE(LEFT(H1024,SEARCH(CHAR(10)&amp;I1024&amp;CHAR(10),H1024)),CHAR(10),"")))-1)*100+1,100))),""))</f>
        <v/>
      </c>
      <c r="K1024" s="80" t="str">
        <f t="array" ref="K1024">IF(A1024="","",IF(ISNUMBER(SEARCH("Land",LEFT(IFERROR(INDEX('Deck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24" s="80" t="str">
        <f t="shared" si="3"/>
        <v/>
      </c>
      <c r="M1024" s="80" t="str">
        <f>IF(A1024="","",IF(AND(E1024="Y",B1024='Use at Shop'!$B$4),K1024*10000000000+(MAX(0,MIN(26,CODE(MID(UPPER(A1024)&amp;"    ",1,1))-64))*19683+MAX(0,MIN(26,CODE(MID(UPPER(A1024)&amp;"    ",2,1))-64))*729+MAX(0,MIN(26,CODE(MID(UPPER(A1024)&amp;"    ",3,1))-64))*27+MAX(0,MIN(26,CODE(MID(UPPER(A1024)&amp;"    ",4,1))-64))*1)*10000+ROW(),""))</f>
        <v/>
      </c>
      <c r="N1024" s="80" t="str">
        <f t="shared" si="8"/>
        <v/>
      </c>
      <c r="O1024" s="80" t="str">
        <f t="array" ref="O1024">IF(A1024="","",IFERROR(INDEX('Deck 4'!$A:$Z,ROW()-1000,'List Setup'!$J$6)&amp;"",""))</f>
        <v/>
      </c>
      <c r="P1024" s="2"/>
      <c r="Q1024" s="80" t="str">
        <f>IF(A1024="","",'List Setup'!$A$6)</f>
        <v/>
      </c>
      <c r="R1024" s="80" t="str">
        <f t="array" ref="R1024">IF(A1024="","",IFERROR(OR(INDEX(Binders!$J$6:$J$30,MATCH(Q1024,Binders!$I$6:$I$30,0))=TRUE(),UPPER(INDEX(Binders!$J$6:$J$30,MATCH(Q1024,Binders!$I$6:$I$30,0))&amp;"")="TRUE"),FALSE()))</f>
        <v/>
      </c>
    </row>
    <row r="1025" ht="15.75" customHeight="1">
      <c r="A1025" s="80" t="str">
        <f t="array" ref="A1025">IF(INDEX('Deck 4'!$A:$Z,ROW()-1000,'List Setup'!$D$6)="","",INDEX('Deck 4'!$A:$Z,ROW()-1000,'List Setup'!$D$6))</f>
        <v/>
      </c>
      <c r="B1025" s="80" t="str">
        <f t="array" ref="B1025">IF(A1025="","",IFERROR(INDEX('Binder Setup'!$B$2:$B$401,MIN(IF(ISNUMBER(SEARCH(CHAR(10)&amp;'Binder Setup'!$B$2:$B$401&amp;CHAR(10),$H1025)),'List Setup'!$Q$2:$Q$401,999),IF(ISNUMBER(SEARCH(CHAR(10)&amp;'Set Aliases'!$A$2:$A$501&amp;CHAR(10),$H1025)),'Set Aliases'!$C$2:$C$501,999))),"(none)"))</f>
        <v/>
      </c>
      <c r="C1025" s="80" t="str">
        <f t="shared" si="1"/>
        <v/>
      </c>
      <c r="D1025" s="80" t="str">
        <f t="array" ref="D1025">IF(A1025="","",IF(ISLOGICAL(INDEX('Deck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25" s="80" t="str">
        <f t="shared" si="2"/>
        <v/>
      </c>
      <c r="F1025" s="80" t="str">
        <f t="array" ref="F1025">IF(A1025="","",IF(ISNUMBER(J1025),J1025,IF(ISNUMBER(INDEX('Deck 4'!$A:$Z,ROW()-1000,'List Setup'!$F$6)),INDEX('Deck 4'!$A:$Z,ROW()-1000,'List Setup'!$F$6),0)))</f>
        <v/>
      </c>
      <c r="G1025" s="80" t="str">
        <f t="array" ref="G1025">IF(A1025="","",A1025&amp;IF(N(INDEX('Deck 4'!$A:$Z,ROW()-1000,'List Setup'!$C$6))&gt;1," (x"&amp;INDEX('Deck 4'!$A:$Z,ROW()-1000,'List Setup'!$C$6)&amp;")","")&amp;IF(COUNTIF(Binders!$J$6:$J$30,TRUE())&gt;1," ["&amp;Q1025&amp;"]",""))</f>
        <v/>
      </c>
      <c r="H1025" s="80" t="str">
        <f t="array" ref="H1025">IF(A1025="","",CHAR(10)&amp;INDEX('Deck 4'!$A:$Z,ROW()-1000,'List Setup'!$E$6)&amp;CHAR(10))</f>
        <v/>
      </c>
      <c r="I1025" s="80" t="str">
        <f t="array" ref="I1025">IF(OR(B1025="",B1025="(none)"),"",IF(ISNUMBER(SEARCH(CHAR(10)&amp;B1025&amp;CHAR(10),H1025)),B1025,IFERROR(INDEX('Set Aliases'!$A$2:$A$501,MATCH(1,('Set Aliases'!$B$2:$B$501=B1025)*ISNUMBER(SEARCH(CHAR(10)&amp;'Set Aliases'!$A$2:$A$501&amp;CHAR(10),H1025)),0)),"")))</f>
        <v/>
      </c>
      <c r="J1025" s="80" t="str">
        <f t="array" ref="J1025">IF(I1025="","",IFERROR(VALUE(TRIM(MID(SUBSTITUTE(INDEX('Deck 4'!$A:$Z,ROW()-1000,'List Setup'!$G$6),CHAR(10),REPT(" ",100)),((SEARCH(CHAR(10)&amp;I1025&amp;CHAR(10),H1025)-LEN(SUBSTITUTE(LEFT(H1025,SEARCH(CHAR(10)&amp;I1025&amp;CHAR(10),H1025)),CHAR(10),"")))-1)*100+1,100))),""))</f>
        <v/>
      </c>
      <c r="K1025" s="80" t="str">
        <f t="array" ref="K1025">IF(A1025="","",IF(ISNUMBER(SEARCH("Land",LEFT(IFERROR(INDEX('Deck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25" s="80" t="str">
        <f t="shared" si="3"/>
        <v/>
      </c>
      <c r="M1025" s="80" t="str">
        <f>IF(A1025="","",IF(AND(E1025="Y",B1025='Use at Shop'!$B$4),K1025*10000000000+(MAX(0,MIN(26,CODE(MID(UPPER(A1025)&amp;"    ",1,1))-64))*19683+MAX(0,MIN(26,CODE(MID(UPPER(A1025)&amp;"    ",2,1))-64))*729+MAX(0,MIN(26,CODE(MID(UPPER(A1025)&amp;"    ",3,1))-64))*27+MAX(0,MIN(26,CODE(MID(UPPER(A1025)&amp;"    ",4,1))-64))*1)*10000+ROW(),""))</f>
        <v/>
      </c>
      <c r="N1025" s="80" t="str">
        <f t="shared" si="8"/>
        <v/>
      </c>
      <c r="O1025" s="80" t="str">
        <f t="array" ref="O1025">IF(A1025="","",IFERROR(INDEX('Deck 4'!$A:$Z,ROW()-1000,'List Setup'!$J$6)&amp;"",""))</f>
        <v/>
      </c>
      <c r="P1025" s="2"/>
      <c r="Q1025" s="80" t="str">
        <f>IF(A1025="","",'List Setup'!$A$6)</f>
        <v/>
      </c>
      <c r="R1025" s="80" t="str">
        <f t="array" ref="R1025">IF(A1025="","",IFERROR(OR(INDEX(Binders!$J$6:$J$30,MATCH(Q1025,Binders!$I$6:$I$30,0))=TRUE(),UPPER(INDEX(Binders!$J$6:$J$30,MATCH(Q1025,Binders!$I$6:$I$30,0))&amp;"")="TRUE"),FALSE()))</f>
        <v/>
      </c>
    </row>
    <row r="1026" ht="15.75" customHeight="1">
      <c r="A1026" s="80" t="str">
        <f t="array" ref="A1026">IF(INDEX('Deck 4'!$A:$Z,ROW()-1000,'List Setup'!$D$6)="","",INDEX('Deck 4'!$A:$Z,ROW()-1000,'List Setup'!$D$6))</f>
        <v/>
      </c>
      <c r="B1026" s="80" t="str">
        <f t="array" ref="B1026">IF(A1026="","",IFERROR(INDEX('Binder Setup'!$B$2:$B$401,MIN(IF(ISNUMBER(SEARCH(CHAR(10)&amp;'Binder Setup'!$B$2:$B$401&amp;CHAR(10),$H1026)),'List Setup'!$Q$2:$Q$401,999),IF(ISNUMBER(SEARCH(CHAR(10)&amp;'Set Aliases'!$A$2:$A$501&amp;CHAR(10),$H1026)),'Set Aliases'!$C$2:$C$501,999))),"(none)"))</f>
        <v/>
      </c>
      <c r="C1026" s="80" t="str">
        <f t="shared" si="1"/>
        <v/>
      </c>
      <c r="D1026" s="80" t="str">
        <f t="array" ref="D1026">IF(A1026="","",IF(ISLOGICAL(INDEX('Deck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26" s="80" t="str">
        <f t="shared" si="2"/>
        <v/>
      </c>
      <c r="F1026" s="80" t="str">
        <f t="array" ref="F1026">IF(A1026="","",IF(ISNUMBER(J1026),J1026,IF(ISNUMBER(INDEX('Deck 4'!$A:$Z,ROW()-1000,'List Setup'!$F$6)),INDEX('Deck 4'!$A:$Z,ROW()-1000,'List Setup'!$F$6),0)))</f>
        <v/>
      </c>
      <c r="G1026" s="80" t="str">
        <f t="array" ref="G1026">IF(A1026="","",A1026&amp;IF(N(INDEX('Deck 4'!$A:$Z,ROW()-1000,'List Setup'!$C$6))&gt;1," (x"&amp;INDEX('Deck 4'!$A:$Z,ROW()-1000,'List Setup'!$C$6)&amp;")","")&amp;IF(COUNTIF(Binders!$J$6:$J$30,TRUE())&gt;1," ["&amp;Q1026&amp;"]",""))</f>
        <v/>
      </c>
      <c r="H1026" s="80" t="str">
        <f t="array" ref="H1026">IF(A1026="","",CHAR(10)&amp;INDEX('Deck 4'!$A:$Z,ROW()-1000,'List Setup'!$E$6)&amp;CHAR(10))</f>
        <v/>
      </c>
      <c r="I1026" s="80" t="str">
        <f t="array" ref="I1026">IF(OR(B1026="",B1026="(none)"),"",IF(ISNUMBER(SEARCH(CHAR(10)&amp;B1026&amp;CHAR(10),H1026)),B1026,IFERROR(INDEX('Set Aliases'!$A$2:$A$501,MATCH(1,('Set Aliases'!$B$2:$B$501=B1026)*ISNUMBER(SEARCH(CHAR(10)&amp;'Set Aliases'!$A$2:$A$501&amp;CHAR(10),H1026)),0)),"")))</f>
        <v/>
      </c>
      <c r="J1026" s="80" t="str">
        <f t="array" ref="J1026">IF(I1026="","",IFERROR(VALUE(TRIM(MID(SUBSTITUTE(INDEX('Deck 4'!$A:$Z,ROW()-1000,'List Setup'!$G$6),CHAR(10),REPT(" ",100)),((SEARCH(CHAR(10)&amp;I1026&amp;CHAR(10),H1026)-LEN(SUBSTITUTE(LEFT(H1026,SEARCH(CHAR(10)&amp;I1026&amp;CHAR(10),H1026)),CHAR(10),"")))-1)*100+1,100))),""))</f>
        <v/>
      </c>
      <c r="K1026" s="80" t="str">
        <f t="array" ref="K1026">IF(A1026="","",IF(ISNUMBER(SEARCH("Land",LEFT(IFERROR(INDEX('Deck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26" s="80" t="str">
        <f t="shared" si="3"/>
        <v/>
      </c>
      <c r="M1026" s="80" t="str">
        <f>IF(A1026="","",IF(AND(E1026="Y",B1026='Use at Shop'!$B$4),K1026*10000000000+(MAX(0,MIN(26,CODE(MID(UPPER(A1026)&amp;"    ",1,1))-64))*19683+MAX(0,MIN(26,CODE(MID(UPPER(A1026)&amp;"    ",2,1))-64))*729+MAX(0,MIN(26,CODE(MID(UPPER(A1026)&amp;"    ",3,1))-64))*27+MAX(0,MIN(26,CODE(MID(UPPER(A1026)&amp;"    ",4,1))-64))*1)*10000+ROW(),""))</f>
        <v/>
      </c>
      <c r="N1026" s="80" t="str">
        <f t="shared" si="8"/>
        <v/>
      </c>
      <c r="O1026" s="80" t="str">
        <f t="array" ref="O1026">IF(A1026="","",IFERROR(INDEX('Deck 4'!$A:$Z,ROW()-1000,'List Setup'!$J$6)&amp;"",""))</f>
        <v/>
      </c>
      <c r="P1026" s="2"/>
      <c r="Q1026" s="80" t="str">
        <f>IF(A1026="","",'List Setup'!$A$6)</f>
        <v/>
      </c>
      <c r="R1026" s="80" t="str">
        <f t="array" ref="R1026">IF(A1026="","",IFERROR(OR(INDEX(Binders!$J$6:$J$30,MATCH(Q1026,Binders!$I$6:$I$30,0))=TRUE(),UPPER(INDEX(Binders!$J$6:$J$30,MATCH(Q1026,Binders!$I$6:$I$30,0))&amp;"")="TRUE"),FALSE()))</f>
        <v/>
      </c>
    </row>
    <row r="1027" ht="15.75" customHeight="1">
      <c r="A1027" s="80" t="str">
        <f t="array" ref="A1027">IF(INDEX('Deck 4'!$A:$Z,ROW()-1000,'List Setup'!$D$6)="","",INDEX('Deck 4'!$A:$Z,ROW()-1000,'List Setup'!$D$6))</f>
        <v/>
      </c>
      <c r="B1027" s="80" t="str">
        <f t="array" ref="B1027">IF(A1027="","",IFERROR(INDEX('Binder Setup'!$B$2:$B$401,MIN(IF(ISNUMBER(SEARCH(CHAR(10)&amp;'Binder Setup'!$B$2:$B$401&amp;CHAR(10),$H1027)),'List Setup'!$Q$2:$Q$401,999),IF(ISNUMBER(SEARCH(CHAR(10)&amp;'Set Aliases'!$A$2:$A$501&amp;CHAR(10),$H1027)),'Set Aliases'!$C$2:$C$501,999))),"(none)"))</f>
        <v/>
      </c>
      <c r="C1027" s="80" t="str">
        <f t="shared" si="1"/>
        <v/>
      </c>
      <c r="D1027" s="80" t="str">
        <f t="array" ref="D1027">IF(A1027="","",IF(ISLOGICAL(INDEX('Deck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27" s="80" t="str">
        <f t="shared" si="2"/>
        <v/>
      </c>
      <c r="F1027" s="80" t="str">
        <f t="array" ref="F1027">IF(A1027="","",IF(ISNUMBER(J1027),J1027,IF(ISNUMBER(INDEX('Deck 4'!$A:$Z,ROW()-1000,'List Setup'!$F$6)),INDEX('Deck 4'!$A:$Z,ROW()-1000,'List Setup'!$F$6),0)))</f>
        <v/>
      </c>
      <c r="G1027" s="80" t="str">
        <f t="array" ref="G1027">IF(A1027="","",A1027&amp;IF(N(INDEX('Deck 4'!$A:$Z,ROW()-1000,'List Setup'!$C$6))&gt;1," (x"&amp;INDEX('Deck 4'!$A:$Z,ROW()-1000,'List Setup'!$C$6)&amp;")","")&amp;IF(COUNTIF(Binders!$J$6:$J$30,TRUE())&gt;1," ["&amp;Q1027&amp;"]",""))</f>
        <v/>
      </c>
      <c r="H1027" s="80" t="str">
        <f t="array" ref="H1027">IF(A1027="","",CHAR(10)&amp;INDEX('Deck 4'!$A:$Z,ROW()-1000,'List Setup'!$E$6)&amp;CHAR(10))</f>
        <v/>
      </c>
      <c r="I1027" s="80" t="str">
        <f t="array" ref="I1027">IF(OR(B1027="",B1027="(none)"),"",IF(ISNUMBER(SEARCH(CHAR(10)&amp;B1027&amp;CHAR(10),H1027)),B1027,IFERROR(INDEX('Set Aliases'!$A$2:$A$501,MATCH(1,('Set Aliases'!$B$2:$B$501=B1027)*ISNUMBER(SEARCH(CHAR(10)&amp;'Set Aliases'!$A$2:$A$501&amp;CHAR(10),H1027)),0)),"")))</f>
        <v/>
      </c>
      <c r="J1027" s="80" t="str">
        <f t="array" ref="J1027">IF(I1027="","",IFERROR(VALUE(TRIM(MID(SUBSTITUTE(INDEX('Deck 4'!$A:$Z,ROW()-1000,'List Setup'!$G$6),CHAR(10),REPT(" ",100)),((SEARCH(CHAR(10)&amp;I1027&amp;CHAR(10),H1027)-LEN(SUBSTITUTE(LEFT(H1027,SEARCH(CHAR(10)&amp;I1027&amp;CHAR(10),H1027)),CHAR(10),"")))-1)*100+1,100))),""))</f>
        <v/>
      </c>
      <c r="K1027" s="80" t="str">
        <f t="array" ref="K1027">IF(A1027="","",IF(ISNUMBER(SEARCH("Land",LEFT(IFERROR(INDEX('Deck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27" s="80" t="str">
        <f t="shared" si="3"/>
        <v/>
      </c>
      <c r="M1027" s="80" t="str">
        <f>IF(A1027="","",IF(AND(E1027="Y",B1027='Use at Shop'!$B$4),K1027*10000000000+(MAX(0,MIN(26,CODE(MID(UPPER(A1027)&amp;"    ",1,1))-64))*19683+MAX(0,MIN(26,CODE(MID(UPPER(A1027)&amp;"    ",2,1))-64))*729+MAX(0,MIN(26,CODE(MID(UPPER(A1027)&amp;"    ",3,1))-64))*27+MAX(0,MIN(26,CODE(MID(UPPER(A1027)&amp;"    ",4,1))-64))*1)*10000+ROW(),""))</f>
        <v/>
      </c>
      <c r="N1027" s="80" t="str">
        <f t="shared" si="8"/>
        <v/>
      </c>
      <c r="O1027" s="80" t="str">
        <f t="array" ref="O1027">IF(A1027="","",IFERROR(INDEX('Deck 4'!$A:$Z,ROW()-1000,'List Setup'!$J$6)&amp;"",""))</f>
        <v/>
      </c>
      <c r="P1027" s="2"/>
      <c r="Q1027" s="80" t="str">
        <f>IF(A1027="","",'List Setup'!$A$6)</f>
        <v/>
      </c>
      <c r="R1027" s="80" t="str">
        <f t="array" ref="R1027">IF(A1027="","",IFERROR(OR(INDEX(Binders!$J$6:$J$30,MATCH(Q1027,Binders!$I$6:$I$30,0))=TRUE(),UPPER(INDEX(Binders!$J$6:$J$30,MATCH(Q1027,Binders!$I$6:$I$30,0))&amp;"")="TRUE"),FALSE()))</f>
        <v/>
      </c>
    </row>
    <row r="1028" ht="15.75" customHeight="1">
      <c r="A1028" s="80" t="str">
        <f t="array" ref="A1028">IF(INDEX('Deck 4'!$A:$Z,ROW()-1000,'List Setup'!$D$6)="","",INDEX('Deck 4'!$A:$Z,ROW()-1000,'List Setup'!$D$6))</f>
        <v/>
      </c>
      <c r="B1028" s="80" t="str">
        <f t="array" ref="B1028">IF(A1028="","",IFERROR(INDEX('Binder Setup'!$B$2:$B$401,MIN(IF(ISNUMBER(SEARCH(CHAR(10)&amp;'Binder Setup'!$B$2:$B$401&amp;CHAR(10),$H1028)),'List Setup'!$Q$2:$Q$401,999),IF(ISNUMBER(SEARCH(CHAR(10)&amp;'Set Aliases'!$A$2:$A$501&amp;CHAR(10),$H1028)),'Set Aliases'!$C$2:$C$501,999))),"(none)"))</f>
        <v/>
      </c>
      <c r="C1028" s="80" t="str">
        <f t="shared" si="1"/>
        <v/>
      </c>
      <c r="D1028" s="80" t="str">
        <f t="array" ref="D1028">IF(A1028="","",IF(ISLOGICAL(INDEX('Deck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28" s="80" t="str">
        <f t="shared" si="2"/>
        <v/>
      </c>
      <c r="F1028" s="80" t="str">
        <f t="array" ref="F1028">IF(A1028="","",IF(ISNUMBER(J1028),J1028,IF(ISNUMBER(INDEX('Deck 4'!$A:$Z,ROW()-1000,'List Setup'!$F$6)),INDEX('Deck 4'!$A:$Z,ROW()-1000,'List Setup'!$F$6),0)))</f>
        <v/>
      </c>
      <c r="G1028" s="80" t="str">
        <f t="array" ref="G1028">IF(A1028="","",A1028&amp;IF(N(INDEX('Deck 4'!$A:$Z,ROW()-1000,'List Setup'!$C$6))&gt;1," (x"&amp;INDEX('Deck 4'!$A:$Z,ROW()-1000,'List Setup'!$C$6)&amp;")","")&amp;IF(COUNTIF(Binders!$J$6:$J$30,TRUE())&gt;1," ["&amp;Q1028&amp;"]",""))</f>
        <v/>
      </c>
      <c r="H1028" s="80" t="str">
        <f t="array" ref="H1028">IF(A1028="","",CHAR(10)&amp;INDEX('Deck 4'!$A:$Z,ROW()-1000,'List Setup'!$E$6)&amp;CHAR(10))</f>
        <v/>
      </c>
      <c r="I1028" s="80" t="str">
        <f t="array" ref="I1028">IF(OR(B1028="",B1028="(none)"),"",IF(ISNUMBER(SEARCH(CHAR(10)&amp;B1028&amp;CHAR(10),H1028)),B1028,IFERROR(INDEX('Set Aliases'!$A$2:$A$501,MATCH(1,('Set Aliases'!$B$2:$B$501=B1028)*ISNUMBER(SEARCH(CHAR(10)&amp;'Set Aliases'!$A$2:$A$501&amp;CHAR(10),H1028)),0)),"")))</f>
        <v/>
      </c>
      <c r="J1028" s="80" t="str">
        <f t="array" ref="J1028">IF(I1028="","",IFERROR(VALUE(TRIM(MID(SUBSTITUTE(INDEX('Deck 4'!$A:$Z,ROW()-1000,'List Setup'!$G$6),CHAR(10),REPT(" ",100)),((SEARCH(CHAR(10)&amp;I1028&amp;CHAR(10),H1028)-LEN(SUBSTITUTE(LEFT(H1028,SEARCH(CHAR(10)&amp;I1028&amp;CHAR(10),H1028)),CHAR(10),"")))-1)*100+1,100))),""))</f>
        <v/>
      </c>
      <c r="K1028" s="80" t="str">
        <f t="array" ref="K1028">IF(A1028="","",IF(ISNUMBER(SEARCH("Land",LEFT(IFERROR(INDEX('Deck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28" s="80" t="str">
        <f t="shared" si="3"/>
        <v/>
      </c>
      <c r="M1028" s="80" t="str">
        <f>IF(A1028="","",IF(AND(E1028="Y",B1028='Use at Shop'!$B$4),K1028*10000000000+(MAX(0,MIN(26,CODE(MID(UPPER(A1028)&amp;"    ",1,1))-64))*19683+MAX(0,MIN(26,CODE(MID(UPPER(A1028)&amp;"    ",2,1))-64))*729+MAX(0,MIN(26,CODE(MID(UPPER(A1028)&amp;"    ",3,1))-64))*27+MAX(0,MIN(26,CODE(MID(UPPER(A1028)&amp;"    ",4,1))-64))*1)*10000+ROW(),""))</f>
        <v/>
      </c>
      <c r="N1028" s="80" t="str">
        <f t="shared" si="8"/>
        <v/>
      </c>
      <c r="O1028" s="80" t="str">
        <f t="array" ref="O1028">IF(A1028="","",IFERROR(INDEX('Deck 4'!$A:$Z,ROW()-1000,'List Setup'!$J$6)&amp;"",""))</f>
        <v/>
      </c>
      <c r="P1028" s="2"/>
      <c r="Q1028" s="80" t="str">
        <f>IF(A1028="","",'List Setup'!$A$6)</f>
        <v/>
      </c>
      <c r="R1028" s="80" t="str">
        <f t="array" ref="R1028">IF(A1028="","",IFERROR(OR(INDEX(Binders!$J$6:$J$30,MATCH(Q1028,Binders!$I$6:$I$30,0))=TRUE(),UPPER(INDEX(Binders!$J$6:$J$30,MATCH(Q1028,Binders!$I$6:$I$30,0))&amp;"")="TRUE"),FALSE()))</f>
        <v/>
      </c>
    </row>
    <row r="1029" ht="15.75" customHeight="1">
      <c r="A1029" s="80" t="str">
        <f t="array" ref="A1029">IF(INDEX('Deck 4'!$A:$Z,ROW()-1000,'List Setup'!$D$6)="","",INDEX('Deck 4'!$A:$Z,ROW()-1000,'List Setup'!$D$6))</f>
        <v/>
      </c>
      <c r="B1029" s="80" t="str">
        <f t="array" ref="B1029">IF(A1029="","",IFERROR(INDEX('Binder Setup'!$B$2:$B$401,MIN(IF(ISNUMBER(SEARCH(CHAR(10)&amp;'Binder Setup'!$B$2:$B$401&amp;CHAR(10),$H1029)),'List Setup'!$Q$2:$Q$401,999),IF(ISNUMBER(SEARCH(CHAR(10)&amp;'Set Aliases'!$A$2:$A$501&amp;CHAR(10),$H1029)),'Set Aliases'!$C$2:$C$501,999))),"(none)"))</f>
        <v/>
      </c>
      <c r="C1029" s="80" t="str">
        <f t="shared" si="1"/>
        <v/>
      </c>
      <c r="D1029" s="80" t="str">
        <f t="array" ref="D1029">IF(A1029="","",IF(ISLOGICAL(INDEX('Deck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29" s="80" t="str">
        <f t="shared" si="2"/>
        <v/>
      </c>
      <c r="F1029" s="80" t="str">
        <f t="array" ref="F1029">IF(A1029="","",IF(ISNUMBER(J1029),J1029,IF(ISNUMBER(INDEX('Deck 4'!$A:$Z,ROW()-1000,'List Setup'!$F$6)),INDEX('Deck 4'!$A:$Z,ROW()-1000,'List Setup'!$F$6),0)))</f>
        <v/>
      </c>
      <c r="G1029" s="80" t="str">
        <f t="array" ref="G1029">IF(A1029="","",A1029&amp;IF(N(INDEX('Deck 4'!$A:$Z,ROW()-1000,'List Setup'!$C$6))&gt;1," (x"&amp;INDEX('Deck 4'!$A:$Z,ROW()-1000,'List Setup'!$C$6)&amp;")","")&amp;IF(COUNTIF(Binders!$J$6:$J$30,TRUE())&gt;1," ["&amp;Q1029&amp;"]",""))</f>
        <v/>
      </c>
      <c r="H1029" s="80" t="str">
        <f t="array" ref="H1029">IF(A1029="","",CHAR(10)&amp;INDEX('Deck 4'!$A:$Z,ROW()-1000,'List Setup'!$E$6)&amp;CHAR(10))</f>
        <v/>
      </c>
      <c r="I1029" s="80" t="str">
        <f t="array" ref="I1029">IF(OR(B1029="",B1029="(none)"),"",IF(ISNUMBER(SEARCH(CHAR(10)&amp;B1029&amp;CHAR(10),H1029)),B1029,IFERROR(INDEX('Set Aliases'!$A$2:$A$501,MATCH(1,('Set Aliases'!$B$2:$B$501=B1029)*ISNUMBER(SEARCH(CHAR(10)&amp;'Set Aliases'!$A$2:$A$501&amp;CHAR(10),H1029)),0)),"")))</f>
        <v/>
      </c>
      <c r="J1029" s="80" t="str">
        <f t="array" ref="J1029">IF(I1029="","",IFERROR(VALUE(TRIM(MID(SUBSTITUTE(INDEX('Deck 4'!$A:$Z,ROW()-1000,'List Setup'!$G$6),CHAR(10),REPT(" ",100)),((SEARCH(CHAR(10)&amp;I1029&amp;CHAR(10),H1029)-LEN(SUBSTITUTE(LEFT(H1029,SEARCH(CHAR(10)&amp;I1029&amp;CHAR(10),H1029)),CHAR(10),"")))-1)*100+1,100))),""))</f>
        <v/>
      </c>
      <c r="K1029" s="80" t="str">
        <f t="array" ref="K1029">IF(A1029="","",IF(ISNUMBER(SEARCH("Land",LEFT(IFERROR(INDEX('Deck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29" s="80" t="str">
        <f t="shared" si="3"/>
        <v/>
      </c>
      <c r="M1029" s="80" t="str">
        <f>IF(A1029="","",IF(AND(E1029="Y",B1029='Use at Shop'!$B$4),K1029*10000000000+(MAX(0,MIN(26,CODE(MID(UPPER(A1029)&amp;"    ",1,1))-64))*19683+MAX(0,MIN(26,CODE(MID(UPPER(A1029)&amp;"    ",2,1))-64))*729+MAX(0,MIN(26,CODE(MID(UPPER(A1029)&amp;"    ",3,1))-64))*27+MAX(0,MIN(26,CODE(MID(UPPER(A1029)&amp;"    ",4,1))-64))*1)*10000+ROW(),""))</f>
        <v/>
      </c>
      <c r="N1029" s="80" t="str">
        <f t="shared" si="8"/>
        <v/>
      </c>
      <c r="O1029" s="80" t="str">
        <f t="array" ref="O1029">IF(A1029="","",IFERROR(INDEX('Deck 4'!$A:$Z,ROW()-1000,'List Setup'!$J$6)&amp;"",""))</f>
        <v/>
      </c>
      <c r="P1029" s="2"/>
      <c r="Q1029" s="80" t="str">
        <f>IF(A1029="","",'List Setup'!$A$6)</f>
        <v/>
      </c>
      <c r="R1029" s="80" t="str">
        <f t="array" ref="R1029">IF(A1029="","",IFERROR(OR(INDEX(Binders!$J$6:$J$30,MATCH(Q1029,Binders!$I$6:$I$30,0))=TRUE(),UPPER(INDEX(Binders!$J$6:$J$30,MATCH(Q1029,Binders!$I$6:$I$30,0))&amp;"")="TRUE"),FALSE()))</f>
        <v/>
      </c>
    </row>
    <row r="1030" ht="15.75" customHeight="1">
      <c r="A1030" s="80" t="str">
        <f t="array" ref="A1030">IF(INDEX('Deck 4'!$A:$Z,ROW()-1000,'List Setup'!$D$6)="","",INDEX('Deck 4'!$A:$Z,ROW()-1000,'List Setup'!$D$6))</f>
        <v/>
      </c>
      <c r="B1030" s="80" t="str">
        <f t="array" ref="B1030">IF(A1030="","",IFERROR(INDEX('Binder Setup'!$B$2:$B$401,MIN(IF(ISNUMBER(SEARCH(CHAR(10)&amp;'Binder Setup'!$B$2:$B$401&amp;CHAR(10),$H1030)),'List Setup'!$Q$2:$Q$401,999),IF(ISNUMBER(SEARCH(CHAR(10)&amp;'Set Aliases'!$A$2:$A$501&amp;CHAR(10),$H1030)),'Set Aliases'!$C$2:$C$501,999))),"(none)"))</f>
        <v/>
      </c>
      <c r="C1030" s="80" t="str">
        <f t="shared" si="1"/>
        <v/>
      </c>
      <c r="D1030" s="80" t="str">
        <f t="array" ref="D1030">IF(A1030="","",IF(ISLOGICAL(INDEX('Deck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30" s="80" t="str">
        <f t="shared" si="2"/>
        <v/>
      </c>
      <c r="F1030" s="80" t="str">
        <f t="array" ref="F1030">IF(A1030="","",IF(ISNUMBER(J1030),J1030,IF(ISNUMBER(INDEX('Deck 4'!$A:$Z,ROW()-1000,'List Setup'!$F$6)),INDEX('Deck 4'!$A:$Z,ROW()-1000,'List Setup'!$F$6),0)))</f>
        <v/>
      </c>
      <c r="G1030" s="80" t="str">
        <f t="array" ref="G1030">IF(A1030="","",A1030&amp;IF(N(INDEX('Deck 4'!$A:$Z,ROW()-1000,'List Setup'!$C$6))&gt;1," (x"&amp;INDEX('Deck 4'!$A:$Z,ROW()-1000,'List Setup'!$C$6)&amp;")","")&amp;IF(COUNTIF(Binders!$J$6:$J$30,TRUE())&gt;1," ["&amp;Q1030&amp;"]",""))</f>
        <v/>
      </c>
      <c r="H1030" s="80" t="str">
        <f t="array" ref="H1030">IF(A1030="","",CHAR(10)&amp;INDEX('Deck 4'!$A:$Z,ROW()-1000,'List Setup'!$E$6)&amp;CHAR(10))</f>
        <v/>
      </c>
      <c r="I1030" s="80" t="str">
        <f t="array" ref="I1030">IF(OR(B1030="",B1030="(none)"),"",IF(ISNUMBER(SEARCH(CHAR(10)&amp;B1030&amp;CHAR(10),H1030)),B1030,IFERROR(INDEX('Set Aliases'!$A$2:$A$501,MATCH(1,('Set Aliases'!$B$2:$B$501=B1030)*ISNUMBER(SEARCH(CHAR(10)&amp;'Set Aliases'!$A$2:$A$501&amp;CHAR(10),H1030)),0)),"")))</f>
        <v/>
      </c>
      <c r="J1030" s="80" t="str">
        <f t="array" ref="J1030">IF(I1030="","",IFERROR(VALUE(TRIM(MID(SUBSTITUTE(INDEX('Deck 4'!$A:$Z,ROW()-1000,'List Setup'!$G$6),CHAR(10),REPT(" ",100)),((SEARCH(CHAR(10)&amp;I1030&amp;CHAR(10),H1030)-LEN(SUBSTITUTE(LEFT(H1030,SEARCH(CHAR(10)&amp;I1030&amp;CHAR(10),H1030)),CHAR(10),"")))-1)*100+1,100))),""))</f>
        <v/>
      </c>
      <c r="K1030" s="80" t="str">
        <f t="array" ref="K1030">IF(A1030="","",IF(ISNUMBER(SEARCH("Land",LEFT(IFERROR(INDEX('Deck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30" s="80" t="str">
        <f t="shared" si="3"/>
        <v/>
      </c>
      <c r="M1030" s="80" t="str">
        <f>IF(A1030="","",IF(AND(E1030="Y",B1030='Use at Shop'!$B$4),K1030*10000000000+(MAX(0,MIN(26,CODE(MID(UPPER(A1030)&amp;"    ",1,1))-64))*19683+MAX(0,MIN(26,CODE(MID(UPPER(A1030)&amp;"    ",2,1))-64))*729+MAX(0,MIN(26,CODE(MID(UPPER(A1030)&amp;"    ",3,1))-64))*27+MAX(0,MIN(26,CODE(MID(UPPER(A1030)&amp;"    ",4,1))-64))*1)*10000+ROW(),""))</f>
        <v/>
      </c>
      <c r="N1030" s="80" t="str">
        <f t="shared" si="8"/>
        <v/>
      </c>
      <c r="O1030" s="80" t="str">
        <f t="array" ref="O1030">IF(A1030="","",IFERROR(INDEX('Deck 4'!$A:$Z,ROW()-1000,'List Setup'!$J$6)&amp;"",""))</f>
        <v/>
      </c>
      <c r="P1030" s="2"/>
      <c r="Q1030" s="80" t="str">
        <f>IF(A1030="","",'List Setup'!$A$6)</f>
        <v/>
      </c>
      <c r="R1030" s="80" t="str">
        <f t="array" ref="R1030">IF(A1030="","",IFERROR(OR(INDEX(Binders!$J$6:$J$30,MATCH(Q1030,Binders!$I$6:$I$30,0))=TRUE(),UPPER(INDEX(Binders!$J$6:$J$30,MATCH(Q1030,Binders!$I$6:$I$30,0))&amp;"")="TRUE"),FALSE()))</f>
        <v/>
      </c>
    </row>
    <row r="1031" ht="15.75" customHeight="1">
      <c r="A1031" s="80" t="str">
        <f t="array" ref="A1031">IF(INDEX('Deck 4'!$A:$Z,ROW()-1000,'List Setup'!$D$6)="","",INDEX('Deck 4'!$A:$Z,ROW()-1000,'List Setup'!$D$6))</f>
        <v/>
      </c>
      <c r="B1031" s="80" t="str">
        <f t="array" ref="B1031">IF(A1031="","",IFERROR(INDEX('Binder Setup'!$B$2:$B$401,MIN(IF(ISNUMBER(SEARCH(CHAR(10)&amp;'Binder Setup'!$B$2:$B$401&amp;CHAR(10),$H1031)),'List Setup'!$Q$2:$Q$401,999),IF(ISNUMBER(SEARCH(CHAR(10)&amp;'Set Aliases'!$A$2:$A$501&amp;CHAR(10),$H1031)),'Set Aliases'!$C$2:$C$501,999))),"(none)"))</f>
        <v/>
      </c>
      <c r="C1031" s="80" t="str">
        <f t="shared" si="1"/>
        <v/>
      </c>
      <c r="D1031" s="80" t="str">
        <f t="array" ref="D1031">IF(A1031="","",IF(ISLOGICAL(INDEX('Deck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31" s="80" t="str">
        <f t="shared" si="2"/>
        <v/>
      </c>
      <c r="F1031" s="80" t="str">
        <f t="array" ref="F1031">IF(A1031="","",IF(ISNUMBER(J1031),J1031,IF(ISNUMBER(INDEX('Deck 4'!$A:$Z,ROW()-1000,'List Setup'!$F$6)),INDEX('Deck 4'!$A:$Z,ROW()-1000,'List Setup'!$F$6),0)))</f>
        <v/>
      </c>
      <c r="G1031" s="80" t="str">
        <f t="array" ref="G1031">IF(A1031="","",A1031&amp;IF(N(INDEX('Deck 4'!$A:$Z,ROW()-1000,'List Setup'!$C$6))&gt;1," (x"&amp;INDEX('Deck 4'!$A:$Z,ROW()-1000,'List Setup'!$C$6)&amp;")","")&amp;IF(COUNTIF(Binders!$J$6:$J$30,TRUE())&gt;1," ["&amp;Q1031&amp;"]",""))</f>
        <v/>
      </c>
      <c r="H1031" s="80" t="str">
        <f t="array" ref="H1031">IF(A1031="","",CHAR(10)&amp;INDEX('Deck 4'!$A:$Z,ROW()-1000,'List Setup'!$E$6)&amp;CHAR(10))</f>
        <v/>
      </c>
      <c r="I1031" s="80" t="str">
        <f t="array" ref="I1031">IF(OR(B1031="",B1031="(none)"),"",IF(ISNUMBER(SEARCH(CHAR(10)&amp;B1031&amp;CHAR(10),H1031)),B1031,IFERROR(INDEX('Set Aliases'!$A$2:$A$501,MATCH(1,('Set Aliases'!$B$2:$B$501=B1031)*ISNUMBER(SEARCH(CHAR(10)&amp;'Set Aliases'!$A$2:$A$501&amp;CHAR(10),H1031)),0)),"")))</f>
        <v/>
      </c>
      <c r="J1031" s="80" t="str">
        <f t="array" ref="J1031">IF(I1031="","",IFERROR(VALUE(TRIM(MID(SUBSTITUTE(INDEX('Deck 4'!$A:$Z,ROW()-1000,'List Setup'!$G$6),CHAR(10),REPT(" ",100)),((SEARCH(CHAR(10)&amp;I1031&amp;CHAR(10),H1031)-LEN(SUBSTITUTE(LEFT(H1031,SEARCH(CHAR(10)&amp;I1031&amp;CHAR(10),H1031)),CHAR(10),"")))-1)*100+1,100))),""))</f>
        <v/>
      </c>
      <c r="K1031" s="80" t="str">
        <f t="array" ref="K1031">IF(A1031="","",IF(ISNUMBER(SEARCH("Land",LEFT(IFERROR(INDEX('Deck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31" s="80" t="str">
        <f t="shared" si="3"/>
        <v/>
      </c>
      <c r="M1031" s="80" t="str">
        <f>IF(A1031="","",IF(AND(E1031="Y",B1031='Use at Shop'!$B$4),K1031*10000000000+(MAX(0,MIN(26,CODE(MID(UPPER(A1031)&amp;"    ",1,1))-64))*19683+MAX(0,MIN(26,CODE(MID(UPPER(A1031)&amp;"    ",2,1))-64))*729+MAX(0,MIN(26,CODE(MID(UPPER(A1031)&amp;"    ",3,1))-64))*27+MAX(0,MIN(26,CODE(MID(UPPER(A1031)&amp;"    ",4,1))-64))*1)*10000+ROW(),""))</f>
        <v/>
      </c>
      <c r="N1031" s="80" t="str">
        <f t="shared" si="8"/>
        <v/>
      </c>
      <c r="O1031" s="80" t="str">
        <f t="array" ref="O1031">IF(A1031="","",IFERROR(INDEX('Deck 4'!$A:$Z,ROW()-1000,'List Setup'!$J$6)&amp;"",""))</f>
        <v/>
      </c>
      <c r="P1031" s="2"/>
      <c r="Q1031" s="80" t="str">
        <f>IF(A1031="","",'List Setup'!$A$6)</f>
        <v/>
      </c>
      <c r="R1031" s="80" t="str">
        <f t="array" ref="R1031">IF(A1031="","",IFERROR(OR(INDEX(Binders!$J$6:$J$30,MATCH(Q1031,Binders!$I$6:$I$30,0))=TRUE(),UPPER(INDEX(Binders!$J$6:$J$30,MATCH(Q1031,Binders!$I$6:$I$30,0))&amp;"")="TRUE"),FALSE()))</f>
        <v/>
      </c>
    </row>
    <row r="1032" ht="15.75" customHeight="1">
      <c r="A1032" s="80" t="str">
        <f t="array" ref="A1032">IF(INDEX('Deck 4'!$A:$Z,ROW()-1000,'List Setup'!$D$6)="","",INDEX('Deck 4'!$A:$Z,ROW()-1000,'List Setup'!$D$6))</f>
        <v/>
      </c>
      <c r="B1032" s="80" t="str">
        <f t="array" ref="B1032">IF(A1032="","",IFERROR(INDEX('Binder Setup'!$B$2:$B$401,MIN(IF(ISNUMBER(SEARCH(CHAR(10)&amp;'Binder Setup'!$B$2:$B$401&amp;CHAR(10),$H1032)),'List Setup'!$Q$2:$Q$401,999),IF(ISNUMBER(SEARCH(CHAR(10)&amp;'Set Aliases'!$A$2:$A$501&amp;CHAR(10),$H1032)),'Set Aliases'!$C$2:$C$501,999))),"(none)"))</f>
        <v/>
      </c>
      <c r="C1032" s="80" t="str">
        <f t="shared" si="1"/>
        <v/>
      </c>
      <c r="D1032" s="80" t="str">
        <f t="array" ref="D1032">IF(A1032="","",IF(ISLOGICAL(INDEX('Deck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32" s="80" t="str">
        <f t="shared" si="2"/>
        <v/>
      </c>
      <c r="F1032" s="80" t="str">
        <f t="array" ref="F1032">IF(A1032="","",IF(ISNUMBER(J1032),J1032,IF(ISNUMBER(INDEX('Deck 4'!$A:$Z,ROW()-1000,'List Setup'!$F$6)),INDEX('Deck 4'!$A:$Z,ROW()-1000,'List Setup'!$F$6),0)))</f>
        <v/>
      </c>
      <c r="G1032" s="80" t="str">
        <f t="array" ref="G1032">IF(A1032="","",A1032&amp;IF(N(INDEX('Deck 4'!$A:$Z,ROW()-1000,'List Setup'!$C$6))&gt;1," (x"&amp;INDEX('Deck 4'!$A:$Z,ROW()-1000,'List Setup'!$C$6)&amp;")","")&amp;IF(COUNTIF(Binders!$J$6:$J$30,TRUE())&gt;1," ["&amp;Q1032&amp;"]",""))</f>
        <v/>
      </c>
      <c r="H1032" s="80" t="str">
        <f t="array" ref="H1032">IF(A1032="","",CHAR(10)&amp;INDEX('Deck 4'!$A:$Z,ROW()-1000,'List Setup'!$E$6)&amp;CHAR(10))</f>
        <v/>
      </c>
      <c r="I1032" s="80" t="str">
        <f t="array" ref="I1032">IF(OR(B1032="",B1032="(none)"),"",IF(ISNUMBER(SEARCH(CHAR(10)&amp;B1032&amp;CHAR(10),H1032)),B1032,IFERROR(INDEX('Set Aliases'!$A$2:$A$501,MATCH(1,('Set Aliases'!$B$2:$B$501=B1032)*ISNUMBER(SEARCH(CHAR(10)&amp;'Set Aliases'!$A$2:$A$501&amp;CHAR(10),H1032)),0)),"")))</f>
        <v/>
      </c>
      <c r="J1032" s="80" t="str">
        <f t="array" ref="J1032">IF(I1032="","",IFERROR(VALUE(TRIM(MID(SUBSTITUTE(INDEX('Deck 4'!$A:$Z,ROW()-1000,'List Setup'!$G$6),CHAR(10),REPT(" ",100)),((SEARCH(CHAR(10)&amp;I1032&amp;CHAR(10),H1032)-LEN(SUBSTITUTE(LEFT(H1032,SEARCH(CHAR(10)&amp;I1032&amp;CHAR(10),H1032)),CHAR(10),"")))-1)*100+1,100))),""))</f>
        <v/>
      </c>
      <c r="K1032" s="80" t="str">
        <f t="array" ref="K1032">IF(A1032="","",IF(ISNUMBER(SEARCH("Land",LEFT(IFERROR(INDEX('Deck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32" s="80" t="str">
        <f t="shared" si="3"/>
        <v/>
      </c>
      <c r="M1032" s="80" t="str">
        <f>IF(A1032="","",IF(AND(E1032="Y",B1032='Use at Shop'!$B$4),K1032*10000000000+(MAX(0,MIN(26,CODE(MID(UPPER(A1032)&amp;"    ",1,1))-64))*19683+MAX(0,MIN(26,CODE(MID(UPPER(A1032)&amp;"    ",2,1))-64))*729+MAX(0,MIN(26,CODE(MID(UPPER(A1032)&amp;"    ",3,1))-64))*27+MAX(0,MIN(26,CODE(MID(UPPER(A1032)&amp;"    ",4,1))-64))*1)*10000+ROW(),""))</f>
        <v/>
      </c>
      <c r="N1032" s="80" t="str">
        <f t="shared" si="8"/>
        <v/>
      </c>
      <c r="O1032" s="80" t="str">
        <f t="array" ref="O1032">IF(A1032="","",IFERROR(INDEX('Deck 4'!$A:$Z,ROW()-1000,'List Setup'!$J$6)&amp;"",""))</f>
        <v/>
      </c>
      <c r="P1032" s="2"/>
      <c r="Q1032" s="80" t="str">
        <f>IF(A1032="","",'List Setup'!$A$6)</f>
        <v/>
      </c>
      <c r="R1032" s="80" t="str">
        <f t="array" ref="R1032">IF(A1032="","",IFERROR(OR(INDEX(Binders!$J$6:$J$30,MATCH(Q1032,Binders!$I$6:$I$30,0))=TRUE(),UPPER(INDEX(Binders!$J$6:$J$30,MATCH(Q1032,Binders!$I$6:$I$30,0))&amp;"")="TRUE"),FALSE()))</f>
        <v/>
      </c>
    </row>
    <row r="1033" ht="15.75" customHeight="1">
      <c r="A1033" s="80" t="str">
        <f t="array" ref="A1033">IF(INDEX('Deck 4'!$A:$Z,ROW()-1000,'List Setup'!$D$6)="","",INDEX('Deck 4'!$A:$Z,ROW()-1000,'List Setup'!$D$6))</f>
        <v/>
      </c>
      <c r="B1033" s="80" t="str">
        <f t="array" ref="B1033">IF(A1033="","",IFERROR(INDEX('Binder Setup'!$B$2:$B$401,MIN(IF(ISNUMBER(SEARCH(CHAR(10)&amp;'Binder Setup'!$B$2:$B$401&amp;CHAR(10),$H1033)),'List Setup'!$Q$2:$Q$401,999),IF(ISNUMBER(SEARCH(CHAR(10)&amp;'Set Aliases'!$A$2:$A$501&amp;CHAR(10),$H1033)),'Set Aliases'!$C$2:$C$501,999))),"(none)"))</f>
        <v/>
      </c>
      <c r="C1033" s="80" t="str">
        <f t="shared" si="1"/>
        <v/>
      </c>
      <c r="D1033" s="80" t="str">
        <f t="array" ref="D1033">IF(A1033="","",IF(ISLOGICAL(INDEX('Deck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33" s="80" t="str">
        <f t="shared" si="2"/>
        <v/>
      </c>
      <c r="F1033" s="80" t="str">
        <f t="array" ref="F1033">IF(A1033="","",IF(ISNUMBER(J1033),J1033,IF(ISNUMBER(INDEX('Deck 4'!$A:$Z,ROW()-1000,'List Setup'!$F$6)),INDEX('Deck 4'!$A:$Z,ROW()-1000,'List Setup'!$F$6),0)))</f>
        <v/>
      </c>
      <c r="G1033" s="80" t="str">
        <f t="array" ref="G1033">IF(A1033="","",A1033&amp;IF(N(INDEX('Deck 4'!$A:$Z,ROW()-1000,'List Setup'!$C$6))&gt;1," (x"&amp;INDEX('Deck 4'!$A:$Z,ROW()-1000,'List Setup'!$C$6)&amp;")","")&amp;IF(COUNTIF(Binders!$J$6:$J$30,TRUE())&gt;1," ["&amp;Q1033&amp;"]",""))</f>
        <v/>
      </c>
      <c r="H1033" s="80" t="str">
        <f t="array" ref="H1033">IF(A1033="","",CHAR(10)&amp;INDEX('Deck 4'!$A:$Z,ROW()-1000,'List Setup'!$E$6)&amp;CHAR(10))</f>
        <v/>
      </c>
      <c r="I1033" s="80" t="str">
        <f t="array" ref="I1033">IF(OR(B1033="",B1033="(none)"),"",IF(ISNUMBER(SEARCH(CHAR(10)&amp;B1033&amp;CHAR(10),H1033)),B1033,IFERROR(INDEX('Set Aliases'!$A$2:$A$501,MATCH(1,('Set Aliases'!$B$2:$B$501=B1033)*ISNUMBER(SEARCH(CHAR(10)&amp;'Set Aliases'!$A$2:$A$501&amp;CHAR(10),H1033)),0)),"")))</f>
        <v/>
      </c>
      <c r="J1033" s="80" t="str">
        <f t="array" ref="J1033">IF(I1033="","",IFERROR(VALUE(TRIM(MID(SUBSTITUTE(INDEX('Deck 4'!$A:$Z,ROW()-1000,'List Setup'!$G$6),CHAR(10),REPT(" ",100)),((SEARCH(CHAR(10)&amp;I1033&amp;CHAR(10),H1033)-LEN(SUBSTITUTE(LEFT(H1033,SEARCH(CHAR(10)&amp;I1033&amp;CHAR(10),H1033)),CHAR(10),"")))-1)*100+1,100))),""))</f>
        <v/>
      </c>
      <c r="K1033" s="80" t="str">
        <f t="array" ref="K1033">IF(A1033="","",IF(ISNUMBER(SEARCH("Land",LEFT(IFERROR(INDEX('Deck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33" s="80" t="str">
        <f t="shared" si="3"/>
        <v/>
      </c>
      <c r="M1033" s="80" t="str">
        <f>IF(A1033="","",IF(AND(E1033="Y",B1033='Use at Shop'!$B$4),K1033*10000000000+(MAX(0,MIN(26,CODE(MID(UPPER(A1033)&amp;"    ",1,1))-64))*19683+MAX(0,MIN(26,CODE(MID(UPPER(A1033)&amp;"    ",2,1))-64))*729+MAX(0,MIN(26,CODE(MID(UPPER(A1033)&amp;"    ",3,1))-64))*27+MAX(0,MIN(26,CODE(MID(UPPER(A1033)&amp;"    ",4,1))-64))*1)*10000+ROW(),""))</f>
        <v/>
      </c>
      <c r="N1033" s="80" t="str">
        <f t="shared" si="8"/>
        <v/>
      </c>
      <c r="O1033" s="80" t="str">
        <f t="array" ref="O1033">IF(A1033="","",IFERROR(INDEX('Deck 4'!$A:$Z,ROW()-1000,'List Setup'!$J$6)&amp;"",""))</f>
        <v/>
      </c>
      <c r="P1033" s="2"/>
      <c r="Q1033" s="80" t="str">
        <f>IF(A1033="","",'List Setup'!$A$6)</f>
        <v/>
      </c>
      <c r="R1033" s="80" t="str">
        <f t="array" ref="R1033">IF(A1033="","",IFERROR(OR(INDEX(Binders!$J$6:$J$30,MATCH(Q1033,Binders!$I$6:$I$30,0))=TRUE(),UPPER(INDEX(Binders!$J$6:$J$30,MATCH(Q1033,Binders!$I$6:$I$30,0))&amp;"")="TRUE"),FALSE()))</f>
        <v/>
      </c>
    </row>
    <row r="1034" ht="15.75" customHeight="1">
      <c r="A1034" s="80" t="str">
        <f t="array" ref="A1034">IF(INDEX('Deck 4'!$A:$Z,ROW()-1000,'List Setup'!$D$6)="","",INDEX('Deck 4'!$A:$Z,ROW()-1000,'List Setup'!$D$6))</f>
        <v/>
      </c>
      <c r="B1034" s="80" t="str">
        <f t="array" ref="B1034">IF(A1034="","",IFERROR(INDEX('Binder Setup'!$B$2:$B$401,MIN(IF(ISNUMBER(SEARCH(CHAR(10)&amp;'Binder Setup'!$B$2:$B$401&amp;CHAR(10),$H1034)),'List Setup'!$Q$2:$Q$401,999),IF(ISNUMBER(SEARCH(CHAR(10)&amp;'Set Aliases'!$A$2:$A$501&amp;CHAR(10),$H1034)),'Set Aliases'!$C$2:$C$501,999))),"(none)"))</f>
        <v/>
      </c>
      <c r="C1034" s="80" t="str">
        <f t="shared" si="1"/>
        <v/>
      </c>
      <c r="D1034" s="80" t="str">
        <f t="array" ref="D1034">IF(A1034="","",IF(ISLOGICAL(INDEX('Deck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34" s="80" t="str">
        <f t="shared" si="2"/>
        <v/>
      </c>
      <c r="F1034" s="80" t="str">
        <f t="array" ref="F1034">IF(A1034="","",IF(ISNUMBER(J1034),J1034,IF(ISNUMBER(INDEX('Deck 4'!$A:$Z,ROW()-1000,'List Setup'!$F$6)),INDEX('Deck 4'!$A:$Z,ROW()-1000,'List Setup'!$F$6),0)))</f>
        <v/>
      </c>
      <c r="G1034" s="80" t="str">
        <f t="array" ref="G1034">IF(A1034="","",A1034&amp;IF(N(INDEX('Deck 4'!$A:$Z,ROW()-1000,'List Setup'!$C$6))&gt;1," (x"&amp;INDEX('Deck 4'!$A:$Z,ROW()-1000,'List Setup'!$C$6)&amp;")","")&amp;IF(COUNTIF(Binders!$J$6:$J$30,TRUE())&gt;1," ["&amp;Q1034&amp;"]",""))</f>
        <v/>
      </c>
      <c r="H1034" s="80" t="str">
        <f t="array" ref="H1034">IF(A1034="","",CHAR(10)&amp;INDEX('Deck 4'!$A:$Z,ROW()-1000,'List Setup'!$E$6)&amp;CHAR(10))</f>
        <v/>
      </c>
      <c r="I1034" s="80" t="str">
        <f t="array" ref="I1034">IF(OR(B1034="",B1034="(none)"),"",IF(ISNUMBER(SEARCH(CHAR(10)&amp;B1034&amp;CHAR(10),H1034)),B1034,IFERROR(INDEX('Set Aliases'!$A$2:$A$501,MATCH(1,('Set Aliases'!$B$2:$B$501=B1034)*ISNUMBER(SEARCH(CHAR(10)&amp;'Set Aliases'!$A$2:$A$501&amp;CHAR(10),H1034)),0)),"")))</f>
        <v/>
      </c>
      <c r="J1034" s="80" t="str">
        <f t="array" ref="J1034">IF(I1034="","",IFERROR(VALUE(TRIM(MID(SUBSTITUTE(INDEX('Deck 4'!$A:$Z,ROW()-1000,'List Setup'!$G$6),CHAR(10),REPT(" ",100)),((SEARCH(CHAR(10)&amp;I1034&amp;CHAR(10),H1034)-LEN(SUBSTITUTE(LEFT(H1034,SEARCH(CHAR(10)&amp;I1034&amp;CHAR(10),H1034)),CHAR(10),"")))-1)*100+1,100))),""))</f>
        <v/>
      </c>
      <c r="K1034" s="80" t="str">
        <f t="array" ref="K1034">IF(A1034="","",IF(ISNUMBER(SEARCH("Land",LEFT(IFERROR(INDEX('Deck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34" s="80" t="str">
        <f t="shared" si="3"/>
        <v/>
      </c>
      <c r="M1034" s="80" t="str">
        <f>IF(A1034="","",IF(AND(E1034="Y",B1034='Use at Shop'!$B$4),K1034*10000000000+(MAX(0,MIN(26,CODE(MID(UPPER(A1034)&amp;"    ",1,1))-64))*19683+MAX(0,MIN(26,CODE(MID(UPPER(A1034)&amp;"    ",2,1))-64))*729+MAX(0,MIN(26,CODE(MID(UPPER(A1034)&amp;"    ",3,1))-64))*27+MAX(0,MIN(26,CODE(MID(UPPER(A1034)&amp;"    ",4,1))-64))*1)*10000+ROW(),""))</f>
        <v/>
      </c>
      <c r="N1034" s="80" t="str">
        <f t="shared" si="8"/>
        <v/>
      </c>
      <c r="O1034" s="80" t="str">
        <f t="array" ref="O1034">IF(A1034="","",IFERROR(INDEX('Deck 4'!$A:$Z,ROW()-1000,'List Setup'!$J$6)&amp;"",""))</f>
        <v/>
      </c>
      <c r="P1034" s="2"/>
      <c r="Q1034" s="80" t="str">
        <f>IF(A1034="","",'List Setup'!$A$6)</f>
        <v/>
      </c>
      <c r="R1034" s="80" t="str">
        <f t="array" ref="R1034">IF(A1034="","",IFERROR(OR(INDEX(Binders!$J$6:$J$30,MATCH(Q1034,Binders!$I$6:$I$30,0))=TRUE(),UPPER(INDEX(Binders!$J$6:$J$30,MATCH(Q1034,Binders!$I$6:$I$30,0))&amp;"")="TRUE"),FALSE()))</f>
        <v/>
      </c>
    </row>
    <row r="1035" ht="15.75" customHeight="1">
      <c r="A1035" s="80" t="str">
        <f t="array" ref="A1035">IF(INDEX('Deck 4'!$A:$Z,ROW()-1000,'List Setup'!$D$6)="","",INDEX('Deck 4'!$A:$Z,ROW()-1000,'List Setup'!$D$6))</f>
        <v/>
      </c>
      <c r="B1035" s="80" t="str">
        <f t="array" ref="B1035">IF(A1035="","",IFERROR(INDEX('Binder Setup'!$B$2:$B$401,MIN(IF(ISNUMBER(SEARCH(CHAR(10)&amp;'Binder Setup'!$B$2:$B$401&amp;CHAR(10),$H1035)),'List Setup'!$Q$2:$Q$401,999),IF(ISNUMBER(SEARCH(CHAR(10)&amp;'Set Aliases'!$A$2:$A$501&amp;CHAR(10),$H1035)),'Set Aliases'!$C$2:$C$501,999))),"(none)"))</f>
        <v/>
      </c>
      <c r="C1035" s="80" t="str">
        <f t="shared" si="1"/>
        <v/>
      </c>
      <c r="D1035" s="80" t="str">
        <f t="array" ref="D1035">IF(A1035="","",IF(ISLOGICAL(INDEX('Deck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35" s="80" t="str">
        <f t="shared" si="2"/>
        <v/>
      </c>
      <c r="F1035" s="80" t="str">
        <f t="array" ref="F1035">IF(A1035="","",IF(ISNUMBER(J1035),J1035,IF(ISNUMBER(INDEX('Deck 4'!$A:$Z,ROW()-1000,'List Setup'!$F$6)),INDEX('Deck 4'!$A:$Z,ROW()-1000,'List Setup'!$F$6),0)))</f>
        <v/>
      </c>
      <c r="G1035" s="80" t="str">
        <f t="array" ref="G1035">IF(A1035="","",A1035&amp;IF(N(INDEX('Deck 4'!$A:$Z,ROW()-1000,'List Setup'!$C$6))&gt;1," (x"&amp;INDEX('Deck 4'!$A:$Z,ROW()-1000,'List Setup'!$C$6)&amp;")","")&amp;IF(COUNTIF(Binders!$J$6:$J$30,TRUE())&gt;1," ["&amp;Q1035&amp;"]",""))</f>
        <v/>
      </c>
      <c r="H1035" s="80" t="str">
        <f t="array" ref="H1035">IF(A1035="","",CHAR(10)&amp;INDEX('Deck 4'!$A:$Z,ROW()-1000,'List Setup'!$E$6)&amp;CHAR(10))</f>
        <v/>
      </c>
      <c r="I1035" s="80" t="str">
        <f t="array" ref="I1035">IF(OR(B1035="",B1035="(none)"),"",IF(ISNUMBER(SEARCH(CHAR(10)&amp;B1035&amp;CHAR(10),H1035)),B1035,IFERROR(INDEX('Set Aliases'!$A$2:$A$501,MATCH(1,('Set Aliases'!$B$2:$B$501=B1035)*ISNUMBER(SEARCH(CHAR(10)&amp;'Set Aliases'!$A$2:$A$501&amp;CHAR(10),H1035)),0)),"")))</f>
        <v/>
      </c>
      <c r="J1035" s="80" t="str">
        <f t="array" ref="J1035">IF(I1035="","",IFERROR(VALUE(TRIM(MID(SUBSTITUTE(INDEX('Deck 4'!$A:$Z,ROW()-1000,'List Setup'!$G$6),CHAR(10),REPT(" ",100)),((SEARCH(CHAR(10)&amp;I1035&amp;CHAR(10),H1035)-LEN(SUBSTITUTE(LEFT(H1035,SEARCH(CHAR(10)&amp;I1035&amp;CHAR(10),H1035)),CHAR(10),"")))-1)*100+1,100))),""))</f>
        <v/>
      </c>
      <c r="K1035" s="80" t="str">
        <f t="array" ref="K1035">IF(A1035="","",IF(ISNUMBER(SEARCH("Land",LEFT(IFERROR(INDEX('Deck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35" s="80" t="str">
        <f t="shared" si="3"/>
        <v/>
      </c>
      <c r="M1035" s="80" t="str">
        <f>IF(A1035="","",IF(AND(E1035="Y",B1035='Use at Shop'!$B$4),K1035*10000000000+(MAX(0,MIN(26,CODE(MID(UPPER(A1035)&amp;"    ",1,1))-64))*19683+MAX(0,MIN(26,CODE(MID(UPPER(A1035)&amp;"    ",2,1))-64))*729+MAX(0,MIN(26,CODE(MID(UPPER(A1035)&amp;"    ",3,1))-64))*27+MAX(0,MIN(26,CODE(MID(UPPER(A1035)&amp;"    ",4,1))-64))*1)*10000+ROW(),""))</f>
        <v/>
      </c>
      <c r="N1035" s="80" t="str">
        <f t="shared" si="8"/>
        <v/>
      </c>
      <c r="O1035" s="80" t="str">
        <f t="array" ref="O1035">IF(A1035="","",IFERROR(INDEX('Deck 4'!$A:$Z,ROW()-1000,'List Setup'!$J$6)&amp;"",""))</f>
        <v/>
      </c>
      <c r="P1035" s="2"/>
      <c r="Q1035" s="80" t="str">
        <f>IF(A1035="","",'List Setup'!$A$6)</f>
        <v/>
      </c>
      <c r="R1035" s="80" t="str">
        <f t="array" ref="R1035">IF(A1035="","",IFERROR(OR(INDEX(Binders!$J$6:$J$30,MATCH(Q1035,Binders!$I$6:$I$30,0))=TRUE(),UPPER(INDEX(Binders!$J$6:$J$30,MATCH(Q1035,Binders!$I$6:$I$30,0))&amp;"")="TRUE"),FALSE()))</f>
        <v/>
      </c>
    </row>
    <row r="1036" ht="15.75" customHeight="1">
      <c r="A1036" s="80" t="str">
        <f t="array" ref="A1036">IF(INDEX('Deck 4'!$A:$Z,ROW()-1000,'List Setup'!$D$6)="","",INDEX('Deck 4'!$A:$Z,ROW()-1000,'List Setup'!$D$6))</f>
        <v/>
      </c>
      <c r="B1036" s="80" t="str">
        <f t="array" ref="B1036">IF(A1036="","",IFERROR(INDEX('Binder Setup'!$B$2:$B$401,MIN(IF(ISNUMBER(SEARCH(CHAR(10)&amp;'Binder Setup'!$B$2:$B$401&amp;CHAR(10),$H1036)),'List Setup'!$Q$2:$Q$401,999),IF(ISNUMBER(SEARCH(CHAR(10)&amp;'Set Aliases'!$A$2:$A$501&amp;CHAR(10),$H1036)),'Set Aliases'!$C$2:$C$501,999))),"(none)"))</f>
        <v/>
      </c>
      <c r="C1036" s="80" t="str">
        <f t="shared" si="1"/>
        <v/>
      </c>
      <c r="D1036" s="80" t="str">
        <f t="array" ref="D1036">IF(A1036="","",IF(ISLOGICAL(INDEX('Deck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36" s="80" t="str">
        <f t="shared" si="2"/>
        <v/>
      </c>
      <c r="F1036" s="80" t="str">
        <f t="array" ref="F1036">IF(A1036="","",IF(ISNUMBER(J1036),J1036,IF(ISNUMBER(INDEX('Deck 4'!$A:$Z,ROW()-1000,'List Setup'!$F$6)),INDEX('Deck 4'!$A:$Z,ROW()-1000,'List Setup'!$F$6),0)))</f>
        <v/>
      </c>
      <c r="G1036" s="80" t="str">
        <f t="array" ref="G1036">IF(A1036="","",A1036&amp;IF(N(INDEX('Deck 4'!$A:$Z,ROW()-1000,'List Setup'!$C$6))&gt;1," (x"&amp;INDEX('Deck 4'!$A:$Z,ROW()-1000,'List Setup'!$C$6)&amp;")","")&amp;IF(COUNTIF(Binders!$J$6:$J$30,TRUE())&gt;1," ["&amp;Q1036&amp;"]",""))</f>
        <v/>
      </c>
      <c r="H1036" s="80" t="str">
        <f t="array" ref="H1036">IF(A1036="","",CHAR(10)&amp;INDEX('Deck 4'!$A:$Z,ROW()-1000,'List Setup'!$E$6)&amp;CHAR(10))</f>
        <v/>
      </c>
      <c r="I1036" s="80" t="str">
        <f t="array" ref="I1036">IF(OR(B1036="",B1036="(none)"),"",IF(ISNUMBER(SEARCH(CHAR(10)&amp;B1036&amp;CHAR(10),H1036)),B1036,IFERROR(INDEX('Set Aliases'!$A$2:$A$501,MATCH(1,('Set Aliases'!$B$2:$B$501=B1036)*ISNUMBER(SEARCH(CHAR(10)&amp;'Set Aliases'!$A$2:$A$501&amp;CHAR(10),H1036)),0)),"")))</f>
        <v/>
      </c>
      <c r="J1036" s="80" t="str">
        <f t="array" ref="J1036">IF(I1036="","",IFERROR(VALUE(TRIM(MID(SUBSTITUTE(INDEX('Deck 4'!$A:$Z,ROW()-1000,'List Setup'!$G$6),CHAR(10),REPT(" ",100)),((SEARCH(CHAR(10)&amp;I1036&amp;CHAR(10),H1036)-LEN(SUBSTITUTE(LEFT(H1036,SEARCH(CHAR(10)&amp;I1036&amp;CHAR(10),H1036)),CHAR(10),"")))-1)*100+1,100))),""))</f>
        <v/>
      </c>
      <c r="K1036" s="80" t="str">
        <f t="array" ref="K1036">IF(A1036="","",IF(ISNUMBER(SEARCH("Land",LEFT(IFERROR(INDEX('Deck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36" s="80" t="str">
        <f t="shared" si="3"/>
        <v/>
      </c>
      <c r="M1036" s="80" t="str">
        <f>IF(A1036="","",IF(AND(E1036="Y",B1036='Use at Shop'!$B$4),K1036*10000000000+(MAX(0,MIN(26,CODE(MID(UPPER(A1036)&amp;"    ",1,1))-64))*19683+MAX(0,MIN(26,CODE(MID(UPPER(A1036)&amp;"    ",2,1))-64))*729+MAX(0,MIN(26,CODE(MID(UPPER(A1036)&amp;"    ",3,1))-64))*27+MAX(0,MIN(26,CODE(MID(UPPER(A1036)&amp;"    ",4,1))-64))*1)*10000+ROW(),""))</f>
        <v/>
      </c>
      <c r="N1036" s="80" t="str">
        <f t="shared" si="8"/>
        <v/>
      </c>
      <c r="O1036" s="80" t="str">
        <f t="array" ref="O1036">IF(A1036="","",IFERROR(INDEX('Deck 4'!$A:$Z,ROW()-1000,'List Setup'!$J$6)&amp;"",""))</f>
        <v/>
      </c>
      <c r="P1036" s="2"/>
      <c r="Q1036" s="80" t="str">
        <f>IF(A1036="","",'List Setup'!$A$6)</f>
        <v/>
      </c>
      <c r="R1036" s="80" t="str">
        <f t="array" ref="R1036">IF(A1036="","",IFERROR(OR(INDEX(Binders!$J$6:$J$30,MATCH(Q1036,Binders!$I$6:$I$30,0))=TRUE(),UPPER(INDEX(Binders!$J$6:$J$30,MATCH(Q1036,Binders!$I$6:$I$30,0))&amp;"")="TRUE"),FALSE()))</f>
        <v/>
      </c>
    </row>
    <row r="1037" ht="15.75" customHeight="1">
      <c r="A1037" s="80" t="str">
        <f t="array" ref="A1037">IF(INDEX('Deck 4'!$A:$Z,ROW()-1000,'List Setup'!$D$6)="","",INDEX('Deck 4'!$A:$Z,ROW()-1000,'List Setup'!$D$6))</f>
        <v/>
      </c>
      <c r="B1037" s="80" t="str">
        <f t="array" ref="B1037">IF(A1037="","",IFERROR(INDEX('Binder Setup'!$B$2:$B$401,MIN(IF(ISNUMBER(SEARCH(CHAR(10)&amp;'Binder Setup'!$B$2:$B$401&amp;CHAR(10),$H1037)),'List Setup'!$Q$2:$Q$401,999),IF(ISNUMBER(SEARCH(CHAR(10)&amp;'Set Aliases'!$A$2:$A$501&amp;CHAR(10),$H1037)),'Set Aliases'!$C$2:$C$501,999))),"(none)"))</f>
        <v/>
      </c>
      <c r="C1037" s="80" t="str">
        <f t="shared" si="1"/>
        <v/>
      </c>
      <c r="D1037" s="80" t="str">
        <f t="array" ref="D1037">IF(A1037="","",IF(ISLOGICAL(INDEX('Deck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37" s="80" t="str">
        <f t="shared" si="2"/>
        <v/>
      </c>
      <c r="F1037" s="80" t="str">
        <f t="array" ref="F1037">IF(A1037="","",IF(ISNUMBER(J1037),J1037,IF(ISNUMBER(INDEX('Deck 4'!$A:$Z,ROW()-1000,'List Setup'!$F$6)),INDEX('Deck 4'!$A:$Z,ROW()-1000,'List Setup'!$F$6),0)))</f>
        <v/>
      </c>
      <c r="G1037" s="80" t="str">
        <f t="array" ref="G1037">IF(A1037="","",A1037&amp;IF(N(INDEX('Deck 4'!$A:$Z,ROW()-1000,'List Setup'!$C$6))&gt;1," (x"&amp;INDEX('Deck 4'!$A:$Z,ROW()-1000,'List Setup'!$C$6)&amp;")","")&amp;IF(COUNTIF(Binders!$J$6:$J$30,TRUE())&gt;1," ["&amp;Q1037&amp;"]",""))</f>
        <v/>
      </c>
      <c r="H1037" s="80" t="str">
        <f t="array" ref="H1037">IF(A1037="","",CHAR(10)&amp;INDEX('Deck 4'!$A:$Z,ROW()-1000,'List Setup'!$E$6)&amp;CHAR(10))</f>
        <v/>
      </c>
      <c r="I1037" s="80" t="str">
        <f t="array" ref="I1037">IF(OR(B1037="",B1037="(none)"),"",IF(ISNUMBER(SEARCH(CHAR(10)&amp;B1037&amp;CHAR(10),H1037)),B1037,IFERROR(INDEX('Set Aliases'!$A$2:$A$501,MATCH(1,('Set Aliases'!$B$2:$B$501=B1037)*ISNUMBER(SEARCH(CHAR(10)&amp;'Set Aliases'!$A$2:$A$501&amp;CHAR(10),H1037)),0)),"")))</f>
        <v/>
      </c>
      <c r="J1037" s="80" t="str">
        <f t="array" ref="J1037">IF(I1037="","",IFERROR(VALUE(TRIM(MID(SUBSTITUTE(INDEX('Deck 4'!$A:$Z,ROW()-1000,'List Setup'!$G$6),CHAR(10),REPT(" ",100)),((SEARCH(CHAR(10)&amp;I1037&amp;CHAR(10),H1037)-LEN(SUBSTITUTE(LEFT(H1037,SEARCH(CHAR(10)&amp;I1037&amp;CHAR(10),H1037)),CHAR(10),"")))-1)*100+1,100))),""))</f>
        <v/>
      </c>
      <c r="K1037" s="80" t="str">
        <f t="array" ref="K1037">IF(A1037="","",IF(ISNUMBER(SEARCH("Land",LEFT(IFERROR(INDEX('Deck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37" s="80" t="str">
        <f t="shared" si="3"/>
        <v/>
      </c>
      <c r="M1037" s="80" t="str">
        <f>IF(A1037="","",IF(AND(E1037="Y",B1037='Use at Shop'!$B$4),K1037*10000000000+(MAX(0,MIN(26,CODE(MID(UPPER(A1037)&amp;"    ",1,1))-64))*19683+MAX(0,MIN(26,CODE(MID(UPPER(A1037)&amp;"    ",2,1))-64))*729+MAX(0,MIN(26,CODE(MID(UPPER(A1037)&amp;"    ",3,1))-64))*27+MAX(0,MIN(26,CODE(MID(UPPER(A1037)&amp;"    ",4,1))-64))*1)*10000+ROW(),""))</f>
        <v/>
      </c>
      <c r="N1037" s="80" t="str">
        <f t="shared" si="8"/>
        <v/>
      </c>
      <c r="O1037" s="80" t="str">
        <f t="array" ref="O1037">IF(A1037="","",IFERROR(INDEX('Deck 4'!$A:$Z,ROW()-1000,'List Setup'!$J$6)&amp;"",""))</f>
        <v/>
      </c>
      <c r="P1037" s="2"/>
      <c r="Q1037" s="80" t="str">
        <f>IF(A1037="","",'List Setup'!$A$6)</f>
        <v/>
      </c>
      <c r="R1037" s="80" t="str">
        <f t="array" ref="R1037">IF(A1037="","",IFERROR(OR(INDEX(Binders!$J$6:$J$30,MATCH(Q1037,Binders!$I$6:$I$30,0))=TRUE(),UPPER(INDEX(Binders!$J$6:$J$30,MATCH(Q1037,Binders!$I$6:$I$30,0))&amp;"")="TRUE"),FALSE()))</f>
        <v/>
      </c>
    </row>
    <row r="1038" ht="15.75" customHeight="1">
      <c r="A1038" s="80" t="str">
        <f t="array" ref="A1038">IF(INDEX('Deck 4'!$A:$Z,ROW()-1000,'List Setup'!$D$6)="","",INDEX('Deck 4'!$A:$Z,ROW()-1000,'List Setup'!$D$6))</f>
        <v/>
      </c>
      <c r="B1038" s="80" t="str">
        <f t="array" ref="B1038">IF(A1038="","",IFERROR(INDEX('Binder Setup'!$B$2:$B$401,MIN(IF(ISNUMBER(SEARCH(CHAR(10)&amp;'Binder Setup'!$B$2:$B$401&amp;CHAR(10),$H1038)),'List Setup'!$Q$2:$Q$401,999),IF(ISNUMBER(SEARCH(CHAR(10)&amp;'Set Aliases'!$A$2:$A$501&amp;CHAR(10),$H1038)),'Set Aliases'!$C$2:$C$501,999))),"(none)"))</f>
        <v/>
      </c>
      <c r="C1038" s="80" t="str">
        <f t="shared" si="1"/>
        <v/>
      </c>
      <c r="D1038" s="80" t="str">
        <f t="array" ref="D1038">IF(A1038="","",IF(ISLOGICAL(INDEX('Deck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38" s="80" t="str">
        <f t="shared" si="2"/>
        <v/>
      </c>
      <c r="F1038" s="80" t="str">
        <f t="array" ref="F1038">IF(A1038="","",IF(ISNUMBER(J1038),J1038,IF(ISNUMBER(INDEX('Deck 4'!$A:$Z,ROW()-1000,'List Setup'!$F$6)),INDEX('Deck 4'!$A:$Z,ROW()-1000,'List Setup'!$F$6),0)))</f>
        <v/>
      </c>
      <c r="G1038" s="80" t="str">
        <f t="array" ref="G1038">IF(A1038="","",A1038&amp;IF(N(INDEX('Deck 4'!$A:$Z,ROW()-1000,'List Setup'!$C$6))&gt;1," (x"&amp;INDEX('Deck 4'!$A:$Z,ROW()-1000,'List Setup'!$C$6)&amp;")","")&amp;IF(COUNTIF(Binders!$J$6:$J$30,TRUE())&gt;1," ["&amp;Q1038&amp;"]",""))</f>
        <v/>
      </c>
      <c r="H1038" s="80" t="str">
        <f t="array" ref="H1038">IF(A1038="","",CHAR(10)&amp;INDEX('Deck 4'!$A:$Z,ROW()-1000,'List Setup'!$E$6)&amp;CHAR(10))</f>
        <v/>
      </c>
      <c r="I1038" s="80" t="str">
        <f t="array" ref="I1038">IF(OR(B1038="",B1038="(none)"),"",IF(ISNUMBER(SEARCH(CHAR(10)&amp;B1038&amp;CHAR(10),H1038)),B1038,IFERROR(INDEX('Set Aliases'!$A$2:$A$501,MATCH(1,('Set Aliases'!$B$2:$B$501=B1038)*ISNUMBER(SEARCH(CHAR(10)&amp;'Set Aliases'!$A$2:$A$501&amp;CHAR(10),H1038)),0)),"")))</f>
        <v/>
      </c>
      <c r="J1038" s="80" t="str">
        <f t="array" ref="J1038">IF(I1038="","",IFERROR(VALUE(TRIM(MID(SUBSTITUTE(INDEX('Deck 4'!$A:$Z,ROW()-1000,'List Setup'!$G$6),CHAR(10),REPT(" ",100)),((SEARCH(CHAR(10)&amp;I1038&amp;CHAR(10),H1038)-LEN(SUBSTITUTE(LEFT(H1038,SEARCH(CHAR(10)&amp;I1038&amp;CHAR(10),H1038)),CHAR(10),"")))-1)*100+1,100))),""))</f>
        <v/>
      </c>
      <c r="K1038" s="80" t="str">
        <f t="array" ref="K1038">IF(A1038="","",IF(ISNUMBER(SEARCH("Land",LEFT(IFERROR(INDEX('Deck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38" s="80" t="str">
        <f t="shared" si="3"/>
        <v/>
      </c>
      <c r="M1038" s="80" t="str">
        <f>IF(A1038="","",IF(AND(E1038="Y",B1038='Use at Shop'!$B$4),K1038*10000000000+(MAX(0,MIN(26,CODE(MID(UPPER(A1038)&amp;"    ",1,1))-64))*19683+MAX(0,MIN(26,CODE(MID(UPPER(A1038)&amp;"    ",2,1))-64))*729+MAX(0,MIN(26,CODE(MID(UPPER(A1038)&amp;"    ",3,1))-64))*27+MAX(0,MIN(26,CODE(MID(UPPER(A1038)&amp;"    ",4,1))-64))*1)*10000+ROW(),""))</f>
        <v/>
      </c>
      <c r="N1038" s="80" t="str">
        <f t="shared" si="8"/>
        <v/>
      </c>
      <c r="O1038" s="80" t="str">
        <f t="array" ref="O1038">IF(A1038="","",IFERROR(INDEX('Deck 4'!$A:$Z,ROW()-1000,'List Setup'!$J$6)&amp;"",""))</f>
        <v/>
      </c>
      <c r="P1038" s="2"/>
      <c r="Q1038" s="80" t="str">
        <f>IF(A1038="","",'List Setup'!$A$6)</f>
        <v/>
      </c>
      <c r="R1038" s="80" t="str">
        <f t="array" ref="R1038">IF(A1038="","",IFERROR(OR(INDEX(Binders!$J$6:$J$30,MATCH(Q1038,Binders!$I$6:$I$30,0))=TRUE(),UPPER(INDEX(Binders!$J$6:$J$30,MATCH(Q1038,Binders!$I$6:$I$30,0))&amp;"")="TRUE"),FALSE()))</f>
        <v/>
      </c>
    </row>
    <row r="1039" ht="15.75" customHeight="1">
      <c r="A1039" s="80" t="str">
        <f t="array" ref="A1039">IF(INDEX('Deck 4'!$A:$Z,ROW()-1000,'List Setup'!$D$6)="","",INDEX('Deck 4'!$A:$Z,ROW()-1000,'List Setup'!$D$6))</f>
        <v/>
      </c>
      <c r="B1039" s="80" t="str">
        <f t="array" ref="B1039">IF(A1039="","",IFERROR(INDEX('Binder Setup'!$B$2:$B$401,MIN(IF(ISNUMBER(SEARCH(CHAR(10)&amp;'Binder Setup'!$B$2:$B$401&amp;CHAR(10),$H1039)),'List Setup'!$Q$2:$Q$401,999),IF(ISNUMBER(SEARCH(CHAR(10)&amp;'Set Aliases'!$A$2:$A$501&amp;CHAR(10),$H1039)),'Set Aliases'!$C$2:$C$501,999))),"(none)"))</f>
        <v/>
      </c>
      <c r="C1039" s="80" t="str">
        <f t="shared" si="1"/>
        <v/>
      </c>
      <c r="D1039" s="80" t="str">
        <f t="array" ref="D1039">IF(A1039="","",IF(ISLOGICAL(INDEX('Deck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39" s="80" t="str">
        <f t="shared" si="2"/>
        <v/>
      </c>
      <c r="F1039" s="80" t="str">
        <f t="array" ref="F1039">IF(A1039="","",IF(ISNUMBER(J1039),J1039,IF(ISNUMBER(INDEX('Deck 4'!$A:$Z,ROW()-1000,'List Setup'!$F$6)),INDEX('Deck 4'!$A:$Z,ROW()-1000,'List Setup'!$F$6),0)))</f>
        <v/>
      </c>
      <c r="G1039" s="80" t="str">
        <f t="array" ref="G1039">IF(A1039="","",A1039&amp;IF(N(INDEX('Deck 4'!$A:$Z,ROW()-1000,'List Setup'!$C$6))&gt;1," (x"&amp;INDEX('Deck 4'!$A:$Z,ROW()-1000,'List Setup'!$C$6)&amp;")","")&amp;IF(COUNTIF(Binders!$J$6:$J$30,TRUE())&gt;1," ["&amp;Q1039&amp;"]",""))</f>
        <v/>
      </c>
      <c r="H1039" s="80" t="str">
        <f t="array" ref="H1039">IF(A1039="","",CHAR(10)&amp;INDEX('Deck 4'!$A:$Z,ROW()-1000,'List Setup'!$E$6)&amp;CHAR(10))</f>
        <v/>
      </c>
      <c r="I1039" s="80" t="str">
        <f t="array" ref="I1039">IF(OR(B1039="",B1039="(none)"),"",IF(ISNUMBER(SEARCH(CHAR(10)&amp;B1039&amp;CHAR(10),H1039)),B1039,IFERROR(INDEX('Set Aliases'!$A$2:$A$501,MATCH(1,('Set Aliases'!$B$2:$B$501=B1039)*ISNUMBER(SEARCH(CHAR(10)&amp;'Set Aliases'!$A$2:$A$501&amp;CHAR(10),H1039)),0)),"")))</f>
        <v/>
      </c>
      <c r="J1039" s="80" t="str">
        <f t="array" ref="J1039">IF(I1039="","",IFERROR(VALUE(TRIM(MID(SUBSTITUTE(INDEX('Deck 4'!$A:$Z,ROW()-1000,'List Setup'!$G$6),CHAR(10),REPT(" ",100)),((SEARCH(CHAR(10)&amp;I1039&amp;CHAR(10),H1039)-LEN(SUBSTITUTE(LEFT(H1039,SEARCH(CHAR(10)&amp;I1039&amp;CHAR(10),H1039)),CHAR(10),"")))-1)*100+1,100))),""))</f>
        <v/>
      </c>
      <c r="K1039" s="80" t="str">
        <f t="array" ref="K1039">IF(A1039="","",IF(ISNUMBER(SEARCH("Land",LEFT(IFERROR(INDEX('Deck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39" s="80" t="str">
        <f t="shared" si="3"/>
        <v/>
      </c>
      <c r="M1039" s="80" t="str">
        <f>IF(A1039="","",IF(AND(E1039="Y",B1039='Use at Shop'!$B$4),K1039*10000000000+(MAX(0,MIN(26,CODE(MID(UPPER(A1039)&amp;"    ",1,1))-64))*19683+MAX(0,MIN(26,CODE(MID(UPPER(A1039)&amp;"    ",2,1))-64))*729+MAX(0,MIN(26,CODE(MID(UPPER(A1039)&amp;"    ",3,1))-64))*27+MAX(0,MIN(26,CODE(MID(UPPER(A1039)&amp;"    ",4,1))-64))*1)*10000+ROW(),""))</f>
        <v/>
      </c>
      <c r="N1039" s="80" t="str">
        <f t="shared" si="8"/>
        <v/>
      </c>
      <c r="O1039" s="80" t="str">
        <f t="array" ref="O1039">IF(A1039="","",IFERROR(INDEX('Deck 4'!$A:$Z,ROW()-1000,'List Setup'!$J$6)&amp;"",""))</f>
        <v/>
      </c>
      <c r="P1039" s="2"/>
      <c r="Q1039" s="80" t="str">
        <f>IF(A1039="","",'List Setup'!$A$6)</f>
        <v/>
      </c>
      <c r="R1039" s="80" t="str">
        <f t="array" ref="R1039">IF(A1039="","",IFERROR(OR(INDEX(Binders!$J$6:$J$30,MATCH(Q1039,Binders!$I$6:$I$30,0))=TRUE(),UPPER(INDEX(Binders!$J$6:$J$30,MATCH(Q1039,Binders!$I$6:$I$30,0))&amp;"")="TRUE"),FALSE()))</f>
        <v/>
      </c>
    </row>
    <row r="1040" ht="15.75" customHeight="1">
      <c r="A1040" s="80" t="str">
        <f t="array" ref="A1040">IF(INDEX('Deck 4'!$A:$Z,ROW()-1000,'List Setup'!$D$6)="","",INDEX('Deck 4'!$A:$Z,ROW()-1000,'List Setup'!$D$6))</f>
        <v/>
      </c>
      <c r="B1040" s="80" t="str">
        <f t="array" ref="B1040">IF(A1040="","",IFERROR(INDEX('Binder Setup'!$B$2:$B$401,MIN(IF(ISNUMBER(SEARCH(CHAR(10)&amp;'Binder Setup'!$B$2:$B$401&amp;CHAR(10),$H1040)),'List Setup'!$Q$2:$Q$401,999),IF(ISNUMBER(SEARCH(CHAR(10)&amp;'Set Aliases'!$A$2:$A$501&amp;CHAR(10),$H1040)),'Set Aliases'!$C$2:$C$501,999))),"(none)"))</f>
        <v/>
      </c>
      <c r="C1040" s="80" t="str">
        <f t="shared" si="1"/>
        <v/>
      </c>
      <c r="D1040" s="80" t="str">
        <f t="array" ref="D1040">IF(A1040="","",IF(ISLOGICAL(INDEX('Deck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40" s="80" t="str">
        <f t="shared" si="2"/>
        <v/>
      </c>
      <c r="F1040" s="80" t="str">
        <f t="array" ref="F1040">IF(A1040="","",IF(ISNUMBER(J1040),J1040,IF(ISNUMBER(INDEX('Deck 4'!$A:$Z,ROW()-1000,'List Setup'!$F$6)),INDEX('Deck 4'!$A:$Z,ROW()-1000,'List Setup'!$F$6),0)))</f>
        <v/>
      </c>
      <c r="G1040" s="80" t="str">
        <f t="array" ref="G1040">IF(A1040="","",A1040&amp;IF(N(INDEX('Deck 4'!$A:$Z,ROW()-1000,'List Setup'!$C$6))&gt;1," (x"&amp;INDEX('Deck 4'!$A:$Z,ROW()-1000,'List Setup'!$C$6)&amp;")","")&amp;IF(COUNTIF(Binders!$J$6:$J$30,TRUE())&gt;1," ["&amp;Q1040&amp;"]",""))</f>
        <v/>
      </c>
      <c r="H1040" s="80" t="str">
        <f t="array" ref="H1040">IF(A1040="","",CHAR(10)&amp;INDEX('Deck 4'!$A:$Z,ROW()-1000,'List Setup'!$E$6)&amp;CHAR(10))</f>
        <v/>
      </c>
      <c r="I1040" s="80" t="str">
        <f t="array" ref="I1040">IF(OR(B1040="",B1040="(none)"),"",IF(ISNUMBER(SEARCH(CHAR(10)&amp;B1040&amp;CHAR(10),H1040)),B1040,IFERROR(INDEX('Set Aliases'!$A$2:$A$501,MATCH(1,('Set Aliases'!$B$2:$B$501=B1040)*ISNUMBER(SEARCH(CHAR(10)&amp;'Set Aliases'!$A$2:$A$501&amp;CHAR(10),H1040)),0)),"")))</f>
        <v/>
      </c>
      <c r="J1040" s="80" t="str">
        <f t="array" ref="J1040">IF(I1040="","",IFERROR(VALUE(TRIM(MID(SUBSTITUTE(INDEX('Deck 4'!$A:$Z,ROW()-1000,'List Setup'!$G$6),CHAR(10),REPT(" ",100)),((SEARCH(CHAR(10)&amp;I1040&amp;CHAR(10),H1040)-LEN(SUBSTITUTE(LEFT(H1040,SEARCH(CHAR(10)&amp;I1040&amp;CHAR(10),H1040)),CHAR(10),"")))-1)*100+1,100))),""))</f>
        <v/>
      </c>
      <c r="K1040" s="80" t="str">
        <f t="array" ref="K1040">IF(A1040="","",IF(ISNUMBER(SEARCH("Land",LEFT(IFERROR(INDEX('Deck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40" s="80" t="str">
        <f t="shared" si="3"/>
        <v/>
      </c>
      <c r="M1040" s="80" t="str">
        <f>IF(A1040="","",IF(AND(E1040="Y",B1040='Use at Shop'!$B$4),K1040*10000000000+(MAX(0,MIN(26,CODE(MID(UPPER(A1040)&amp;"    ",1,1))-64))*19683+MAX(0,MIN(26,CODE(MID(UPPER(A1040)&amp;"    ",2,1))-64))*729+MAX(0,MIN(26,CODE(MID(UPPER(A1040)&amp;"    ",3,1))-64))*27+MAX(0,MIN(26,CODE(MID(UPPER(A1040)&amp;"    ",4,1))-64))*1)*10000+ROW(),""))</f>
        <v/>
      </c>
      <c r="N1040" s="80" t="str">
        <f t="shared" si="8"/>
        <v/>
      </c>
      <c r="O1040" s="80" t="str">
        <f t="array" ref="O1040">IF(A1040="","",IFERROR(INDEX('Deck 4'!$A:$Z,ROW()-1000,'List Setup'!$J$6)&amp;"",""))</f>
        <v/>
      </c>
      <c r="P1040" s="2"/>
      <c r="Q1040" s="80" t="str">
        <f>IF(A1040="","",'List Setup'!$A$6)</f>
        <v/>
      </c>
      <c r="R1040" s="80" t="str">
        <f t="array" ref="R1040">IF(A1040="","",IFERROR(OR(INDEX(Binders!$J$6:$J$30,MATCH(Q1040,Binders!$I$6:$I$30,0))=TRUE(),UPPER(INDEX(Binders!$J$6:$J$30,MATCH(Q1040,Binders!$I$6:$I$30,0))&amp;"")="TRUE"),FALSE()))</f>
        <v/>
      </c>
    </row>
    <row r="1041" ht="15.75" customHeight="1">
      <c r="A1041" s="80" t="str">
        <f t="array" ref="A1041">IF(INDEX('Deck 4'!$A:$Z,ROW()-1000,'List Setup'!$D$6)="","",INDEX('Deck 4'!$A:$Z,ROW()-1000,'List Setup'!$D$6))</f>
        <v/>
      </c>
      <c r="B1041" s="80" t="str">
        <f t="array" ref="B1041">IF(A1041="","",IFERROR(INDEX('Binder Setup'!$B$2:$B$401,MIN(IF(ISNUMBER(SEARCH(CHAR(10)&amp;'Binder Setup'!$B$2:$B$401&amp;CHAR(10),$H1041)),'List Setup'!$Q$2:$Q$401,999),IF(ISNUMBER(SEARCH(CHAR(10)&amp;'Set Aliases'!$A$2:$A$501&amp;CHAR(10),$H1041)),'Set Aliases'!$C$2:$C$501,999))),"(none)"))</f>
        <v/>
      </c>
      <c r="C1041" s="80" t="str">
        <f t="shared" si="1"/>
        <v/>
      </c>
      <c r="D1041" s="80" t="str">
        <f t="array" ref="D1041">IF(A1041="","",IF(ISLOGICAL(INDEX('Deck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41" s="80" t="str">
        <f t="shared" si="2"/>
        <v/>
      </c>
      <c r="F1041" s="80" t="str">
        <f t="array" ref="F1041">IF(A1041="","",IF(ISNUMBER(J1041),J1041,IF(ISNUMBER(INDEX('Deck 4'!$A:$Z,ROW()-1000,'List Setup'!$F$6)),INDEX('Deck 4'!$A:$Z,ROW()-1000,'List Setup'!$F$6),0)))</f>
        <v/>
      </c>
      <c r="G1041" s="80" t="str">
        <f t="array" ref="G1041">IF(A1041="","",A1041&amp;IF(N(INDEX('Deck 4'!$A:$Z,ROW()-1000,'List Setup'!$C$6))&gt;1," (x"&amp;INDEX('Deck 4'!$A:$Z,ROW()-1000,'List Setup'!$C$6)&amp;")","")&amp;IF(COUNTIF(Binders!$J$6:$J$30,TRUE())&gt;1," ["&amp;Q1041&amp;"]",""))</f>
        <v/>
      </c>
      <c r="H1041" s="80" t="str">
        <f t="array" ref="H1041">IF(A1041="","",CHAR(10)&amp;INDEX('Deck 4'!$A:$Z,ROW()-1000,'List Setup'!$E$6)&amp;CHAR(10))</f>
        <v/>
      </c>
      <c r="I1041" s="80" t="str">
        <f t="array" ref="I1041">IF(OR(B1041="",B1041="(none)"),"",IF(ISNUMBER(SEARCH(CHAR(10)&amp;B1041&amp;CHAR(10),H1041)),B1041,IFERROR(INDEX('Set Aliases'!$A$2:$A$501,MATCH(1,('Set Aliases'!$B$2:$B$501=B1041)*ISNUMBER(SEARCH(CHAR(10)&amp;'Set Aliases'!$A$2:$A$501&amp;CHAR(10),H1041)),0)),"")))</f>
        <v/>
      </c>
      <c r="J1041" s="80" t="str">
        <f t="array" ref="J1041">IF(I1041="","",IFERROR(VALUE(TRIM(MID(SUBSTITUTE(INDEX('Deck 4'!$A:$Z,ROW()-1000,'List Setup'!$G$6),CHAR(10),REPT(" ",100)),((SEARCH(CHAR(10)&amp;I1041&amp;CHAR(10),H1041)-LEN(SUBSTITUTE(LEFT(H1041,SEARCH(CHAR(10)&amp;I1041&amp;CHAR(10),H1041)),CHAR(10),"")))-1)*100+1,100))),""))</f>
        <v/>
      </c>
      <c r="K1041" s="80" t="str">
        <f t="array" ref="K1041">IF(A1041="","",IF(ISNUMBER(SEARCH("Land",LEFT(IFERROR(INDEX('Deck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41" s="80" t="str">
        <f t="shared" si="3"/>
        <v/>
      </c>
      <c r="M1041" s="80" t="str">
        <f>IF(A1041="","",IF(AND(E1041="Y",B1041='Use at Shop'!$B$4),K1041*10000000000+(MAX(0,MIN(26,CODE(MID(UPPER(A1041)&amp;"    ",1,1))-64))*19683+MAX(0,MIN(26,CODE(MID(UPPER(A1041)&amp;"    ",2,1))-64))*729+MAX(0,MIN(26,CODE(MID(UPPER(A1041)&amp;"    ",3,1))-64))*27+MAX(0,MIN(26,CODE(MID(UPPER(A1041)&amp;"    ",4,1))-64))*1)*10000+ROW(),""))</f>
        <v/>
      </c>
      <c r="N1041" s="80" t="str">
        <f t="shared" si="8"/>
        <v/>
      </c>
      <c r="O1041" s="80" t="str">
        <f t="array" ref="O1041">IF(A1041="","",IFERROR(INDEX('Deck 4'!$A:$Z,ROW()-1000,'List Setup'!$J$6)&amp;"",""))</f>
        <v/>
      </c>
      <c r="P1041" s="2"/>
      <c r="Q1041" s="80" t="str">
        <f>IF(A1041="","",'List Setup'!$A$6)</f>
        <v/>
      </c>
      <c r="R1041" s="80" t="str">
        <f t="array" ref="R1041">IF(A1041="","",IFERROR(OR(INDEX(Binders!$J$6:$J$30,MATCH(Q1041,Binders!$I$6:$I$30,0))=TRUE(),UPPER(INDEX(Binders!$J$6:$J$30,MATCH(Q1041,Binders!$I$6:$I$30,0))&amp;"")="TRUE"),FALSE()))</f>
        <v/>
      </c>
    </row>
    <row r="1042" ht="15.75" customHeight="1">
      <c r="A1042" s="80" t="str">
        <f t="array" ref="A1042">IF(INDEX('Deck 4'!$A:$Z,ROW()-1000,'List Setup'!$D$6)="","",INDEX('Deck 4'!$A:$Z,ROW()-1000,'List Setup'!$D$6))</f>
        <v/>
      </c>
      <c r="B1042" s="80" t="str">
        <f t="array" ref="B1042">IF(A1042="","",IFERROR(INDEX('Binder Setup'!$B$2:$B$401,MIN(IF(ISNUMBER(SEARCH(CHAR(10)&amp;'Binder Setup'!$B$2:$B$401&amp;CHAR(10),$H1042)),'List Setup'!$Q$2:$Q$401,999),IF(ISNUMBER(SEARCH(CHAR(10)&amp;'Set Aliases'!$A$2:$A$501&amp;CHAR(10),$H1042)),'Set Aliases'!$C$2:$C$501,999))),"(none)"))</f>
        <v/>
      </c>
      <c r="C1042" s="80" t="str">
        <f t="shared" si="1"/>
        <v/>
      </c>
      <c r="D1042" s="80" t="str">
        <f t="array" ref="D1042">IF(A1042="","",IF(ISLOGICAL(INDEX('Deck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42" s="80" t="str">
        <f t="shared" si="2"/>
        <v/>
      </c>
      <c r="F1042" s="80" t="str">
        <f t="array" ref="F1042">IF(A1042="","",IF(ISNUMBER(J1042),J1042,IF(ISNUMBER(INDEX('Deck 4'!$A:$Z,ROW()-1000,'List Setup'!$F$6)),INDEX('Deck 4'!$A:$Z,ROW()-1000,'List Setup'!$F$6),0)))</f>
        <v/>
      </c>
      <c r="G1042" s="80" t="str">
        <f t="array" ref="G1042">IF(A1042="","",A1042&amp;IF(N(INDEX('Deck 4'!$A:$Z,ROW()-1000,'List Setup'!$C$6))&gt;1," (x"&amp;INDEX('Deck 4'!$A:$Z,ROW()-1000,'List Setup'!$C$6)&amp;")","")&amp;IF(COUNTIF(Binders!$J$6:$J$30,TRUE())&gt;1," ["&amp;Q1042&amp;"]",""))</f>
        <v/>
      </c>
      <c r="H1042" s="80" t="str">
        <f t="array" ref="H1042">IF(A1042="","",CHAR(10)&amp;INDEX('Deck 4'!$A:$Z,ROW()-1000,'List Setup'!$E$6)&amp;CHAR(10))</f>
        <v/>
      </c>
      <c r="I1042" s="80" t="str">
        <f t="array" ref="I1042">IF(OR(B1042="",B1042="(none)"),"",IF(ISNUMBER(SEARCH(CHAR(10)&amp;B1042&amp;CHAR(10),H1042)),B1042,IFERROR(INDEX('Set Aliases'!$A$2:$A$501,MATCH(1,('Set Aliases'!$B$2:$B$501=B1042)*ISNUMBER(SEARCH(CHAR(10)&amp;'Set Aliases'!$A$2:$A$501&amp;CHAR(10),H1042)),0)),"")))</f>
        <v/>
      </c>
      <c r="J1042" s="80" t="str">
        <f t="array" ref="J1042">IF(I1042="","",IFERROR(VALUE(TRIM(MID(SUBSTITUTE(INDEX('Deck 4'!$A:$Z,ROW()-1000,'List Setup'!$G$6),CHAR(10),REPT(" ",100)),((SEARCH(CHAR(10)&amp;I1042&amp;CHAR(10),H1042)-LEN(SUBSTITUTE(LEFT(H1042,SEARCH(CHAR(10)&amp;I1042&amp;CHAR(10),H1042)),CHAR(10),"")))-1)*100+1,100))),""))</f>
        <v/>
      </c>
      <c r="K1042" s="80" t="str">
        <f t="array" ref="K1042">IF(A1042="","",IF(ISNUMBER(SEARCH("Land",LEFT(IFERROR(INDEX('Deck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42" s="80" t="str">
        <f t="shared" si="3"/>
        <v/>
      </c>
      <c r="M1042" s="80" t="str">
        <f>IF(A1042="","",IF(AND(E1042="Y",B1042='Use at Shop'!$B$4),K1042*10000000000+(MAX(0,MIN(26,CODE(MID(UPPER(A1042)&amp;"    ",1,1))-64))*19683+MAX(0,MIN(26,CODE(MID(UPPER(A1042)&amp;"    ",2,1))-64))*729+MAX(0,MIN(26,CODE(MID(UPPER(A1042)&amp;"    ",3,1))-64))*27+MAX(0,MIN(26,CODE(MID(UPPER(A1042)&amp;"    ",4,1))-64))*1)*10000+ROW(),""))</f>
        <v/>
      </c>
      <c r="N1042" s="80" t="str">
        <f t="shared" si="8"/>
        <v/>
      </c>
      <c r="O1042" s="80" t="str">
        <f t="array" ref="O1042">IF(A1042="","",IFERROR(INDEX('Deck 4'!$A:$Z,ROW()-1000,'List Setup'!$J$6)&amp;"",""))</f>
        <v/>
      </c>
      <c r="P1042" s="2"/>
      <c r="Q1042" s="80" t="str">
        <f>IF(A1042="","",'List Setup'!$A$6)</f>
        <v/>
      </c>
      <c r="R1042" s="80" t="str">
        <f t="array" ref="R1042">IF(A1042="","",IFERROR(OR(INDEX(Binders!$J$6:$J$30,MATCH(Q1042,Binders!$I$6:$I$30,0))=TRUE(),UPPER(INDEX(Binders!$J$6:$J$30,MATCH(Q1042,Binders!$I$6:$I$30,0))&amp;"")="TRUE"),FALSE()))</f>
        <v/>
      </c>
    </row>
    <row r="1043" ht="15.75" customHeight="1">
      <c r="A1043" s="80" t="str">
        <f t="array" ref="A1043">IF(INDEX('Deck 4'!$A:$Z,ROW()-1000,'List Setup'!$D$6)="","",INDEX('Deck 4'!$A:$Z,ROW()-1000,'List Setup'!$D$6))</f>
        <v/>
      </c>
      <c r="B1043" s="80" t="str">
        <f t="array" ref="B1043">IF(A1043="","",IFERROR(INDEX('Binder Setup'!$B$2:$B$401,MIN(IF(ISNUMBER(SEARCH(CHAR(10)&amp;'Binder Setup'!$B$2:$B$401&amp;CHAR(10),$H1043)),'List Setup'!$Q$2:$Q$401,999),IF(ISNUMBER(SEARCH(CHAR(10)&amp;'Set Aliases'!$A$2:$A$501&amp;CHAR(10),$H1043)),'Set Aliases'!$C$2:$C$501,999))),"(none)"))</f>
        <v/>
      </c>
      <c r="C1043" s="80" t="str">
        <f t="shared" si="1"/>
        <v/>
      </c>
      <c r="D1043" s="80" t="str">
        <f t="array" ref="D1043">IF(A1043="","",IF(ISLOGICAL(INDEX('Deck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43" s="80" t="str">
        <f t="shared" si="2"/>
        <v/>
      </c>
      <c r="F1043" s="80" t="str">
        <f t="array" ref="F1043">IF(A1043="","",IF(ISNUMBER(J1043),J1043,IF(ISNUMBER(INDEX('Deck 4'!$A:$Z,ROW()-1000,'List Setup'!$F$6)),INDEX('Deck 4'!$A:$Z,ROW()-1000,'List Setup'!$F$6),0)))</f>
        <v/>
      </c>
      <c r="G1043" s="80" t="str">
        <f t="array" ref="G1043">IF(A1043="","",A1043&amp;IF(N(INDEX('Deck 4'!$A:$Z,ROW()-1000,'List Setup'!$C$6))&gt;1," (x"&amp;INDEX('Deck 4'!$A:$Z,ROW()-1000,'List Setup'!$C$6)&amp;")","")&amp;IF(COUNTIF(Binders!$J$6:$J$30,TRUE())&gt;1," ["&amp;Q1043&amp;"]",""))</f>
        <v/>
      </c>
      <c r="H1043" s="80" t="str">
        <f t="array" ref="H1043">IF(A1043="","",CHAR(10)&amp;INDEX('Deck 4'!$A:$Z,ROW()-1000,'List Setup'!$E$6)&amp;CHAR(10))</f>
        <v/>
      </c>
      <c r="I1043" s="80" t="str">
        <f t="array" ref="I1043">IF(OR(B1043="",B1043="(none)"),"",IF(ISNUMBER(SEARCH(CHAR(10)&amp;B1043&amp;CHAR(10),H1043)),B1043,IFERROR(INDEX('Set Aliases'!$A$2:$A$501,MATCH(1,('Set Aliases'!$B$2:$B$501=B1043)*ISNUMBER(SEARCH(CHAR(10)&amp;'Set Aliases'!$A$2:$A$501&amp;CHAR(10),H1043)),0)),"")))</f>
        <v/>
      </c>
      <c r="J1043" s="80" t="str">
        <f t="array" ref="J1043">IF(I1043="","",IFERROR(VALUE(TRIM(MID(SUBSTITUTE(INDEX('Deck 4'!$A:$Z,ROW()-1000,'List Setup'!$G$6),CHAR(10),REPT(" ",100)),((SEARCH(CHAR(10)&amp;I1043&amp;CHAR(10),H1043)-LEN(SUBSTITUTE(LEFT(H1043,SEARCH(CHAR(10)&amp;I1043&amp;CHAR(10),H1043)),CHAR(10),"")))-1)*100+1,100))),""))</f>
        <v/>
      </c>
      <c r="K1043" s="80" t="str">
        <f t="array" ref="K1043">IF(A1043="","",IF(ISNUMBER(SEARCH("Land",LEFT(IFERROR(INDEX('Deck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43" s="80" t="str">
        <f t="shared" si="3"/>
        <v/>
      </c>
      <c r="M1043" s="80" t="str">
        <f>IF(A1043="","",IF(AND(E1043="Y",B1043='Use at Shop'!$B$4),K1043*10000000000+(MAX(0,MIN(26,CODE(MID(UPPER(A1043)&amp;"    ",1,1))-64))*19683+MAX(0,MIN(26,CODE(MID(UPPER(A1043)&amp;"    ",2,1))-64))*729+MAX(0,MIN(26,CODE(MID(UPPER(A1043)&amp;"    ",3,1))-64))*27+MAX(0,MIN(26,CODE(MID(UPPER(A1043)&amp;"    ",4,1))-64))*1)*10000+ROW(),""))</f>
        <v/>
      </c>
      <c r="N1043" s="80" t="str">
        <f t="shared" si="8"/>
        <v/>
      </c>
      <c r="O1043" s="80" t="str">
        <f t="array" ref="O1043">IF(A1043="","",IFERROR(INDEX('Deck 4'!$A:$Z,ROW()-1000,'List Setup'!$J$6)&amp;"",""))</f>
        <v/>
      </c>
      <c r="P1043" s="2"/>
      <c r="Q1043" s="80" t="str">
        <f>IF(A1043="","",'List Setup'!$A$6)</f>
        <v/>
      </c>
      <c r="R1043" s="80" t="str">
        <f t="array" ref="R1043">IF(A1043="","",IFERROR(OR(INDEX(Binders!$J$6:$J$30,MATCH(Q1043,Binders!$I$6:$I$30,0))=TRUE(),UPPER(INDEX(Binders!$J$6:$J$30,MATCH(Q1043,Binders!$I$6:$I$30,0))&amp;"")="TRUE"),FALSE()))</f>
        <v/>
      </c>
    </row>
    <row r="1044" ht="15.75" customHeight="1">
      <c r="A1044" s="80" t="str">
        <f t="array" ref="A1044">IF(INDEX('Deck 4'!$A:$Z,ROW()-1000,'List Setup'!$D$6)="","",INDEX('Deck 4'!$A:$Z,ROW()-1000,'List Setup'!$D$6))</f>
        <v/>
      </c>
      <c r="B1044" s="80" t="str">
        <f t="array" ref="B1044">IF(A1044="","",IFERROR(INDEX('Binder Setup'!$B$2:$B$401,MIN(IF(ISNUMBER(SEARCH(CHAR(10)&amp;'Binder Setup'!$B$2:$B$401&amp;CHAR(10),$H1044)),'List Setup'!$Q$2:$Q$401,999),IF(ISNUMBER(SEARCH(CHAR(10)&amp;'Set Aliases'!$A$2:$A$501&amp;CHAR(10),$H1044)),'Set Aliases'!$C$2:$C$501,999))),"(none)"))</f>
        <v/>
      </c>
      <c r="C1044" s="80" t="str">
        <f t="shared" si="1"/>
        <v/>
      </c>
      <c r="D1044" s="80" t="str">
        <f t="array" ref="D1044">IF(A1044="","",IF(ISLOGICAL(INDEX('Deck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44" s="80" t="str">
        <f t="shared" si="2"/>
        <v/>
      </c>
      <c r="F1044" s="80" t="str">
        <f t="array" ref="F1044">IF(A1044="","",IF(ISNUMBER(J1044),J1044,IF(ISNUMBER(INDEX('Deck 4'!$A:$Z,ROW()-1000,'List Setup'!$F$6)),INDEX('Deck 4'!$A:$Z,ROW()-1000,'List Setup'!$F$6),0)))</f>
        <v/>
      </c>
      <c r="G1044" s="80" t="str">
        <f t="array" ref="G1044">IF(A1044="","",A1044&amp;IF(N(INDEX('Deck 4'!$A:$Z,ROW()-1000,'List Setup'!$C$6))&gt;1," (x"&amp;INDEX('Deck 4'!$A:$Z,ROW()-1000,'List Setup'!$C$6)&amp;")","")&amp;IF(COUNTIF(Binders!$J$6:$J$30,TRUE())&gt;1," ["&amp;Q1044&amp;"]",""))</f>
        <v/>
      </c>
      <c r="H1044" s="80" t="str">
        <f t="array" ref="H1044">IF(A1044="","",CHAR(10)&amp;INDEX('Deck 4'!$A:$Z,ROW()-1000,'List Setup'!$E$6)&amp;CHAR(10))</f>
        <v/>
      </c>
      <c r="I1044" s="80" t="str">
        <f t="array" ref="I1044">IF(OR(B1044="",B1044="(none)"),"",IF(ISNUMBER(SEARCH(CHAR(10)&amp;B1044&amp;CHAR(10),H1044)),B1044,IFERROR(INDEX('Set Aliases'!$A$2:$A$501,MATCH(1,('Set Aliases'!$B$2:$B$501=B1044)*ISNUMBER(SEARCH(CHAR(10)&amp;'Set Aliases'!$A$2:$A$501&amp;CHAR(10),H1044)),0)),"")))</f>
        <v/>
      </c>
      <c r="J1044" s="80" t="str">
        <f t="array" ref="J1044">IF(I1044="","",IFERROR(VALUE(TRIM(MID(SUBSTITUTE(INDEX('Deck 4'!$A:$Z,ROW()-1000,'List Setup'!$G$6),CHAR(10),REPT(" ",100)),((SEARCH(CHAR(10)&amp;I1044&amp;CHAR(10),H1044)-LEN(SUBSTITUTE(LEFT(H1044,SEARCH(CHAR(10)&amp;I1044&amp;CHAR(10),H1044)),CHAR(10),"")))-1)*100+1,100))),""))</f>
        <v/>
      </c>
      <c r="K1044" s="80" t="str">
        <f t="array" ref="K1044">IF(A1044="","",IF(ISNUMBER(SEARCH("Land",LEFT(IFERROR(INDEX('Deck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44" s="80" t="str">
        <f t="shared" si="3"/>
        <v/>
      </c>
      <c r="M1044" s="80" t="str">
        <f>IF(A1044="","",IF(AND(E1044="Y",B1044='Use at Shop'!$B$4),K1044*10000000000+(MAX(0,MIN(26,CODE(MID(UPPER(A1044)&amp;"    ",1,1))-64))*19683+MAX(0,MIN(26,CODE(MID(UPPER(A1044)&amp;"    ",2,1))-64))*729+MAX(0,MIN(26,CODE(MID(UPPER(A1044)&amp;"    ",3,1))-64))*27+MAX(0,MIN(26,CODE(MID(UPPER(A1044)&amp;"    ",4,1))-64))*1)*10000+ROW(),""))</f>
        <v/>
      </c>
      <c r="N1044" s="80" t="str">
        <f t="shared" si="8"/>
        <v/>
      </c>
      <c r="O1044" s="80" t="str">
        <f t="array" ref="O1044">IF(A1044="","",IFERROR(INDEX('Deck 4'!$A:$Z,ROW()-1000,'List Setup'!$J$6)&amp;"",""))</f>
        <v/>
      </c>
      <c r="P1044" s="2"/>
      <c r="Q1044" s="80" t="str">
        <f>IF(A1044="","",'List Setup'!$A$6)</f>
        <v/>
      </c>
      <c r="R1044" s="80" t="str">
        <f t="array" ref="R1044">IF(A1044="","",IFERROR(OR(INDEX(Binders!$J$6:$J$30,MATCH(Q1044,Binders!$I$6:$I$30,0))=TRUE(),UPPER(INDEX(Binders!$J$6:$J$30,MATCH(Q1044,Binders!$I$6:$I$30,0))&amp;"")="TRUE"),FALSE()))</f>
        <v/>
      </c>
    </row>
    <row r="1045" ht="15.75" customHeight="1">
      <c r="A1045" s="80" t="str">
        <f t="array" ref="A1045">IF(INDEX('Deck 4'!$A:$Z,ROW()-1000,'List Setup'!$D$6)="","",INDEX('Deck 4'!$A:$Z,ROW()-1000,'List Setup'!$D$6))</f>
        <v/>
      </c>
      <c r="B1045" s="80" t="str">
        <f t="array" ref="B1045">IF(A1045="","",IFERROR(INDEX('Binder Setup'!$B$2:$B$401,MIN(IF(ISNUMBER(SEARCH(CHAR(10)&amp;'Binder Setup'!$B$2:$B$401&amp;CHAR(10),$H1045)),'List Setup'!$Q$2:$Q$401,999),IF(ISNUMBER(SEARCH(CHAR(10)&amp;'Set Aliases'!$A$2:$A$501&amp;CHAR(10),$H1045)),'Set Aliases'!$C$2:$C$501,999))),"(none)"))</f>
        <v/>
      </c>
      <c r="C1045" s="80" t="str">
        <f t="shared" si="1"/>
        <v/>
      </c>
      <c r="D1045" s="80" t="str">
        <f t="array" ref="D1045">IF(A1045="","",IF(ISLOGICAL(INDEX('Deck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45" s="80" t="str">
        <f t="shared" si="2"/>
        <v/>
      </c>
      <c r="F1045" s="80" t="str">
        <f t="array" ref="F1045">IF(A1045="","",IF(ISNUMBER(J1045),J1045,IF(ISNUMBER(INDEX('Deck 4'!$A:$Z,ROW()-1000,'List Setup'!$F$6)),INDEX('Deck 4'!$A:$Z,ROW()-1000,'List Setup'!$F$6),0)))</f>
        <v/>
      </c>
      <c r="G1045" s="80" t="str">
        <f t="array" ref="G1045">IF(A1045="","",A1045&amp;IF(N(INDEX('Deck 4'!$A:$Z,ROW()-1000,'List Setup'!$C$6))&gt;1," (x"&amp;INDEX('Deck 4'!$A:$Z,ROW()-1000,'List Setup'!$C$6)&amp;")","")&amp;IF(COUNTIF(Binders!$J$6:$J$30,TRUE())&gt;1," ["&amp;Q1045&amp;"]",""))</f>
        <v/>
      </c>
      <c r="H1045" s="80" t="str">
        <f t="array" ref="H1045">IF(A1045="","",CHAR(10)&amp;INDEX('Deck 4'!$A:$Z,ROW()-1000,'List Setup'!$E$6)&amp;CHAR(10))</f>
        <v/>
      </c>
      <c r="I1045" s="80" t="str">
        <f t="array" ref="I1045">IF(OR(B1045="",B1045="(none)"),"",IF(ISNUMBER(SEARCH(CHAR(10)&amp;B1045&amp;CHAR(10),H1045)),B1045,IFERROR(INDEX('Set Aliases'!$A$2:$A$501,MATCH(1,('Set Aliases'!$B$2:$B$501=B1045)*ISNUMBER(SEARCH(CHAR(10)&amp;'Set Aliases'!$A$2:$A$501&amp;CHAR(10),H1045)),0)),"")))</f>
        <v/>
      </c>
      <c r="J1045" s="80" t="str">
        <f t="array" ref="J1045">IF(I1045="","",IFERROR(VALUE(TRIM(MID(SUBSTITUTE(INDEX('Deck 4'!$A:$Z,ROW()-1000,'List Setup'!$G$6),CHAR(10),REPT(" ",100)),((SEARCH(CHAR(10)&amp;I1045&amp;CHAR(10),H1045)-LEN(SUBSTITUTE(LEFT(H1045,SEARCH(CHAR(10)&amp;I1045&amp;CHAR(10),H1045)),CHAR(10),"")))-1)*100+1,100))),""))</f>
        <v/>
      </c>
      <c r="K1045" s="80" t="str">
        <f t="array" ref="K1045">IF(A1045="","",IF(ISNUMBER(SEARCH("Land",LEFT(IFERROR(INDEX('Deck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45" s="80" t="str">
        <f t="shared" si="3"/>
        <v/>
      </c>
      <c r="M1045" s="80" t="str">
        <f>IF(A1045="","",IF(AND(E1045="Y",B1045='Use at Shop'!$B$4),K1045*10000000000+(MAX(0,MIN(26,CODE(MID(UPPER(A1045)&amp;"    ",1,1))-64))*19683+MAX(0,MIN(26,CODE(MID(UPPER(A1045)&amp;"    ",2,1))-64))*729+MAX(0,MIN(26,CODE(MID(UPPER(A1045)&amp;"    ",3,1))-64))*27+MAX(0,MIN(26,CODE(MID(UPPER(A1045)&amp;"    ",4,1))-64))*1)*10000+ROW(),""))</f>
        <v/>
      </c>
      <c r="N1045" s="80" t="str">
        <f t="shared" si="8"/>
        <v/>
      </c>
      <c r="O1045" s="80" t="str">
        <f t="array" ref="O1045">IF(A1045="","",IFERROR(INDEX('Deck 4'!$A:$Z,ROW()-1000,'List Setup'!$J$6)&amp;"",""))</f>
        <v/>
      </c>
      <c r="P1045" s="2"/>
      <c r="Q1045" s="80" t="str">
        <f>IF(A1045="","",'List Setup'!$A$6)</f>
        <v/>
      </c>
      <c r="R1045" s="80" t="str">
        <f t="array" ref="R1045">IF(A1045="","",IFERROR(OR(INDEX(Binders!$J$6:$J$30,MATCH(Q1045,Binders!$I$6:$I$30,0))=TRUE(),UPPER(INDEX(Binders!$J$6:$J$30,MATCH(Q1045,Binders!$I$6:$I$30,0))&amp;"")="TRUE"),FALSE()))</f>
        <v/>
      </c>
    </row>
    <row r="1046" ht="15.75" customHeight="1">
      <c r="A1046" s="80" t="str">
        <f t="array" ref="A1046">IF(INDEX('Deck 4'!$A:$Z,ROW()-1000,'List Setup'!$D$6)="","",INDEX('Deck 4'!$A:$Z,ROW()-1000,'List Setup'!$D$6))</f>
        <v/>
      </c>
      <c r="B1046" s="80" t="str">
        <f t="array" ref="B1046">IF(A1046="","",IFERROR(INDEX('Binder Setup'!$B$2:$B$401,MIN(IF(ISNUMBER(SEARCH(CHAR(10)&amp;'Binder Setup'!$B$2:$B$401&amp;CHAR(10),$H1046)),'List Setup'!$Q$2:$Q$401,999),IF(ISNUMBER(SEARCH(CHAR(10)&amp;'Set Aliases'!$A$2:$A$501&amp;CHAR(10),$H1046)),'Set Aliases'!$C$2:$C$501,999))),"(none)"))</f>
        <v/>
      </c>
      <c r="C1046" s="80" t="str">
        <f t="shared" si="1"/>
        <v/>
      </c>
      <c r="D1046" s="80" t="str">
        <f t="array" ref="D1046">IF(A1046="","",IF(ISLOGICAL(INDEX('Deck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46" s="80" t="str">
        <f t="shared" si="2"/>
        <v/>
      </c>
      <c r="F1046" s="80" t="str">
        <f t="array" ref="F1046">IF(A1046="","",IF(ISNUMBER(J1046),J1046,IF(ISNUMBER(INDEX('Deck 4'!$A:$Z,ROW()-1000,'List Setup'!$F$6)),INDEX('Deck 4'!$A:$Z,ROW()-1000,'List Setup'!$F$6),0)))</f>
        <v/>
      </c>
      <c r="G1046" s="80" t="str">
        <f t="array" ref="G1046">IF(A1046="","",A1046&amp;IF(N(INDEX('Deck 4'!$A:$Z,ROW()-1000,'List Setup'!$C$6))&gt;1," (x"&amp;INDEX('Deck 4'!$A:$Z,ROW()-1000,'List Setup'!$C$6)&amp;")","")&amp;IF(COUNTIF(Binders!$J$6:$J$30,TRUE())&gt;1," ["&amp;Q1046&amp;"]",""))</f>
        <v/>
      </c>
      <c r="H1046" s="80" t="str">
        <f t="array" ref="H1046">IF(A1046="","",CHAR(10)&amp;INDEX('Deck 4'!$A:$Z,ROW()-1000,'List Setup'!$E$6)&amp;CHAR(10))</f>
        <v/>
      </c>
      <c r="I1046" s="80" t="str">
        <f t="array" ref="I1046">IF(OR(B1046="",B1046="(none)"),"",IF(ISNUMBER(SEARCH(CHAR(10)&amp;B1046&amp;CHAR(10),H1046)),B1046,IFERROR(INDEX('Set Aliases'!$A$2:$A$501,MATCH(1,('Set Aliases'!$B$2:$B$501=B1046)*ISNUMBER(SEARCH(CHAR(10)&amp;'Set Aliases'!$A$2:$A$501&amp;CHAR(10),H1046)),0)),"")))</f>
        <v/>
      </c>
      <c r="J1046" s="80" t="str">
        <f t="array" ref="J1046">IF(I1046="","",IFERROR(VALUE(TRIM(MID(SUBSTITUTE(INDEX('Deck 4'!$A:$Z,ROW()-1000,'List Setup'!$G$6),CHAR(10),REPT(" ",100)),((SEARCH(CHAR(10)&amp;I1046&amp;CHAR(10),H1046)-LEN(SUBSTITUTE(LEFT(H1046,SEARCH(CHAR(10)&amp;I1046&amp;CHAR(10),H1046)),CHAR(10),"")))-1)*100+1,100))),""))</f>
        <v/>
      </c>
      <c r="K1046" s="80" t="str">
        <f t="array" ref="K1046">IF(A1046="","",IF(ISNUMBER(SEARCH("Land",LEFT(IFERROR(INDEX('Deck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46" s="80" t="str">
        <f t="shared" si="3"/>
        <v/>
      </c>
      <c r="M1046" s="80" t="str">
        <f>IF(A1046="","",IF(AND(E1046="Y",B1046='Use at Shop'!$B$4),K1046*10000000000+(MAX(0,MIN(26,CODE(MID(UPPER(A1046)&amp;"    ",1,1))-64))*19683+MAX(0,MIN(26,CODE(MID(UPPER(A1046)&amp;"    ",2,1))-64))*729+MAX(0,MIN(26,CODE(MID(UPPER(A1046)&amp;"    ",3,1))-64))*27+MAX(0,MIN(26,CODE(MID(UPPER(A1046)&amp;"    ",4,1))-64))*1)*10000+ROW(),""))</f>
        <v/>
      </c>
      <c r="N1046" s="80" t="str">
        <f t="shared" si="8"/>
        <v/>
      </c>
      <c r="O1046" s="80" t="str">
        <f t="array" ref="O1046">IF(A1046="","",IFERROR(INDEX('Deck 4'!$A:$Z,ROW()-1000,'List Setup'!$J$6)&amp;"",""))</f>
        <v/>
      </c>
      <c r="P1046" s="2"/>
      <c r="Q1046" s="80" t="str">
        <f>IF(A1046="","",'List Setup'!$A$6)</f>
        <v/>
      </c>
      <c r="R1046" s="80" t="str">
        <f t="array" ref="R1046">IF(A1046="","",IFERROR(OR(INDEX(Binders!$J$6:$J$30,MATCH(Q1046,Binders!$I$6:$I$30,0))=TRUE(),UPPER(INDEX(Binders!$J$6:$J$30,MATCH(Q1046,Binders!$I$6:$I$30,0))&amp;"")="TRUE"),FALSE()))</f>
        <v/>
      </c>
    </row>
    <row r="1047" ht="15.75" customHeight="1">
      <c r="A1047" s="80" t="str">
        <f t="array" ref="A1047">IF(INDEX('Deck 4'!$A:$Z,ROW()-1000,'List Setup'!$D$6)="","",INDEX('Deck 4'!$A:$Z,ROW()-1000,'List Setup'!$D$6))</f>
        <v/>
      </c>
      <c r="B1047" s="80" t="str">
        <f t="array" ref="B1047">IF(A1047="","",IFERROR(INDEX('Binder Setup'!$B$2:$B$401,MIN(IF(ISNUMBER(SEARCH(CHAR(10)&amp;'Binder Setup'!$B$2:$B$401&amp;CHAR(10),$H1047)),'List Setup'!$Q$2:$Q$401,999),IF(ISNUMBER(SEARCH(CHAR(10)&amp;'Set Aliases'!$A$2:$A$501&amp;CHAR(10),$H1047)),'Set Aliases'!$C$2:$C$501,999))),"(none)"))</f>
        <v/>
      </c>
      <c r="C1047" s="80" t="str">
        <f t="shared" si="1"/>
        <v/>
      </c>
      <c r="D1047" s="80" t="str">
        <f t="array" ref="D1047">IF(A1047="","",IF(ISLOGICAL(INDEX('Deck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47" s="80" t="str">
        <f t="shared" si="2"/>
        <v/>
      </c>
      <c r="F1047" s="80" t="str">
        <f t="array" ref="F1047">IF(A1047="","",IF(ISNUMBER(J1047),J1047,IF(ISNUMBER(INDEX('Deck 4'!$A:$Z,ROW()-1000,'List Setup'!$F$6)),INDEX('Deck 4'!$A:$Z,ROW()-1000,'List Setup'!$F$6),0)))</f>
        <v/>
      </c>
      <c r="G1047" s="80" t="str">
        <f t="array" ref="G1047">IF(A1047="","",A1047&amp;IF(N(INDEX('Deck 4'!$A:$Z,ROW()-1000,'List Setup'!$C$6))&gt;1," (x"&amp;INDEX('Deck 4'!$A:$Z,ROW()-1000,'List Setup'!$C$6)&amp;")","")&amp;IF(COUNTIF(Binders!$J$6:$J$30,TRUE())&gt;1," ["&amp;Q1047&amp;"]",""))</f>
        <v/>
      </c>
      <c r="H1047" s="80" t="str">
        <f t="array" ref="H1047">IF(A1047="","",CHAR(10)&amp;INDEX('Deck 4'!$A:$Z,ROW()-1000,'List Setup'!$E$6)&amp;CHAR(10))</f>
        <v/>
      </c>
      <c r="I1047" s="80" t="str">
        <f t="array" ref="I1047">IF(OR(B1047="",B1047="(none)"),"",IF(ISNUMBER(SEARCH(CHAR(10)&amp;B1047&amp;CHAR(10),H1047)),B1047,IFERROR(INDEX('Set Aliases'!$A$2:$A$501,MATCH(1,('Set Aliases'!$B$2:$B$501=B1047)*ISNUMBER(SEARCH(CHAR(10)&amp;'Set Aliases'!$A$2:$A$501&amp;CHAR(10),H1047)),0)),"")))</f>
        <v/>
      </c>
      <c r="J1047" s="80" t="str">
        <f t="array" ref="J1047">IF(I1047="","",IFERROR(VALUE(TRIM(MID(SUBSTITUTE(INDEX('Deck 4'!$A:$Z,ROW()-1000,'List Setup'!$G$6),CHAR(10),REPT(" ",100)),((SEARCH(CHAR(10)&amp;I1047&amp;CHAR(10),H1047)-LEN(SUBSTITUTE(LEFT(H1047,SEARCH(CHAR(10)&amp;I1047&amp;CHAR(10),H1047)),CHAR(10),"")))-1)*100+1,100))),""))</f>
        <v/>
      </c>
      <c r="K1047" s="80" t="str">
        <f t="array" ref="K1047">IF(A1047="","",IF(ISNUMBER(SEARCH("Land",LEFT(IFERROR(INDEX('Deck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47" s="80" t="str">
        <f t="shared" si="3"/>
        <v/>
      </c>
      <c r="M1047" s="80" t="str">
        <f>IF(A1047="","",IF(AND(E1047="Y",B1047='Use at Shop'!$B$4),K1047*10000000000+(MAX(0,MIN(26,CODE(MID(UPPER(A1047)&amp;"    ",1,1))-64))*19683+MAX(0,MIN(26,CODE(MID(UPPER(A1047)&amp;"    ",2,1))-64))*729+MAX(0,MIN(26,CODE(MID(UPPER(A1047)&amp;"    ",3,1))-64))*27+MAX(0,MIN(26,CODE(MID(UPPER(A1047)&amp;"    ",4,1))-64))*1)*10000+ROW(),""))</f>
        <v/>
      </c>
      <c r="N1047" s="80" t="str">
        <f t="shared" si="8"/>
        <v/>
      </c>
      <c r="O1047" s="80" t="str">
        <f t="array" ref="O1047">IF(A1047="","",IFERROR(INDEX('Deck 4'!$A:$Z,ROW()-1000,'List Setup'!$J$6)&amp;"",""))</f>
        <v/>
      </c>
      <c r="P1047" s="2"/>
      <c r="Q1047" s="80" t="str">
        <f>IF(A1047="","",'List Setup'!$A$6)</f>
        <v/>
      </c>
      <c r="R1047" s="80" t="str">
        <f t="array" ref="R1047">IF(A1047="","",IFERROR(OR(INDEX(Binders!$J$6:$J$30,MATCH(Q1047,Binders!$I$6:$I$30,0))=TRUE(),UPPER(INDEX(Binders!$J$6:$J$30,MATCH(Q1047,Binders!$I$6:$I$30,0))&amp;"")="TRUE"),FALSE()))</f>
        <v/>
      </c>
    </row>
    <row r="1048" ht="15.75" customHeight="1">
      <c r="A1048" s="80" t="str">
        <f t="array" ref="A1048">IF(INDEX('Deck 4'!$A:$Z,ROW()-1000,'List Setup'!$D$6)="","",INDEX('Deck 4'!$A:$Z,ROW()-1000,'List Setup'!$D$6))</f>
        <v/>
      </c>
      <c r="B1048" s="80" t="str">
        <f t="array" ref="B1048">IF(A1048="","",IFERROR(INDEX('Binder Setup'!$B$2:$B$401,MIN(IF(ISNUMBER(SEARCH(CHAR(10)&amp;'Binder Setup'!$B$2:$B$401&amp;CHAR(10),$H1048)),'List Setup'!$Q$2:$Q$401,999),IF(ISNUMBER(SEARCH(CHAR(10)&amp;'Set Aliases'!$A$2:$A$501&amp;CHAR(10),$H1048)),'Set Aliases'!$C$2:$C$501,999))),"(none)"))</f>
        <v/>
      </c>
      <c r="C1048" s="80" t="str">
        <f t="shared" si="1"/>
        <v/>
      </c>
      <c r="D1048" s="80" t="str">
        <f t="array" ref="D1048">IF(A1048="","",IF(ISLOGICAL(INDEX('Deck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48" s="80" t="str">
        <f t="shared" si="2"/>
        <v/>
      </c>
      <c r="F1048" s="80" t="str">
        <f t="array" ref="F1048">IF(A1048="","",IF(ISNUMBER(J1048),J1048,IF(ISNUMBER(INDEX('Deck 4'!$A:$Z,ROW()-1000,'List Setup'!$F$6)),INDEX('Deck 4'!$A:$Z,ROW()-1000,'List Setup'!$F$6),0)))</f>
        <v/>
      </c>
      <c r="G1048" s="80" t="str">
        <f t="array" ref="G1048">IF(A1048="","",A1048&amp;IF(N(INDEX('Deck 4'!$A:$Z,ROW()-1000,'List Setup'!$C$6))&gt;1," (x"&amp;INDEX('Deck 4'!$A:$Z,ROW()-1000,'List Setup'!$C$6)&amp;")","")&amp;IF(COUNTIF(Binders!$J$6:$J$30,TRUE())&gt;1," ["&amp;Q1048&amp;"]",""))</f>
        <v/>
      </c>
      <c r="H1048" s="80" t="str">
        <f t="array" ref="H1048">IF(A1048="","",CHAR(10)&amp;INDEX('Deck 4'!$A:$Z,ROW()-1000,'List Setup'!$E$6)&amp;CHAR(10))</f>
        <v/>
      </c>
      <c r="I1048" s="80" t="str">
        <f t="array" ref="I1048">IF(OR(B1048="",B1048="(none)"),"",IF(ISNUMBER(SEARCH(CHAR(10)&amp;B1048&amp;CHAR(10),H1048)),B1048,IFERROR(INDEX('Set Aliases'!$A$2:$A$501,MATCH(1,('Set Aliases'!$B$2:$B$501=B1048)*ISNUMBER(SEARCH(CHAR(10)&amp;'Set Aliases'!$A$2:$A$501&amp;CHAR(10),H1048)),0)),"")))</f>
        <v/>
      </c>
      <c r="J1048" s="80" t="str">
        <f t="array" ref="J1048">IF(I1048="","",IFERROR(VALUE(TRIM(MID(SUBSTITUTE(INDEX('Deck 4'!$A:$Z,ROW()-1000,'List Setup'!$G$6),CHAR(10),REPT(" ",100)),((SEARCH(CHAR(10)&amp;I1048&amp;CHAR(10),H1048)-LEN(SUBSTITUTE(LEFT(H1048,SEARCH(CHAR(10)&amp;I1048&amp;CHAR(10),H1048)),CHAR(10),"")))-1)*100+1,100))),""))</f>
        <v/>
      </c>
      <c r="K1048" s="80" t="str">
        <f t="array" ref="K1048">IF(A1048="","",IF(ISNUMBER(SEARCH("Land",LEFT(IFERROR(INDEX('Deck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48" s="80" t="str">
        <f t="shared" si="3"/>
        <v/>
      </c>
      <c r="M1048" s="80" t="str">
        <f>IF(A1048="","",IF(AND(E1048="Y",B1048='Use at Shop'!$B$4),K1048*10000000000+(MAX(0,MIN(26,CODE(MID(UPPER(A1048)&amp;"    ",1,1))-64))*19683+MAX(0,MIN(26,CODE(MID(UPPER(A1048)&amp;"    ",2,1))-64))*729+MAX(0,MIN(26,CODE(MID(UPPER(A1048)&amp;"    ",3,1))-64))*27+MAX(0,MIN(26,CODE(MID(UPPER(A1048)&amp;"    ",4,1))-64))*1)*10000+ROW(),""))</f>
        <v/>
      </c>
      <c r="N1048" s="80" t="str">
        <f t="shared" si="8"/>
        <v/>
      </c>
      <c r="O1048" s="80" t="str">
        <f t="array" ref="O1048">IF(A1048="","",IFERROR(INDEX('Deck 4'!$A:$Z,ROW()-1000,'List Setup'!$J$6)&amp;"",""))</f>
        <v/>
      </c>
      <c r="P1048" s="2"/>
      <c r="Q1048" s="80" t="str">
        <f>IF(A1048="","",'List Setup'!$A$6)</f>
        <v/>
      </c>
      <c r="R1048" s="80" t="str">
        <f t="array" ref="R1048">IF(A1048="","",IFERROR(OR(INDEX(Binders!$J$6:$J$30,MATCH(Q1048,Binders!$I$6:$I$30,0))=TRUE(),UPPER(INDEX(Binders!$J$6:$J$30,MATCH(Q1048,Binders!$I$6:$I$30,0))&amp;"")="TRUE"),FALSE()))</f>
        <v/>
      </c>
    </row>
    <row r="1049" ht="15.75" customHeight="1">
      <c r="A1049" s="80" t="str">
        <f t="array" ref="A1049">IF(INDEX('Deck 4'!$A:$Z,ROW()-1000,'List Setup'!$D$6)="","",INDEX('Deck 4'!$A:$Z,ROW()-1000,'List Setup'!$D$6))</f>
        <v/>
      </c>
      <c r="B1049" s="80" t="str">
        <f t="array" ref="B1049">IF(A1049="","",IFERROR(INDEX('Binder Setup'!$B$2:$B$401,MIN(IF(ISNUMBER(SEARCH(CHAR(10)&amp;'Binder Setup'!$B$2:$B$401&amp;CHAR(10),$H1049)),'List Setup'!$Q$2:$Q$401,999),IF(ISNUMBER(SEARCH(CHAR(10)&amp;'Set Aliases'!$A$2:$A$501&amp;CHAR(10),$H1049)),'Set Aliases'!$C$2:$C$501,999))),"(none)"))</f>
        <v/>
      </c>
      <c r="C1049" s="80" t="str">
        <f t="shared" si="1"/>
        <v/>
      </c>
      <c r="D1049" s="80" t="str">
        <f t="array" ref="D1049">IF(A1049="","",IF(ISLOGICAL(INDEX('Deck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49" s="80" t="str">
        <f t="shared" si="2"/>
        <v/>
      </c>
      <c r="F1049" s="80" t="str">
        <f t="array" ref="F1049">IF(A1049="","",IF(ISNUMBER(J1049),J1049,IF(ISNUMBER(INDEX('Deck 4'!$A:$Z,ROW()-1000,'List Setup'!$F$6)),INDEX('Deck 4'!$A:$Z,ROW()-1000,'List Setup'!$F$6),0)))</f>
        <v/>
      </c>
      <c r="G1049" s="80" t="str">
        <f t="array" ref="G1049">IF(A1049="","",A1049&amp;IF(N(INDEX('Deck 4'!$A:$Z,ROW()-1000,'List Setup'!$C$6))&gt;1," (x"&amp;INDEX('Deck 4'!$A:$Z,ROW()-1000,'List Setup'!$C$6)&amp;")","")&amp;IF(COUNTIF(Binders!$J$6:$J$30,TRUE())&gt;1," ["&amp;Q1049&amp;"]",""))</f>
        <v/>
      </c>
      <c r="H1049" s="80" t="str">
        <f t="array" ref="H1049">IF(A1049="","",CHAR(10)&amp;INDEX('Deck 4'!$A:$Z,ROW()-1000,'List Setup'!$E$6)&amp;CHAR(10))</f>
        <v/>
      </c>
      <c r="I1049" s="80" t="str">
        <f t="array" ref="I1049">IF(OR(B1049="",B1049="(none)"),"",IF(ISNUMBER(SEARCH(CHAR(10)&amp;B1049&amp;CHAR(10),H1049)),B1049,IFERROR(INDEX('Set Aliases'!$A$2:$A$501,MATCH(1,('Set Aliases'!$B$2:$B$501=B1049)*ISNUMBER(SEARCH(CHAR(10)&amp;'Set Aliases'!$A$2:$A$501&amp;CHAR(10),H1049)),0)),"")))</f>
        <v/>
      </c>
      <c r="J1049" s="80" t="str">
        <f t="array" ref="J1049">IF(I1049="","",IFERROR(VALUE(TRIM(MID(SUBSTITUTE(INDEX('Deck 4'!$A:$Z,ROW()-1000,'List Setup'!$G$6),CHAR(10),REPT(" ",100)),((SEARCH(CHAR(10)&amp;I1049&amp;CHAR(10),H1049)-LEN(SUBSTITUTE(LEFT(H1049,SEARCH(CHAR(10)&amp;I1049&amp;CHAR(10),H1049)),CHAR(10),"")))-1)*100+1,100))),""))</f>
        <v/>
      </c>
      <c r="K1049" s="80" t="str">
        <f t="array" ref="K1049">IF(A1049="","",IF(ISNUMBER(SEARCH("Land",LEFT(IFERROR(INDEX('Deck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49" s="80" t="str">
        <f t="shared" si="3"/>
        <v/>
      </c>
      <c r="M1049" s="80" t="str">
        <f>IF(A1049="","",IF(AND(E1049="Y",B1049='Use at Shop'!$B$4),K1049*10000000000+(MAX(0,MIN(26,CODE(MID(UPPER(A1049)&amp;"    ",1,1))-64))*19683+MAX(0,MIN(26,CODE(MID(UPPER(A1049)&amp;"    ",2,1))-64))*729+MAX(0,MIN(26,CODE(MID(UPPER(A1049)&amp;"    ",3,1))-64))*27+MAX(0,MIN(26,CODE(MID(UPPER(A1049)&amp;"    ",4,1))-64))*1)*10000+ROW(),""))</f>
        <v/>
      </c>
      <c r="N1049" s="80" t="str">
        <f t="shared" si="8"/>
        <v/>
      </c>
      <c r="O1049" s="80" t="str">
        <f t="array" ref="O1049">IF(A1049="","",IFERROR(INDEX('Deck 4'!$A:$Z,ROW()-1000,'List Setup'!$J$6)&amp;"",""))</f>
        <v/>
      </c>
      <c r="P1049" s="2"/>
      <c r="Q1049" s="80" t="str">
        <f>IF(A1049="","",'List Setup'!$A$6)</f>
        <v/>
      </c>
      <c r="R1049" s="80" t="str">
        <f t="array" ref="R1049">IF(A1049="","",IFERROR(OR(INDEX(Binders!$J$6:$J$30,MATCH(Q1049,Binders!$I$6:$I$30,0))=TRUE(),UPPER(INDEX(Binders!$J$6:$J$30,MATCH(Q1049,Binders!$I$6:$I$30,0))&amp;"")="TRUE"),FALSE()))</f>
        <v/>
      </c>
    </row>
    <row r="1050" ht="15.75" customHeight="1">
      <c r="A1050" s="80" t="str">
        <f t="array" ref="A1050">IF(INDEX('Deck 4'!$A:$Z,ROW()-1000,'List Setup'!$D$6)="","",INDEX('Deck 4'!$A:$Z,ROW()-1000,'List Setup'!$D$6))</f>
        <v/>
      </c>
      <c r="B1050" s="80" t="str">
        <f t="array" ref="B1050">IF(A1050="","",IFERROR(INDEX('Binder Setup'!$B$2:$B$401,MIN(IF(ISNUMBER(SEARCH(CHAR(10)&amp;'Binder Setup'!$B$2:$B$401&amp;CHAR(10),$H1050)),'List Setup'!$Q$2:$Q$401,999),IF(ISNUMBER(SEARCH(CHAR(10)&amp;'Set Aliases'!$A$2:$A$501&amp;CHAR(10),$H1050)),'Set Aliases'!$C$2:$C$501,999))),"(none)"))</f>
        <v/>
      </c>
      <c r="C1050" s="80" t="str">
        <f t="shared" si="1"/>
        <v/>
      </c>
      <c r="D1050" s="80" t="str">
        <f t="array" ref="D1050">IF(A1050="","",IF(ISLOGICAL(INDEX('Deck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50" s="80" t="str">
        <f t="shared" si="2"/>
        <v/>
      </c>
      <c r="F1050" s="80" t="str">
        <f t="array" ref="F1050">IF(A1050="","",IF(ISNUMBER(J1050),J1050,IF(ISNUMBER(INDEX('Deck 4'!$A:$Z,ROW()-1000,'List Setup'!$F$6)),INDEX('Deck 4'!$A:$Z,ROW()-1000,'List Setup'!$F$6),0)))</f>
        <v/>
      </c>
      <c r="G1050" s="80" t="str">
        <f t="array" ref="G1050">IF(A1050="","",A1050&amp;IF(N(INDEX('Deck 4'!$A:$Z,ROW()-1000,'List Setup'!$C$6))&gt;1," (x"&amp;INDEX('Deck 4'!$A:$Z,ROW()-1000,'List Setup'!$C$6)&amp;")","")&amp;IF(COUNTIF(Binders!$J$6:$J$30,TRUE())&gt;1," ["&amp;Q1050&amp;"]",""))</f>
        <v/>
      </c>
      <c r="H1050" s="80" t="str">
        <f t="array" ref="H1050">IF(A1050="","",CHAR(10)&amp;INDEX('Deck 4'!$A:$Z,ROW()-1000,'List Setup'!$E$6)&amp;CHAR(10))</f>
        <v/>
      </c>
      <c r="I1050" s="80" t="str">
        <f t="array" ref="I1050">IF(OR(B1050="",B1050="(none)"),"",IF(ISNUMBER(SEARCH(CHAR(10)&amp;B1050&amp;CHAR(10),H1050)),B1050,IFERROR(INDEX('Set Aliases'!$A$2:$A$501,MATCH(1,('Set Aliases'!$B$2:$B$501=B1050)*ISNUMBER(SEARCH(CHAR(10)&amp;'Set Aliases'!$A$2:$A$501&amp;CHAR(10),H1050)),0)),"")))</f>
        <v/>
      </c>
      <c r="J1050" s="80" t="str">
        <f t="array" ref="J1050">IF(I1050="","",IFERROR(VALUE(TRIM(MID(SUBSTITUTE(INDEX('Deck 4'!$A:$Z,ROW()-1000,'List Setup'!$G$6),CHAR(10),REPT(" ",100)),((SEARCH(CHAR(10)&amp;I1050&amp;CHAR(10),H1050)-LEN(SUBSTITUTE(LEFT(H1050,SEARCH(CHAR(10)&amp;I1050&amp;CHAR(10),H1050)),CHAR(10),"")))-1)*100+1,100))),""))</f>
        <v/>
      </c>
      <c r="K1050" s="80" t="str">
        <f t="array" ref="K1050">IF(A1050="","",IF(ISNUMBER(SEARCH("Land",LEFT(IFERROR(INDEX('Deck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50" s="80" t="str">
        <f t="shared" si="3"/>
        <v/>
      </c>
      <c r="M1050" s="80" t="str">
        <f>IF(A1050="","",IF(AND(E1050="Y",B1050='Use at Shop'!$B$4),K1050*10000000000+(MAX(0,MIN(26,CODE(MID(UPPER(A1050)&amp;"    ",1,1))-64))*19683+MAX(0,MIN(26,CODE(MID(UPPER(A1050)&amp;"    ",2,1))-64))*729+MAX(0,MIN(26,CODE(MID(UPPER(A1050)&amp;"    ",3,1))-64))*27+MAX(0,MIN(26,CODE(MID(UPPER(A1050)&amp;"    ",4,1))-64))*1)*10000+ROW(),""))</f>
        <v/>
      </c>
      <c r="N1050" s="80" t="str">
        <f t="shared" si="8"/>
        <v/>
      </c>
      <c r="O1050" s="80" t="str">
        <f t="array" ref="O1050">IF(A1050="","",IFERROR(INDEX('Deck 4'!$A:$Z,ROW()-1000,'List Setup'!$J$6)&amp;"",""))</f>
        <v/>
      </c>
      <c r="P1050" s="2"/>
      <c r="Q1050" s="80" t="str">
        <f>IF(A1050="","",'List Setup'!$A$6)</f>
        <v/>
      </c>
      <c r="R1050" s="80" t="str">
        <f t="array" ref="R1050">IF(A1050="","",IFERROR(OR(INDEX(Binders!$J$6:$J$30,MATCH(Q1050,Binders!$I$6:$I$30,0))=TRUE(),UPPER(INDEX(Binders!$J$6:$J$30,MATCH(Q1050,Binders!$I$6:$I$30,0))&amp;"")="TRUE"),FALSE()))</f>
        <v/>
      </c>
    </row>
    <row r="1051" ht="15.75" customHeight="1">
      <c r="A1051" s="80" t="str">
        <f t="array" ref="A1051">IF(INDEX('Deck 4'!$A:$Z,ROW()-1000,'List Setup'!$D$6)="","",INDEX('Deck 4'!$A:$Z,ROW()-1000,'List Setup'!$D$6))</f>
        <v/>
      </c>
      <c r="B1051" s="80" t="str">
        <f t="array" ref="B1051">IF(A1051="","",IFERROR(INDEX('Binder Setup'!$B$2:$B$401,MIN(IF(ISNUMBER(SEARCH(CHAR(10)&amp;'Binder Setup'!$B$2:$B$401&amp;CHAR(10),$H1051)),'List Setup'!$Q$2:$Q$401,999),IF(ISNUMBER(SEARCH(CHAR(10)&amp;'Set Aliases'!$A$2:$A$501&amp;CHAR(10),$H1051)),'Set Aliases'!$C$2:$C$501,999))),"(none)"))</f>
        <v/>
      </c>
      <c r="C1051" s="80" t="str">
        <f t="shared" si="1"/>
        <v/>
      </c>
      <c r="D1051" s="80" t="str">
        <f t="array" ref="D1051">IF(A1051="","",IF(ISLOGICAL(INDEX('Deck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51" s="80" t="str">
        <f t="shared" si="2"/>
        <v/>
      </c>
      <c r="F1051" s="80" t="str">
        <f t="array" ref="F1051">IF(A1051="","",IF(ISNUMBER(J1051),J1051,IF(ISNUMBER(INDEX('Deck 4'!$A:$Z,ROW()-1000,'List Setup'!$F$6)),INDEX('Deck 4'!$A:$Z,ROW()-1000,'List Setup'!$F$6),0)))</f>
        <v/>
      </c>
      <c r="G1051" s="80" t="str">
        <f t="array" ref="G1051">IF(A1051="","",A1051&amp;IF(N(INDEX('Deck 4'!$A:$Z,ROW()-1000,'List Setup'!$C$6))&gt;1," (x"&amp;INDEX('Deck 4'!$A:$Z,ROW()-1000,'List Setup'!$C$6)&amp;")","")&amp;IF(COUNTIF(Binders!$J$6:$J$30,TRUE())&gt;1," ["&amp;Q1051&amp;"]",""))</f>
        <v/>
      </c>
      <c r="H1051" s="80" t="str">
        <f t="array" ref="H1051">IF(A1051="","",CHAR(10)&amp;INDEX('Deck 4'!$A:$Z,ROW()-1000,'List Setup'!$E$6)&amp;CHAR(10))</f>
        <v/>
      </c>
      <c r="I1051" s="80" t="str">
        <f t="array" ref="I1051">IF(OR(B1051="",B1051="(none)"),"",IF(ISNUMBER(SEARCH(CHAR(10)&amp;B1051&amp;CHAR(10),H1051)),B1051,IFERROR(INDEX('Set Aliases'!$A$2:$A$501,MATCH(1,('Set Aliases'!$B$2:$B$501=B1051)*ISNUMBER(SEARCH(CHAR(10)&amp;'Set Aliases'!$A$2:$A$501&amp;CHAR(10),H1051)),0)),"")))</f>
        <v/>
      </c>
      <c r="J1051" s="80" t="str">
        <f t="array" ref="J1051">IF(I1051="","",IFERROR(VALUE(TRIM(MID(SUBSTITUTE(INDEX('Deck 4'!$A:$Z,ROW()-1000,'List Setup'!$G$6),CHAR(10),REPT(" ",100)),((SEARCH(CHAR(10)&amp;I1051&amp;CHAR(10),H1051)-LEN(SUBSTITUTE(LEFT(H1051,SEARCH(CHAR(10)&amp;I1051&amp;CHAR(10),H1051)),CHAR(10),"")))-1)*100+1,100))),""))</f>
        <v/>
      </c>
      <c r="K1051" s="80" t="str">
        <f t="array" ref="K1051">IF(A1051="","",IF(ISNUMBER(SEARCH("Land",LEFT(IFERROR(INDEX('Deck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51" s="80" t="str">
        <f t="shared" si="3"/>
        <v/>
      </c>
      <c r="M1051" s="80" t="str">
        <f>IF(A1051="","",IF(AND(E1051="Y",B1051='Use at Shop'!$B$4),K1051*10000000000+(MAX(0,MIN(26,CODE(MID(UPPER(A1051)&amp;"    ",1,1))-64))*19683+MAX(0,MIN(26,CODE(MID(UPPER(A1051)&amp;"    ",2,1))-64))*729+MAX(0,MIN(26,CODE(MID(UPPER(A1051)&amp;"    ",3,1))-64))*27+MAX(0,MIN(26,CODE(MID(UPPER(A1051)&amp;"    ",4,1))-64))*1)*10000+ROW(),""))</f>
        <v/>
      </c>
      <c r="N1051" s="80" t="str">
        <f t="shared" si="8"/>
        <v/>
      </c>
      <c r="O1051" s="80" t="str">
        <f t="array" ref="O1051">IF(A1051="","",IFERROR(INDEX('Deck 4'!$A:$Z,ROW()-1000,'List Setup'!$J$6)&amp;"",""))</f>
        <v/>
      </c>
      <c r="P1051" s="2"/>
      <c r="Q1051" s="80" t="str">
        <f>IF(A1051="","",'List Setup'!$A$6)</f>
        <v/>
      </c>
      <c r="R1051" s="80" t="str">
        <f t="array" ref="R1051">IF(A1051="","",IFERROR(OR(INDEX(Binders!$J$6:$J$30,MATCH(Q1051,Binders!$I$6:$I$30,0))=TRUE(),UPPER(INDEX(Binders!$J$6:$J$30,MATCH(Q1051,Binders!$I$6:$I$30,0))&amp;"")="TRUE"),FALSE()))</f>
        <v/>
      </c>
    </row>
    <row r="1052" ht="15.75" customHeight="1">
      <c r="A1052" s="80" t="str">
        <f t="array" ref="A1052">IF(INDEX('Deck 4'!$A:$Z,ROW()-1000,'List Setup'!$D$6)="","",INDEX('Deck 4'!$A:$Z,ROW()-1000,'List Setup'!$D$6))</f>
        <v/>
      </c>
      <c r="B1052" s="80" t="str">
        <f t="array" ref="B1052">IF(A1052="","",IFERROR(INDEX('Binder Setup'!$B$2:$B$401,MIN(IF(ISNUMBER(SEARCH(CHAR(10)&amp;'Binder Setup'!$B$2:$B$401&amp;CHAR(10),$H1052)),'List Setup'!$Q$2:$Q$401,999),IF(ISNUMBER(SEARCH(CHAR(10)&amp;'Set Aliases'!$A$2:$A$501&amp;CHAR(10),$H1052)),'Set Aliases'!$C$2:$C$501,999))),"(none)"))</f>
        <v/>
      </c>
      <c r="C1052" s="80" t="str">
        <f t="shared" si="1"/>
        <v/>
      </c>
      <c r="D1052" s="80" t="str">
        <f t="array" ref="D1052">IF(A1052="","",IF(ISLOGICAL(INDEX('Deck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52" s="80" t="str">
        <f t="shared" si="2"/>
        <v/>
      </c>
      <c r="F1052" s="80" t="str">
        <f t="array" ref="F1052">IF(A1052="","",IF(ISNUMBER(J1052),J1052,IF(ISNUMBER(INDEX('Deck 4'!$A:$Z,ROW()-1000,'List Setup'!$F$6)),INDEX('Deck 4'!$A:$Z,ROW()-1000,'List Setup'!$F$6),0)))</f>
        <v/>
      </c>
      <c r="G1052" s="80" t="str">
        <f t="array" ref="G1052">IF(A1052="","",A1052&amp;IF(N(INDEX('Deck 4'!$A:$Z,ROW()-1000,'List Setup'!$C$6))&gt;1," (x"&amp;INDEX('Deck 4'!$A:$Z,ROW()-1000,'List Setup'!$C$6)&amp;")","")&amp;IF(COUNTIF(Binders!$J$6:$J$30,TRUE())&gt;1," ["&amp;Q1052&amp;"]",""))</f>
        <v/>
      </c>
      <c r="H1052" s="80" t="str">
        <f t="array" ref="H1052">IF(A1052="","",CHAR(10)&amp;INDEX('Deck 4'!$A:$Z,ROW()-1000,'List Setup'!$E$6)&amp;CHAR(10))</f>
        <v/>
      </c>
      <c r="I1052" s="80" t="str">
        <f t="array" ref="I1052">IF(OR(B1052="",B1052="(none)"),"",IF(ISNUMBER(SEARCH(CHAR(10)&amp;B1052&amp;CHAR(10),H1052)),B1052,IFERROR(INDEX('Set Aliases'!$A$2:$A$501,MATCH(1,('Set Aliases'!$B$2:$B$501=B1052)*ISNUMBER(SEARCH(CHAR(10)&amp;'Set Aliases'!$A$2:$A$501&amp;CHAR(10),H1052)),0)),"")))</f>
        <v/>
      </c>
      <c r="J1052" s="80" t="str">
        <f t="array" ref="J1052">IF(I1052="","",IFERROR(VALUE(TRIM(MID(SUBSTITUTE(INDEX('Deck 4'!$A:$Z,ROW()-1000,'List Setup'!$G$6),CHAR(10),REPT(" ",100)),((SEARCH(CHAR(10)&amp;I1052&amp;CHAR(10),H1052)-LEN(SUBSTITUTE(LEFT(H1052,SEARCH(CHAR(10)&amp;I1052&amp;CHAR(10),H1052)),CHAR(10),"")))-1)*100+1,100))),""))</f>
        <v/>
      </c>
      <c r="K1052" s="80" t="str">
        <f t="array" ref="K1052">IF(A1052="","",IF(ISNUMBER(SEARCH("Land",LEFT(IFERROR(INDEX('Deck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52" s="80" t="str">
        <f t="shared" si="3"/>
        <v/>
      </c>
      <c r="M1052" s="80" t="str">
        <f>IF(A1052="","",IF(AND(E1052="Y",B1052='Use at Shop'!$B$4),K1052*10000000000+(MAX(0,MIN(26,CODE(MID(UPPER(A1052)&amp;"    ",1,1))-64))*19683+MAX(0,MIN(26,CODE(MID(UPPER(A1052)&amp;"    ",2,1))-64))*729+MAX(0,MIN(26,CODE(MID(UPPER(A1052)&amp;"    ",3,1))-64))*27+MAX(0,MIN(26,CODE(MID(UPPER(A1052)&amp;"    ",4,1))-64))*1)*10000+ROW(),""))</f>
        <v/>
      </c>
      <c r="N1052" s="80" t="str">
        <f t="shared" si="8"/>
        <v/>
      </c>
      <c r="O1052" s="80" t="str">
        <f t="array" ref="O1052">IF(A1052="","",IFERROR(INDEX('Deck 4'!$A:$Z,ROW()-1000,'List Setup'!$J$6)&amp;"",""))</f>
        <v/>
      </c>
      <c r="P1052" s="2"/>
      <c r="Q1052" s="80" t="str">
        <f>IF(A1052="","",'List Setup'!$A$6)</f>
        <v/>
      </c>
      <c r="R1052" s="80" t="str">
        <f t="array" ref="R1052">IF(A1052="","",IFERROR(OR(INDEX(Binders!$J$6:$J$30,MATCH(Q1052,Binders!$I$6:$I$30,0))=TRUE(),UPPER(INDEX(Binders!$J$6:$J$30,MATCH(Q1052,Binders!$I$6:$I$30,0))&amp;"")="TRUE"),FALSE()))</f>
        <v/>
      </c>
    </row>
    <row r="1053" ht="15.75" customHeight="1">
      <c r="A1053" s="80" t="str">
        <f t="array" ref="A1053">IF(INDEX('Deck 4'!$A:$Z,ROW()-1000,'List Setup'!$D$6)="","",INDEX('Deck 4'!$A:$Z,ROW()-1000,'List Setup'!$D$6))</f>
        <v/>
      </c>
      <c r="B1053" s="80" t="str">
        <f t="array" ref="B1053">IF(A1053="","",IFERROR(INDEX('Binder Setup'!$B$2:$B$401,MIN(IF(ISNUMBER(SEARCH(CHAR(10)&amp;'Binder Setup'!$B$2:$B$401&amp;CHAR(10),$H1053)),'List Setup'!$Q$2:$Q$401,999),IF(ISNUMBER(SEARCH(CHAR(10)&amp;'Set Aliases'!$A$2:$A$501&amp;CHAR(10),$H1053)),'Set Aliases'!$C$2:$C$501,999))),"(none)"))</f>
        <v/>
      </c>
      <c r="C1053" s="80" t="str">
        <f t="shared" si="1"/>
        <v/>
      </c>
      <c r="D1053" s="80" t="str">
        <f t="array" ref="D1053">IF(A1053="","",IF(ISLOGICAL(INDEX('Deck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53" s="80" t="str">
        <f t="shared" si="2"/>
        <v/>
      </c>
      <c r="F1053" s="80" t="str">
        <f t="array" ref="F1053">IF(A1053="","",IF(ISNUMBER(J1053),J1053,IF(ISNUMBER(INDEX('Deck 4'!$A:$Z,ROW()-1000,'List Setup'!$F$6)),INDEX('Deck 4'!$A:$Z,ROW()-1000,'List Setup'!$F$6),0)))</f>
        <v/>
      </c>
      <c r="G1053" s="80" t="str">
        <f t="array" ref="G1053">IF(A1053="","",A1053&amp;IF(N(INDEX('Deck 4'!$A:$Z,ROW()-1000,'List Setup'!$C$6))&gt;1," (x"&amp;INDEX('Deck 4'!$A:$Z,ROW()-1000,'List Setup'!$C$6)&amp;")","")&amp;IF(COUNTIF(Binders!$J$6:$J$30,TRUE())&gt;1," ["&amp;Q1053&amp;"]",""))</f>
        <v/>
      </c>
      <c r="H1053" s="80" t="str">
        <f t="array" ref="H1053">IF(A1053="","",CHAR(10)&amp;INDEX('Deck 4'!$A:$Z,ROW()-1000,'List Setup'!$E$6)&amp;CHAR(10))</f>
        <v/>
      </c>
      <c r="I1053" s="80" t="str">
        <f t="array" ref="I1053">IF(OR(B1053="",B1053="(none)"),"",IF(ISNUMBER(SEARCH(CHAR(10)&amp;B1053&amp;CHAR(10),H1053)),B1053,IFERROR(INDEX('Set Aliases'!$A$2:$A$501,MATCH(1,('Set Aliases'!$B$2:$B$501=B1053)*ISNUMBER(SEARCH(CHAR(10)&amp;'Set Aliases'!$A$2:$A$501&amp;CHAR(10),H1053)),0)),"")))</f>
        <v/>
      </c>
      <c r="J1053" s="80" t="str">
        <f t="array" ref="J1053">IF(I1053="","",IFERROR(VALUE(TRIM(MID(SUBSTITUTE(INDEX('Deck 4'!$A:$Z,ROW()-1000,'List Setup'!$G$6),CHAR(10),REPT(" ",100)),((SEARCH(CHAR(10)&amp;I1053&amp;CHAR(10),H1053)-LEN(SUBSTITUTE(LEFT(H1053,SEARCH(CHAR(10)&amp;I1053&amp;CHAR(10),H1053)),CHAR(10),"")))-1)*100+1,100))),""))</f>
        <v/>
      </c>
      <c r="K1053" s="80" t="str">
        <f t="array" ref="K1053">IF(A1053="","",IF(ISNUMBER(SEARCH("Land",LEFT(IFERROR(INDEX('Deck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53" s="80" t="str">
        <f t="shared" si="3"/>
        <v/>
      </c>
      <c r="M1053" s="80" t="str">
        <f>IF(A1053="","",IF(AND(E1053="Y",B1053='Use at Shop'!$B$4),K1053*10000000000+(MAX(0,MIN(26,CODE(MID(UPPER(A1053)&amp;"    ",1,1))-64))*19683+MAX(0,MIN(26,CODE(MID(UPPER(A1053)&amp;"    ",2,1))-64))*729+MAX(0,MIN(26,CODE(MID(UPPER(A1053)&amp;"    ",3,1))-64))*27+MAX(0,MIN(26,CODE(MID(UPPER(A1053)&amp;"    ",4,1))-64))*1)*10000+ROW(),""))</f>
        <v/>
      </c>
      <c r="N1053" s="80" t="str">
        <f t="shared" si="8"/>
        <v/>
      </c>
      <c r="O1053" s="80" t="str">
        <f t="array" ref="O1053">IF(A1053="","",IFERROR(INDEX('Deck 4'!$A:$Z,ROW()-1000,'List Setup'!$J$6)&amp;"",""))</f>
        <v/>
      </c>
      <c r="P1053" s="2"/>
      <c r="Q1053" s="80" t="str">
        <f>IF(A1053="","",'List Setup'!$A$6)</f>
        <v/>
      </c>
      <c r="R1053" s="80" t="str">
        <f t="array" ref="R1053">IF(A1053="","",IFERROR(OR(INDEX(Binders!$J$6:$J$30,MATCH(Q1053,Binders!$I$6:$I$30,0))=TRUE(),UPPER(INDEX(Binders!$J$6:$J$30,MATCH(Q1053,Binders!$I$6:$I$30,0))&amp;"")="TRUE"),FALSE()))</f>
        <v/>
      </c>
    </row>
    <row r="1054" ht="15.75" customHeight="1">
      <c r="A1054" s="80" t="str">
        <f t="array" ref="A1054">IF(INDEX('Deck 4'!$A:$Z,ROW()-1000,'List Setup'!$D$6)="","",INDEX('Deck 4'!$A:$Z,ROW()-1000,'List Setup'!$D$6))</f>
        <v/>
      </c>
      <c r="B1054" s="80" t="str">
        <f t="array" ref="B1054">IF(A1054="","",IFERROR(INDEX('Binder Setup'!$B$2:$B$401,MIN(IF(ISNUMBER(SEARCH(CHAR(10)&amp;'Binder Setup'!$B$2:$B$401&amp;CHAR(10),$H1054)),'List Setup'!$Q$2:$Q$401,999),IF(ISNUMBER(SEARCH(CHAR(10)&amp;'Set Aliases'!$A$2:$A$501&amp;CHAR(10),$H1054)),'Set Aliases'!$C$2:$C$501,999))),"(none)"))</f>
        <v/>
      </c>
      <c r="C1054" s="80" t="str">
        <f t="shared" si="1"/>
        <v/>
      </c>
      <c r="D1054" s="80" t="str">
        <f t="array" ref="D1054">IF(A1054="","",IF(ISLOGICAL(INDEX('Deck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54" s="80" t="str">
        <f t="shared" si="2"/>
        <v/>
      </c>
      <c r="F1054" s="80" t="str">
        <f t="array" ref="F1054">IF(A1054="","",IF(ISNUMBER(J1054),J1054,IF(ISNUMBER(INDEX('Deck 4'!$A:$Z,ROW()-1000,'List Setup'!$F$6)),INDEX('Deck 4'!$A:$Z,ROW()-1000,'List Setup'!$F$6),0)))</f>
        <v/>
      </c>
      <c r="G1054" s="80" t="str">
        <f t="array" ref="G1054">IF(A1054="","",A1054&amp;IF(N(INDEX('Deck 4'!$A:$Z,ROW()-1000,'List Setup'!$C$6))&gt;1," (x"&amp;INDEX('Deck 4'!$A:$Z,ROW()-1000,'List Setup'!$C$6)&amp;")","")&amp;IF(COUNTIF(Binders!$J$6:$J$30,TRUE())&gt;1," ["&amp;Q1054&amp;"]",""))</f>
        <v/>
      </c>
      <c r="H1054" s="80" t="str">
        <f t="array" ref="H1054">IF(A1054="","",CHAR(10)&amp;INDEX('Deck 4'!$A:$Z,ROW()-1000,'List Setup'!$E$6)&amp;CHAR(10))</f>
        <v/>
      </c>
      <c r="I1054" s="80" t="str">
        <f t="array" ref="I1054">IF(OR(B1054="",B1054="(none)"),"",IF(ISNUMBER(SEARCH(CHAR(10)&amp;B1054&amp;CHAR(10),H1054)),B1054,IFERROR(INDEX('Set Aliases'!$A$2:$A$501,MATCH(1,('Set Aliases'!$B$2:$B$501=B1054)*ISNUMBER(SEARCH(CHAR(10)&amp;'Set Aliases'!$A$2:$A$501&amp;CHAR(10),H1054)),0)),"")))</f>
        <v/>
      </c>
      <c r="J1054" s="80" t="str">
        <f t="array" ref="J1054">IF(I1054="","",IFERROR(VALUE(TRIM(MID(SUBSTITUTE(INDEX('Deck 4'!$A:$Z,ROW()-1000,'List Setup'!$G$6),CHAR(10),REPT(" ",100)),((SEARCH(CHAR(10)&amp;I1054&amp;CHAR(10),H1054)-LEN(SUBSTITUTE(LEFT(H1054,SEARCH(CHAR(10)&amp;I1054&amp;CHAR(10),H1054)),CHAR(10),"")))-1)*100+1,100))),""))</f>
        <v/>
      </c>
      <c r="K1054" s="80" t="str">
        <f t="array" ref="K1054">IF(A1054="","",IF(ISNUMBER(SEARCH("Land",LEFT(IFERROR(INDEX('Deck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54" s="80" t="str">
        <f t="shared" si="3"/>
        <v/>
      </c>
      <c r="M1054" s="80" t="str">
        <f>IF(A1054="","",IF(AND(E1054="Y",B1054='Use at Shop'!$B$4),K1054*10000000000+(MAX(0,MIN(26,CODE(MID(UPPER(A1054)&amp;"    ",1,1))-64))*19683+MAX(0,MIN(26,CODE(MID(UPPER(A1054)&amp;"    ",2,1))-64))*729+MAX(0,MIN(26,CODE(MID(UPPER(A1054)&amp;"    ",3,1))-64))*27+MAX(0,MIN(26,CODE(MID(UPPER(A1054)&amp;"    ",4,1))-64))*1)*10000+ROW(),""))</f>
        <v/>
      </c>
      <c r="N1054" s="80" t="str">
        <f t="shared" si="8"/>
        <v/>
      </c>
      <c r="O1054" s="80" t="str">
        <f t="array" ref="O1054">IF(A1054="","",IFERROR(INDEX('Deck 4'!$A:$Z,ROW()-1000,'List Setup'!$J$6)&amp;"",""))</f>
        <v/>
      </c>
      <c r="P1054" s="2"/>
      <c r="Q1054" s="80" t="str">
        <f>IF(A1054="","",'List Setup'!$A$6)</f>
        <v/>
      </c>
      <c r="R1054" s="80" t="str">
        <f t="array" ref="R1054">IF(A1054="","",IFERROR(OR(INDEX(Binders!$J$6:$J$30,MATCH(Q1054,Binders!$I$6:$I$30,0))=TRUE(),UPPER(INDEX(Binders!$J$6:$J$30,MATCH(Q1054,Binders!$I$6:$I$30,0))&amp;"")="TRUE"),FALSE()))</f>
        <v/>
      </c>
    </row>
    <row r="1055" ht="15.75" customHeight="1">
      <c r="A1055" s="80" t="str">
        <f t="array" ref="A1055">IF(INDEX('Deck 4'!$A:$Z,ROW()-1000,'List Setup'!$D$6)="","",INDEX('Deck 4'!$A:$Z,ROW()-1000,'List Setup'!$D$6))</f>
        <v/>
      </c>
      <c r="B1055" s="80" t="str">
        <f t="array" ref="B1055">IF(A1055="","",IFERROR(INDEX('Binder Setup'!$B$2:$B$401,MIN(IF(ISNUMBER(SEARCH(CHAR(10)&amp;'Binder Setup'!$B$2:$B$401&amp;CHAR(10),$H1055)),'List Setup'!$Q$2:$Q$401,999),IF(ISNUMBER(SEARCH(CHAR(10)&amp;'Set Aliases'!$A$2:$A$501&amp;CHAR(10),$H1055)),'Set Aliases'!$C$2:$C$501,999))),"(none)"))</f>
        <v/>
      </c>
      <c r="C1055" s="80" t="str">
        <f t="shared" si="1"/>
        <v/>
      </c>
      <c r="D1055" s="80" t="str">
        <f t="array" ref="D1055">IF(A1055="","",IF(ISLOGICAL(INDEX('Deck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55" s="80" t="str">
        <f t="shared" si="2"/>
        <v/>
      </c>
      <c r="F1055" s="80" t="str">
        <f t="array" ref="F1055">IF(A1055="","",IF(ISNUMBER(J1055),J1055,IF(ISNUMBER(INDEX('Deck 4'!$A:$Z,ROW()-1000,'List Setup'!$F$6)),INDEX('Deck 4'!$A:$Z,ROW()-1000,'List Setup'!$F$6),0)))</f>
        <v/>
      </c>
      <c r="G1055" s="80" t="str">
        <f t="array" ref="G1055">IF(A1055="","",A1055&amp;IF(N(INDEX('Deck 4'!$A:$Z,ROW()-1000,'List Setup'!$C$6))&gt;1," (x"&amp;INDEX('Deck 4'!$A:$Z,ROW()-1000,'List Setup'!$C$6)&amp;")","")&amp;IF(COUNTIF(Binders!$J$6:$J$30,TRUE())&gt;1," ["&amp;Q1055&amp;"]",""))</f>
        <v/>
      </c>
      <c r="H1055" s="80" t="str">
        <f t="array" ref="H1055">IF(A1055="","",CHAR(10)&amp;INDEX('Deck 4'!$A:$Z,ROW()-1000,'List Setup'!$E$6)&amp;CHAR(10))</f>
        <v/>
      </c>
      <c r="I1055" s="80" t="str">
        <f t="array" ref="I1055">IF(OR(B1055="",B1055="(none)"),"",IF(ISNUMBER(SEARCH(CHAR(10)&amp;B1055&amp;CHAR(10),H1055)),B1055,IFERROR(INDEX('Set Aliases'!$A$2:$A$501,MATCH(1,('Set Aliases'!$B$2:$B$501=B1055)*ISNUMBER(SEARCH(CHAR(10)&amp;'Set Aliases'!$A$2:$A$501&amp;CHAR(10),H1055)),0)),"")))</f>
        <v/>
      </c>
      <c r="J1055" s="80" t="str">
        <f t="array" ref="J1055">IF(I1055="","",IFERROR(VALUE(TRIM(MID(SUBSTITUTE(INDEX('Deck 4'!$A:$Z,ROW()-1000,'List Setup'!$G$6),CHAR(10),REPT(" ",100)),((SEARCH(CHAR(10)&amp;I1055&amp;CHAR(10),H1055)-LEN(SUBSTITUTE(LEFT(H1055,SEARCH(CHAR(10)&amp;I1055&amp;CHAR(10),H1055)),CHAR(10),"")))-1)*100+1,100))),""))</f>
        <v/>
      </c>
      <c r="K1055" s="80" t="str">
        <f t="array" ref="K1055">IF(A1055="","",IF(ISNUMBER(SEARCH("Land",LEFT(IFERROR(INDEX('Deck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55" s="80" t="str">
        <f t="shared" si="3"/>
        <v/>
      </c>
      <c r="M1055" s="80" t="str">
        <f>IF(A1055="","",IF(AND(E1055="Y",B1055='Use at Shop'!$B$4),K1055*10000000000+(MAX(0,MIN(26,CODE(MID(UPPER(A1055)&amp;"    ",1,1))-64))*19683+MAX(0,MIN(26,CODE(MID(UPPER(A1055)&amp;"    ",2,1))-64))*729+MAX(0,MIN(26,CODE(MID(UPPER(A1055)&amp;"    ",3,1))-64))*27+MAX(0,MIN(26,CODE(MID(UPPER(A1055)&amp;"    ",4,1))-64))*1)*10000+ROW(),""))</f>
        <v/>
      </c>
      <c r="N1055" s="80" t="str">
        <f t="shared" si="8"/>
        <v/>
      </c>
      <c r="O1055" s="80" t="str">
        <f t="array" ref="O1055">IF(A1055="","",IFERROR(INDEX('Deck 4'!$A:$Z,ROW()-1000,'List Setup'!$J$6)&amp;"",""))</f>
        <v/>
      </c>
      <c r="P1055" s="2"/>
      <c r="Q1055" s="80" t="str">
        <f>IF(A1055="","",'List Setup'!$A$6)</f>
        <v/>
      </c>
      <c r="R1055" s="80" t="str">
        <f t="array" ref="R1055">IF(A1055="","",IFERROR(OR(INDEX(Binders!$J$6:$J$30,MATCH(Q1055,Binders!$I$6:$I$30,0))=TRUE(),UPPER(INDEX(Binders!$J$6:$J$30,MATCH(Q1055,Binders!$I$6:$I$30,0))&amp;"")="TRUE"),FALSE()))</f>
        <v/>
      </c>
    </row>
    <row r="1056" ht="15.75" customHeight="1">
      <c r="A1056" s="80" t="str">
        <f t="array" ref="A1056">IF(INDEX('Deck 4'!$A:$Z,ROW()-1000,'List Setup'!$D$6)="","",INDEX('Deck 4'!$A:$Z,ROW()-1000,'List Setup'!$D$6))</f>
        <v/>
      </c>
      <c r="B1056" s="80" t="str">
        <f t="array" ref="B1056">IF(A1056="","",IFERROR(INDEX('Binder Setup'!$B$2:$B$401,MIN(IF(ISNUMBER(SEARCH(CHAR(10)&amp;'Binder Setup'!$B$2:$B$401&amp;CHAR(10),$H1056)),'List Setup'!$Q$2:$Q$401,999),IF(ISNUMBER(SEARCH(CHAR(10)&amp;'Set Aliases'!$A$2:$A$501&amp;CHAR(10),$H1056)),'Set Aliases'!$C$2:$C$501,999))),"(none)"))</f>
        <v/>
      </c>
      <c r="C1056" s="80" t="str">
        <f t="shared" si="1"/>
        <v/>
      </c>
      <c r="D1056" s="80" t="str">
        <f t="array" ref="D1056">IF(A1056="","",IF(ISLOGICAL(INDEX('Deck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56" s="80" t="str">
        <f t="shared" si="2"/>
        <v/>
      </c>
      <c r="F1056" s="80" t="str">
        <f t="array" ref="F1056">IF(A1056="","",IF(ISNUMBER(J1056),J1056,IF(ISNUMBER(INDEX('Deck 4'!$A:$Z,ROW()-1000,'List Setup'!$F$6)),INDEX('Deck 4'!$A:$Z,ROW()-1000,'List Setup'!$F$6),0)))</f>
        <v/>
      </c>
      <c r="G1056" s="80" t="str">
        <f t="array" ref="G1056">IF(A1056="","",A1056&amp;IF(N(INDEX('Deck 4'!$A:$Z,ROW()-1000,'List Setup'!$C$6))&gt;1," (x"&amp;INDEX('Deck 4'!$A:$Z,ROW()-1000,'List Setup'!$C$6)&amp;")","")&amp;IF(COUNTIF(Binders!$J$6:$J$30,TRUE())&gt;1," ["&amp;Q1056&amp;"]",""))</f>
        <v/>
      </c>
      <c r="H1056" s="80" t="str">
        <f t="array" ref="H1056">IF(A1056="","",CHAR(10)&amp;INDEX('Deck 4'!$A:$Z,ROW()-1000,'List Setup'!$E$6)&amp;CHAR(10))</f>
        <v/>
      </c>
      <c r="I1056" s="80" t="str">
        <f t="array" ref="I1056">IF(OR(B1056="",B1056="(none)"),"",IF(ISNUMBER(SEARCH(CHAR(10)&amp;B1056&amp;CHAR(10),H1056)),B1056,IFERROR(INDEX('Set Aliases'!$A$2:$A$501,MATCH(1,('Set Aliases'!$B$2:$B$501=B1056)*ISNUMBER(SEARCH(CHAR(10)&amp;'Set Aliases'!$A$2:$A$501&amp;CHAR(10),H1056)),0)),"")))</f>
        <v/>
      </c>
      <c r="J1056" s="80" t="str">
        <f t="array" ref="J1056">IF(I1056="","",IFERROR(VALUE(TRIM(MID(SUBSTITUTE(INDEX('Deck 4'!$A:$Z,ROW()-1000,'List Setup'!$G$6),CHAR(10),REPT(" ",100)),((SEARCH(CHAR(10)&amp;I1056&amp;CHAR(10),H1056)-LEN(SUBSTITUTE(LEFT(H1056,SEARCH(CHAR(10)&amp;I1056&amp;CHAR(10),H1056)),CHAR(10),"")))-1)*100+1,100))),""))</f>
        <v/>
      </c>
      <c r="K1056" s="80" t="str">
        <f t="array" ref="K1056">IF(A1056="","",IF(ISNUMBER(SEARCH("Land",LEFT(IFERROR(INDEX('Deck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56" s="80" t="str">
        <f t="shared" si="3"/>
        <v/>
      </c>
      <c r="M1056" s="80" t="str">
        <f>IF(A1056="","",IF(AND(E1056="Y",B1056='Use at Shop'!$B$4),K1056*10000000000+(MAX(0,MIN(26,CODE(MID(UPPER(A1056)&amp;"    ",1,1))-64))*19683+MAX(0,MIN(26,CODE(MID(UPPER(A1056)&amp;"    ",2,1))-64))*729+MAX(0,MIN(26,CODE(MID(UPPER(A1056)&amp;"    ",3,1))-64))*27+MAX(0,MIN(26,CODE(MID(UPPER(A1056)&amp;"    ",4,1))-64))*1)*10000+ROW(),""))</f>
        <v/>
      </c>
      <c r="N1056" s="80" t="str">
        <f t="shared" si="8"/>
        <v/>
      </c>
      <c r="O1056" s="80" t="str">
        <f t="array" ref="O1056">IF(A1056="","",IFERROR(INDEX('Deck 4'!$A:$Z,ROW()-1000,'List Setup'!$J$6)&amp;"",""))</f>
        <v/>
      </c>
      <c r="P1056" s="2"/>
      <c r="Q1056" s="80" t="str">
        <f>IF(A1056="","",'List Setup'!$A$6)</f>
        <v/>
      </c>
      <c r="R1056" s="80" t="str">
        <f t="array" ref="R1056">IF(A1056="","",IFERROR(OR(INDEX(Binders!$J$6:$J$30,MATCH(Q1056,Binders!$I$6:$I$30,0))=TRUE(),UPPER(INDEX(Binders!$J$6:$J$30,MATCH(Q1056,Binders!$I$6:$I$30,0))&amp;"")="TRUE"),FALSE()))</f>
        <v/>
      </c>
    </row>
    <row r="1057" ht="15.75" customHeight="1">
      <c r="A1057" s="80" t="str">
        <f t="array" ref="A1057">IF(INDEX('Deck 4'!$A:$Z,ROW()-1000,'List Setup'!$D$6)="","",INDEX('Deck 4'!$A:$Z,ROW()-1000,'List Setup'!$D$6))</f>
        <v/>
      </c>
      <c r="B1057" s="80" t="str">
        <f t="array" ref="B1057">IF(A1057="","",IFERROR(INDEX('Binder Setup'!$B$2:$B$401,MIN(IF(ISNUMBER(SEARCH(CHAR(10)&amp;'Binder Setup'!$B$2:$B$401&amp;CHAR(10),$H1057)),'List Setup'!$Q$2:$Q$401,999),IF(ISNUMBER(SEARCH(CHAR(10)&amp;'Set Aliases'!$A$2:$A$501&amp;CHAR(10),$H1057)),'Set Aliases'!$C$2:$C$501,999))),"(none)"))</f>
        <v/>
      </c>
      <c r="C1057" s="80" t="str">
        <f t="shared" si="1"/>
        <v/>
      </c>
      <c r="D1057" s="80" t="str">
        <f t="array" ref="D1057">IF(A1057="","",IF(ISLOGICAL(INDEX('Deck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57" s="80" t="str">
        <f t="shared" si="2"/>
        <v/>
      </c>
      <c r="F1057" s="80" t="str">
        <f t="array" ref="F1057">IF(A1057="","",IF(ISNUMBER(J1057),J1057,IF(ISNUMBER(INDEX('Deck 4'!$A:$Z,ROW()-1000,'List Setup'!$F$6)),INDEX('Deck 4'!$A:$Z,ROW()-1000,'List Setup'!$F$6),0)))</f>
        <v/>
      </c>
      <c r="G1057" s="80" t="str">
        <f t="array" ref="G1057">IF(A1057="","",A1057&amp;IF(N(INDEX('Deck 4'!$A:$Z,ROW()-1000,'List Setup'!$C$6))&gt;1," (x"&amp;INDEX('Deck 4'!$A:$Z,ROW()-1000,'List Setup'!$C$6)&amp;")","")&amp;IF(COUNTIF(Binders!$J$6:$J$30,TRUE())&gt;1," ["&amp;Q1057&amp;"]",""))</f>
        <v/>
      </c>
      <c r="H1057" s="80" t="str">
        <f t="array" ref="H1057">IF(A1057="","",CHAR(10)&amp;INDEX('Deck 4'!$A:$Z,ROW()-1000,'List Setup'!$E$6)&amp;CHAR(10))</f>
        <v/>
      </c>
      <c r="I1057" s="80" t="str">
        <f t="array" ref="I1057">IF(OR(B1057="",B1057="(none)"),"",IF(ISNUMBER(SEARCH(CHAR(10)&amp;B1057&amp;CHAR(10),H1057)),B1057,IFERROR(INDEX('Set Aliases'!$A$2:$A$501,MATCH(1,('Set Aliases'!$B$2:$B$501=B1057)*ISNUMBER(SEARCH(CHAR(10)&amp;'Set Aliases'!$A$2:$A$501&amp;CHAR(10),H1057)),0)),"")))</f>
        <v/>
      </c>
      <c r="J1057" s="80" t="str">
        <f t="array" ref="J1057">IF(I1057="","",IFERROR(VALUE(TRIM(MID(SUBSTITUTE(INDEX('Deck 4'!$A:$Z,ROW()-1000,'List Setup'!$G$6),CHAR(10),REPT(" ",100)),((SEARCH(CHAR(10)&amp;I1057&amp;CHAR(10),H1057)-LEN(SUBSTITUTE(LEFT(H1057,SEARCH(CHAR(10)&amp;I1057&amp;CHAR(10),H1057)),CHAR(10),"")))-1)*100+1,100))),""))</f>
        <v/>
      </c>
      <c r="K1057" s="80" t="str">
        <f t="array" ref="K1057">IF(A1057="","",IF(ISNUMBER(SEARCH("Land",LEFT(IFERROR(INDEX('Deck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57" s="80" t="str">
        <f t="shared" si="3"/>
        <v/>
      </c>
      <c r="M1057" s="80" t="str">
        <f>IF(A1057="","",IF(AND(E1057="Y",B1057='Use at Shop'!$B$4),K1057*10000000000+(MAX(0,MIN(26,CODE(MID(UPPER(A1057)&amp;"    ",1,1))-64))*19683+MAX(0,MIN(26,CODE(MID(UPPER(A1057)&amp;"    ",2,1))-64))*729+MAX(0,MIN(26,CODE(MID(UPPER(A1057)&amp;"    ",3,1))-64))*27+MAX(0,MIN(26,CODE(MID(UPPER(A1057)&amp;"    ",4,1))-64))*1)*10000+ROW(),""))</f>
        <v/>
      </c>
      <c r="N1057" s="80" t="str">
        <f t="shared" si="8"/>
        <v/>
      </c>
      <c r="O1057" s="80" t="str">
        <f t="array" ref="O1057">IF(A1057="","",IFERROR(INDEX('Deck 4'!$A:$Z,ROW()-1000,'List Setup'!$J$6)&amp;"",""))</f>
        <v/>
      </c>
      <c r="P1057" s="2"/>
      <c r="Q1057" s="80" t="str">
        <f>IF(A1057="","",'List Setup'!$A$6)</f>
        <v/>
      </c>
      <c r="R1057" s="80" t="str">
        <f t="array" ref="R1057">IF(A1057="","",IFERROR(OR(INDEX(Binders!$J$6:$J$30,MATCH(Q1057,Binders!$I$6:$I$30,0))=TRUE(),UPPER(INDEX(Binders!$J$6:$J$30,MATCH(Q1057,Binders!$I$6:$I$30,0))&amp;"")="TRUE"),FALSE()))</f>
        <v/>
      </c>
    </row>
    <row r="1058" ht="15.75" customHeight="1">
      <c r="A1058" s="80" t="str">
        <f t="array" ref="A1058">IF(INDEX('Deck 4'!$A:$Z,ROW()-1000,'List Setup'!$D$6)="","",INDEX('Deck 4'!$A:$Z,ROW()-1000,'List Setup'!$D$6))</f>
        <v/>
      </c>
      <c r="B1058" s="80" t="str">
        <f t="array" ref="B1058">IF(A1058="","",IFERROR(INDEX('Binder Setup'!$B$2:$B$401,MIN(IF(ISNUMBER(SEARCH(CHAR(10)&amp;'Binder Setup'!$B$2:$B$401&amp;CHAR(10),$H1058)),'List Setup'!$Q$2:$Q$401,999),IF(ISNUMBER(SEARCH(CHAR(10)&amp;'Set Aliases'!$A$2:$A$501&amp;CHAR(10),$H1058)),'Set Aliases'!$C$2:$C$501,999))),"(none)"))</f>
        <v/>
      </c>
      <c r="C1058" s="80" t="str">
        <f t="shared" si="1"/>
        <v/>
      </c>
      <c r="D1058" s="80" t="str">
        <f t="array" ref="D1058">IF(A1058="","",IF(ISLOGICAL(INDEX('Deck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58" s="80" t="str">
        <f t="shared" si="2"/>
        <v/>
      </c>
      <c r="F1058" s="80" t="str">
        <f t="array" ref="F1058">IF(A1058="","",IF(ISNUMBER(J1058),J1058,IF(ISNUMBER(INDEX('Deck 4'!$A:$Z,ROW()-1000,'List Setup'!$F$6)),INDEX('Deck 4'!$A:$Z,ROW()-1000,'List Setup'!$F$6),0)))</f>
        <v/>
      </c>
      <c r="G1058" s="80" t="str">
        <f t="array" ref="G1058">IF(A1058="","",A1058&amp;IF(N(INDEX('Deck 4'!$A:$Z,ROW()-1000,'List Setup'!$C$6))&gt;1," (x"&amp;INDEX('Deck 4'!$A:$Z,ROW()-1000,'List Setup'!$C$6)&amp;")","")&amp;IF(COUNTIF(Binders!$J$6:$J$30,TRUE())&gt;1," ["&amp;Q1058&amp;"]",""))</f>
        <v/>
      </c>
      <c r="H1058" s="80" t="str">
        <f t="array" ref="H1058">IF(A1058="","",CHAR(10)&amp;INDEX('Deck 4'!$A:$Z,ROW()-1000,'List Setup'!$E$6)&amp;CHAR(10))</f>
        <v/>
      </c>
      <c r="I1058" s="80" t="str">
        <f t="array" ref="I1058">IF(OR(B1058="",B1058="(none)"),"",IF(ISNUMBER(SEARCH(CHAR(10)&amp;B1058&amp;CHAR(10),H1058)),B1058,IFERROR(INDEX('Set Aliases'!$A$2:$A$501,MATCH(1,('Set Aliases'!$B$2:$B$501=B1058)*ISNUMBER(SEARCH(CHAR(10)&amp;'Set Aliases'!$A$2:$A$501&amp;CHAR(10),H1058)),0)),"")))</f>
        <v/>
      </c>
      <c r="J1058" s="80" t="str">
        <f t="array" ref="J1058">IF(I1058="","",IFERROR(VALUE(TRIM(MID(SUBSTITUTE(INDEX('Deck 4'!$A:$Z,ROW()-1000,'List Setup'!$G$6),CHAR(10),REPT(" ",100)),((SEARCH(CHAR(10)&amp;I1058&amp;CHAR(10),H1058)-LEN(SUBSTITUTE(LEFT(H1058,SEARCH(CHAR(10)&amp;I1058&amp;CHAR(10),H1058)),CHAR(10),"")))-1)*100+1,100))),""))</f>
        <v/>
      </c>
      <c r="K1058" s="80" t="str">
        <f t="array" ref="K1058">IF(A1058="","",IF(ISNUMBER(SEARCH("Land",LEFT(IFERROR(INDEX('Deck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58" s="80" t="str">
        <f t="shared" si="3"/>
        <v/>
      </c>
      <c r="M1058" s="80" t="str">
        <f>IF(A1058="","",IF(AND(E1058="Y",B1058='Use at Shop'!$B$4),K1058*10000000000+(MAX(0,MIN(26,CODE(MID(UPPER(A1058)&amp;"    ",1,1))-64))*19683+MAX(0,MIN(26,CODE(MID(UPPER(A1058)&amp;"    ",2,1))-64))*729+MAX(0,MIN(26,CODE(MID(UPPER(A1058)&amp;"    ",3,1))-64))*27+MAX(0,MIN(26,CODE(MID(UPPER(A1058)&amp;"    ",4,1))-64))*1)*10000+ROW(),""))</f>
        <v/>
      </c>
      <c r="N1058" s="80" t="str">
        <f t="shared" si="8"/>
        <v/>
      </c>
      <c r="O1058" s="80" t="str">
        <f t="array" ref="O1058">IF(A1058="","",IFERROR(INDEX('Deck 4'!$A:$Z,ROW()-1000,'List Setup'!$J$6)&amp;"",""))</f>
        <v/>
      </c>
      <c r="P1058" s="2"/>
      <c r="Q1058" s="80" t="str">
        <f>IF(A1058="","",'List Setup'!$A$6)</f>
        <v/>
      </c>
      <c r="R1058" s="80" t="str">
        <f t="array" ref="R1058">IF(A1058="","",IFERROR(OR(INDEX(Binders!$J$6:$J$30,MATCH(Q1058,Binders!$I$6:$I$30,0))=TRUE(),UPPER(INDEX(Binders!$J$6:$J$30,MATCH(Q1058,Binders!$I$6:$I$30,0))&amp;"")="TRUE"),FALSE()))</f>
        <v/>
      </c>
    </row>
    <row r="1059" ht="15.75" customHeight="1">
      <c r="A1059" s="80" t="str">
        <f t="array" ref="A1059">IF(INDEX('Deck 4'!$A:$Z,ROW()-1000,'List Setup'!$D$6)="","",INDEX('Deck 4'!$A:$Z,ROW()-1000,'List Setup'!$D$6))</f>
        <v/>
      </c>
      <c r="B1059" s="80" t="str">
        <f t="array" ref="B1059">IF(A1059="","",IFERROR(INDEX('Binder Setup'!$B$2:$B$401,MIN(IF(ISNUMBER(SEARCH(CHAR(10)&amp;'Binder Setup'!$B$2:$B$401&amp;CHAR(10),$H1059)),'List Setup'!$Q$2:$Q$401,999),IF(ISNUMBER(SEARCH(CHAR(10)&amp;'Set Aliases'!$A$2:$A$501&amp;CHAR(10),$H1059)),'Set Aliases'!$C$2:$C$501,999))),"(none)"))</f>
        <v/>
      </c>
      <c r="C1059" s="80" t="str">
        <f t="shared" si="1"/>
        <v/>
      </c>
      <c r="D1059" s="80" t="str">
        <f t="array" ref="D1059">IF(A1059="","",IF(ISLOGICAL(INDEX('Deck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59" s="80" t="str">
        <f t="shared" si="2"/>
        <v/>
      </c>
      <c r="F1059" s="80" t="str">
        <f t="array" ref="F1059">IF(A1059="","",IF(ISNUMBER(J1059),J1059,IF(ISNUMBER(INDEX('Deck 4'!$A:$Z,ROW()-1000,'List Setup'!$F$6)),INDEX('Deck 4'!$A:$Z,ROW()-1000,'List Setup'!$F$6),0)))</f>
        <v/>
      </c>
      <c r="G1059" s="80" t="str">
        <f t="array" ref="G1059">IF(A1059="","",A1059&amp;IF(N(INDEX('Deck 4'!$A:$Z,ROW()-1000,'List Setup'!$C$6))&gt;1," (x"&amp;INDEX('Deck 4'!$A:$Z,ROW()-1000,'List Setup'!$C$6)&amp;")","")&amp;IF(COUNTIF(Binders!$J$6:$J$30,TRUE())&gt;1," ["&amp;Q1059&amp;"]",""))</f>
        <v/>
      </c>
      <c r="H1059" s="80" t="str">
        <f t="array" ref="H1059">IF(A1059="","",CHAR(10)&amp;INDEX('Deck 4'!$A:$Z,ROW()-1000,'List Setup'!$E$6)&amp;CHAR(10))</f>
        <v/>
      </c>
      <c r="I1059" s="80" t="str">
        <f t="array" ref="I1059">IF(OR(B1059="",B1059="(none)"),"",IF(ISNUMBER(SEARCH(CHAR(10)&amp;B1059&amp;CHAR(10),H1059)),B1059,IFERROR(INDEX('Set Aliases'!$A$2:$A$501,MATCH(1,('Set Aliases'!$B$2:$B$501=B1059)*ISNUMBER(SEARCH(CHAR(10)&amp;'Set Aliases'!$A$2:$A$501&amp;CHAR(10),H1059)),0)),"")))</f>
        <v/>
      </c>
      <c r="J1059" s="80" t="str">
        <f t="array" ref="J1059">IF(I1059="","",IFERROR(VALUE(TRIM(MID(SUBSTITUTE(INDEX('Deck 4'!$A:$Z,ROW()-1000,'List Setup'!$G$6),CHAR(10),REPT(" ",100)),((SEARCH(CHAR(10)&amp;I1059&amp;CHAR(10),H1059)-LEN(SUBSTITUTE(LEFT(H1059,SEARCH(CHAR(10)&amp;I1059&amp;CHAR(10),H1059)),CHAR(10),"")))-1)*100+1,100))),""))</f>
        <v/>
      </c>
      <c r="K1059" s="80" t="str">
        <f t="array" ref="K1059">IF(A1059="","",IF(ISNUMBER(SEARCH("Land",LEFT(IFERROR(INDEX('Deck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59" s="80" t="str">
        <f t="shared" si="3"/>
        <v/>
      </c>
      <c r="M1059" s="80" t="str">
        <f>IF(A1059="","",IF(AND(E1059="Y",B1059='Use at Shop'!$B$4),K1059*10000000000+(MAX(0,MIN(26,CODE(MID(UPPER(A1059)&amp;"    ",1,1))-64))*19683+MAX(0,MIN(26,CODE(MID(UPPER(A1059)&amp;"    ",2,1))-64))*729+MAX(0,MIN(26,CODE(MID(UPPER(A1059)&amp;"    ",3,1))-64))*27+MAX(0,MIN(26,CODE(MID(UPPER(A1059)&amp;"    ",4,1))-64))*1)*10000+ROW(),""))</f>
        <v/>
      </c>
      <c r="N1059" s="80" t="str">
        <f t="shared" si="8"/>
        <v/>
      </c>
      <c r="O1059" s="80" t="str">
        <f t="array" ref="O1059">IF(A1059="","",IFERROR(INDEX('Deck 4'!$A:$Z,ROW()-1000,'List Setup'!$J$6)&amp;"",""))</f>
        <v/>
      </c>
      <c r="P1059" s="2"/>
      <c r="Q1059" s="80" t="str">
        <f>IF(A1059="","",'List Setup'!$A$6)</f>
        <v/>
      </c>
      <c r="R1059" s="80" t="str">
        <f t="array" ref="R1059">IF(A1059="","",IFERROR(OR(INDEX(Binders!$J$6:$J$30,MATCH(Q1059,Binders!$I$6:$I$30,0))=TRUE(),UPPER(INDEX(Binders!$J$6:$J$30,MATCH(Q1059,Binders!$I$6:$I$30,0))&amp;"")="TRUE"),FALSE()))</f>
        <v/>
      </c>
    </row>
    <row r="1060" ht="15.75" customHeight="1">
      <c r="A1060" s="80" t="str">
        <f t="array" ref="A1060">IF(INDEX('Deck 4'!$A:$Z,ROW()-1000,'List Setup'!$D$6)="","",INDEX('Deck 4'!$A:$Z,ROW()-1000,'List Setup'!$D$6))</f>
        <v/>
      </c>
      <c r="B1060" s="80" t="str">
        <f t="array" ref="B1060">IF(A1060="","",IFERROR(INDEX('Binder Setup'!$B$2:$B$401,MIN(IF(ISNUMBER(SEARCH(CHAR(10)&amp;'Binder Setup'!$B$2:$B$401&amp;CHAR(10),$H1060)),'List Setup'!$Q$2:$Q$401,999),IF(ISNUMBER(SEARCH(CHAR(10)&amp;'Set Aliases'!$A$2:$A$501&amp;CHAR(10),$H1060)),'Set Aliases'!$C$2:$C$501,999))),"(none)"))</f>
        <v/>
      </c>
      <c r="C1060" s="80" t="str">
        <f t="shared" si="1"/>
        <v/>
      </c>
      <c r="D1060" s="80" t="str">
        <f t="array" ref="D1060">IF(A1060="","",IF(ISLOGICAL(INDEX('Deck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60" s="80" t="str">
        <f t="shared" si="2"/>
        <v/>
      </c>
      <c r="F1060" s="80" t="str">
        <f t="array" ref="F1060">IF(A1060="","",IF(ISNUMBER(J1060),J1060,IF(ISNUMBER(INDEX('Deck 4'!$A:$Z,ROW()-1000,'List Setup'!$F$6)),INDEX('Deck 4'!$A:$Z,ROW()-1000,'List Setup'!$F$6),0)))</f>
        <v/>
      </c>
      <c r="G1060" s="80" t="str">
        <f t="array" ref="G1060">IF(A1060="","",A1060&amp;IF(N(INDEX('Deck 4'!$A:$Z,ROW()-1000,'List Setup'!$C$6))&gt;1," (x"&amp;INDEX('Deck 4'!$A:$Z,ROW()-1000,'List Setup'!$C$6)&amp;")","")&amp;IF(COUNTIF(Binders!$J$6:$J$30,TRUE())&gt;1," ["&amp;Q1060&amp;"]",""))</f>
        <v/>
      </c>
      <c r="H1060" s="80" t="str">
        <f t="array" ref="H1060">IF(A1060="","",CHAR(10)&amp;INDEX('Deck 4'!$A:$Z,ROW()-1000,'List Setup'!$E$6)&amp;CHAR(10))</f>
        <v/>
      </c>
      <c r="I1060" s="80" t="str">
        <f t="array" ref="I1060">IF(OR(B1060="",B1060="(none)"),"",IF(ISNUMBER(SEARCH(CHAR(10)&amp;B1060&amp;CHAR(10),H1060)),B1060,IFERROR(INDEX('Set Aliases'!$A$2:$A$501,MATCH(1,('Set Aliases'!$B$2:$B$501=B1060)*ISNUMBER(SEARCH(CHAR(10)&amp;'Set Aliases'!$A$2:$A$501&amp;CHAR(10),H1060)),0)),"")))</f>
        <v/>
      </c>
      <c r="J1060" s="80" t="str">
        <f t="array" ref="J1060">IF(I1060="","",IFERROR(VALUE(TRIM(MID(SUBSTITUTE(INDEX('Deck 4'!$A:$Z,ROW()-1000,'List Setup'!$G$6),CHAR(10),REPT(" ",100)),((SEARCH(CHAR(10)&amp;I1060&amp;CHAR(10),H1060)-LEN(SUBSTITUTE(LEFT(H1060,SEARCH(CHAR(10)&amp;I1060&amp;CHAR(10),H1060)),CHAR(10),"")))-1)*100+1,100))),""))</f>
        <v/>
      </c>
      <c r="K1060" s="80" t="str">
        <f t="array" ref="K1060">IF(A1060="","",IF(ISNUMBER(SEARCH("Land",LEFT(IFERROR(INDEX('Deck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60" s="80" t="str">
        <f t="shared" si="3"/>
        <v/>
      </c>
      <c r="M1060" s="80" t="str">
        <f>IF(A1060="","",IF(AND(E1060="Y",B1060='Use at Shop'!$B$4),K1060*10000000000+(MAX(0,MIN(26,CODE(MID(UPPER(A1060)&amp;"    ",1,1))-64))*19683+MAX(0,MIN(26,CODE(MID(UPPER(A1060)&amp;"    ",2,1))-64))*729+MAX(0,MIN(26,CODE(MID(UPPER(A1060)&amp;"    ",3,1))-64))*27+MAX(0,MIN(26,CODE(MID(UPPER(A1060)&amp;"    ",4,1))-64))*1)*10000+ROW(),""))</f>
        <v/>
      </c>
      <c r="N1060" s="80" t="str">
        <f t="shared" si="8"/>
        <v/>
      </c>
      <c r="O1060" s="80" t="str">
        <f t="array" ref="O1060">IF(A1060="","",IFERROR(INDEX('Deck 4'!$A:$Z,ROW()-1000,'List Setup'!$J$6)&amp;"",""))</f>
        <v/>
      </c>
      <c r="P1060" s="2"/>
      <c r="Q1060" s="80" t="str">
        <f>IF(A1060="","",'List Setup'!$A$6)</f>
        <v/>
      </c>
      <c r="R1060" s="80" t="str">
        <f t="array" ref="R1060">IF(A1060="","",IFERROR(OR(INDEX(Binders!$J$6:$J$30,MATCH(Q1060,Binders!$I$6:$I$30,0))=TRUE(),UPPER(INDEX(Binders!$J$6:$J$30,MATCH(Q1060,Binders!$I$6:$I$30,0))&amp;"")="TRUE"),FALSE()))</f>
        <v/>
      </c>
    </row>
    <row r="1061" ht="15.75" customHeight="1">
      <c r="A1061" s="80" t="str">
        <f t="array" ref="A1061">IF(INDEX('Deck 4'!$A:$Z,ROW()-1000,'List Setup'!$D$6)="","",INDEX('Deck 4'!$A:$Z,ROW()-1000,'List Setup'!$D$6))</f>
        <v/>
      </c>
      <c r="B1061" s="80" t="str">
        <f t="array" ref="B1061">IF(A1061="","",IFERROR(INDEX('Binder Setup'!$B$2:$B$401,MIN(IF(ISNUMBER(SEARCH(CHAR(10)&amp;'Binder Setup'!$B$2:$B$401&amp;CHAR(10),$H1061)),'List Setup'!$Q$2:$Q$401,999),IF(ISNUMBER(SEARCH(CHAR(10)&amp;'Set Aliases'!$A$2:$A$501&amp;CHAR(10),$H1061)),'Set Aliases'!$C$2:$C$501,999))),"(none)"))</f>
        <v/>
      </c>
      <c r="C1061" s="80" t="str">
        <f t="shared" si="1"/>
        <v/>
      </c>
      <c r="D1061" s="80" t="str">
        <f t="array" ref="D1061">IF(A1061="","",IF(ISLOGICAL(INDEX('Deck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61" s="80" t="str">
        <f t="shared" si="2"/>
        <v/>
      </c>
      <c r="F1061" s="80" t="str">
        <f t="array" ref="F1061">IF(A1061="","",IF(ISNUMBER(J1061),J1061,IF(ISNUMBER(INDEX('Deck 4'!$A:$Z,ROW()-1000,'List Setup'!$F$6)),INDEX('Deck 4'!$A:$Z,ROW()-1000,'List Setup'!$F$6),0)))</f>
        <v/>
      </c>
      <c r="G1061" s="80" t="str">
        <f t="array" ref="G1061">IF(A1061="","",A1061&amp;IF(N(INDEX('Deck 4'!$A:$Z,ROW()-1000,'List Setup'!$C$6))&gt;1," (x"&amp;INDEX('Deck 4'!$A:$Z,ROW()-1000,'List Setup'!$C$6)&amp;")","")&amp;IF(COUNTIF(Binders!$J$6:$J$30,TRUE())&gt;1," ["&amp;Q1061&amp;"]",""))</f>
        <v/>
      </c>
      <c r="H1061" s="80" t="str">
        <f t="array" ref="H1061">IF(A1061="","",CHAR(10)&amp;INDEX('Deck 4'!$A:$Z,ROW()-1000,'List Setup'!$E$6)&amp;CHAR(10))</f>
        <v/>
      </c>
      <c r="I1061" s="80" t="str">
        <f t="array" ref="I1061">IF(OR(B1061="",B1061="(none)"),"",IF(ISNUMBER(SEARCH(CHAR(10)&amp;B1061&amp;CHAR(10),H1061)),B1061,IFERROR(INDEX('Set Aliases'!$A$2:$A$501,MATCH(1,('Set Aliases'!$B$2:$B$501=B1061)*ISNUMBER(SEARCH(CHAR(10)&amp;'Set Aliases'!$A$2:$A$501&amp;CHAR(10),H1061)),0)),"")))</f>
        <v/>
      </c>
      <c r="J1061" s="80" t="str">
        <f t="array" ref="J1061">IF(I1061="","",IFERROR(VALUE(TRIM(MID(SUBSTITUTE(INDEX('Deck 4'!$A:$Z,ROW()-1000,'List Setup'!$G$6),CHAR(10),REPT(" ",100)),((SEARCH(CHAR(10)&amp;I1061&amp;CHAR(10),H1061)-LEN(SUBSTITUTE(LEFT(H1061,SEARCH(CHAR(10)&amp;I1061&amp;CHAR(10),H1061)),CHAR(10),"")))-1)*100+1,100))),""))</f>
        <v/>
      </c>
      <c r="K1061" s="80" t="str">
        <f t="array" ref="K1061">IF(A1061="","",IF(ISNUMBER(SEARCH("Land",LEFT(IFERROR(INDEX('Deck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61" s="80" t="str">
        <f t="shared" si="3"/>
        <v/>
      </c>
      <c r="M1061" s="80" t="str">
        <f>IF(A1061="","",IF(AND(E1061="Y",B1061='Use at Shop'!$B$4),K1061*10000000000+(MAX(0,MIN(26,CODE(MID(UPPER(A1061)&amp;"    ",1,1))-64))*19683+MAX(0,MIN(26,CODE(MID(UPPER(A1061)&amp;"    ",2,1))-64))*729+MAX(0,MIN(26,CODE(MID(UPPER(A1061)&amp;"    ",3,1))-64))*27+MAX(0,MIN(26,CODE(MID(UPPER(A1061)&amp;"    ",4,1))-64))*1)*10000+ROW(),""))</f>
        <v/>
      </c>
      <c r="N1061" s="80" t="str">
        <f t="shared" si="8"/>
        <v/>
      </c>
      <c r="O1061" s="80" t="str">
        <f t="array" ref="O1061">IF(A1061="","",IFERROR(INDEX('Deck 4'!$A:$Z,ROW()-1000,'List Setup'!$J$6)&amp;"",""))</f>
        <v/>
      </c>
      <c r="P1061" s="2"/>
      <c r="Q1061" s="80" t="str">
        <f>IF(A1061="","",'List Setup'!$A$6)</f>
        <v/>
      </c>
      <c r="R1061" s="80" t="str">
        <f t="array" ref="R1061">IF(A1061="","",IFERROR(OR(INDEX(Binders!$J$6:$J$30,MATCH(Q1061,Binders!$I$6:$I$30,0))=TRUE(),UPPER(INDEX(Binders!$J$6:$J$30,MATCH(Q1061,Binders!$I$6:$I$30,0))&amp;"")="TRUE"),FALSE()))</f>
        <v/>
      </c>
    </row>
    <row r="1062" ht="15.75" customHeight="1">
      <c r="A1062" s="80" t="str">
        <f t="array" ref="A1062">IF(INDEX('Deck 4'!$A:$Z,ROW()-1000,'List Setup'!$D$6)="","",INDEX('Deck 4'!$A:$Z,ROW()-1000,'List Setup'!$D$6))</f>
        <v/>
      </c>
      <c r="B1062" s="80" t="str">
        <f t="array" ref="B1062">IF(A1062="","",IFERROR(INDEX('Binder Setup'!$B$2:$B$401,MIN(IF(ISNUMBER(SEARCH(CHAR(10)&amp;'Binder Setup'!$B$2:$B$401&amp;CHAR(10),$H1062)),'List Setup'!$Q$2:$Q$401,999),IF(ISNUMBER(SEARCH(CHAR(10)&amp;'Set Aliases'!$A$2:$A$501&amp;CHAR(10),$H1062)),'Set Aliases'!$C$2:$C$501,999))),"(none)"))</f>
        <v/>
      </c>
      <c r="C1062" s="80" t="str">
        <f t="shared" si="1"/>
        <v/>
      </c>
      <c r="D1062" s="80" t="str">
        <f t="array" ref="D1062">IF(A1062="","",IF(ISLOGICAL(INDEX('Deck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62" s="80" t="str">
        <f t="shared" si="2"/>
        <v/>
      </c>
      <c r="F1062" s="80" t="str">
        <f t="array" ref="F1062">IF(A1062="","",IF(ISNUMBER(J1062),J1062,IF(ISNUMBER(INDEX('Deck 4'!$A:$Z,ROW()-1000,'List Setup'!$F$6)),INDEX('Deck 4'!$A:$Z,ROW()-1000,'List Setup'!$F$6),0)))</f>
        <v/>
      </c>
      <c r="G1062" s="80" t="str">
        <f t="array" ref="G1062">IF(A1062="","",A1062&amp;IF(N(INDEX('Deck 4'!$A:$Z,ROW()-1000,'List Setup'!$C$6))&gt;1," (x"&amp;INDEX('Deck 4'!$A:$Z,ROW()-1000,'List Setup'!$C$6)&amp;")","")&amp;IF(COUNTIF(Binders!$J$6:$J$30,TRUE())&gt;1," ["&amp;Q1062&amp;"]",""))</f>
        <v/>
      </c>
      <c r="H1062" s="80" t="str">
        <f t="array" ref="H1062">IF(A1062="","",CHAR(10)&amp;INDEX('Deck 4'!$A:$Z,ROW()-1000,'List Setup'!$E$6)&amp;CHAR(10))</f>
        <v/>
      </c>
      <c r="I1062" s="80" t="str">
        <f t="array" ref="I1062">IF(OR(B1062="",B1062="(none)"),"",IF(ISNUMBER(SEARCH(CHAR(10)&amp;B1062&amp;CHAR(10),H1062)),B1062,IFERROR(INDEX('Set Aliases'!$A$2:$A$501,MATCH(1,('Set Aliases'!$B$2:$B$501=B1062)*ISNUMBER(SEARCH(CHAR(10)&amp;'Set Aliases'!$A$2:$A$501&amp;CHAR(10),H1062)),0)),"")))</f>
        <v/>
      </c>
      <c r="J1062" s="80" t="str">
        <f t="array" ref="J1062">IF(I1062="","",IFERROR(VALUE(TRIM(MID(SUBSTITUTE(INDEX('Deck 4'!$A:$Z,ROW()-1000,'List Setup'!$G$6),CHAR(10),REPT(" ",100)),((SEARCH(CHAR(10)&amp;I1062&amp;CHAR(10),H1062)-LEN(SUBSTITUTE(LEFT(H1062,SEARCH(CHAR(10)&amp;I1062&amp;CHAR(10),H1062)),CHAR(10),"")))-1)*100+1,100))),""))</f>
        <v/>
      </c>
      <c r="K1062" s="80" t="str">
        <f t="array" ref="K1062">IF(A1062="","",IF(ISNUMBER(SEARCH("Land",LEFT(IFERROR(INDEX('Deck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62" s="80" t="str">
        <f t="shared" si="3"/>
        <v/>
      </c>
      <c r="M1062" s="80" t="str">
        <f>IF(A1062="","",IF(AND(E1062="Y",B1062='Use at Shop'!$B$4),K1062*10000000000+(MAX(0,MIN(26,CODE(MID(UPPER(A1062)&amp;"    ",1,1))-64))*19683+MAX(0,MIN(26,CODE(MID(UPPER(A1062)&amp;"    ",2,1))-64))*729+MAX(0,MIN(26,CODE(MID(UPPER(A1062)&amp;"    ",3,1))-64))*27+MAX(0,MIN(26,CODE(MID(UPPER(A1062)&amp;"    ",4,1))-64))*1)*10000+ROW(),""))</f>
        <v/>
      </c>
      <c r="N1062" s="80" t="str">
        <f t="shared" si="8"/>
        <v/>
      </c>
      <c r="O1062" s="80" t="str">
        <f t="array" ref="O1062">IF(A1062="","",IFERROR(INDEX('Deck 4'!$A:$Z,ROW()-1000,'List Setup'!$J$6)&amp;"",""))</f>
        <v/>
      </c>
      <c r="P1062" s="2"/>
      <c r="Q1062" s="80" t="str">
        <f>IF(A1062="","",'List Setup'!$A$6)</f>
        <v/>
      </c>
      <c r="R1062" s="80" t="str">
        <f t="array" ref="R1062">IF(A1062="","",IFERROR(OR(INDEX(Binders!$J$6:$J$30,MATCH(Q1062,Binders!$I$6:$I$30,0))=TRUE(),UPPER(INDEX(Binders!$J$6:$J$30,MATCH(Q1062,Binders!$I$6:$I$30,0))&amp;"")="TRUE"),FALSE()))</f>
        <v/>
      </c>
    </row>
    <row r="1063" ht="15.75" customHeight="1">
      <c r="A1063" s="80" t="str">
        <f t="array" ref="A1063">IF(INDEX('Deck 4'!$A:$Z,ROW()-1000,'List Setup'!$D$6)="","",INDEX('Deck 4'!$A:$Z,ROW()-1000,'List Setup'!$D$6))</f>
        <v/>
      </c>
      <c r="B1063" s="80" t="str">
        <f t="array" ref="B1063">IF(A1063="","",IFERROR(INDEX('Binder Setup'!$B$2:$B$401,MIN(IF(ISNUMBER(SEARCH(CHAR(10)&amp;'Binder Setup'!$B$2:$B$401&amp;CHAR(10),$H1063)),'List Setup'!$Q$2:$Q$401,999),IF(ISNUMBER(SEARCH(CHAR(10)&amp;'Set Aliases'!$A$2:$A$501&amp;CHAR(10),$H1063)),'Set Aliases'!$C$2:$C$501,999))),"(none)"))</f>
        <v/>
      </c>
      <c r="C1063" s="80" t="str">
        <f t="shared" si="1"/>
        <v/>
      </c>
      <c r="D1063" s="80" t="str">
        <f t="array" ref="D1063">IF(A1063="","",IF(ISLOGICAL(INDEX('Deck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63" s="80" t="str">
        <f t="shared" si="2"/>
        <v/>
      </c>
      <c r="F1063" s="80" t="str">
        <f t="array" ref="F1063">IF(A1063="","",IF(ISNUMBER(J1063),J1063,IF(ISNUMBER(INDEX('Deck 4'!$A:$Z,ROW()-1000,'List Setup'!$F$6)),INDEX('Deck 4'!$A:$Z,ROW()-1000,'List Setup'!$F$6),0)))</f>
        <v/>
      </c>
      <c r="G1063" s="80" t="str">
        <f t="array" ref="G1063">IF(A1063="","",A1063&amp;IF(N(INDEX('Deck 4'!$A:$Z,ROW()-1000,'List Setup'!$C$6))&gt;1," (x"&amp;INDEX('Deck 4'!$A:$Z,ROW()-1000,'List Setup'!$C$6)&amp;")","")&amp;IF(COUNTIF(Binders!$J$6:$J$30,TRUE())&gt;1," ["&amp;Q1063&amp;"]",""))</f>
        <v/>
      </c>
      <c r="H1063" s="80" t="str">
        <f t="array" ref="H1063">IF(A1063="","",CHAR(10)&amp;INDEX('Deck 4'!$A:$Z,ROW()-1000,'List Setup'!$E$6)&amp;CHAR(10))</f>
        <v/>
      </c>
      <c r="I1063" s="80" t="str">
        <f t="array" ref="I1063">IF(OR(B1063="",B1063="(none)"),"",IF(ISNUMBER(SEARCH(CHAR(10)&amp;B1063&amp;CHAR(10),H1063)),B1063,IFERROR(INDEX('Set Aliases'!$A$2:$A$501,MATCH(1,('Set Aliases'!$B$2:$B$501=B1063)*ISNUMBER(SEARCH(CHAR(10)&amp;'Set Aliases'!$A$2:$A$501&amp;CHAR(10),H1063)),0)),"")))</f>
        <v/>
      </c>
      <c r="J1063" s="80" t="str">
        <f t="array" ref="J1063">IF(I1063="","",IFERROR(VALUE(TRIM(MID(SUBSTITUTE(INDEX('Deck 4'!$A:$Z,ROW()-1000,'List Setup'!$G$6),CHAR(10),REPT(" ",100)),((SEARCH(CHAR(10)&amp;I1063&amp;CHAR(10),H1063)-LEN(SUBSTITUTE(LEFT(H1063,SEARCH(CHAR(10)&amp;I1063&amp;CHAR(10),H1063)),CHAR(10),"")))-1)*100+1,100))),""))</f>
        <v/>
      </c>
      <c r="K1063" s="80" t="str">
        <f t="array" ref="K1063">IF(A1063="","",IF(ISNUMBER(SEARCH("Land",LEFT(IFERROR(INDEX('Deck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63" s="80" t="str">
        <f t="shared" si="3"/>
        <v/>
      </c>
      <c r="M1063" s="80" t="str">
        <f>IF(A1063="","",IF(AND(E1063="Y",B1063='Use at Shop'!$B$4),K1063*10000000000+(MAX(0,MIN(26,CODE(MID(UPPER(A1063)&amp;"    ",1,1))-64))*19683+MAX(0,MIN(26,CODE(MID(UPPER(A1063)&amp;"    ",2,1))-64))*729+MAX(0,MIN(26,CODE(MID(UPPER(A1063)&amp;"    ",3,1))-64))*27+MAX(0,MIN(26,CODE(MID(UPPER(A1063)&amp;"    ",4,1))-64))*1)*10000+ROW(),""))</f>
        <v/>
      </c>
      <c r="N1063" s="80" t="str">
        <f t="shared" si="8"/>
        <v/>
      </c>
      <c r="O1063" s="80" t="str">
        <f t="array" ref="O1063">IF(A1063="","",IFERROR(INDEX('Deck 4'!$A:$Z,ROW()-1000,'List Setup'!$J$6)&amp;"",""))</f>
        <v/>
      </c>
      <c r="P1063" s="2"/>
      <c r="Q1063" s="80" t="str">
        <f>IF(A1063="","",'List Setup'!$A$6)</f>
        <v/>
      </c>
      <c r="R1063" s="80" t="str">
        <f t="array" ref="R1063">IF(A1063="","",IFERROR(OR(INDEX(Binders!$J$6:$J$30,MATCH(Q1063,Binders!$I$6:$I$30,0))=TRUE(),UPPER(INDEX(Binders!$J$6:$J$30,MATCH(Q1063,Binders!$I$6:$I$30,0))&amp;"")="TRUE"),FALSE()))</f>
        <v/>
      </c>
    </row>
    <row r="1064" ht="15.75" customHeight="1">
      <c r="A1064" s="80" t="str">
        <f t="array" ref="A1064">IF(INDEX('Deck 4'!$A:$Z,ROW()-1000,'List Setup'!$D$6)="","",INDEX('Deck 4'!$A:$Z,ROW()-1000,'List Setup'!$D$6))</f>
        <v/>
      </c>
      <c r="B1064" s="80" t="str">
        <f t="array" ref="B1064">IF(A1064="","",IFERROR(INDEX('Binder Setup'!$B$2:$B$401,MIN(IF(ISNUMBER(SEARCH(CHAR(10)&amp;'Binder Setup'!$B$2:$B$401&amp;CHAR(10),$H1064)),'List Setup'!$Q$2:$Q$401,999),IF(ISNUMBER(SEARCH(CHAR(10)&amp;'Set Aliases'!$A$2:$A$501&amp;CHAR(10),$H1064)),'Set Aliases'!$C$2:$C$501,999))),"(none)"))</f>
        <v/>
      </c>
      <c r="C1064" s="80" t="str">
        <f t="shared" si="1"/>
        <v/>
      </c>
      <c r="D1064" s="80" t="str">
        <f t="array" ref="D1064">IF(A1064="","",IF(ISLOGICAL(INDEX('Deck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64" s="80" t="str">
        <f t="shared" si="2"/>
        <v/>
      </c>
      <c r="F1064" s="80" t="str">
        <f t="array" ref="F1064">IF(A1064="","",IF(ISNUMBER(J1064),J1064,IF(ISNUMBER(INDEX('Deck 4'!$A:$Z,ROW()-1000,'List Setup'!$F$6)),INDEX('Deck 4'!$A:$Z,ROW()-1000,'List Setup'!$F$6),0)))</f>
        <v/>
      </c>
      <c r="G1064" s="80" t="str">
        <f t="array" ref="G1064">IF(A1064="","",A1064&amp;IF(N(INDEX('Deck 4'!$A:$Z,ROW()-1000,'List Setup'!$C$6))&gt;1," (x"&amp;INDEX('Deck 4'!$A:$Z,ROW()-1000,'List Setup'!$C$6)&amp;")","")&amp;IF(COUNTIF(Binders!$J$6:$J$30,TRUE())&gt;1," ["&amp;Q1064&amp;"]",""))</f>
        <v/>
      </c>
      <c r="H1064" s="80" t="str">
        <f t="array" ref="H1064">IF(A1064="","",CHAR(10)&amp;INDEX('Deck 4'!$A:$Z,ROW()-1000,'List Setup'!$E$6)&amp;CHAR(10))</f>
        <v/>
      </c>
      <c r="I1064" s="80" t="str">
        <f t="array" ref="I1064">IF(OR(B1064="",B1064="(none)"),"",IF(ISNUMBER(SEARCH(CHAR(10)&amp;B1064&amp;CHAR(10),H1064)),B1064,IFERROR(INDEX('Set Aliases'!$A$2:$A$501,MATCH(1,('Set Aliases'!$B$2:$B$501=B1064)*ISNUMBER(SEARCH(CHAR(10)&amp;'Set Aliases'!$A$2:$A$501&amp;CHAR(10),H1064)),0)),"")))</f>
        <v/>
      </c>
      <c r="J1064" s="80" t="str">
        <f t="array" ref="J1064">IF(I1064="","",IFERROR(VALUE(TRIM(MID(SUBSTITUTE(INDEX('Deck 4'!$A:$Z,ROW()-1000,'List Setup'!$G$6),CHAR(10),REPT(" ",100)),((SEARCH(CHAR(10)&amp;I1064&amp;CHAR(10),H1064)-LEN(SUBSTITUTE(LEFT(H1064,SEARCH(CHAR(10)&amp;I1064&amp;CHAR(10),H1064)),CHAR(10),"")))-1)*100+1,100))),""))</f>
        <v/>
      </c>
      <c r="K1064" s="80" t="str">
        <f t="array" ref="K1064">IF(A1064="","",IF(ISNUMBER(SEARCH("Land",LEFT(IFERROR(INDEX('Deck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64" s="80" t="str">
        <f t="shared" si="3"/>
        <v/>
      </c>
      <c r="M1064" s="80" t="str">
        <f>IF(A1064="","",IF(AND(E1064="Y",B1064='Use at Shop'!$B$4),K1064*10000000000+(MAX(0,MIN(26,CODE(MID(UPPER(A1064)&amp;"    ",1,1))-64))*19683+MAX(0,MIN(26,CODE(MID(UPPER(A1064)&amp;"    ",2,1))-64))*729+MAX(0,MIN(26,CODE(MID(UPPER(A1064)&amp;"    ",3,1))-64))*27+MAX(0,MIN(26,CODE(MID(UPPER(A1064)&amp;"    ",4,1))-64))*1)*10000+ROW(),""))</f>
        <v/>
      </c>
      <c r="N1064" s="80" t="str">
        <f t="shared" si="8"/>
        <v/>
      </c>
      <c r="O1064" s="80" t="str">
        <f t="array" ref="O1064">IF(A1064="","",IFERROR(INDEX('Deck 4'!$A:$Z,ROW()-1000,'List Setup'!$J$6)&amp;"",""))</f>
        <v/>
      </c>
      <c r="P1064" s="2"/>
      <c r="Q1064" s="80" t="str">
        <f>IF(A1064="","",'List Setup'!$A$6)</f>
        <v/>
      </c>
      <c r="R1064" s="80" t="str">
        <f t="array" ref="R1064">IF(A1064="","",IFERROR(OR(INDEX(Binders!$J$6:$J$30,MATCH(Q1064,Binders!$I$6:$I$30,0))=TRUE(),UPPER(INDEX(Binders!$J$6:$J$30,MATCH(Q1064,Binders!$I$6:$I$30,0))&amp;"")="TRUE"),FALSE()))</f>
        <v/>
      </c>
    </row>
    <row r="1065" ht="15.75" customHeight="1">
      <c r="A1065" s="80" t="str">
        <f t="array" ref="A1065">IF(INDEX('Deck 4'!$A:$Z,ROW()-1000,'List Setup'!$D$6)="","",INDEX('Deck 4'!$A:$Z,ROW()-1000,'List Setup'!$D$6))</f>
        <v/>
      </c>
      <c r="B1065" s="80" t="str">
        <f t="array" ref="B1065">IF(A1065="","",IFERROR(INDEX('Binder Setup'!$B$2:$B$401,MIN(IF(ISNUMBER(SEARCH(CHAR(10)&amp;'Binder Setup'!$B$2:$B$401&amp;CHAR(10),$H1065)),'List Setup'!$Q$2:$Q$401,999),IF(ISNUMBER(SEARCH(CHAR(10)&amp;'Set Aliases'!$A$2:$A$501&amp;CHAR(10),$H1065)),'Set Aliases'!$C$2:$C$501,999))),"(none)"))</f>
        <v/>
      </c>
      <c r="C1065" s="80" t="str">
        <f t="shared" si="1"/>
        <v/>
      </c>
      <c r="D1065" s="80" t="str">
        <f t="array" ref="D1065">IF(A1065="","",IF(ISLOGICAL(INDEX('Deck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65" s="80" t="str">
        <f t="shared" si="2"/>
        <v/>
      </c>
      <c r="F1065" s="80" t="str">
        <f t="array" ref="F1065">IF(A1065="","",IF(ISNUMBER(J1065),J1065,IF(ISNUMBER(INDEX('Deck 4'!$A:$Z,ROW()-1000,'List Setup'!$F$6)),INDEX('Deck 4'!$A:$Z,ROW()-1000,'List Setup'!$F$6),0)))</f>
        <v/>
      </c>
      <c r="G1065" s="80" t="str">
        <f t="array" ref="G1065">IF(A1065="","",A1065&amp;IF(N(INDEX('Deck 4'!$A:$Z,ROW()-1000,'List Setup'!$C$6))&gt;1," (x"&amp;INDEX('Deck 4'!$A:$Z,ROW()-1000,'List Setup'!$C$6)&amp;")","")&amp;IF(COUNTIF(Binders!$J$6:$J$30,TRUE())&gt;1," ["&amp;Q1065&amp;"]",""))</f>
        <v/>
      </c>
      <c r="H1065" s="80" t="str">
        <f t="array" ref="H1065">IF(A1065="","",CHAR(10)&amp;INDEX('Deck 4'!$A:$Z,ROW()-1000,'List Setup'!$E$6)&amp;CHAR(10))</f>
        <v/>
      </c>
      <c r="I1065" s="80" t="str">
        <f t="array" ref="I1065">IF(OR(B1065="",B1065="(none)"),"",IF(ISNUMBER(SEARCH(CHAR(10)&amp;B1065&amp;CHAR(10),H1065)),B1065,IFERROR(INDEX('Set Aliases'!$A$2:$A$501,MATCH(1,('Set Aliases'!$B$2:$B$501=B1065)*ISNUMBER(SEARCH(CHAR(10)&amp;'Set Aliases'!$A$2:$A$501&amp;CHAR(10),H1065)),0)),"")))</f>
        <v/>
      </c>
      <c r="J1065" s="80" t="str">
        <f t="array" ref="J1065">IF(I1065="","",IFERROR(VALUE(TRIM(MID(SUBSTITUTE(INDEX('Deck 4'!$A:$Z,ROW()-1000,'List Setup'!$G$6),CHAR(10),REPT(" ",100)),((SEARCH(CHAR(10)&amp;I1065&amp;CHAR(10),H1065)-LEN(SUBSTITUTE(LEFT(H1065,SEARCH(CHAR(10)&amp;I1065&amp;CHAR(10),H1065)),CHAR(10),"")))-1)*100+1,100))),""))</f>
        <v/>
      </c>
      <c r="K1065" s="80" t="str">
        <f t="array" ref="K1065">IF(A1065="","",IF(ISNUMBER(SEARCH("Land",LEFT(IFERROR(INDEX('Deck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65" s="80" t="str">
        <f t="shared" si="3"/>
        <v/>
      </c>
      <c r="M1065" s="80" t="str">
        <f>IF(A1065="","",IF(AND(E1065="Y",B1065='Use at Shop'!$B$4),K1065*10000000000+(MAX(0,MIN(26,CODE(MID(UPPER(A1065)&amp;"    ",1,1))-64))*19683+MAX(0,MIN(26,CODE(MID(UPPER(A1065)&amp;"    ",2,1))-64))*729+MAX(0,MIN(26,CODE(MID(UPPER(A1065)&amp;"    ",3,1))-64))*27+MAX(0,MIN(26,CODE(MID(UPPER(A1065)&amp;"    ",4,1))-64))*1)*10000+ROW(),""))</f>
        <v/>
      </c>
      <c r="N1065" s="80" t="str">
        <f t="shared" si="8"/>
        <v/>
      </c>
      <c r="O1065" s="80" t="str">
        <f t="array" ref="O1065">IF(A1065="","",IFERROR(INDEX('Deck 4'!$A:$Z,ROW()-1000,'List Setup'!$J$6)&amp;"",""))</f>
        <v/>
      </c>
      <c r="P1065" s="2"/>
      <c r="Q1065" s="80" t="str">
        <f>IF(A1065="","",'List Setup'!$A$6)</f>
        <v/>
      </c>
      <c r="R1065" s="80" t="str">
        <f t="array" ref="R1065">IF(A1065="","",IFERROR(OR(INDEX(Binders!$J$6:$J$30,MATCH(Q1065,Binders!$I$6:$I$30,0))=TRUE(),UPPER(INDEX(Binders!$J$6:$J$30,MATCH(Q1065,Binders!$I$6:$I$30,0))&amp;"")="TRUE"),FALSE()))</f>
        <v/>
      </c>
    </row>
    <row r="1066" ht="15.75" customHeight="1">
      <c r="A1066" s="80" t="str">
        <f t="array" ref="A1066">IF(INDEX('Deck 4'!$A:$Z,ROW()-1000,'List Setup'!$D$6)="","",INDEX('Deck 4'!$A:$Z,ROW()-1000,'List Setup'!$D$6))</f>
        <v/>
      </c>
      <c r="B1066" s="80" t="str">
        <f t="array" ref="B1066">IF(A1066="","",IFERROR(INDEX('Binder Setup'!$B$2:$B$401,MIN(IF(ISNUMBER(SEARCH(CHAR(10)&amp;'Binder Setup'!$B$2:$B$401&amp;CHAR(10),$H1066)),'List Setup'!$Q$2:$Q$401,999),IF(ISNUMBER(SEARCH(CHAR(10)&amp;'Set Aliases'!$A$2:$A$501&amp;CHAR(10),$H1066)),'Set Aliases'!$C$2:$C$501,999))),"(none)"))</f>
        <v/>
      </c>
      <c r="C1066" s="80" t="str">
        <f t="shared" si="1"/>
        <v/>
      </c>
      <c r="D1066" s="80" t="str">
        <f t="array" ref="D1066">IF(A1066="","",IF(ISLOGICAL(INDEX('Deck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66" s="80" t="str">
        <f t="shared" si="2"/>
        <v/>
      </c>
      <c r="F1066" s="80" t="str">
        <f t="array" ref="F1066">IF(A1066="","",IF(ISNUMBER(J1066),J1066,IF(ISNUMBER(INDEX('Deck 4'!$A:$Z,ROW()-1000,'List Setup'!$F$6)),INDEX('Deck 4'!$A:$Z,ROW()-1000,'List Setup'!$F$6),0)))</f>
        <v/>
      </c>
      <c r="G1066" s="80" t="str">
        <f t="array" ref="G1066">IF(A1066="","",A1066&amp;IF(N(INDEX('Deck 4'!$A:$Z,ROW()-1000,'List Setup'!$C$6))&gt;1," (x"&amp;INDEX('Deck 4'!$A:$Z,ROW()-1000,'List Setup'!$C$6)&amp;")","")&amp;IF(COUNTIF(Binders!$J$6:$J$30,TRUE())&gt;1," ["&amp;Q1066&amp;"]",""))</f>
        <v/>
      </c>
      <c r="H1066" s="80" t="str">
        <f t="array" ref="H1066">IF(A1066="","",CHAR(10)&amp;INDEX('Deck 4'!$A:$Z,ROW()-1000,'List Setup'!$E$6)&amp;CHAR(10))</f>
        <v/>
      </c>
      <c r="I1066" s="80" t="str">
        <f t="array" ref="I1066">IF(OR(B1066="",B1066="(none)"),"",IF(ISNUMBER(SEARCH(CHAR(10)&amp;B1066&amp;CHAR(10),H1066)),B1066,IFERROR(INDEX('Set Aliases'!$A$2:$A$501,MATCH(1,('Set Aliases'!$B$2:$B$501=B1066)*ISNUMBER(SEARCH(CHAR(10)&amp;'Set Aliases'!$A$2:$A$501&amp;CHAR(10),H1066)),0)),"")))</f>
        <v/>
      </c>
      <c r="J1066" s="80" t="str">
        <f t="array" ref="J1066">IF(I1066="","",IFERROR(VALUE(TRIM(MID(SUBSTITUTE(INDEX('Deck 4'!$A:$Z,ROW()-1000,'List Setup'!$G$6),CHAR(10),REPT(" ",100)),((SEARCH(CHAR(10)&amp;I1066&amp;CHAR(10),H1066)-LEN(SUBSTITUTE(LEFT(H1066,SEARCH(CHAR(10)&amp;I1066&amp;CHAR(10),H1066)),CHAR(10),"")))-1)*100+1,100))),""))</f>
        <v/>
      </c>
      <c r="K1066" s="80" t="str">
        <f t="array" ref="K1066">IF(A1066="","",IF(ISNUMBER(SEARCH("Land",LEFT(IFERROR(INDEX('Deck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66" s="80" t="str">
        <f t="shared" si="3"/>
        <v/>
      </c>
      <c r="M1066" s="80" t="str">
        <f>IF(A1066="","",IF(AND(E1066="Y",B1066='Use at Shop'!$B$4),K1066*10000000000+(MAX(0,MIN(26,CODE(MID(UPPER(A1066)&amp;"    ",1,1))-64))*19683+MAX(0,MIN(26,CODE(MID(UPPER(A1066)&amp;"    ",2,1))-64))*729+MAX(0,MIN(26,CODE(MID(UPPER(A1066)&amp;"    ",3,1))-64))*27+MAX(0,MIN(26,CODE(MID(UPPER(A1066)&amp;"    ",4,1))-64))*1)*10000+ROW(),""))</f>
        <v/>
      </c>
      <c r="N1066" s="80" t="str">
        <f t="shared" si="8"/>
        <v/>
      </c>
      <c r="O1066" s="80" t="str">
        <f t="array" ref="O1066">IF(A1066="","",IFERROR(INDEX('Deck 4'!$A:$Z,ROW()-1000,'List Setup'!$J$6)&amp;"",""))</f>
        <v/>
      </c>
      <c r="P1066" s="2"/>
      <c r="Q1066" s="80" t="str">
        <f>IF(A1066="","",'List Setup'!$A$6)</f>
        <v/>
      </c>
      <c r="R1066" s="80" t="str">
        <f t="array" ref="R1066">IF(A1066="","",IFERROR(OR(INDEX(Binders!$J$6:$J$30,MATCH(Q1066,Binders!$I$6:$I$30,0))=TRUE(),UPPER(INDEX(Binders!$J$6:$J$30,MATCH(Q1066,Binders!$I$6:$I$30,0))&amp;"")="TRUE"),FALSE()))</f>
        <v/>
      </c>
    </row>
    <row r="1067" ht="15.75" customHeight="1">
      <c r="A1067" s="80" t="str">
        <f t="array" ref="A1067">IF(INDEX('Deck 4'!$A:$Z,ROW()-1000,'List Setup'!$D$6)="","",INDEX('Deck 4'!$A:$Z,ROW()-1000,'List Setup'!$D$6))</f>
        <v/>
      </c>
      <c r="B1067" s="80" t="str">
        <f t="array" ref="B1067">IF(A1067="","",IFERROR(INDEX('Binder Setup'!$B$2:$B$401,MIN(IF(ISNUMBER(SEARCH(CHAR(10)&amp;'Binder Setup'!$B$2:$B$401&amp;CHAR(10),$H1067)),'List Setup'!$Q$2:$Q$401,999),IF(ISNUMBER(SEARCH(CHAR(10)&amp;'Set Aliases'!$A$2:$A$501&amp;CHAR(10),$H1067)),'Set Aliases'!$C$2:$C$501,999))),"(none)"))</f>
        <v/>
      </c>
      <c r="C1067" s="80" t="str">
        <f t="shared" si="1"/>
        <v/>
      </c>
      <c r="D1067" s="80" t="str">
        <f t="array" ref="D1067">IF(A1067="","",IF(ISLOGICAL(INDEX('Deck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67" s="80" t="str">
        <f t="shared" si="2"/>
        <v/>
      </c>
      <c r="F1067" s="80" t="str">
        <f t="array" ref="F1067">IF(A1067="","",IF(ISNUMBER(J1067),J1067,IF(ISNUMBER(INDEX('Deck 4'!$A:$Z,ROW()-1000,'List Setup'!$F$6)),INDEX('Deck 4'!$A:$Z,ROW()-1000,'List Setup'!$F$6),0)))</f>
        <v/>
      </c>
      <c r="G1067" s="80" t="str">
        <f t="array" ref="G1067">IF(A1067="","",A1067&amp;IF(N(INDEX('Deck 4'!$A:$Z,ROW()-1000,'List Setup'!$C$6))&gt;1," (x"&amp;INDEX('Deck 4'!$A:$Z,ROW()-1000,'List Setup'!$C$6)&amp;")","")&amp;IF(COUNTIF(Binders!$J$6:$J$30,TRUE())&gt;1," ["&amp;Q1067&amp;"]",""))</f>
        <v/>
      </c>
      <c r="H1067" s="80" t="str">
        <f t="array" ref="H1067">IF(A1067="","",CHAR(10)&amp;INDEX('Deck 4'!$A:$Z,ROW()-1000,'List Setup'!$E$6)&amp;CHAR(10))</f>
        <v/>
      </c>
      <c r="I1067" s="80" t="str">
        <f t="array" ref="I1067">IF(OR(B1067="",B1067="(none)"),"",IF(ISNUMBER(SEARCH(CHAR(10)&amp;B1067&amp;CHAR(10),H1067)),B1067,IFERROR(INDEX('Set Aliases'!$A$2:$A$501,MATCH(1,('Set Aliases'!$B$2:$B$501=B1067)*ISNUMBER(SEARCH(CHAR(10)&amp;'Set Aliases'!$A$2:$A$501&amp;CHAR(10),H1067)),0)),"")))</f>
        <v/>
      </c>
      <c r="J1067" s="80" t="str">
        <f t="array" ref="J1067">IF(I1067="","",IFERROR(VALUE(TRIM(MID(SUBSTITUTE(INDEX('Deck 4'!$A:$Z,ROW()-1000,'List Setup'!$G$6),CHAR(10),REPT(" ",100)),((SEARCH(CHAR(10)&amp;I1067&amp;CHAR(10),H1067)-LEN(SUBSTITUTE(LEFT(H1067,SEARCH(CHAR(10)&amp;I1067&amp;CHAR(10),H1067)),CHAR(10),"")))-1)*100+1,100))),""))</f>
        <v/>
      </c>
      <c r="K1067" s="80" t="str">
        <f t="array" ref="K1067">IF(A1067="","",IF(ISNUMBER(SEARCH("Land",LEFT(IFERROR(INDEX('Deck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67" s="80" t="str">
        <f t="shared" si="3"/>
        <v/>
      </c>
      <c r="M1067" s="80" t="str">
        <f>IF(A1067="","",IF(AND(E1067="Y",B1067='Use at Shop'!$B$4),K1067*10000000000+(MAX(0,MIN(26,CODE(MID(UPPER(A1067)&amp;"    ",1,1))-64))*19683+MAX(0,MIN(26,CODE(MID(UPPER(A1067)&amp;"    ",2,1))-64))*729+MAX(0,MIN(26,CODE(MID(UPPER(A1067)&amp;"    ",3,1))-64))*27+MAX(0,MIN(26,CODE(MID(UPPER(A1067)&amp;"    ",4,1))-64))*1)*10000+ROW(),""))</f>
        <v/>
      </c>
      <c r="N1067" s="80" t="str">
        <f t="shared" si="8"/>
        <v/>
      </c>
      <c r="O1067" s="80" t="str">
        <f t="array" ref="O1067">IF(A1067="","",IFERROR(INDEX('Deck 4'!$A:$Z,ROW()-1000,'List Setup'!$J$6)&amp;"",""))</f>
        <v/>
      </c>
      <c r="P1067" s="2"/>
      <c r="Q1067" s="80" t="str">
        <f>IF(A1067="","",'List Setup'!$A$6)</f>
        <v/>
      </c>
      <c r="R1067" s="80" t="str">
        <f t="array" ref="R1067">IF(A1067="","",IFERROR(OR(INDEX(Binders!$J$6:$J$30,MATCH(Q1067,Binders!$I$6:$I$30,0))=TRUE(),UPPER(INDEX(Binders!$J$6:$J$30,MATCH(Q1067,Binders!$I$6:$I$30,0))&amp;"")="TRUE"),FALSE()))</f>
        <v/>
      </c>
    </row>
    <row r="1068" ht="15.75" customHeight="1">
      <c r="A1068" s="80" t="str">
        <f t="array" ref="A1068">IF(INDEX('Deck 4'!$A:$Z,ROW()-1000,'List Setup'!$D$6)="","",INDEX('Deck 4'!$A:$Z,ROW()-1000,'List Setup'!$D$6))</f>
        <v/>
      </c>
      <c r="B1068" s="80" t="str">
        <f t="array" ref="B1068">IF(A1068="","",IFERROR(INDEX('Binder Setup'!$B$2:$B$401,MIN(IF(ISNUMBER(SEARCH(CHAR(10)&amp;'Binder Setup'!$B$2:$B$401&amp;CHAR(10),$H1068)),'List Setup'!$Q$2:$Q$401,999),IF(ISNUMBER(SEARCH(CHAR(10)&amp;'Set Aliases'!$A$2:$A$501&amp;CHAR(10),$H1068)),'Set Aliases'!$C$2:$C$501,999))),"(none)"))</f>
        <v/>
      </c>
      <c r="C1068" s="80" t="str">
        <f t="shared" si="1"/>
        <v/>
      </c>
      <c r="D1068" s="80" t="str">
        <f t="array" ref="D1068">IF(A1068="","",IF(ISLOGICAL(INDEX('Deck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68" s="80" t="str">
        <f t="shared" si="2"/>
        <v/>
      </c>
      <c r="F1068" s="80" t="str">
        <f t="array" ref="F1068">IF(A1068="","",IF(ISNUMBER(J1068),J1068,IF(ISNUMBER(INDEX('Deck 4'!$A:$Z,ROW()-1000,'List Setup'!$F$6)),INDEX('Deck 4'!$A:$Z,ROW()-1000,'List Setup'!$F$6),0)))</f>
        <v/>
      </c>
      <c r="G1068" s="80" t="str">
        <f t="array" ref="G1068">IF(A1068="","",A1068&amp;IF(N(INDEX('Deck 4'!$A:$Z,ROW()-1000,'List Setup'!$C$6))&gt;1," (x"&amp;INDEX('Deck 4'!$A:$Z,ROW()-1000,'List Setup'!$C$6)&amp;")","")&amp;IF(COUNTIF(Binders!$J$6:$J$30,TRUE())&gt;1," ["&amp;Q1068&amp;"]",""))</f>
        <v/>
      </c>
      <c r="H1068" s="80" t="str">
        <f t="array" ref="H1068">IF(A1068="","",CHAR(10)&amp;INDEX('Deck 4'!$A:$Z,ROW()-1000,'List Setup'!$E$6)&amp;CHAR(10))</f>
        <v/>
      </c>
      <c r="I1068" s="80" t="str">
        <f t="array" ref="I1068">IF(OR(B1068="",B1068="(none)"),"",IF(ISNUMBER(SEARCH(CHAR(10)&amp;B1068&amp;CHAR(10),H1068)),B1068,IFERROR(INDEX('Set Aliases'!$A$2:$A$501,MATCH(1,('Set Aliases'!$B$2:$B$501=B1068)*ISNUMBER(SEARCH(CHAR(10)&amp;'Set Aliases'!$A$2:$A$501&amp;CHAR(10),H1068)),0)),"")))</f>
        <v/>
      </c>
      <c r="J1068" s="80" t="str">
        <f t="array" ref="J1068">IF(I1068="","",IFERROR(VALUE(TRIM(MID(SUBSTITUTE(INDEX('Deck 4'!$A:$Z,ROW()-1000,'List Setup'!$G$6),CHAR(10),REPT(" ",100)),((SEARCH(CHAR(10)&amp;I1068&amp;CHAR(10),H1068)-LEN(SUBSTITUTE(LEFT(H1068,SEARCH(CHAR(10)&amp;I1068&amp;CHAR(10),H1068)),CHAR(10),"")))-1)*100+1,100))),""))</f>
        <v/>
      </c>
      <c r="K1068" s="80" t="str">
        <f t="array" ref="K1068">IF(A1068="","",IF(ISNUMBER(SEARCH("Land",LEFT(IFERROR(INDEX('Deck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68" s="80" t="str">
        <f t="shared" si="3"/>
        <v/>
      </c>
      <c r="M1068" s="80" t="str">
        <f>IF(A1068="","",IF(AND(E1068="Y",B1068='Use at Shop'!$B$4),K1068*10000000000+(MAX(0,MIN(26,CODE(MID(UPPER(A1068)&amp;"    ",1,1))-64))*19683+MAX(0,MIN(26,CODE(MID(UPPER(A1068)&amp;"    ",2,1))-64))*729+MAX(0,MIN(26,CODE(MID(UPPER(A1068)&amp;"    ",3,1))-64))*27+MAX(0,MIN(26,CODE(MID(UPPER(A1068)&amp;"    ",4,1))-64))*1)*10000+ROW(),""))</f>
        <v/>
      </c>
      <c r="N1068" s="80" t="str">
        <f t="shared" si="8"/>
        <v/>
      </c>
      <c r="O1068" s="80" t="str">
        <f t="array" ref="O1068">IF(A1068="","",IFERROR(INDEX('Deck 4'!$A:$Z,ROW()-1000,'List Setup'!$J$6)&amp;"",""))</f>
        <v/>
      </c>
      <c r="P1068" s="2"/>
      <c r="Q1068" s="80" t="str">
        <f>IF(A1068="","",'List Setup'!$A$6)</f>
        <v/>
      </c>
      <c r="R1068" s="80" t="str">
        <f t="array" ref="R1068">IF(A1068="","",IFERROR(OR(INDEX(Binders!$J$6:$J$30,MATCH(Q1068,Binders!$I$6:$I$30,0))=TRUE(),UPPER(INDEX(Binders!$J$6:$J$30,MATCH(Q1068,Binders!$I$6:$I$30,0))&amp;"")="TRUE"),FALSE()))</f>
        <v/>
      </c>
    </row>
    <row r="1069" ht="15.75" customHeight="1">
      <c r="A1069" s="80" t="str">
        <f t="array" ref="A1069">IF(INDEX('Deck 4'!$A:$Z,ROW()-1000,'List Setup'!$D$6)="","",INDEX('Deck 4'!$A:$Z,ROW()-1000,'List Setup'!$D$6))</f>
        <v/>
      </c>
      <c r="B1069" s="80" t="str">
        <f t="array" ref="B1069">IF(A1069="","",IFERROR(INDEX('Binder Setup'!$B$2:$B$401,MIN(IF(ISNUMBER(SEARCH(CHAR(10)&amp;'Binder Setup'!$B$2:$B$401&amp;CHAR(10),$H1069)),'List Setup'!$Q$2:$Q$401,999),IF(ISNUMBER(SEARCH(CHAR(10)&amp;'Set Aliases'!$A$2:$A$501&amp;CHAR(10),$H1069)),'Set Aliases'!$C$2:$C$501,999))),"(none)"))</f>
        <v/>
      </c>
      <c r="C1069" s="80" t="str">
        <f t="shared" si="1"/>
        <v/>
      </c>
      <c r="D1069" s="80" t="str">
        <f t="array" ref="D1069">IF(A1069="","",IF(ISLOGICAL(INDEX('Deck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69" s="80" t="str">
        <f t="shared" si="2"/>
        <v/>
      </c>
      <c r="F1069" s="80" t="str">
        <f t="array" ref="F1069">IF(A1069="","",IF(ISNUMBER(J1069),J1069,IF(ISNUMBER(INDEX('Deck 4'!$A:$Z,ROW()-1000,'List Setup'!$F$6)),INDEX('Deck 4'!$A:$Z,ROW()-1000,'List Setup'!$F$6),0)))</f>
        <v/>
      </c>
      <c r="G1069" s="80" t="str">
        <f t="array" ref="G1069">IF(A1069="","",A1069&amp;IF(N(INDEX('Deck 4'!$A:$Z,ROW()-1000,'List Setup'!$C$6))&gt;1," (x"&amp;INDEX('Deck 4'!$A:$Z,ROW()-1000,'List Setup'!$C$6)&amp;")","")&amp;IF(COUNTIF(Binders!$J$6:$J$30,TRUE())&gt;1," ["&amp;Q1069&amp;"]",""))</f>
        <v/>
      </c>
      <c r="H1069" s="80" t="str">
        <f t="array" ref="H1069">IF(A1069="","",CHAR(10)&amp;INDEX('Deck 4'!$A:$Z,ROW()-1000,'List Setup'!$E$6)&amp;CHAR(10))</f>
        <v/>
      </c>
      <c r="I1069" s="80" t="str">
        <f t="array" ref="I1069">IF(OR(B1069="",B1069="(none)"),"",IF(ISNUMBER(SEARCH(CHAR(10)&amp;B1069&amp;CHAR(10),H1069)),B1069,IFERROR(INDEX('Set Aliases'!$A$2:$A$501,MATCH(1,('Set Aliases'!$B$2:$B$501=B1069)*ISNUMBER(SEARCH(CHAR(10)&amp;'Set Aliases'!$A$2:$A$501&amp;CHAR(10),H1069)),0)),"")))</f>
        <v/>
      </c>
      <c r="J1069" s="80" t="str">
        <f t="array" ref="J1069">IF(I1069="","",IFERROR(VALUE(TRIM(MID(SUBSTITUTE(INDEX('Deck 4'!$A:$Z,ROW()-1000,'List Setup'!$G$6),CHAR(10),REPT(" ",100)),((SEARCH(CHAR(10)&amp;I1069&amp;CHAR(10),H1069)-LEN(SUBSTITUTE(LEFT(H1069,SEARCH(CHAR(10)&amp;I1069&amp;CHAR(10),H1069)),CHAR(10),"")))-1)*100+1,100))),""))</f>
        <v/>
      </c>
      <c r="K1069" s="80" t="str">
        <f t="array" ref="K1069">IF(A1069="","",IF(ISNUMBER(SEARCH("Land",LEFT(IFERROR(INDEX('Deck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69" s="80" t="str">
        <f t="shared" si="3"/>
        <v/>
      </c>
      <c r="M1069" s="80" t="str">
        <f>IF(A1069="","",IF(AND(E1069="Y",B1069='Use at Shop'!$B$4),K1069*10000000000+(MAX(0,MIN(26,CODE(MID(UPPER(A1069)&amp;"    ",1,1))-64))*19683+MAX(0,MIN(26,CODE(MID(UPPER(A1069)&amp;"    ",2,1))-64))*729+MAX(0,MIN(26,CODE(MID(UPPER(A1069)&amp;"    ",3,1))-64))*27+MAX(0,MIN(26,CODE(MID(UPPER(A1069)&amp;"    ",4,1))-64))*1)*10000+ROW(),""))</f>
        <v/>
      </c>
      <c r="N1069" s="80" t="str">
        <f t="shared" si="8"/>
        <v/>
      </c>
      <c r="O1069" s="80" t="str">
        <f t="array" ref="O1069">IF(A1069="","",IFERROR(INDEX('Deck 4'!$A:$Z,ROW()-1000,'List Setup'!$J$6)&amp;"",""))</f>
        <v/>
      </c>
      <c r="P1069" s="2"/>
      <c r="Q1069" s="80" t="str">
        <f>IF(A1069="","",'List Setup'!$A$6)</f>
        <v/>
      </c>
      <c r="R1069" s="80" t="str">
        <f t="array" ref="R1069">IF(A1069="","",IFERROR(OR(INDEX(Binders!$J$6:$J$30,MATCH(Q1069,Binders!$I$6:$I$30,0))=TRUE(),UPPER(INDEX(Binders!$J$6:$J$30,MATCH(Q1069,Binders!$I$6:$I$30,0))&amp;"")="TRUE"),FALSE()))</f>
        <v/>
      </c>
    </row>
    <row r="1070" ht="15.75" customHeight="1">
      <c r="A1070" s="80" t="str">
        <f t="array" ref="A1070">IF(INDEX('Deck 4'!$A:$Z,ROW()-1000,'List Setup'!$D$6)="","",INDEX('Deck 4'!$A:$Z,ROW()-1000,'List Setup'!$D$6))</f>
        <v/>
      </c>
      <c r="B1070" s="80" t="str">
        <f t="array" ref="B1070">IF(A1070="","",IFERROR(INDEX('Binder Setup'!$B$2:$B$401,MIN(IF(ISNUMBER(SEARCH(CHAR(10)&amp;'Binder Setup'!$B$2:$B$401&amp;CHAR(10),$H1070)),'List Setup'!$Q$2:$Q$401,999),IF(ISNUMBER(SEARCH(CHAR(10)&amp;'Set Aliases'!$A$2:$A$501&amp;CHAR(10),$H1070)),'Set Aliases'!$C$2:$C$501,999))),"(none)"))</f>
        <v/>
      </c>
      <c r="C1070" s="80" t="str">
        <f t="shared" si="1"/>
        <v/>
      </c>
      <c r="D1070" s="80" t="str">
        <f t="array" ref="D1070">IF(A1070="","",IF(ISLOGICAL(INDEX('Deck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70" s="80" t="str">
        <f t="shared" si="2"/>
        <v/>
      </c>
      <c r="F1070" s="80" t="str">
        <f t="array" ref="F1070">IF(A1070="","",IF(ISNUMBER(J1070),J1070,IF(ISNUMBER(INDEX('Deck 4'!$A:$Z,ROW()-1000,'List Setup'!$F$6)),INDEX('Deck 4'!$A:$Z,ROW()-1000,'List Setup'!$F$6),0)))</f>
        <v/>
      </c>
      <c r="G1070" s="80" t="str">
        <f t="array" ref="G1070">IF(A1070="","",A1070&amp;IF(N(INDEX('Deck 4'!$A:$Z,ROW()-1000,'List Setup'!$C$6))&gt;1," (x"&amp;INDEX('Deck 4'!$A:$Z,ROW()-1000,'List Setup'!$C$6)&amp;")","")&amp;IF(COUNTIF(Binders!$J$6:$J$30,TRUE())&gt;1," ["&amp;Q1070&amp;"]",""))</f>
        <v/>
      </c>
      <c r="H1070" s="80" t="str">
        <f t="array" ref="H1070">IF(A1070="","",CHAR(10)&amp;INDEX('Deck 4'!$A:$Z,ROW()-1000,'List Setup'!$E$6)&amp;CHAR(10))</f>
        <v/>
      </c>
      <c r="I1070" s="80" t="str">
        <f t="array" ref="I1070">IF(OR(B1070="",B1070="(none)"),"",IF(ISNUMBER(SEARCH(CHAR(10)&amp;B1070&amp;CHAR(10),H1070)),B1070,IFERROR(INDEX('Set Aliases'!$A$2:$A$501,MATCH(1,('Set Aliases'!$B$2:$B$501=B1070)*ISNUMBER(SEARCH(CHAR(10)&amp;'Set Aliases'!$A$2:$A$501&amp;CHAR(10),H1070)),0)),"")))</f>
        <v/>
      </c>
      <c r="J1070" s="80" t="str">
        <f t="array" ref="J1070">IF(I1070="","",IFERROR(VALUE(TRIM(MID(SUBSTITUTE(INDEX('Deck 4'!$A:$Z,ROW()-1000,'List Setup'!$G$6),CHAR(10),REPT(" ",100)),((SEARCH(CHAR(10)&amp;I1070&amp;CHAR(10),H1070)-LEN(SUBSTITUTE(LEFT(H1070,SEARCH(CHAR(10)&amp;I1070&amp;CHAR(10),H1070)),CHAR(10),"")))-1)*100+1,100))),""))</f>
        <v/>
      </c>
      <c r="K1070" s="80" t="str">
        <f t="array" ref="K1070">IF(A1070="","",IF(ISNUMBER(SEARCH("Land",LEFT(IFERROR(INDEX('Deck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70" s="80" t="str">
        <f t="shared" si="3"/>
        <v/>
      </c>
      <c r="M1070" s="80" t="str">
        <f>IF(A1070="","",IF(AND(E1070="Y",B1070='Use at Shop'!$B$4),K1070*10000000000+(MAX(0,MIN(26,CODE(MID(UPPER(A1070)&amp;"    ",1,1))-64))*19683+MAX(0,MIN(26,CODE(MID(UPPER(A1070)&amp;"    ",2,1))-64))*729+MAX(0,MIN(26,CODE(MID(UPPER(A1070)&amp;"    ",3,1))-64))*27+MAX(0,MIN(26,CODE(MID(UPPER(A1070)&amp;"    ",4,1))-64))*1)*10000+ROW(),""))</f>
        <v/>
      </c>
      <c r="N1070" s="80" t="str">
        <f t="shared" si="8"/>
        <v/>
      </c>
      <c r="O1070" s="80" t="str">
        <f t="array" ref="O1070">IF(A1070="","",IFERROR(INDEX('Deck 4'!$A:$Z,ROW()-1000,'List Setup'!$J$6)&amp;"",""))</f>
        <v/>
      </c>
      <c r="P1070" s="2"/>
      <c r="Q1070" s="80" t="str">
        <f>IF(A1070="","",'List Setup'!$A$6)</f>
        <v/>
      </c>
      <c r="R1070" s="80" t="str">
        <f t="array" ref="R1070">IF(A1070="","",IFERROR(OR(INDEX(Binders!$J$6:$J$30,MATCH(Q1070,Binders!$I$6:$I$30,0))=TRUE(),UPPER(INDEX(Binders!$J$6:$J$30,MATCH(Q1070,Binders!$I$6:$I$30,0))&amp;"")="TRUE"),FALSE()))</f>
        <v/>
      </c>
    </row>
    <row r="1071" ht="15.75" customHeight="1">
      <c r="A1071" s="80" t="str">
        <f t="array" ref="A1071">IF(INDEX('Deck 4'!$A:$Z,ROW()-1000,'List Setup'!$D$6)="","",INDEX('Deck 4'!$A:$Z,ROW()-1000,'List Setup'!$D$6))</f>
        <v/>
      </c>
      <c r="B1071" s="80" t="str">
        <f t="array" ref="B1071">IF(A1071="","",IFERROR(INDEX('Binder Setup'!$B$2:$B$401,MIN(IF(ISNUMBER(SEARCH(CHAR(10)&amp;'Binder Setup'!$B$2:$B$401&amp;CHAR(10),$H1071)),'List Setup'!$Q$2:$Q$401,999),IF(ISNUMBER(SEARCH(CHAR(10)&amp;'Set Aliases'!$A$2:$A$501&amp;CHAR(10),$H1071)),'Set Aliases'!$C$2:$C$501,999))),"(none)"))</f>
        <v/>
      </c>
      <c r="C1071" s="80" t="str">
        <f t="shared" si="1"/>
        <v/>
      </c>
      <c r="D1071" s="80" t="str">
        <f t="array" ref="D1071">IF(A1071="","",IF(ISLOGICAL(INDEX('Deck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71" s="80" t="str">
        <f t="shared" si="2"/>
        <v/>
      </c>
      <c r="F1071" s="80" t="str">
        <f t="array" ref="F1071">IF(A1071="","",IF(ISNUMBER(J1071),J1071,IF(ISNUMBER(INDEX('Deck 4'!$A:$Z,ROW()-1000,'List Setup'!$F$6)),INDEX('Deck 4'!$A:$Z,ROW()-1000,'List Setup'!$F$6),0)))</f>
        <v/>
      </c>
      <c r="G1071" s="80" t="str">
        <f t="array" ref="G1071">IF(A1071="","",A1071&amp;IF(N(INDEX('Deck 4'!$A:$Z,ROW()-1000,'List Setup'!$C$6))&gt;1," (x"&amp;INDEX('Deck 4'!$A:$Z,ROW()-1000,'List Setup'!$C$6)&amp;")","")&amp;IF(COUNTIF(Binders!$J$6:$J$30,TRUE())&gt;1," ["&amp;Q1071&amp;"]",""))</f>
        <v/>
      </c>
      <c r="H1071" s="80" t="str">
        <f t="array" ref="H1071">IF(A1071="","",CHAR(10)&amp;INDEX('Deck 4'!$A:$Z,ROW()-1000,'List Setup'!$E$6)&amp;CHAR(10))</f>
        <v/>
      </c>
      <c r="I1071" s="80" t="str">
        <f t="array" ref="I1071">IF(OR(B1071="",B1071="(none)"),"",IF(ISNUMBER(SEARCH(CHAR(10)&amp;B1071&amp;CHAR(10),H1071)),B1071,IFERROR(INDEX('Set Aliases'!$A$2:$A$501,MATCH(1,('Set Aliases'!$B$2:$B$501=B1071)*ISNUMBER(SEARCH(CHAR(10)&amp;'Set Aliases'!$A$2:$A$501&amp;CHAR(10),H1071)),0)),"")))</f>
        <v/>
      </c>
      <c r="J1071" s="80" t="str">
        <f t="array" ref="J1071">IF(I1071="","",IFERROR(VALUE(TRIM(MID(SUBSTITUTE(INDEX('Deck 4'!$A:$Z,ROW()-1000,'List Setup'!$G$6),CHAR(10),REPT(" ",100)),((SEARCH(CHAR(10)&amp;I1071&amp;CHAR(10),H1071)-LEN(SUBSTITUTE(LEFT(H1071,SEARCH(CHAR(10)&amp;I1071&amp;CHAR(10),H1071)),CHAR(10),"")))-1)*100+1,100))),""))</f>
        <v/>
      </c>
      <c r="K1071" s="80" t="str">
        <f t="array" ref="K1071">IF(A1071="","",IF(ISNUMBER(SEARCH("Land",LEFT(IFERROR(INDEX('Deck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71" s="80" t="str">
        <f t="shared" si="3"/>
        <v/>
      </c>
      <c r="M1071" s="80" t="str">
        <f>IF(A1071="","",IF(AND(E1071="Y",B1071='Use at Shop'!$B$4),K1071*10000000000+(MAX(0,MIN(26,CODE(MID(UPPER(A1071)&amp;"    ",1,1))-64))*19683+MAX(0,MIN(26,CODE(MID(UPPER(A1071)&amp;"    ",2,1))-64))*729+MAX(0,MIN(26,CODE(MID(UPPER(A1071)&amp;"    ",3,1))-64))*27+MAX(0,MIN(26,CODE(MID(UPPER(A1071)&amp;"    ",4,1))-64))*1)*10000+ROW(),""))</f>
        <v/>
      </c>
      <c r="N1071" s="80" t="str">
        <f t="shared" si="8"/>
        <v/>
      </c>
      <c r="O1071" s="80" t="str">
        <f t="array" ref="O1071">IF(A1071="","",IFERROR(INDEX('Deck 4'!$A:$Z,ROW()-1000,'List Setup'!$J$6)&amp;"",""))</f>
        <v/>
      </c>
      <c r="P1071" s="2"/>
      <c r="Q1071" s="80" t="str">
        <f>IF(A1071="","",'List Setup'!$A$6)</f>
        <v/>
      </c>
      <c r="R1071" s="80" t="str">
        <f t="array" ref="R1071">IF(A1071="","",IFERROR(OR(INDEX(Binders!$J$6:$J$30,MATCH(Q1071,Binders!$I$6:$I$30,0))=TRUE(),UPPER(INDEX(Binders!$J$6:$J$30,MATCH(Q1071,Binders!$I$6:$I$30,0))&amp;"")="TRUE"),FALSE()))</f>
        <v/>
      </c>
    </row>
    <row r="1072" ht="15.75" customHeight="1">
      <c r="A1072" s="80" t="str">
        <f t="array" ref="A1072">IF(INDEX('Deck 4'!$A:$Z,ROW()-1000,'List Setup'!$D$6)="","",INDEX('Deck 4'!$A:$Z,ROW()-1000,'List Setup'!$D$6))</f>
        <v/>
      </c>
      <c r="B1072" s="80" t="str">
        <f t="array" ref="B1072">IF(A1072="","",IFERROR(INDEX('Binder Setup'!$B$2:$B$401,MIN(IF(ISNUMBER(SEARCH(CHAR(10)&amp;'Binder Setup'!$B$2:$B$401&amp;CHAR(10),$H1072)),'List Setup'!$Q$2:$Q$401,999),IF(ISNUMBER(SEARCH(CHAR(10)&amp;'Set Aliases'!$A$2:$A$501&amp;CHAR(10),$H1072)),'Set Aliases'!$C$2:$C$501,999))),"(none)"))</f>
        <v/>
      </c>
      <c r="C1072" s="80" t="str">
        <f t="shared" si="1"/>
        <v/>
      </c>
      <c r="D1072" s="80" t="str">
        <f t="array" ref="D1072">IF(A1072="","",IF(ISLOGICAL(INDEX('Deck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72" s="80" t="str">
        <f t="shared" si="2"/>
        <v/>
      </c>
      <c r="F1072" s="80" t="str">
        <f t="array" ref="F1072">IF(A1072="","",IF(ISNUMBER(J1072),J1072,IF(ISNUMBER(INDEX('Deck 4'!$A:$Z,ROW()-1000,'List Setup'!$F$6)),INDEX('Deck 4'!$A:$Z,ROW()-1000,'List Setup'!$F$6),0)))</f>
        <v/>
      </c>
      <c r="G1072" s="80" t="str">
        <f t="array" ref="G1072">IF(A1072="","",A1072&amp;IF(N(INDEX('Deck 4'!$A:$Z,ROW()-1000,'List Setup'!$C$6))&gt;1," (x"&amp;INDEX('Deck 4'!$A:$Z,ROW()-1000,'List Setup'!$C$6)&amp;")","")&amp;IF(COUNTIF(Binders!$J$6:$J$30,TRUE())&gt;1," ["&amp;Q1072&amp;"]",""))</f>
        <v/>
      </c>
      <c r="H1072" s="80" t="str">
        <f t="array" ref="H1072">IF(A1072="","",CHAR(10)&amp;INDEX('Deck 4'!$A:$Z,ROW()-1000,'List Setup'!$E$6)&amp;CHAR(10))</f>
        <v/>
      </c>
      <c r="I1072" s="80" t="str">
        <f t="array" ref="I1072">IF(OR(B1072="",B1072="(none)"),"",IF(ISNUMBER(SEARCH(CHAR(10)&amp;B1072&amp;CHAR(10),H1072)),B1072,IFERROR(INDEX('Set Aliases'!$A$2:$A$501,MATCH(1,('Set Aliases'!$B$2:$B$501=B1072)*ISNUMBER(SEARCH(CHAR(10)&amp;'Set Aliases'!$A$2:$A$501&amp;CHAR(10),H1072)),0)),"")))</f>
        <v/>
      </c>
      <c r="J1072" s="80" t="str">
        <f t="array" ref="J1072">IF(I1072="","",IFERROR(VALUE(TRIM(MID(SUBSTITUTE(INDEX('Deck 4'!$A:$Z,ROW()-1000,'List Setup'!$G$6),CHAR(10),REPT(" ",100)),((SEARCH(CHAR(10)&amp;I1072&amp;CHAR(10),H1072)-LEN(SUBSTITUTE(LEFT(H1072,SEARCH(CHAR(10)&amp;I1072&amp;CHAR(10),H1072)),CHAR(10),"")))-1)*100+1,100))),""))</f>
        <v/>
      </c>
      <c r="K1072" s="80" t="str">
        <f t="array" ref="K1072">IF(A1072="","",IF(ISNUMBER(SEARCH("Land",LEFT(IFERROR(INDEX('Deck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72" s="80" t="str">
        <f t="shared" si="3"/>
        <v/>
      </c>
      <c r="M1072" s="80" t="str">
        <f>IF(A1072="","",IF(AND(E1072="Y",B1072='Use at Shop'!$B$4),K1072*10000000000+(MAX(0,MIN(26,CODE(MID(UPPER(A1072)&amp;"    ",1,1))-64))*19683+MAX(0,MIN(26,CODE(MID(UPPER(A1072)&amp;"    ",2,1))-64))*729+MAX(0,MIN(26,CODE(MID(UPPER(A1072)&amp;"    ",3,1))-64))*27+MAX(0,MIN(26,CODE(MID(UPPER(A1072)&amp;"    ",4,1))-64))*1)*10000+ROW(),""))</f>
        <v/>
      </c>
      <c r="N1072" s="80" t="str">
        <f t="shared" si="8"/>
        <v/>
      </c>
      <c r="O1072" s="80" t="str">
        <f t="array" ref="O1072">IF(A1072="","",IFERROR(INDEX('Deck 4'!$A:$Z,ROW()-1000,'List Setup'!$J$6)&amp;"",""))</f>
        <v/>
      </c>
      <c r="P1072" s="2"/>
      <c r="Q1072" s="80" t="str">
        <f>IF(A1072="","",'List Setup'!$A$6)</f>
        <v/>
      </c>
      <c r="R1072" s="80" t="str">
        <f t="array" ref="R1072">IF(A1072="","",IFERROR(OR(INDEX(Binders!$J$6:$J$30,MATCH(Q1072,Binders!$I$6:$I$30,0))=TRUE(),UPPER(INDEX(Binders!$J$6:$J$30,MATCH(Q1072,Binders!$I$6:$I$30,0))&amp;"")="TRUE"),FALSE()))</f>
        <v/>
      </c>
    </row>
    <row r="1073" ht="15.75" customHeight="1">
      <c r="A1073" s="80" t="str">
        <f t="array" ref="A1073">IF(INDEX('Deck 4'!$A:$Z,ROW()-1000,'List Setup'!$D$6)="","",INDEX('Deck 4'!$A:$Z,ROW()-1000,'List Setup'!$D$6))</f>
        <v/>
      </c>
      <c r="B1073" s="80" t="str">
        <f t="array" ref="B1073">IF(A1073="","",IFERROR(INDEX('Binder Setup'!$B$2:$B$401,MIN(IF(ISNUMBER(SEARCH(CHAR(10)&amp;'Binder Setup'!$B$2:$B$401&amp;CHAR(10),$H1073)),'List Setup'!$Q$2:$Q$401,999),IF(ISNUMBER(SEARCH(CHAR(10)&amp;'Set Aliases'!$A$2:$A$501&amp;CHAR(10),$H1073)),'Set Aliases'!$C$2:$C$501,999))),"(none)"))</f>
        <v/>
      </c>
      <c r="C1073" s="80" t="str">
        <f t="shared" si="1"/>
        <v/>
      </c>
      <c r="D1073" s="80" t="str">
        <f t="array" ref="D1073">IF(A1073="","",IF(ISLOGICAL(INDEX('Deck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73" s="80" t="str">
        <f t="shared" si="2"/>
        <v/>
      </c>
      <c r="F1073" s="80" t="str">
        <f t="array" ref="F1073">IF(A1073="","",IF(ISNUMBER(J1073),J1073,IF(ISNUMBER(INDEX('Deck 4'!$A:$Z,ROW()-1000,'List Setup'!$F$6)),INDEX('Deck 4'!$A:$Z,ROW()-1000,'List Setup'!$F$6),0)))</f>
        <v/>
      </c>
      <c r="G1073" s="80" t="str">
        <f t="array" ref="G1073">IF(A1073="","",A1073&amp;IF(N(INDEX('Deck 4'!$A:$Z,ROW()-1000,'List Setup'!$C$6))&gt;1," (x"&amp;INDEX('Deck 4'!$A:$Z,ROW()-1000,'List Setup'!$C$6)&amp;")","")&amp;IF(COUNTIF(Binders!$J$6:$J$30,TRUE())&gt;1," ["&amp;Q1073&amp;"]",""))</f>
        <v/>
      </c>
      <c r="H1073" s="80" t="str">
        <f t="array" ref="H1073">IF(A1073="","",CHAR(10)&amp;INDEX('Deck 4'!$A:$Z,ROW()-1000,'List Setup'!$E$6)&amp;CHAR(10))</f>
        <v/>
      </c>
      <c r="I1073" s="80" t="str">
        <f t="array" ref="I1073">IF(OR(B1073="",B1073="(none)"),"",IF(ISNUMBER(SEARCH(CHAR(10)&amp;B1073&amp;CHAR(10),H1073)),B1073,IFERROR(INDEX('Set Aliases'!$A$2:$A$501,MATCH(1,('Set Aliases'!$B$2:$B$501=B1073)*ISNUMBER(SEARCH(CHAR(10)&amp;'Set Aliases'!$A$2:$A$501&amp;CHAR(10),H1073)),0)),"")))</f>
        <v/>
      </c>
      <c r="J1073" s="80" t="str">
        <f t="array" ref="J1073">IF(I1073="","",IFERROR(VALUE(TRIM(MID(SUBSTITUTE(INDEX('Deck 4'!$A:$Z,ROW()-1000,'List Setup'!$G$6),CHAR(10),REPT(" ",100)),((SEARCH(CHAR(10)&amp;I1073&amp;CHAR(10),H1073)-LEN(SUBSTITUTE(LEFT(H1073,SEARCH(CHAR(10)&amp;I1073&amp;CHAR(10),H1073)),CHAR(10),"")))-1)*100+1,100))),""))</f>
        <v/>
      </c>
      <c r="K1073" s="80" t="str">
        <f t="array" ref="K1073">IF(A1073="","",IF(ISNUMBER(SEARCH("Land",LEFT(IFERROR(INDEX('Deck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73" s="80" t="str">
        <f t="shared" si="3"/>
        <v/>
      </c>
      <c r="M1073" s="80" t="str">
        <f>IF(A1073="","",IF(AND(E1073="Y",B1073='Use at Shop'!$B$4),K1073*10000000000+(MAX(0,MIN(26,CODE(MID(UPPER(A1073)&amp;"    ",1,1))-64))*19683+MAX(0,MIN(26,CODE(MID(UPPER(A1073)&amp;"    ",2,1))-64))*729+MAX(0,MIN(26,CODE(MID(UPPER(A1073)&amp;"    ",3,1))-64))*27+MAX(0,MIN(26,CODE(MID(UPPER(A1073)&amp;"    ",4,1))-64))*1)*10000+ROW(),""))</f>
        <v/>
      </c>
      <c r="N1073" s="80" t="str">
        <f t="shared" si="8"/>
        <v/>
      </c>
      <c r="O1073" s="80" t="str">
        <f t="array" ref="O1073">IF(A1073="","",IFERROR(INDEX('Deck 4'!$A:$Z,ROW()-1000,'List Setup'!$J$6)&amp;"",""))</f>
        <v/>
      </c>
      <c r="P1073" s="2"/>
      <c r="Q1073" s="80" t="str">
        <f>IF(A1073="","",'List Setup'!$A$6)</f>
        <v/>
      </c>
      <c r="R1073" s="80" t="str">
        <f t="array" ref="R1073">IF(A1073="","",IFERROR(OR(INDEX(Binders!$J$6:$J$30,MATCH(Q1073,Binders!$I$6:$I$30,0))=TRUE(),UPPER(INDEX(Binders!$J$6:$J$30,MATCH(Q1073,Binders!$I$6:$I$30,0))&amp;"")="TRUE"),FALSE()))</f>
        <v/>
      </c>
    </row>
    <row r="1074" ht="15.75" customHeight="1">
      <c r="A1074" s="80" t="str">
        <f t="array" ref="A1074">IF(INDEX('Deck 4'!$A:$Z,ROW()-1000,'List Setup'!$D$6)="","",INDEX('Deck 4'!$A:$Z,ROW()-1000,'List Setup'!$D$6))</f>
        <v/>
      </c>
      <c r="B1074" s="80" t="str">
        <f t="array" ref="B1074">IF(A1074="","",IFERROR(INDEX('Binder Setup'!$B$2:$B$401,MIN(IF(ISNUMBER(SEARCH(CHAR(10)&amp;'Binder Setup'!$B$2:$B$401&amp;CHAR(10),$H1074)),'List Setup'!$Q$2:$Q$401,999),IF(ISNUMBER(SEARCH(CHAR(10)&amp;'Set Aliases'!$A$2:$A$501&amp;CHAR(10),$H1074)),'Set Aliases'!$C$2:$C$501,999))),"(none)"))</f>
        <v/>
      </c>
      <c r="C1074" s="80" t="str">
        <f t="shared" si="1"/>
        <v/>
      </c>
      <c r="D1074" s="80" t="str">
        <f t="array" ref="D1074">IF(A1074="","",IF(ISLOGICAL(INDEX('Deck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74" s="80" t="str">
        <f t="shared" si="2"/>
        <v/>
      </c>
      <c r="F1074" s="80" t="str">
        <f t="array" ref="F1074">IF(A1074="","",IF(ISNUMBER(J1074),J1074,IF(ISNUMBER(INDEX('Deck 4'!$A:$Z,ROW()-1000,'List Setup'!$F$6)),INDEX('Deck 4'!$A:$Z,ROW()-1000,'List Setup'!$F$6),0)))</f>
        <v/>
      </c>
      <c r="G1074" s="80" t="str">
        <f t="array" ref="G1074">IF(A1074="","",A1074&amp;IF(N(INDEX('Deck 4'!$A:$Z,ROW()-1000,'List Setup'!$C$6))&gt;1," (x"&amp;INDEX('Deck 4'!$A:$Z,ROW()-1000,'List Setup'!$C$6)&amp;")","")&amp;IF(COUNTIF(Binders!$J$6:$J$30,TRUE())&gt;1," ["&amp;Q1074&amp;"]",""))</f>
        <v/>
      </c>
      <c r="H1074" s="80" t="str">
        <f t="array" ref="H1074">IF(A1074="","",CHAR(10)&amp;INDEX('Deck 4'!$A:$Z,ROW()-1000,'List Setup'!$E$6)&amp;CHAR(10))</f>
        <v/>
      </c>
      <c r="I1074" s="80" t="str">
        <f t="array" ref="I1074">IF(OR(B1074="",B1074="(none)"),"",IF(ISNUMBER(SEARCH(CHAR(10)&amp;B1074&amp;CHAR(10),H1074)),B1074,IFERROR(INDEX('Set Aliases'!$A$2:$A$501,MATCH(1,('Set Aliases'!$B$2:$B$501=B1074)*ISNUMBER(SEARCH(CHAR(10)&amp;'Set Aliases'!$A$2:$A$501&amp;CHAR(10),H1074)),0)),"")))</f>
        <v/>
      </c>
      <c r="J1074" s="80" t="str">
        <f t="array" ref="J1074">IF(I1074="","",IFERROR(VALUE(TRIM(MID(SUBSTITUTE(INDEX('Deck 4'!$A:$Z,ROW()-1000,'List Setup'!$G$6),CHAR(10),REPT(" ",100)),((SEARCH(CHAR(10)&amp;I1074&amp;CHAR(10),H1074)-LEN(SUBSTITUTE(LEFT(H1074,SEARCH(CHAR(10)&amp;I1074&amp;CHAR(10),H1074)),CHAR(10),"")))-1)*100+1,100))),""))</f>
        <v/>
      </c>
      <c r="K1074" s="80" t="str">
        <f t="array" ref="K1074">IF(A1074="","",IF(ISNUMBER(SEARCH("Land",LEFT(IFERROR(INDEX('Deck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74" s="80" t="str">
        <f t="shared" si="3"/>
        <v/>
      </c>
      <c r="M1074" s="80" t="str">
        <f>IF(A1074="","",IF(AND(E1074="Y",B1074='Use at Shop'!$B$4),K1074*10000000000+(MAX(0,MIN(26,CODE(MID(UPPER(A1074)&amp;"    ",1,1))-64))*19683+MAX(0,MIN(26,CODE(MID(UPPER(A1074)&amp;"    ",2,1))-64))*729+MAX(0,MIN(26,CODE(MID(UPPER(A1074)&amp;"    ",3,1))-64))*27+MAX(0,MIN(26,CODE(MID(UPPER(A1074)&amp;"    ",4,1))-64))*1)*10000+ROW(),""))</f>
        <v/>
      </c>
      <c r="N1074" s="80" t="str">
        <f t="shared" si="8"/>
        <v/>
      </c>
      <c r="O1074" s="80" t="str">
        <f t="array" ref="O1074">IF(A1074="","",IFERROR(INDEX('Deck 4'!$A:$Z,ROW()-1000,'List Setup'!$J$6)&amp;"",""))</f>
        <v/>
      </c>
      <c r="P1074" s="2"/>
      <c r="Q1074" s="80" t="str">
        <f>IF(A1074="","",'List Setup'!$A$6)</f>
        <v/>
      </c>
      <c r="R1074" s="80" t="str">
        <f t="array" ref="R1074">IF(A1074="","",IFERROR(OR(INDEX(Binders!$J$6:$J$30,MATCH(Q1074,Binders!$I$6:$I$30,0))=TRUE(),UPPER(INDEX(Binders!$J$6:$J$30,MATCH(Q1074,Binders!$I$6:$I$30,0))&amp;"")="TRUE"),FALSE()))</f>
        <v/>
      </c>
    </row>
    <row r="1075" ht="15.75" customHeight="1">
      <c r="A1075" s="80" t="str">
        <f t="array" ref="A1075">IF(INDEX('Deck 4'!$A:$Z,ROW()-1000,'List Setup'!$D$6)="","",INDEX('Deck 4'!$A:$Z,ROW()-1000,'List Setup'!$D$6))</f>
        <v/>
      </c>
      <c r="B1075" s="80" t="str">
        <f t="array" ref="B1075">IF(A1075="","",IFERROR(INDEX('Binder Setup'!$B$2:$B$401,MIN(IF(ISNUMBER(SEARCH(CHAR(10)&amp;'Binder Setup'!$B$2:$B$401&amp;CHAR(10),$H1075)),'List Setup'!$Q$2:$Q$401,999),IF(ISNUMBER(SEARCH(CHAR(10)&amp;'Set Aliases'!$A$2:$A$501&amp;CHAR(10),$H1075)),'Set Aliases'!$C$2:$C$501,999))),"(none)"))</f>
        <v/>
      </c>
      <c r="C1075" s="80" t="str">
        <f t="shared" si="1"/>
        <v/>
      </c>
      <c r="D1075" s="80" t="str">
        <f t="array" ref="D1075">IF(A1075="","",IF(ISLOGICAL(INDEX('Deck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75" s="80" t="str">
        <f t="shared" si="2"/>
        <v/>
      </c>
      <c r="F1075" s="80" t="str">
        <f t="array" ref="F1075">IF(A1075="","",IF(ISNUMBER(J1075),J1075,IF(ISNUMBER(INDEX('Deck 4'!$A:$Z,ROW()-1000,'List Setup'!$F$6)),INDEX('Deck 4'!$A:$Z,ROW()-1000,'List Setup'!$F$6),0)))</f>
        <v/>
      </c>
      <c r="G1075" s="80" t="str">
        <f t="array" ref="G1075">IF(A1075="","",A1075&amp;IF(N(INDEX('Deck 4'!$A:$Z,ROW()-1000,'List Setup'!$C$6))&gt;1," (x"&amp;INDEX('Deck 4'!$A:$Z,ROW()-1000,'List Setup'!$C$6)&amp;")","")&amp;IF(COUNTIF(Binders!$J$6:$J$30,TRUE())&gt;1," ["&amp;Q1075&amp;"]",""))</f>
        <v/>
      </c>
      <c r="H1075" s="80" t="str">
        <f t="array" ref="H1075">IF(A1075="","",CHAR(10)&amp;INDEX('Deck 4'!$A:$Z,ROW()-1000,'List Setup'!$E$6)&amp;CHAR(10))</f>
        <v/>
      </c>
      <c r="I1075" s="80" t="str">
        <f t="array" ref="I1075">IF(OR(B1075="",B1075="(none)"),"",IF(ISNUMBER(SEARCH(CHAR(10)&amp;B1075&amp;CHAR(10),H1075)),B1075,IFERROR(INDEX('Set Aliases'!$A$2:$A$501,MATCH(1,('Set Aliases'!$B$2:$B$501=B1075)*ISNUMBER(SEARCH(CHAR(10)&amp;'Set Aliases'!$A$2:$A$501&amp;CHAR(10),H1075)),0)),"")))</f>
        <v/>
      </c>
      <c r="J1075" s="80" t="str">
        <f t="array" ref="J1075">IF(I1075="","",IFERROR(VALUE(TRIM(MID(SUBSTITUTE(INDEX('Deck 4'!$A:$Z,ROW()-1000,'List Setup'!$G$6),CHAR(10),REPT(" ",100)),((SEARCH(CHAR(10)&amp;I1075&amp;CHAR(10),H1075)-LEN(SUBSTITUTE(LEFT(H1075,SEARCH(CHAR(10)&amp;I1075&amp;CHAR(10),H1075)),CHAR(10),"")))-1)*100+1,100))),""))</f>
        <v/>
      </c>
      <c r="K1075" s="80" t="str">
        <f t="array" ref="K1075">IF(A1075="","",IF(ISNUMBER(SEARCH("Land",LEFT(IFERROR(INDEX('Deck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75" s="80" t="str">
        <f t="shared" si="3"/>
        <v/>
      </c>
      <c r="M1075" s="80" t="str">
        <f>IF(A1075="","",IF(AND(E1075="Y",B1075='Use at Shop'!$B$4),K1075*10000000000+(MAX(0,MIN(26,CODE(MID(UPPER(A1075)&amp;"    ",1,1))-64))*19683+MAX(0,MIN(26,CODE(MID(UPPER(A1075)&amp;"    ",2,1))-64))*729+MAX(0,MIN(26,CODE(MID(UPPER(A1075)&amp;"    ",3,1))-64))*27+MAX(0,MIN(26,CODE(MID(UPPER(A1075)&amp;"    ",4,1))-64))*1)*10000+ROW(),""))</f>
        <v/>
      </c>
      <c r="N1075" s="80" t="str">
        <f t="shared" si="8"/>
        <v/>
      </c>
      <c r="O1075" s="80" t="str">
        <f t="array" ref="O1075">IF(A1075="","",IFERROR(INDEX('Deck 4'!$A:$Z,ROW()-1000,'List Setup'!$J$6)&amp;"",""))</f>
        <v/>
      </c>
      <c r="P1075" s="2"/>
      <c r="Q1075" s="80" t="str">
        <f>IF(A1075="","",'List Setup'!$A$6)</f>
        <v/>
      </c>
      <c r="R1075" s="80" t="str">
        <f t="array" ref="R1075">IF(A1075="","",IFERROR(OR(INDEX(Binders!$J$6:$J$30,MATCH(Q1075,Binders!$I$6:$I$30,0))=TRUE(),UPPER(INDEX(Binders!$J$6:$J$30,MATCH(Q1075,Binders!$I$6:$I$30,0))&amp;"")="TRUE"),FALSE()))</f>
        <v/>
      </c>
    </row>
    <row r="1076" ht="15.75" customHeight="1">
      <c r="A1076" s="80" t="str">
        <f t="array" ref="A1076">IF(INDEX('Deck 4'!$A:$Z,ROW()-1000,'List Setup'!$D$6)="","",INDEX('Deck 4'!$A:$Z,ROW()-1000,'List Setup'!$D$6))</f>
        <v/>
      </c>
      <c r="B1076" s="80" t="str">
        <f t="array" ref="B1076">IF(A1076="","",IFERROR(INDEX('Binder Setup'!$B$2:$B$401,MIN(IF(ISNUMBER(SEARCH(CHAR(10)&amp;'Binder Setup'!$B$2:$B$401&amp;CHAR(10),$H1076)),'List Setup'!$Q$2:$Q$401,999),IF(ISNUMBER(SEARCH(CHAR(10)&amp;'Set Aliases'!$A$2:$A$501&amp;CHAR(10),$H1076)),'Set Aliases'!$C$2:$C$501,999))),"(none)"))</f>
        <v/>
      </c>
      <c r="C1076" s="80" t="str">
        <f t="shared" si="1"/>
        <v/>
      </c>
      <c r="D1076" s="80" t="str">
        <f t="array" ref="D1076">IF(A1076="","",IF(ISLOGICAL(INDEX('Deck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76" s="80" t="str">
        <f t="shared" si="2"/>
        <v/>
      </c>
      <c r="F1076" s="80" t="str">
        <f t="array" ref="F1076">IF(A1076="","",IF(ISNUMBER(J1076),J1076,IF(ISNUMBER(INDEX('Deck 4'!$A:$Z,ROW()-1000,'List Setup'!$F$6)),INDEX('Deck 4'!$A:$Z,ROW()-1000,'List Setup'!$F$6),0)))</f>
        <v/>
      </c>
      <c r="G1076" s="80" t="str">
        <f t="array" ref="G1076">IF(A1076="","",A1076&amp;IF(N(INDEX('Deck 4'!$A:$Z,ROW()-1000,'List Setup'!$C$6))&gt;1," (x"&amp;INDEX('Deck 4'!$A:$Z,ROW()-1000,'List Setup'!$C$6)&amp;")","")&amp;IF(COUNTIF(Binders!$J$6:$J$30,TRUE())&gt;1," ["&amp;Q1076&amp;"]",""))</f>
        <v/>
      </c>
      <c r="H1076" s="80" t="str">
        <f t="array" ref="H1076">IF(A1076="","",CHAR(10)&amp;INDEX('Deck 4'!$A:$Z,ROW()-1000,'List Setup'!$E$6)&amp;CHAR(10))</f>
        <v/>
      </c>
      <c r="I1076" s="80" t="str">
        <f t="array" ref="I1076">IF(OR(B1076="",B1076="(none)"),"",IF(ISNUMBER(SEARCH(CHAR(10)&amp;B1076&amp;CHAR(10),H1076)),B1076,IFERROR(INDEX('Set Aliases'!$A$2:$A$501,MATCH(1,('Set Aliases'!$B$2:$B$501=B1076)*ISNUMBER(SEARCH(CHAR(10)&amp;'Set Aliases'!$A$2:$A$501&amp;CHAR(10),H1076)),0)),"")))</f>
        <v/>
      </c>
      <c r="J1076" s="80" t="str">
        <f t="array" ref="J1076">IF(I1076="","",IFERROR(VALUE(TRIM(MID(SUBSTITUTE(INDEX('Deck 4'!$A:$Z,ROW()-1000,'List Setup'!$G$6),CHAR(10),REPT(" ",100)),((SEARCH(CHAR(10)&amp;I1076&amp;CHAR(10),H1076)-LEN(SUBSTITUTE(LEFT(H1076,SEARCH(CHAR(10)&amp;I1076&amp;CHAR(10),H1076)),CHAR(10),"")))-1)*100+1,100))),""))</f>
        <v/>
      </c>
      <c r="K1076" s="80" t="str">
        <f t="array" ref="K1076">IF(A1076="","",IF(ISNUMBER(SEARCH("Land",LEFT(IFERROR(INDEX('Deck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76" s="80" t="str">
        <f t="shared" si="3"/>
        <v/>
      </c>
      <c r="M1076" s="80" t="str">
        <f>IF(A1076="","",IF(AND(E1076="Y",B1076='Use at Shop'!$B$4),K1076*10000000000+(MAX(0,MIN(26,CODE(MID(UPPER(A1076)&amp;"    ",1,1))-64))*19683+MAX(0,MIN(26,CODE(MID(UPPER(A1076)&amp;"    ",2,1))-64))*729+MAX(0,MIN(26,CODE(MID(UPPER(A1076)&amp;"    ",3,1))-64))*27+MAX(0,MIN(26,CODE(MID(UPPER(A1076)&amp;"    ",4,1))-64))*1)*10000+ROW(),""))</f>
        <v/>
      </c>
      <c r="N1076" s="80" t="str">
        <f t="shared" si="8"/>
        <v/>
      </c>
      <c r="O1076" s="80" t="str">
        <f t="array" ref="O1076">IF(A1076="","",IFERROR(INDEX('Deck 4'!$A:$Z,ROW()-1000,'List Setup'!$J$6)&amp;"",""))</f>
        <v/>
      </c>
      <c r="P1076" s="2"/>
      <c r="Q1076" s="80" t="str">
        <f>IF(A1076="","",'List Setup'!$A$6)</f>
        <v/>
      </c>
      <c r="R1076" s="80" t="str">
        <f t="array" ref="R1076">IF(A1076="","",IFERROR(OR(INDEX(Binders!$J$6:$J$30,MATCH(Q1076,Binders!$I$6:$I$30,0))=TRUE(),UPPER(INDEX(Binders!$J$6:$J$30,MATCH(Q1076,Binders!$I$6:$I$30,0))&amp;"")="TRUE"),FALSE()))</f>
        <v/>
      </c>
    </row>
    <row r="1077" ht="15.75" customHeight="1">
      <c r="A1077" s="80" t="str">
        <f t="array" ref="A1077">IF(INDEX('Deck 4'!$A:$Z,ROW()-1000,'List Setup'!$D$6)="","",INDEX('Deck 4'!$A:$Z,ROW()-1000,'List Setup'!$D$6))</f>
        <v/>
      </c>
      <c r="B1077" s="80" t="str">
        <f t="array" ref="B1077">IF(A1077="","",IFERROR(INDEX('Binder Setup'!$B$2:$B$401,MIN(IF(ISNUMBER(SEARCH(CHAR(10)&amp;'Binder Setup'!$B$2:$B$401&amp;CHAR(10),$H1077)),'List Setup'!$Q$2:$Q$401,999),IF(ISNUMBER(SEARCH(CHAR(10)&amp;'Set Aliases'!$A$2:$A$501&amp;CHAR(10),$H1077)),'Set Aliases'!$C$2:$C$501,999))),"(none)"))</f>
        <v/>
      </c>
      <c r="C1077" s="80" t="str">
        <f t="shared" si="1"/>
        <v/>
      </c>
      <c r="D1077" s="80" t="str">
        <f t="array" ref="D1077">IF(A1077="","",IF(ISLOGICAL(INDEX('Deck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77" s="80" t="str">
        <f t="shared" si="2"/>
        <v/>
      </c>
      <c r="F1077" s="80" t="str">
        <f t="array" ref="F1077">IF(A1077="","",IF(ISNUMBER(J1077),J1077,IF(ISNUMBER(INDEX('Deck 4'!$A:$Z,ROW()-1000,'List Setup'!$F$6)),INDEX('Deck 4'!$A:$Z,ROW()-1000,'List Setup'!$F$6),0)))</f>
        <v/>
      </c>
      <c r="G1077" s="80" t="str">
        <f t="array" ref="G1077">IF(A1077="","",A1077&amp;IF(N(INDEX('Deck 4'!$A:$Z,ROW()-1000,'List Setup'!$C$6))&gt;1," (x"&amp;INDEX('Deck 4'!$A:$Z,ROW()-1000,'List Setup'!$C$6)&amp;")","")&amp;IF(COUNTIF(Binders!$J$6:$J$30,TRUE())&gt;1," ["&amp;Q1077&amp;"]",""))</f>
        <v/>
      </c>
      <c r="H1077" s="80" t="str">
        <f t="array" ref="H1077">IF(A1077="","",CHAR(10)&amp;INDEX('Deck 4'!$A:$Z,ROW()-1000,'List Setup'!$E$6)&amp;CHAR(10))</f>
        <v/>
      </c>
      <c r="I1077" s="80" t="str">
        <f t="array" ref="I1077">IF(OR(B1077="",B1077="(none)"),"",IF(ISNUMBER(SEARCH(CHAR(10)&amp;B1077&amp;CHAR(10),H1077)),B1077,IFERROR(INDEX('Set Aliases'!$A$2:$A$501,MATCH(1,('Set Aliases'!$B$2:$B$501=B1077)*ISNUMBER(SEARCH(CHAR(10)&amp;'Set Aliases'!$A$2:$A$501&amp;CHAR(10),H1077)),0)),"")))</f>
        <v/>
      </c>
      <c r="J1077" s="80" t="str">
        <f t="array" ref="J1077">IF(I1077="","",IFERROR(VALUE(TRIM(MID(SUBSTITUTE(INDEX('Deck 4'!$A:$Z,ROW()-1000,'List Setup'!$G$6),CHAR(10),REPT(" ",100)),((SEARCH(CHAR(10)&amp;I1077&amp;CHAR(10),H1077)-LEN(SUBSTITUTE(LEFT(H1077,SEARCH(CHAR(10)&amp;I1077&amp;CHAR(10),H1077)),CHAR(10),"")))-1)*100+1,100))),""))</f>
        <v/>
      </c>
      <c r="K1077" s="80" t="str">
        <f t="array" ref="K1077">IF(A1077="","",IF(ISNUMBER(SEARCH("Land",LEFT(IFERROR(INDEX('Deck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77" s="80" t="str">
        <f t="shared" si="3"/>
        <v/>
      </c>
      <c r="M1077" s="80" t="str">
        <f>IF(A1077="","",IF(AND(E1077="Y",B1077='Use at Shop'!$B$4),K1077*10000000000+(MAX(0,MIN(26,CODE(MID(UPPER(A1077)&amp;"    ",1,1))-64))*19683+MAX(0,MIN(26,CODE(MID(UPPER(A1077)&amp;"    ",2,1))-64))*729+MAX(0,MIN(26,CODE(MID(UPPER(A1077)&amp;"    ",3,1))-64))*27+MAX(0,MIN(26,CODE(MID(UPPER(A1077)&amp;"    ",4,1))-64))*1)*10000+ROW(),""))</f>
        <v/>
      </c>
      <c r="N1077" s="80" t="str">
        <f t="shared" si="8"/>
        <v/>
      </c>
      <c r="O1077" s="80" t="str">
        <f t="array" ref="O1077">IF(A1077="","",IFERROR(INDEX('Deck 4'!$A:$Z,ROW()-1000,'List Setup'!$J$6)&amp;"",""))</f>
        <v/>
      </c>
      <c r="P1077" s="2"/>
      <c r="Q1077" s="80" t="str">
        <f>IF(A1077="","",'List Setup'!$A$6)</f>
        <v/>
      </c>
      <c r="R1077" s="80" t="str">
        <f t="array" ref="R1077">IF(A1077="","",IFERROR(OR(INDEX(Binders!$J$6:$J$30,MATCH(Q1077,Binders!$I$6:$I$30,0))=TRUE(),UPPER(INDEX(Binders!$J$6:$J$30,MATCH(Q1077,Binders!$I$6:$I$30,0))&amp;"")="TRUE"),FALSE()))</f>
        <v/>
      </c>
    </row>
    <row r="1078" ht="15.75" customHeight="1">
      <c r="A1078" s="80" t="str">
        <f t="array" ref="A1078">IF(INDEX('Deck 4'!$A:$Z,ROW()-1000,'List Setup'!$D$6)="","",INDEX('Deck 4'!$A:$Z,ROW()-1000,'List Setup'!$D$6))</f>
        <v/>
      </c>
      <c r="B1078" s="80" t="str">
        <f t="array" ref="B1078">IF(A1078="","",IFERROR(INDEX('Binder Setup'!$B$2:$B$401,MIN(IF(ISNUMBER(SEARCH(CHAR(10)&amp;'Binder Setup'!$B$2:$B$401&amp;CHAR(10),$H1078)),'List Setup'!$Q$2:$Q$401,999),IF(ISNUMBER(SEARCH(CHAR(10)&amp;'Set Aliases'!$A$2:$A$501&amp;CHAR(10),$H1078)),'Set Aliases'!$C$2:$C$501,999))),"(none)"))</f>
        <v/>
      </c>
      <c r="C1078" s="80" t="str">
        <f t="shared" si="1"/>
        <v/>
      </c>
      <c r="D1078" s="80" t="str">
        <f t="array" ref="D1078">IF(A1078="","",IF(ISLOGICAL(INDEX('Deck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78" s="80" t="str">
        <f t="shared" si="2"/>
        <v/>
      </c>
      <c r="F1078" s="80" t="str">
        <f t="array" ref="F1078">IF(A1078="","",IF(ISNUMBER(J1078),J1078,IF(ISNUMBER(INDEX('Deck 4'!$A:$Z,ROW()-1000,'List Setup'!$F$6)),INDEX('Deck 4'!$A:$Z,ROW()-1000,'List Setup'!$F$6),0)))</f>
        <v/>
      </c>
      <c r="G1078" s="80" t="str">
        <f t="array" ref="G1078">IF(A1078="","",A1078&amp;IF(N(INDEX('Deck 4'!$A:$Z,ROW()-1000,'List Setup'!$C$6))&gt;1," (x"&amp;INDEX('Deck 4'!$A:$Z,ROW()-1000,'List Setup'!$C$6)&amp;")","")&amp;IF(COUNTIF(Binders!$J$6:$J$30,TRUE())&gt;1," ["&amp;Q1078&amp;"]",""))</f>
        <v/>
      </c>
      <c r="H1078" s="80" t="str">
        <f t="array" ref="H1078">IF(A1078="","",CHAR(10)&amp;INDEX('Deck 4'!$A:$Z,ROW()-1000,'List Setup'!$E$6)&amp;CHAR(10))</f>
        <v/>
      </c>
      <c r="I1078" s="80" t="str">
        <f t="array" ref="I1078">IF(OR(B1078="",B1078="(none)"),"",IF(ISNUMBER(SEARCH(CHAR(10)&amp;B1078&amp;CHAR(10),H1078)),B1078,IFERROR(INDEX('Set Aliases'!$A$2:$A$501,MATCH(1,('Set Aliases'!$B$2:$B$501=B1078)*ISNUMBER(SEARCH(CHAR(10)&amp;'Set Aliases'!$A$2:$A$501&amp;CHAR(10),H1078)),0)),"")))</f>
        <v/>
      </c>
      <c r="J1078" s="80" t="str">
        <f t="array" ref="J1078">IF(I1078="","",IFERROR(VALUE(TRIM(MID(SUBSTITUTE(INDEX('Deck 4'!$A:$Z,ROW()-1000,'List Setup'!$G$6),CHAR(10),REPT(" ",100)),((SEARCH(CHAR(10)&amp;I1078&amp;CHAR(10),H1078)-LEN(SUBSTITUTE(LEFT(H1078,SEARCH(CHAR(10)&amp;I1078&amp;CHAR(10),H1078)),CHAR(10),"")))-1)*100+1,100))),""))</f>
        <v/>
      </c>
      <c r="K1078" s="80" t="str">
        <f t="array" ref="K1078">IF(A1078="","",IF(ISNUMBER(SEARCH("Land",LEFT(IFERROR(INDEX('Deck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78" s="80" t="str">
        <f t="shared" si="3"/>
        <v/>
      </c>
      <c r="M1078" s="80" t="str">
        <f>IF(A1078="","",IF(AND(E1078="Y",B1078='Use at Shop'!$B$4),K1078*10000000000+(MAX(0,MIN(26,CODE(MID(UPPER(A1078)&amp;"    ",1,1))-64))*19683+MAX(0,MIN(26,CODE(MID(UPPER(A1078)&amp;"    ",2,1))-64))*729+MAX(0,MIN(26,CODE(MID(UPPER(A1078)&amp;"    ",3,1))-64))*27+MAX(0,MIN(26,CODE(MID(UPPER(A1078)&amp;"    ",4,1))-64))*1)*10000+ROW(),""))</f>
        <v/>
      </c>
      <c r="N1078" s="80" t="str">
        <f t="shared" si="8"/>
        <v/>
      </c>
      <c r="O1078" s="80" t="str">
        <f t="array" ref="O1078">IF(A1078="","",IFERROR(INDEX('Deck 4'!$A:$Z,ROW()-1000,'List Setup'!$J$6)&amp;"",""))</f>
        <v/>
      </c>
      <c r="P1078" s="2"/>
      <c r="Q1078" s="80" t="str">
        <f>IF(A1078="","",'List Setup'!$A$6)</f>
        <v/>
      </c>
      <c r="R1078" s="80" t="str">
        <f t="array" ref="R1078">IF(A1078="","",IFERROR(OR(INDEX(Binders!$J$6:$J$30,MATCH(Q1078,Binders!$I$6:$I$30,0))=TRUE(),UPPER(INDEX(Binders!$J$6:$J$30,MATCH(Q1078,Binders!$I$6:$I$30,0))&amp;"")="TRUE"),FALSE()))</f>
        <v/>
      </c>
    </row>
    <row r="1079" ht="15.75" customHeight="1">
      <c r="A1079" s="80" t="str">
        <f t="array" ref="A1079">IF(INDEX('Deck 4'!$A:$Z,ROW()-1000,'List Setup'!$D$6)="","",INDEX('Deck 4'!$A:$Z,ROW()-1000,'List Setup'!$D$6))</f>
        <v/>
      </c>
      <c r="B1079" s="80" t="str">
        <f t="array" ref="B1079">IF(A1079="","",IFERROR(INDEX('Binder Setup'!$B$2:$B$401,MIN(IF(ISNUMBER(SEARCH(CHAR(10)&amp;'Binder Setup'!$B$2:$B$401&amp;CHAR(10),$H1079)),'List Setup'!$Q$2:$Q$401,999),IF(ISNUMBER(SEARCH(CHAR(10)&amp;'Set Aliases'!$A$2:$A$501&amp;CHAR(10),$H1079)),'Set Aliases'!$C$2:$C$501,999))),"(none)"))</f>
        <v/>
      </c>
      <c r="C1079" s="80" t="str">
        <f t="shared" si="1"/>
        <v/>
      </c>
      <c r="D1079" s="80" t="str">
        <f t="array" ref="D1079">IF(A1079="","",IF(ISLOGICAL(INDEX('Deck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79" s="80" t="str">
        <f t="shared" si="2"/>
        <v/>
      </c>
      <c r="F1079" s="80" t="str">
        <f t="array" ref="F1079">IF(A1079="","",IF(ISNUMBER(J1079),J1079,IF(ISNUMBER(INDEX('Deck 4'!$A:$Z,ROW()-1000,'List Setup'!$F$6)),INDEX('Deck 4'!$A:$Z,ROW()-1000,'List Setup'!$F$6),0)))</f>
        <v/>
      </c>
      <c r="G1079" s="80" t="str">
        <f t="array" ref="G1079">IF(A1079="","",A1079&amp;IF(N(INDEX('Deck 4'!$A:$Z,ROW()-1000,'List Setup'!$C$6))&gt;1," (x"&amp;INDEX('Deck 4'!$A:$Z,ROW()-1000,'List Setup'!$C$6)&amp;")","")&amp;IF(COUNTIF(Binders!$J$6:$J$30,TRUE())&gt;1," ["&amp;Q1079&amp;"]",""))</f>
        <v/>
      </c>
      <c r="H1079" s="80" t="str">
        <f t="array" ref="H1079">IF(A1079="","",CHAR(10)&amp;INDEX('Deck 4'!$A:$Z,ROW()-1000,'List Setup'!$E$6)&amp;CHAR(10))</f>
        <v/>
      </c>
      <c r="I1079" s="80" t="str">
        <f t="array" ref="I1079">IF(OR(B1079="",B1079="(none)"),"",IF(ISNUMBER(SEARCH(CHAR(10)&amp;B1079&amp;CHAR(10),H1079)),B1079,IFERROR(INDEX('Set Aliases'!$A$2:$A$501,MATCH(1,('Set Aliases'!$B$2:$B$501=B1079)*ISNUMBER(SEARCH(CHAR(10)&amp;'Set Aliases'!$A$2:$A$501&amp;CHAR(10),H1079)),0)),"")))</f>
        <v/>
      </c>
      <c r="J1079" s="80" t="str">
        <f t="array" ref="J1079">IF(I1079="","",IFERROR(VALUE(TRIM(MID(SUBSTITUTE(INDEX('Deck 4'!$A:$Z,ROW()-1000,'List Setup'!$G$6),CHAR(10),REPT(" ",100)),((SEARCH(CHAR(10)&amp;I1079&amp;CHAR(10),H1079)-LEN(SUBSTITUTE(LEFT(H1079,SEARCH(CHAR(10)&amp;I1079&amp;CHAR(10),H1079)),CHAR(10),"")))-1)*100+1,100))),""))</f>
        <v/>
      </c>
      <c r="K1079" s="80" t="str">
        <f t="array" ref="K1079">IF(A1079="","",IF(ISNUMBER(SEARCH("Land",LEFT(IFERROR(INDEX('Deck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79" s="80" t="str">
        <f t="shared" si="3"/>
        <v/>
      </c>
      <c r="M1079" s="80" t="str">
        <f>IF(A1079="","",IF(AND(E1079="Y",B1079='Use at Shop'!$B$4),K1079*10000000000+(MAX(0,MIN(26,CODE(MID(UPPER(A1079)&amp;"    ",1,1))-64))*19683+MAX(0,MIN(26,CODE(MID(UPPER(A1079)&amp;"    ",2,1))-64))*729+MAX(0,MIN(26,CODE(MID(UPPER(A1079)&amp;"    ",3,1))-64))*27+MAX(0,MIN(26,CODE(MID(UPPER(A1079)&amp;"    ",4,1))-64))*1)*10000+ROW(),""))</f>
        <v/>
      </c>
      <c r="N1079" s="80" t="str">
        <f t="shared" si="8"/>
        <v/>
      </c>
      <c r="O1079" s="80" t="str">
        <f t="array" ref="O1079">IF(A1079="","",IFERROR(INDEX('Deck 4'!$A:$Z,ROW()-1000,'List Setup'!$J$6)&amp;"",""))</f>
        <v/>
      </c>
      <c r="P1079" s="2"/>
      <c r="Q1079" s="80" t="str">
        <f>IF(A1079="","",'List Setup'!$A$6)</f>
        <v/>
      </c>
      <c r="R1079" s="80" t="str">
        <f t="array" ref="R1079">IF(A1079="","",IFERROR(OR(INDEX(Binders!$J$6:$J$30,MATCH(Q1079,Binders!$I$6:$I$30,0))=TRUE(),UPPER(INDEX(Binders!$J$6:$J$30,MATCH(Q1079,Binders!$I$6:$I$30,0))&amp;"")="TRUE"),FALSE()))</f>
        <v/>
      </c>
    </row>
    <row r="1080" ht="15.75" customHeight="1">
      <c r="A1080" s="80" t="str">
        <f t="array" ref="A1080">IF(INDEX('Deck 4'!$A:$Z,ROW()-1000,'List Setup'!$D$6)="","",INDEX('Deck 4'!$A:$Z,ROW()-1000,'List Setup'!$D$6))</f>
        <v/>
      </c>
      <c r="B1080" s="80" t="str">
        <f t="array" ref="B1080">IF(A1080="","",IFERROR(INDEX('Binder Setup'!$B$2:$B$401,MIN(IF(ISNUMBER(SEARCH(CHAR(10)&amp;'Binder Setup'!$B$2:$B$401&amp;CHAR(10),$H1080)),'List Setup'!$Q$2:$Q$401,999),IF(ISNUMBER(SEARCH(CHAR(10)&amp;'Set Aliases'!$A$2:$A$501&amp;CHAR(10),$H1080)),'Set Aliases'!$C$2:$C$501,999))),"(none)"))</f>
        <v/>
      </c>
      <c r="C1080" s="80" t="str">
        <f t="shared" si="1"/>
        <v/>
      </c>
      <c r="D1080" s="80" t="str">
        <f t="array" ref="D1080">IF(A1080="","",IF(ISLOGICAL(INDEX('Deck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80" s="80" t="str">
        <f t="shared" si="2"/>
        <v/>
      </c>
      <c r="F1080" s="80" t="str">
        <f t="array" ref="F1080">IF(A1080="","",IF(ISNUMBER(J1080),J1080,IF(ISNUMBER(INDEX('Deck 4'!$A:$Z,ROW()-1000,'List Setup'!$F$6)),INDEX('Deck 4'!$A:$Z,ROW()-1000,'List Setup'!$F$6),0)))</f>
        <v/>
      </c>
      <c r="G1080" s="80" t="str">
        <f t="array" ref="G1080">IF(A1080="","",A1080&amp;IF(N(INDEX('Deck 4'!$A:$Z,ROW()-1000,'List Setup'!$C$6))&gt;1," (x"&amp;INDEX('Deck 4'!$A:$Z,ROW()-1000,'List Setup'!$C$6)&amp;")","")&amp;IF(COUNTIF(Binders!$J$6:$J$30,TRUE())&gt;1," ["&amp;Q1080&amp;"]",""))</f>
        <v/>
      </c>
      <c r="H1080" s="80" t="str">
        <f t="array" ref="H1080">IF(A1080="","",CHAR(10)&amp;INDEX('Deck 4'!$A:$Z,ROW()-1000,'List Setup'!$E$6)&amp;CHAR(10))</f>
        <v/>
      </c>
      <c r="I1080" s="80" t="str">
        <f t="array" ref="I1080">IF(OR(B1080="",B1080="(none)"),"",IF(ISNUMBER(SEARCH(CHAR(10)&amp;B1080&amp;CHAR(10),H1080)),B1080,IFERROR(INDEX('Set Aliases'!$A$2:$A$501,MATCH(1,('Set Aliases'!$B$2:$B$501=B1080)*ISNUMBER(SEARCH(CHAR(10)&amp;'Set Aliases'!$A$2:$A$501&amp;CHAR(10),H1080)),0)),"")))</f>
        <v/>
      </c>
      <c r="J1080" s="80" t="str">
        <f t="array" ref="J1080">IF(I1080="","",IFERROR(VALUE(TRIM(MID(SUBSTITUTE(INDEX('Deck 4'!$A:$Z,ROW()-1000,'List Setup'!$G$6),CHAR(10),REPT(" ",100)),((SEARCH(CHAR(10)&amp;I1080&amp;CHAR(10),H1080)-LEN(SUBSTITUTE(LEFT(H1080,SEARCH(CHAR(10)&amp;I1080&amp;CHAR(10),H1080)),CHAR(10),"")))-1)*100+1,100))),""))</f>
        <v/>
      </c>
      <c r="K1080" s="80" t="str">
        <f t="array" ref="K1080">IF(A1080="","",IF(ISNUMBER(SEARCH("Land",LEFT(IFERROR(INDEX('Deck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80" s="80" t="str">
        <f t="shared" si="3"/>
        <v/>
      </c>
      <c r="M1080" s="80" t="str">
        <f>IF(A1080="","",IF(AND(E1080="Y",B1080='Use at Shop'!$B$4),K1080*10000000000+(MAX(0,MIN(26,CODE(MID(UPPER(A1080)&amp;"    ",1,1))-64))*19683+MAX(0,MIN(26,CODE(MID(UPPER(A1080)&amp;"    ",2,1))-64))*729+MAX(0,MIN(26,CODE(MID(UPPER(A1080)&amp;"    ",3,1))-64))*27+MAX(0,MIN(26,CODE(MID(UPPER(A1080)&amp;"    ",4,1))-64))*1)*10000+ROW(),""))</f>
        <v/>
      </c>
      <c r="N1080" s="80" t="str">
        <f t="shared" si="8"/>
        <v/>
      </c>
      <c r="O1080" s="80" t="str">
        <f t="array" ref="O1080">IF(A1080="","",IFERROR(INDEX('Deck 4'!$A:$Z,ROW()-1000,'List Setup'!$J$6)&amp;"",""))</f>
        <v/>
      </c>
      <c r="P1080" s="2"/>
      <c r="Q1080" s="80" t="str">
        <f>IF(A1080="","",'List Setup'!$A$6)</f>
        <v/>
      </c>
      <c r="R1080" s="80" t="str">
        <f t="array" ref="R1080">IF(A1080="","",IFERROR(OR(INDEX(Binders!$J$6:$J$30,MATCH(Q1080,Binders!$I$6:$I$30,0))=TRUE(),UPPER(INDEX(Binders!$J$6:$J$30,MATCH(Q1080,Binders!$I$6:$I$30,0))&amp;"")="TRUE"),FALSE()))</f>
        <v/>
      </c>
    </row>
    <row r="1081" ht="15.75" customHeight="1">
      <c r="A1081" s="80" t="str">
        <f t="array" ref="A1081">IF(INDEX('Deck 4'!$A:$Z,ROW()-1000,'List Setup'!$D$6)="","",INDEX('Deck 4'!$A:$Z,ROW()-1000,'List Setup'!$D$6))</f>
        <v/>
      </c>
      <c r="B1081" s="80" t="str">
        <f t="array" ref="B1081">IF(A1081="","",IFERROR(INDEX('Binder Setup'!$B$2:$B$401,MIN(IF(ISNUMBER(SEARCH(CHAR(10)&amp;'Binder Setup'!$B$2:$B$401&amp;CHAR(10),$H1081)),'List Setup'!$Q$2:$Q$401,999),IF(ISNUMBER(SEARCH(CHAR(10)&amp;'Set Aliases'!$A$2:$A$501&amp;CHAR(10),$H1081)),'Set Aliases'!$C$2:$C$501,999))),"(none)"))</f>
        <v/>
      </c>
      <c r="C1081" s="80" t="str">
        <f t="shared" si="1"/>
        <v/>
      </c>
      <c r="D1081" s="80" t="str">
        <f t="array" ref="D1081">IF(A1081="","",IF(ISLOGICAL(INDEX('Deck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81" s="80" t="str">
        <f t="shared" si="2"/>
        <v/>
      </c>
      <c r="F1081" s="80" t="str">
        <f t="array" ref="F1081">IF(A1081="","",IF(ISNUMBER(J1081),J1081,IF(ISNUMBER(INDEX('Deck 4'!$A:$Z,ROW()-1000,'List Setup'!$F$6)),INDEX('Deck 4'!$A:$Z,ROW()-1000,'List Setup'!$F$6),0)))</f>
        <v/>
      </c>
      <c r="G1081" s="80" t="str">
        <f t="array" ref="G1081">IF(A1081="","",A1081&amp;IF(N(INDEX('Deck 4'!$A:$Z,ROW()-1000,'List Setup'!$C$6))&gt;1," (x"&amp;INDEX('Deck 4'!$A:$Z,ROW()-1000,'List Setup'!$C$6)&amp;")","")&amp;IF(COUNTIF(Binders!$J$6:$J$30,TRUE())&gt;1," ["&amp;Q1081&amp;"]",""))</f>
        <v/>
      </c>
      <c r="H1081" s="80" t="str">
        <f t="array" ref="H1081">IF(A1081="","",CHAR(10)&amp;INDEX('Deck 4'!$A:$Z,ROW()-1000,'List Setup'!$E$6)&amp;CHAR(10))</f>
        <v/>
      </c>
      <c r="I1081" s="80" t="str">
        <f t="array" ref="I1081">IF(OR(B1081="",B1081="(none)"),"",IF(ISNUMBER(SEARCH(CHAR(10)&amp;B1081&amp;CHAR(10),H1081)),B1081,IFERROR(INDEX('Set Aliases'!$A$2:$A$501,MATCH(1,('Set Aliases'!$B$2:$B$501=B1081)*ISNUMBER(SEARCH(CHAR(10)&amp;'Set Aliases'!$A$2:$A$501&amp;CHAR(10),H1081)),0)),"")))</f>
        <v/>
      </c>
      <c r="J1081" s="80" t="str">
        <f t="array" ref="J1081">IF(I1081="","",IFERROR(VALUE(TRIM(MID(SUBSTITUTE(INDEX('Deck 4'!$A:$Z,ROW()-1000,'List Setup'!$G$6),CHAR(10),REPT(" ",100)),((SEARCH(CHAR(10)&amp;I1081&amp;CHAR(10),H1081)-LEN(SUBSTITUTE(LEFT(H1081,SEARCH(CHAR(10)&amp;I1081&amp;CHAR(10),H1081)),CHAR(10),"")))-1)*100+1,100))),""))</f>
        <v/>
      </c>
      <c r="K1081" s="80" t="str">
        <f t="array" ref="K1081">IF(A1081="","",IF(ISNUMBER(SEARCH("Land",LEFT(IFERROR(INDEX('Deck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81" s="80" t="str">
        <f t="shared" si="3"/>
        <v/>
      </c>
      <c r="M1081" s="80" t="str">
        <f>IF(A1081="","",IF(AND(E1081="Y",B1081='Use at Shop'!$B$4),K1081*10000000000+(MAX(0,MIN(26,CODE(MID(UPPER(A1081)&amp;"    ",1,1))-64))*19683+MAX(0,MIN(26,CODE(MID(UPPER(A1081)&amp;"    ",2,1))-64))*729+MAX(0,MIN(26,CODE(MID(UPPER(A1081)&amp;"    ",3,1))-64))*27+MAX(0,MIN(26,CODE(MID(UPPER(A1081)&amp;"    ",4,1))-64))*1)*10000+ROW(),""))</f>
        <v/>
      </c>
      <c r="N1081" s="80" t="str">
        <f t="shared" si="8"/>
        <v/>
      </c>
      <c r="O1081" s="80" t="str">
        <f t="array" ref="O1081">IF(A1081="","",IFERROR(INDEX('Deck 4'!$A:$Z,ROW()-1000,'List Setup'!$J$6)&amp;"",""))</f>
        <v/>
      </c>
      <c r="P1081" s="2"/>
      <c r="Q1081" s="80" t="str">
        <f>IF(A1081="","",'List Setup'!$A$6)</f>
        <v/>
      </c>
      <c r="R1081" s="80" t="str">
        <f t="array" ref="R1081">IF(A1081="","",IFERROR(OR(INDEX(Binders!$J$6:$J$30,MATCH(Q1081,Binders!$I$6:$I$30,0))=TRUE(),UPPER(INDEX(Binders!$J$6:$J$30,MATCH(Q1081,Binders!$I$6:$I$30,0))&amp;"")="TRUE"),FALSE()))</f>
        <v/>
      </c>
    </row>
    <row r="1082" ht="15.75" customHeight="1">
      <c r="A1082" s="80" t="str">
        <f t="array" ref="A1082">IF(INDEX('Deck 4'!$A:$Z,ROW()-1000,'List Setup'!$D$6)="","",INDEX('Deck 4'!$A:$Z,ROW()-1000,'List Setup'!$D$6))</f>
        <v/>
      </c>
      <c r="B1082" s="80" t="str">
        <f t="array" ref="B1082">IF(A1082="","",IFERROR(INDEX('Binder Setup'!$B$2:$B$401,MIN(IF(ISNUMBER(SEARCH(CHAR(10)&amp;'Binder Setup'!$B$2:$B$401&amp;CHAR(10),$H1082)),'List Setup'!$Q$2:$Q$401,999),IF(ISNUMBER(SEARCH(CHAR(10)&amp;'Set Aliases'!$A$2:$A$501&amp;CHAR(10),$H1082)),'Set Aliases'!$C$2:$C$501,999))),"(none)"))</f>
        <v/>
      </c>
      <c r="C1082" s="80" t="str">
        <f t="shared" si="1"/>
        <v/>
      </c>
      <c r="D1082" s="80" t="str">
        <f t="array" ref="D1082">IF(A1082="","",IF(ISLOGICAL(INDEX('Deck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82" s="80" t="str">
        <f t="shared" si="2"/>
        <v/>
      </c>
      <c r="F1082" s="80" t="str">
        <f t="array" ref="F1082">IF(A1082="","",IF(ISNUMBER(J1082),J1082,IF(ISNUMBER(INDEX('Deck 4'!$A:$Z,ROW()-1000,'List Setup'!$F$6)),INDEX('Deck 4'!$A:$Z,ROW()-1000,'List Setup'!$F$6),0)))</f>
        <v/>
      </c>
      <c r="G1082" s="80" t="str">
        <f t="array" ref="G1082">IF(A1082="","",A1082&amp;IF(N(INDEX('Deck 4'!$A:$Z,ROW()-1000,'List Setup'!$C$6))&gt;1," (x"&amp;INDEX('Deck 4'!$A:$Z,ROW()-1000,'List Setup'!$C$6)&amp;")","")&amp;IF(COUNTIF(Binders!$J$6:$J$30,TRUE())&gt;1," ["&amp;Q1082&amp;"]",""))</f>
        <v/>
      </c>
      <c r="H1082" s="80" t="str">
        <f t="array" ref="H1082">IF(A1082="","",CHAR(10)&amp;INDEX('Deck 4'!$A:$Z,ROW()-1000,'List Setup'!$E$6)&amp;CHAR(10))</f>
        <v/>
      </c>
      <c r="I1082" s="80" t="str">
        <f t="array" ref="I1082">IF(OR(B1082="",B1082="(none)"),"",IF(ISNUMBER(SEARCH(CHAR(10)&amp;B1082&amp;CHAR(10),H1082)),B1082,IFERROR(INDEX('Set Aliases'!$A$2:$A$501,MATCH(1,('Set Aliases'!$B$2:$B$501=B1082)*ISNUMBER(SEARCH(CHAR(10)&amp;'Set Aliases'!$A$2:$A$501&amp;CHAR(10),H1082)),0)),"")))</f>
        <v/>
      </c>
      <c r="J1082" s="80" t="str">
        <f t="array" ref="J1082">IF(I1082="","",IFERROR(VALUE(TRIM(MID(SUBSTITUTE(INDEX('Deck 4'!$A:$Z,ROW()-1000,'List Setup'!$G$6),CHAR(10),REPT(" ",100)),((SEARCH(CHAR(10)&amp;I1082&amp;CHAR(10),H1082)-LEN(SUBSTITUTE(LEFT(H1082,SEARCH(CHAR(10)&amp;I1082&amp;CHAR(10),H1082)),CHAR(10),"")))-1)*100+1,100))),""))</f>
        <v/>
      </c>
      <c r="K1082" s="80" t="str">
        <f t="array" ref="K1082">IF(A1082="","",IF(ISNUMBER(SEARCH("Land",LEFT(IFERROR(INDEX('Deck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82" s="80" t="str">
        <f t="shared" si="3"/>
        <v/>
      </c>
      <c r="M1082" s="80" t="str">
        <f>IF(A1082="","",IF(AND(E1082="Y",B1082='Use at Shop'!$B$4),K1082*10000000000+(MAX(0,MIN(26,CODE(MID(UPPER(A1082)&amp;"    ",1,1))-64))*19683+MAX(0,MIN(26,CODE(MID(UPPER(A1082)&amp;"    ",2,1))-64))*729+MAX(0,MIN(26,CODE(MID(UPPER(A1082)&amp;"    ",3,1))-64))*27+MAX(0,MIN(26,CODE(MID(UPPER(A1082)&amp;"    ",4,1))-64))*1)*10000+ROW(),""))</f>
        <v/>
      </c>
      <c r="N1082" s="80" t="str">
        <f t="shared" si="8"/>
        <v/>
      </c>
      <c r="O1082" s="80" t="str">
        <f t="array" ref="O1082">IF(A1082="","",IFERROR(INDEX('Deck 4'!$A:$Z,ROW()-1000,'List Setup'!$J$6)&amp;"",""))</f>
        <v/>
      </c>
      <c r="P1082" s="2"/>
      <c r="Q1082" s="80" t="str">
        <f>IF(A1082="","",'List Setup'!$A$6)</f>
        <v/>
      </c>
      <c r="R1082" s="80" t="str">
        <f t="array" ref="R1082">IF(A1082="","",IFERROR(OR(INDEX(Binders!$J$6:$J$30,MATCH(Q1082,Binders!$I$6:$I$30,0))=TRUE(),UPPER(INDEX(Binders!$J$6:$J$30,MATCH(Q1082,Binders!$I$6:$I$30,0))&amp;"")="TRUE"),FALSE()))</f>
        <v/>
      </c>
    </row>
    <row r="1083" ht="15.75" customHeight="1">
      <c r="A1083" s="80" t="str">
        <f t="array" ref="A1083">IF(INDEX('Deck 4'!$A:$Z,ROW()-1000,'List Setup'!$D$6)="","",INDEX('Deck 4'!$A:$Z,ROW()-1000,'List Setup'!$D$6))</f>
        <v/>
      </c>
      <c r="B1083" s="80" t="str">
        <f t="array" ref="B1083">IF(A1083="","",IFERROR(INDEX('Binder Setup'!$B$2:$B$401,MIN(IF(ISNUMBER(SEARCH(CHAR(10)&amp;'Binder Setup'!$B$2:$B$401&amp;CHAR(10),$H1083)),'List Setup'!$Q$2:$Q$401,999),IF(ISNUMBER(SEARCH(CHAR(10)&amp;'Set Aliases'!$A$2:$A$501&amp;CHAR(10),$H1083)),'Set Aliases'!$C$2:$C$501,999))),"(none)"))</f>
        <v/>
      </c>
      <c r="C1083" s="80" t="str">
        <f t="shared" si="1"/>
        <v/>
      </c>
      <c r="D1083" s="80" t="str">
        <f t="array" ref="D1083">IF(A1083="","",IF(ISLOGICAL(INDEX('Deck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83" s="80" t="str">
        <f t="shared" si="2"/>
        <v/>
      </c>
      <c r="F1083" s="80" t="str">
        <f t="array" ref="F1083">IF(A1083="","",IF(ISNUMBER(J1083),J1083,IF(ISNUMBER(INDEX('Deck 4'!$A:$Z,ROW()-1000,'List Setup'!$F$6)),INDEX('Deck 4'!$A:$Z,ROW()-1000,'List Setup'!$F$6),0)))</f>
        <v/>
      </c>
      <c r="G1083" s="80" t="str">
        <f t="array" ref="G1083">IF(A1083="","",A1083&amp;IF(N(INDEX('Deck 4'!$A:$Z,ROW()-1000,'List Setup'!$C$6))&gt;1," (x"&amp;INDEX('Deck 4'!$A:$Z,ROW()-1000,'List Setup'!$C$6)&amp;")","")&amp;IF(COUNTIF(Binders!$J$6:$J$30,TRUE())&gt;1," ["&amp;Q1083&amp;"]",""))</f>
        <v/>
      </c>
      <c r="H1083" s="80" t="str">
        <f t="array" ref="H1083">IF(A1083="","",CHAR(10)&amp;INDEX('Deck 4'!$A:$Z,ROW()-1000,'List Setup'!$E$6)&amp;CHAR(10))</f>
        <v/>
      </c>
      <c r="I1083" s="80" t="str">
        <f t="array" ref="I1083">IF(OR(B1083="",B1083="(none)"),"",IF(ISNUMBER(SEARCH(CHAR(10)&amp;B1083&amp;CHAR(10),H1083)),B1083,IFERROR(INDEX('Set Aliases'!$A$2:$A$501,MATCH(1,('Set Aliases'!$B$2:$B$501=B1083)*ISNUMBER(SEARCH(CHAR(10)&amp;'Set Aliases'!$A$2:$A$501&amp;CHAR(10),H1083)),0)),"")))</f>
        <v/>
      </c>
      <c r="J1083" s="80" t="str">
        <f t="array" ref="J1083">IF(I1083="","",IFERROR(VALUE(TRIM(MID(SUBSTITUTE(INDEX('Deck 4'!$A:$Z,ROW()-1000,'List Setup'!$G$6),CHAR(10),REPT(" ",100)),((SEARCH(CHAR(10)&amp;I1083&amp;CHAR(10),H1083)-LEN(SUBSTITUTE(LEFT(H1083,SEARCH(CHAR(10)&amp;I1083&amp;CHAR(10),H1083)),CHAR(10),"")))-1)*100+1,100))),""))</f>
        <v/>
      </c>
      <c r="K1083" s="80" t="str">
        <f t="array" ref="K1083">IF(A1083="","",IF(ISNUMBER(SEARCH("Land",LEFT(IFERROR(INDEX('Deck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83" s="80" t="str">
        <f t="shared" si="3"/>
        <v/>
      </c>
      <c r="M1083" s="80" t="str">
        <f>IF(A1083="","",IF(AND(E1083="Y",B1083='Use at Shop'!$B$4),K1083*10000000000+(MAX(0,MIN(26,CODE(MID(UPPER(A1083)&amp;"    ",1,1))-64))*19683+MAX(0,MIN(26,CODE(MID(UPPER(A1083)&amp;"    ",2,1))-64))*729+MAX(0,MIN(26,CODE(MID(UPPER(A1083)&amp;"    ",3,1))-64))*27+MAX(0,MIN(26,CODE(MID(UPPER(A1083)&amp;"    ",4,1))-64))*1)*10000+ROW(),""))</f>
        <v/>
      </c>
      <c r="N1083" s="80" t="str">
        <f t="shared" si="8"/>
        <v/>
      </c>
      <c r="O1083" s="80" t="str">
        <f t="array" ref="O1083">IF(A1083="","",IFERROR(INDEX('Deck 4'!$A:$Z,ROW()-1000,'List Setup'!$J$6)&amp;"",""))</f>
        <v/>
      </c>
      <c r="P1083" s="2"/>
      <c r="Q1083" s="80" t="str">
        <f>IF(A1083="","",'List Setup'!$A$6)</f>
        <v/>
      </c>
      <c r="R1083" s="80" t="str">
        <f t="array" ref="R1083">IF(A1083="","",IFERROR(OR(INDEX(Binders!$J$6:$J$30,MATCH(Q1083,Binders!$I$6:$I$30,0))=TRUE(),UPPER(INDEX(Binders!$J$6:$J$30,MATCH(Q1083,Binders!$I$6:$I$30,0))&amp;"")="TRUE"),FALSE()))</f>
        <v/>
      </c>
    </row>
    <row r="1084" ht="15.75" customHeight="1">
      <c r="A1084" s="80" t="str">
        <f t="array" ref="A1084">IF(INDEX('Deck 4'!$A:$Z,ROW()-1000,'List Setup'!$D$6)="","",INDEX('Deck 4'!$A:$Z,ROW()-1000,'List Setup'!$D$6))</f>
        <v/>
      </c>
      <c r="B1084" s="80" t="str">
        <f t="array" ref="B1084">IF(A1084="","",IFERROR(INDEX('Binder Setup'!$B$2:$B$401,MIN(IF(ISNUMBER(SEARCH(CHAR(10)&amp;'Binder Setup'!$B$2:$B$401&amp;CHAR(10),$H1084)),'List Setup'!$Q$2:$Q$401,999),IF(ISNUMBER(SEARCH(CHAR(10)&amp;'Set Aliases'!$A$2:$A$501&amp;CHAR(10),$H1084)),'Set Aliases'!$C$2:$C$501,999))),"(none)"))</f>
        <v/>
      </c>
      <c r="C1084" s="80" t="str">
        <f t="shared" si="1"/>
        <v/>
      </c>
      <c r="D1084" s="80" t="str">
        <f t="array" ref="D1084">IF(A1084="","",IF(ISLOGICAL(INDEX('Deck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84" s="80" t="str">
        <f t="shared" si="2"/>
        <v/>
      </c>
      <c r="F1084" s="80" t="str">
        <f t="array" ref="F1084">IF(A1084="","",IF(ISNUMBER(J1084),J1084,IF(ISNUMBER(INDEX('Deck 4'!$A:$Z,ROW()-1000,'List Setup'!$F$6)),INDEX('Deck 4'!$A:$Z,ROW()-1000,'List Setup'!$F$6),0)))</f>
        <v/>
      </c>
      <c r="G1084" s="80" t="str">
        <f t="array" ref="G1084">IF(A1084="","",A1084&amp;IF(N(INDEX('Deck 4'!$A:$Z,ROW()-1000,'List Setup'!$C$6))&gt;1," (x"&amp;INDEX('Deck 4'!$A:$Z,ROW()-1000,'List Setup'!$C$6)&amp;")","")&amp;IF(COUNTIF(Binders!$J$6:$J$30,TRUE())&gt;1," ["&amp;Q1084&amp;"]",""))</f>
        <v/>
      </c>
      <c r="H1084" s="80" t="str">
        <f t="array" ref="H1084">IF(A1084="","",CHAR(10)&amp;INDEX('Deck 4'!$A:$Z,ROW()-1000,'List Setup'!$E$6)&amp;CHAR(10))</f>
        <v/>
      </c>
      <c r="I1084" s="80" t="str">
        <f t="array" ref="I1084">IF(OR(B1084="",B1084="(none)"),"",IF(ISNUMBER(SEARCH(CHAR(10)&amp;B1084&amp;CHAR(10),H1084)),B1084,IFERROR(INDEX('Set Aliases'!$A$2:$A$501,MATCH(1,('Set Aliases'!$B$2:$B$501=B1084)*ISNUMBER(SEARCH(CHAR(10)&amp;'Set Aliases'!$A$2:$A$501&amp;CHAR(10),H1084)),0)),"")))</f>
        <v/>
      </c>
      <c r="J1084" s="80" t="str">
        <f t="array" ref="J1084">IF(I1084="","",IFERROR(VALUE(TRIM(MID(SUBSTITUTE(INDEX('Deck 4'!$A:$Z,ROW()-1000,'List Setup'!$G$6),CHAR(10),REPT(" ",100)),((SEARCH(CHAR(10)&amp;I1084&amp;CHAR(10),H1084)-LEN(SUBSTITUTE(LEFT(H1084,SEARCH(CHAR(10)&amp;I1084&amp;CHAR(10),H1084)),CHAR(10),"")))-1)*100+1,100))),""))</f>
        <v/>
      </c>
      <c r="K1084" s="80" t="str">
        <f t="array" ref="K1084">IF(A1084="","",IF(ISNUMBER(SEARCH("Land",LEFT(IFERROR(INDEX('Deck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84" s="80" t="str">
        <f t="shared" si="3"/>
        <v/>
      </c>
      <c r="M1084" s="80" t="str">
        <f>IF(A1084="","",IF(AND(E1084="Y",B1084='Use at Shop'!$B$4),K1084*10000000000+(MAX(0,MIN(26,CODE(MID(UPPER(A1084)&amp;"    ",1,1))-64))*19683+MAX(0,MIN(26,CODE(MID(UPPER(A1084)&amp;"    ",2,1))-64))*729+MAX(0,MIN(26,CODE(MID(UPPER(A1084)&amp;"    ",3,1))-64))*27+MAX(0,MIN(26,CODE(MID(UPPER(A1084)&amp;"    ",4,1))-64))*1)*10000+ROW(),""))</f>
        <v/>
      </c>
      <c r="N1084" s="80" t="str">
        <f t="shared" si="8"/>
        <v/>
      </c>
      <c r="O1084" s="80" t="str">
        <f t="array" ref="O1084">IF(A1084="","",IFERROR(INDEX('Deck 4'!$A:$Z,ROW()-1000,'List Setup'!$J$6)&amp;"",""))</f>
        <v/>
      </c>
      <c r="P1084" s="2"/>
      <c r="Q1084" s="80" t="str">
        <f>IF(A1084="","",'List Setup'!$A$6)</f>
        <v/>
      </c>
      <c r="R1084" s="80" t="str">
        <f t="array" ref="R1084">IF(A1084="","",IFERROR(OR(INDEX(Binders!$J$6:$J$30,MATCH(Q1084,Binders!$I$6:$I$30,0))=TRUE(),UPPER(INDEX(Binders!$J$6:$J$30,MATCH(Q1084,Binders!$I$6:$I$30,0))&amp;"")="TRUE"),FALSE()))</f>
        <v/>
      </c>
    </row>
    <row r="1085" ht="15.75" customHeight="1">
      <c r="A1085" s="80" t="str">
        <f t="array" ref="A1085">IF(INDEX('Deck 4'!$A:$Z,ROW()-1000,'List Setup'!$D$6)="","",INDEX('Deck 4'!$A:$Z,ROW()-1000,'List Setup'!$D$6))</f>
        <v/>
      </c>
      <c r="B1085" s="80" t="str">
        <f t="array" ref="B1085">IF(A1085="","",IFERROR(INDEX('Binder Setup'!$B$2:$B$401,MIN(IF(ISNUMBER(SEARCH(CHAR(10)&amp;'Binder Setup'!$B$2:$B$401&amp;CHAR(10),$H1085)),'List Setup'!$Q$2:$Q$401,999),IF(ISNUMBER(SEARCH(CHAR(10)&amp;'Set Aliases'!$A$2:$A$501&amp;CHAR(10),$H1085)),'Set Aliases'!$C$2:$C$501,999))),"(none)"))</f>
        <v/>
      </c>
      <c r="C1085" s="80" t="str">
        <f t="shared" si="1"/>
        <v/>
      </c>
      <c r="D1085" s="80" t="str">
        <f t="array" ref="D1085">IF(A1085="","",IF(ISLOGICAL(INDEX('Deck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85" s="80" t="str">
        <f t="shared" si="2"/>
        <v/>
      </c>
      <c r="F1085" s="80" t="str">
        <f t="array" ref="F1085">IF(A1085="","",IF(ISNUMBER(J1085),J1085,IF(ISNUMBER(INDEX('Deck 4'!$A:$Z,ROW()-1000,'List Setup'!$F$6)),INDEX('Deck 4'!$A:$Z,ROW()-1000,'List Setup'!$F$6),0)))</f>
        <v/>
      </c>
      <c r="G1085" s="80" t="str">
        <f t="array" ref="G1085">IF(A1085="","",A1085&amp;IF(N(INDEX('Deck 4'!$A:$Z,ROW()-1000,'List Setup'!$C$6))&gt;1," (x"&amp;INDEX('Deck 4'!$A:$Z,ROW()-1000,'List Setup'!$C$6)&amp;")","")&amp;IF(COUNTIF(Binders!$J$6:$J$30,TRUE())&gt;1," ["&amp;Q1085&amp;"]",""))</f>
        <v/>
      </c>
      <c r="H1085" s="80" t="str">
        <f t="array" ref="H1085">IF(A1085="","",CHAR(10)&amp;INDEX('Deck 4'!$A:$Z,ROW()-1000,'List Setup'!$E$6)&amp;CHAR(10))</f>
        <v/>
      </c>
      <c r="I1085" s="80" t="str">
        <f t="array" ref="I1085">IF(OR(B1085="",B1085="(none)"),"",IF(ISNUMBER(SEARCH(CHAR(10)&amp;B1085&amp;CHAR(10),H1085)),B1085,IFERROR(INDEX('Set Aliases'!$A$2:$A$501,MATCH(1,('Set Aliases'!$B$2:$B$501=B1085)*ISNUMBER(SEARCH(CHAR(10)&amp;'Set Aliases'!$A$2:$A$501&amp;CHAR(10),H1085)),0)),"")))</f>
        <v/>
      </c>
      <c r="J1085" s="80" t="str">
        <f t="array" ref="J1085">IF(I1085="","",IFERROR(VALUE(TRIM(MID(SUBSTITUTE(INDEX('Deck 4'!$A:$Z,ROW()-1000,'List Setup'!$G$6),CHAR(10),REPT(" ",100)),((SEARCH(CHAR(10)&amp;I1085&amp;CHAR(10),H1085)-LEN(SUBSTITUTE(LEFT(H1085,SEARCH(CHAR(10)&amp;I1085&amp;CHAR(10),H1085)),CHAR(10),"")))-1)*100+1,100))),""))</f>
        <v/>
      </c>
      <c r="K1085" s="80" t="str">
        <f t="array" ref="K1085">IF(A1085="","",IF(ISNUMBER(SEARCH("Land",LEFT(IFERROR(INDEX('Deck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85" s="80" t="str">
        <f t="shared" si="3"/>
        <v/>
      </c>
      <c r="M1085" s="80" t="str">
        <f>IF(A1085="","",IF(AND(E1085="Y",B1085='Use at Shop'!$B$4),K1085*10000000000+(MAX(0,MIN(26,CODE(MID(UPPER(A1085)&amp;"    ",1,1))-64))*19683+MAX(0,MIN(26,CODE(MID(UPPER(A1085)&amp;"    ",2,1))-64))*729+MAX(0,MIN(26,CODE(MID(UPPER(A1085)&amp;"    ",3,1))-64))*27+MAX(0,MIN(26,CODE(MID(UPPER(A1085)&amp;"    ",4,1))-64))*1)*10000+ROW(),""))</f>
        <v/>
      </c>
      <c r="N1085" s="80" t="str">
        <f t="shared" si="8"/>
        <v/>
      </c>
      <c r="O1085" s="80" t="str">
        <f t="array" ref="O1085">IF(A1085="","",IFERROR(INDEX('Deck 4'!$A:$Z,ROW()-1000,'List Setup'!$J$6)&amp;"",""))</f>
        <v/>
      </c>
      <c r="P1085" s="2"/>
      <c r="Q1085" s="80" t="str">
        <f>IF(A1085="","",'List Setup'!$A$6)</f>
        <v/>
      </c>
      <c r="R1085" s="80" t="str">
        <f t="array" ref="R1085">IF(A1085="","",IFERROR(OR(INDEX(Binders!$J$6:$J$30,MATCH(Q1085,Binders!$I$6:$I$30,0))=TRUE(),UPPER(INDEX(Binders!$J$6:$J$30,MATCH(Q1085,Binders!$I$6:$I$30,0))&amp;"")="TRUE"),FALSE()))</f>
        <v/>
      </c>
    </row>
    <row r="1086" ht="15.75" customHeight="1">
      <c r="A1086" s="80" t="str">
        <f t="array" ref="A1086">IF(INDEX('Deck 4'!$A:$Z,ROW()-1000,'List Setup'!$D$6)="","",INDEX('Deck 4'!$A:$Z,ROW()-1000,'List Setup'!$D$6))</f>
        <v/>
      </c>
      <c r="B1086" s="80" t="str">
        <f t="array" ref="B1086">IF(A1086="","",IFERROR(INDEX('Binder Setup'!$B$2:$B$401,MIN(IF(ISNUMBER(SEARCH(CHAR(10)&amp;'Binder Setup'!$B$2:$B$401&amp;CHAR(10),$H1086)),'List Setup'!$Q$2:$Q$401,999),IF(ISNUMBER(SEARCH(CHAR(10)&amp;'Set Aliases'!$A$2:$A$501&amp;CHAR(10),$H1086)),'Set Aliases'!$C$2:$C$501,999))),"(none)"))</f>
        <v/>
      </c>
      <c r="C1086" s="80" t="str">
        <f t="shared" si="1"/>
        <v/>
      </c>
      <c r="D1086" s="80" t="str">
        <f t="array" ref="D1086">IF(A1086="","",IF(ISLOGICAL(INDEX('Deck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86" s="80" t="str">
        <f t="shared" si="2"/>
        <v/>
      </c>
      <c r="F1086" s="80" t="str">
        <f t="array" ref="F1086">IF(A1086="","",IF(ISNUMBER(J1086),J1086,IF(ISNUMBER(INDEX('Deck 4'!$A:$Z,ROW()-1000,'List Setup'!$F$6)),INDEX('Deck 4'!$A:$Z,ROW()-1000,'List Setup'!$F$6),0)))</f>
        <v/>
      </c>
      <c r="G1086" s="80" t="str">
        <f t="array" ref="G1086">IF(A1086="","",A1086&amp;IF(N(INDEX('Deck 4'!$A:$Z,ROW()-1000,'List Setup'!$C$6))&gt;1," (x"&amp;INDEX('Deck 4'!$A:$Z,ROW()-1000,'List Setup'!$C$6)&amp;")","")&amp;IF(COUNTIF(Binders!$J$6:$J$30,TRUE())&gt;1," ["&amp;Q1086&amp;"]",""))</f>
        <v/>
      </c>
      <c r="H1086" s="80" t="str">
        <f t="array" ref="H1086">IF(A1086="","",CHAR(10)&amp;INDEX('Deck 4'!$A:$Z,ROW()-1000,'List Setup'!$E$6)&amp;CHAR(10))</f>
        <v/>
      </c>
      <c r="I1086" s="80" t="str">
        <f t="array" ref="I1086">IF(OR(B1086="",B1086="(none)"),"",IF(ISNUMBER(SEARCH(CHAR(10)&amp;B1086&amp;CHAR(10),H1086)),B1086,IFERROR(INDEX('Set Aliases'!$A$2:$A$501,MATCH(1,('Set Aliases'!$B$2:$B$501=B1086)*ISNUMBER(SEARCH(CHAR(10)&amp;'Set Aliases'!$A$2:$A$501&amp;CHAR(10),H1086)),0)),"")))</f>
        <v/>
      </c>
      <c r="J1086" s="80" t="str">
        <f t="array" ref="J1086">IF(I1086="","",IFERROR(VALUE(TRIM(MID(SUBSTITUTE(INDEX('Deck 4'!$A:$Z,ROW()-1000,'List Setup'!$G$6),CHAR(10),REPT(" ",100)),((SEARCH(CHAR(10)&amp;I1086&amp;CHAR(10),H1086)-LEN(SUBSTITUTE(LEFT(H1086,SEARCH(CHAR(10)&amp;I1086&amp;CHAR(10),H1086)),CHAR(10),"")))-1)*100+1,100))),""))</f>
        <v/>
      </c>
      <c r="K1086" s="80" t="str">
        <f t="array" ref="K1086">IF(A1086="","",IF(ISNUMBER(SEARCH("Land",LEFT(IFERROR(INDEX('Deck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86" s="80" t="str">
        <f t="shared" si="3"/>
        <v/>
      </c>
      <c r="M1086" s="80" t="str">
        <f>IF(A1086="","",IF(AND(E1086="Y",B1086='Use at Shop'!$B$4),K1086*10000000000+(MAX(0,MIN(26,CODE(MID(UPPER(A1086)&amp;"    ",1,1))-64))*19683+MAX(0,MIN(26,CODE(MID(UPPER(A1086)&amp;"    ",2,1))-64))*729+MAX(0,MIN(26,CODE(MID(UPPER(A1086)&amp;"    ",3,1))-64))*27+MAX(0,MIN(26,CODE(MID(UPPER(A1086)&amp;"    ",4,1))-64))*1)*10000+ROW(),""))</f>
        <v/>
      </c>
      <c r="N1086" s="80" t="str">
        <f t="shared" si="8"/>
        <v/>
      </c>
      <c r="O1086" s="80" t="str">
        <f t="array" ref="O1086">IF(A1086="","",IFERROR(INDEX('Deck 4'!$A:$Z,ROW()-1000,'List Setup'!$J$6)&amp;"",""))</f>
        <v/>
      </c>
      <c r="P1086" s="2"/>
      <c r="Q1086" s="80" t="str">
        <f>IF(A1086="","",'List Setup'!$A$6)</f>
        <v/>
      </c>
      <c r="R1086" s="80" t="str">
        <f t="array" ref="R1086">IF(A1086="","",IFERROR(OR(INDEX(Binders!$J$6:$J$30,MATCH(Q1086,Binders!$I$6:$I$30,0))=TRUE(),UPPER(INDEX(Binders!$J$6:$J$30,MATCH(Q1086,Binders!$I$6:$I$30,0))&amp;"")="TRUE"),FALSE()))</f>
        <v/>
      </c>
    </row>
    <row r="1087" ht="15.75" customHeight="1">
      <c r="A1087" s="80" t="str">
        <f t="array" ref="A1087">IF(INDEX('Deck 4'!$A:$Z,ROW()-1000,'List Setup'!$D$6)="","",INDEX('Deck 4'!$A:$Z,ROW()-1000,'List Setup'!$D$6))</f>
        <v/>
      </c>
      <c r="B1087" s="80" t="str">
        <f t="array" ref="B1087">IF(A1087="","",IFERROR(INDEX('Binder Setup'!$B$2:$B$401,MIN(IF(ISNUMBER(SEARCH(CHAR(10)&amp;'Binder Setup'!$B$2:$B$401&amp;CHAR(10),$H1087)),'List Setup'!$Q$2:$Q$401,999),IF(ISNUMBER(SEARCH(CHAR(10)&amp;'Set Aliases'!$A$2:$A$501&amp;CHAR(10),$H1087)),'Set Aliases'!$C$2:$C$501,999))),"(none)"))</f>
        <v/>
      </c>
      <c r="C1087" s="80" t="str">
        <f t="shared" si="1"/>
        <v/>
      </c>
      <c r="D1087" s="80" t="str">
        <f t="array" ref="D1087">IF(A1087="","",IF(ISLOGICAL(INDEX('Deck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87" s="80" t="str">
        <f t="shared" si="2"/>
        <v/>
      </c>
      <c r="F1087" s="80" t="str">
        <f t="array" ref="F1087">IF(A1087="","",IF(ISNUMBER(J1087),J1087,IF(ISNUMBER(INDEX('Deck 4'!$A:$Z,ROW()-1000,'List Setup'!$F$6)),INDEX('Deck 4'!$A:$Z,ROW()-1000,'List Setup'!$F$6),0)))</f>
        <v/>
      </c>
      <c r="G1087" s="80" t="str">
        <f t="array" ref="G1087">IF(A1087="","",A1087&amp;IF(N(INDEX('Deck 4'!$A:$Z,ROW()-1000,'List Setup'!$C$6))&gt;1," (x"&amp;INDEX('Deck 4'!$A:$Z,ROW()-1000,'List Setup'!$C$6)&amp;")","")&amp;IF(COUNTIF(Binders!$J$6:$J$30,TRUE())&gt;1," ["&amp;Q1087&amp;"]",""))</f>
        <v/>
      </c>
      <c r="H1087" s="80" t="str">
        <f t="array" ref="H1087">IF(A1087="","",CHAR(10)&amp;INDEX('Deck 4'!$A:$Z,ROW()-1000,'List Setup'!$E$6)&amp;CHAR(10))</f>
        <v/>
      </c>
      <c r="I1087" s="80" t="str">
        <f t="array" ref="I1087">IF(OR(B1087="",B1087="(none)"),"",IF(ISNUMBER(SEARCH(CHAR(10)&amp;B1087&amp;CHAR(10),H1087)),B1087,IFERROR(INDEX('Set Aliases'!$A$2:$A$501,MATCH(1,('Set Aliases'!$B$2:$B$501=B1087)*ISNUMBER(SEARCH(CHAR(10)&amp;'Set Aliases'!$A$2:$A$501&amp;CHAR(10),H1087)),0)),"")))</f>
        <v/>
      </c>
      <c r="J1087" s="80" t="str">
        <f t="array" ref="J1087">IF(I1087="","",IFERROR(VALUE(TRIM(MID(SUBSTITUTE(INDEX('Deck 4'!$A:$Z,ROW()-1000,'List Setup'!$G$6),CHAR(10),REPT(" ",100)),((SEARCH(CHAR(10)&amp;I1087&amp;CHAR(10),H1087)-LEN(SUBSTITUTE(LEFT(H1087,SEARCH(CHAR(10)&amp;I1087&amp;CHAR(10),H1087)),CHAR(10),"")))-1)*100+1,100))),""))</f>
        <v/>
      </c>
      <c r="K1087" s="80" t="str">
        <f t="array" ref="K1087">IF(A1087="","",IF(ISNUMBER(SEARCH("Land",LEFT(IFERROR(INDEX('Deck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87" s="80" t="str">
        <f t="shared" si="3"/>
        <v/>
      </c>
      <c r="M1087" s="80" t="str">
        <f>IF(A1087="","",IF(AND(E1087="Y",B1087='Use at Shop'!$B$4),K1087*10000000000+(MAX(0,MIN(26,CODE(MID(UPPER(A1087)&amp;"    ",1,1))-64))*19683+MAX(0,MIN(26,CODE(MID(UPPER(A1087)&amp;"    ",2,1))-64))*729+MAX(0,MIN(26,CODE(MID(UPPER(A1087)&amp;"    ",3,1))-64))*27+MAX(0,MIN(26,CODE(MID(UPPER(A1087)&amp;"    ",4,1))-64))*1)*10000+ROW(),""))</f>
        <v/>
      </c>
      <c r="N1087" s="80" t="str">
        <f t="shared" si="8"/>
        <v/>
      </c>
      <c r="O1087" s="80" t="str">
        <f t="array" ref="O1087">IF(A1087="","",IFERROR(INDEX('Deck 4'!$A:$Z,ROW()-1000,'List Setup'!$J$6)&amp;"",""))</f>
        <v/>
      </c>
      <c r="P1087" s="2"/>
      <c r="Q1087" s="80" t="str">
        <f>IF(A1087="","",'List Setup'!$A$6)</f>
        <v/>
      </c>
      <c r="R1087" s="80" t="str">
        <f t="array" ref="R1087">IF(A1087="","",IFERROR(OR(INDEX(Binders!$J$6:$J$30,MATCH(Q1087,Binders!$I$6:$I$30,0))=TRUE(),UPPER(INDEX(Binders!$J$6:$J$30,MATCH(Q1087,Binders!$I$6:$I$30,0))&amp;"")="TRUE"),FALSE()))</f>
        <v/>
      </c>
    </row>
    <row r="1088" ht="15.75" customHeight="1">
      <c r="A1088" s="80" t="str">
        <f t="array" ref="A1088">IF(INDEX('Deck 4'!$A:$Z,ROW()-1000,'List Setup'!$D$6)="","",INDEX('Deck 4'!$A:$Z,ROW()-1000,'List Setup'!$D$6))</f>
        <v/>
      </c>
      <c r="B1088" s="80" t="str">
        <f t="array" ref="B1088">IF(A1088="","",IFERROR(INDEX('Binder Setup'!$B$2:$B$401,MIN(IF(ISNUMBER(SEARCH(CHAR(10)&amp;'Binder Setup'!$B$2:$B$401&amp;CHAR(10),$H1088)),'List Setup'!$Q$2:$Q$401,999),IF(ISNUMBER(SEARCH(CHAR(10)&amp;'Set Aliases'!$A$2:$A$501&amp;CHAR(10),$H1088)),'Set Aliases'!$C$2:$C$501,999))),"(none)"))</f>
        <v/>
      </c>
      <c r="C1088" s="80" t="str">
        <f t="shared" si="1"/>
        <v/>
      </c>
      <c r="D1088" s="80" t="str">
        <f t="array" ref="D1088">IF(A1088="","",IF(ISLOGICAL(INDEX('Deck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88" s="80" t="str">
        <f t="shared" si="2"/>
        <v/>
      </c>
      <c r="F1088" s="80" t="str">
        <f t="array" ref="F1088">IF(A1088="","",IF(ISNUMBER(J1088),J1088,IF(ISNUMBER(INDEX('Deck 4'!$A:$Z,ROW()-1000,'List Setup'!$F$6)),INDEX('Deck 4'!$A:$Z,ROW()-1000,'List Setup'!$F$6),0)))</f>
        <v/>
      </c>
      <c r="G1088" s="80" t="str">
        <f t="array" ref="G1088">IF(A1088="","",A1088&amp;IF(N(INDEX('Deck 4'!$A:$Z,ROW()-1000,'List Setup'!$C$6))&gt;1," (x"&amp;INDEX('Deck 4'!$A:$Z,ROW()-1000,'List Setup'!$C$6)&amp;")","")&amp;IF(COUNTIF(Binders!$J$6:$J$30,TRUE())&gt;1," ["&amp;Q1088&amp;"]",""))</f>
        <v/>
      </c>
      <c r="H1088" s="80" t="str">
        <f t="array" ref="H1088">IF(A1088="","",CHAR(10)&amp;INDEX('Deck 4'!$A:$Z,ROW()-1000,'List Setup'!$E$6)&amp;CHAR(10))</f>
        <v/>
      </c>
      <c r="I1088" s="80" t="str">
        <f t="array" ref="I1088">IF(OR(B1088="",B1088="(none)"),"",IF(ISNUMBER(SEARCH(CHAR(10)&amp;B1088&amp;CHAR(10),H1088)),B1088,IFERROR(INDEX('Set Aliases'!$A$2:$A$501,MATCH(1,('Set Aliases'!$B$2:$B$501=B1088)*ISNUMBER(SEARCH(CHAR(10)&amp;'Set Aliases'!$A$2:$A$501&amp;CHAR(10),H1088)),0)),"")))</f>
        <v/>
      </c>
      <c r="J1088" s="80" t="str">
        <f t="array" ref="J1088">IF(I1088="","",IFERROR(VALUE(TRIM(MID(SUBSTITUTE(INDEX('Deck 4'!$A:$Z,ROW()-1000,'List Setup'!$G$6),CHAR(10),REPT(" ",100)),((SEARCH(CHAR(10)&amp;I1088&amp;CHAR(10),H1088)-LEN(SUBSTITUTE(LEFT(H1088,SEARCH(CHAR(10)&amp;I1088&amp;CHAR(10),H1088)),CHAR(10),"")))-1)*100+1,100))),""))</f>
        <v/>
      </c>
      <c r="K1088" s="80" t="str">
        <f t="array" ref="K1088">IF(A1088="","",IF(ISNUMBER(SEARCH("Land",LEFT(IFERROR(INDEX('Deck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88" s="80" t="str">
        <f t="shared" si="3"/>
        <v/>
      </c>
      <c r="M1088" s="80" t="str">
        <f>IF(A1088="","",IF(AND(E1088="Y",B1088='Use at Shop'!$B$4),K1088*10000000000+(MAX(0,MIN(26,CODE(MID(UPPER(A1088)&amp;"    ",1,1))-64))*19683+MAX(0,MIN(26,CODE(MID(UPPER(A1088)&amp;"    ",2,1))-64))*729+MAX(0,MIN(26,CODE(MID(UPPER(A1088)&amp;"    ",3,1))-64))*27+MAX(0,MIN(26,CODE(MID(UPPER(A1088)&amp;"    ",4,1))-64))*1)*10000+ROW(),""))</f>
        <v/>
      </c>
      <c r="N1088" s="80" t="str">
        <f t="shared" si="8"/>
        <v/>
      </c>
      <c r="O1088" s="80" t="str">
        <f t="array" ref="O1088">IF(A1088="","",IFERROR(INDEX('Deck 4'!$A:$Z,ROW()-1000,'List Setup'!$J$6)&amp;"",""))</f>
        <v/>
      </c>
      <c r="P1088" s="2"/>
      <c r="Q1088" s="80" t="str">
        <f>IF(A1088="","",'List Setup'!$A$6)</f>
        <v/>
      </c>
      <c r="R1088" s="80" t="str">
        <f t="array" ref="R1088">IF(A1088="","",IFERROR(OR(INDEX(Binders!$J$6:$J$30,MATCH(Q1088,Binders!$I$6:$I$30,0))=TRUE(),UPPER(INDEX(Binders!$J$6:$J$30,MATCH(Q1088,Binders!$I$6:$I$30,0))&amp;"")="TRUE"),FALSE()))</f>
        <v/>
      </c>
    </row>
    <row r="1089" ht="15.75" customHeight="1">
      <c r="A1089" s="80" t="str">
        <f t="array" ref="A1089">IF(INDEX('Deck 4'!$A:$Z,ROW()-1000,'List Setup'!$D$6)="","",INDEX('Deck 4'!$A:$Z,ROW()-1000,'List Setup'!$D$6))</f>
        <v/>
      </c>
      <c r="B1089" s="80" t="str">
        <f t="array" ref="B1089">IF(A1089="","",IFERROR(INDEX('Binder Setup'!$B$2:$B$401,MIN(IF(ISNUMBER(SEARCH(CHAR(10)&amp;'Binder Setup'!$B$2:$B$401&amp;CHAR(10),$H1089)),'List Setup'!$Q$2:$Q$401,999),IF(ISNUMBER(SEARCH(CHAR(10)&amp;'Set Aliases'!$A$2:$A$501&amp;CHAR(10),$H1089)),'Set Aliases'!$C$2:$C$501,999))),"(none)"))</f>
        <v/>
      </c>
      <c r="C1089" s="80" t="str">
        <f t="shared" si="1"/>
        <v/>
      </c>
      <c r="D1089" s="80" t="str">
        <f t="array" ref="D1089">IF(A1089="","",IF(ISLOGICAL(INDEX('Deck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89" s="80" t="str">
        <f t="shared" si="2"/>
        <v/>
      </c>
      <c r="F1089" s="80" t="str">
        <f t="array" ref="F1089">IF(A1089="","",IF(ISNUMBER(J1089),J1089,IF(ISNUMBER(INDEX('Deck 4'!$A:$Z,ROW()-1000,'List Setup'!$F$6)),INDEX('Deck 4'!$A:$Z,ROW()-1000,'List Setup'!$F$6),0)))</f>
        <v/>
      </c>
      <c r="G1089" s="80" t="str">
        <f t="array" ref="G1089">IF(A1089="","",A1089&amp;IF(N(INDEX('Deck 4'!$A:$Z,ROW()-1000,'List Setup'!$C$6))&gt;1," (x"&amp;INDEX('Deck 4'!$A:$Z,ROW()-1000,'List Setup'!$C$6)&amp;")","")&amp;IF(COUNTIF(Binders!$J$6:$J$30,TRUE())&gt;1," ["&amp;Q1089&amp;"]",""))</f>
        <v/>
      </c>
      <c r="H1089" s="80" t="str">
        <f t="array" ref="H1089">IF(A1089="","",CHAR(10)&amp;INDEX('Deck 4'!$A:$Z,ROW()-1000,'List Setup'!$E$6)&amp;CHAR(10))</f>
        <v/>
      </c>
      <c r="I1089" s="80" t="str">
        <f t="array" ref="I1089">IF(OR(B1089="",B1089="(none)"),"",IF(ISNUMBER(SEARCH(CHAR(10)&amp;B1089&amp;CHAR(10),H1089)),B1089,IFERROR(INDEX('Set Aliases'!$A$2:$A$501,MATCH(1,('Set Aliases'!$B$2:$B$501=B1089)*ISNUMBER(SEARCH(CHAR(10)&amp;'Set Aliases'!$A$2:$A$501&amp;CHAR(10),H1089)),0)),"")))</f>
        <v/>
      </c>
      <c r="J1089" s="80" t="str">
        <f t="array" ref="J1089">IF(I1089="","",IFERROR(VALUE(TRIM(MID(SUBSTITUTE(INDEX('Deck 4'!$A:$Z,ROW()-1000,'List Setup'!$G$6),CHAR(10),REPT(" ",100)),((SEARCH(CHAR(10)&amp;I1089&amp;CHAR(10),H1089)-LEN(SUBSTITUTE(LEFT(H1089,SEARCH(CHAR(10)&amp;I1089&amp;CHAR(10),H1089)),CHAR(10),"")))-1)*100+1,100))),""))</f>
        <v/>
      </c>
      <c r="K1089" s="80" t="str">
        <f t="array" ref="K1089">IF(A1089="","",IF(ISNUMBER(SEARCH("Land",LEFT(IFERROR(INDEX('Deck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89" s="80" t="str">
        <f t="shared" si="3"/>
        <v/>
      </c>
      <c r="M1089" s="80" t="str">
        <f>IF(A1089="","",IF(AND(E1089="Y",B1089='Use at Shop'!$B$4),K1089*10000000000+(MAX(0,MIN(26,CODE(MID(UPPER(A1089)&amp;"    ",1,1))-64))*19683+MAX(0,MIN(26,CODE(MID(UPPER(A1089)&amp;"    ",2,1))-64))*729+MAX(0,MIN(26,CODE(MID(UPPER(A1089)&amp;"    ",3,1))-64))*27+MAX(0,MIN(26,CODE(MID(UPPER(A1089)&amp;"    ",4,1))-64))*1)*10000+ROW(),""))</f>
        <v/>
      </c>
      <c r="N1089" s="80" t="str">
        <f t="shared" si="8"/>
        <v/>
      </c>
      <c r="O1089" s="80" t="str">
        <f t="array" ref="O1089">IF(A1089="","",IFERROR(INDEX('Deck 4'!$A:$Z,ROW()-1000,'List Setup'!$J$6)&amp;"",""))</f>
        <v/>
      </c>
      <c r="P1089" s="2"/>
      <c r="Q1089" s="80" t="str">
        <f>IF(A1089="","",'List Setup'!$A$6)</f>
        <v/>
      </c>
      <c r="R1089" s="80" t="str">
        <f t="array" ref="R1089">IF(A1089="","",IFERROR(OR(INDEX(Binders!$J$6:$J$30,MATCH(Q1089,Binders!$I$6:$I$30,0))=TRUE(),UPPER(INDEX(Binders!$J$6:$J$30,MATCH(Q1089,Binders!$I$6:$I$30,0))&amp;"")="TRUE"),FALSE()))</f>
        <v/>
      </c>
    </row>
    <row r="1090" ht="15.75" customHeight="1">
      <c r="A1090" s="80" t="str">
        <f t="array" ref="A1090">IF(INDEX('Deck 4'!$A:$Z,ROW()-1000,'List Setup'!$D$6)="","",INDEX('Deck 4'!$A:$Z,ROW()-1000,'List Setup'!$D$6))</f>
        <v/>
      </c>
      <c r="B1090" s="80" t="str">
        <f t="array" ref="B1090">IF(A1090="","",IFERROR(INDEX('Binder Setup'!$B$2:$B$401,MIN(IF(ISNUMBER(SEARCH(CHAR(10)&amp;'Binder Setup'!$B$2:$B$401&amp;CHAR(10),$H1090)),'List Setup'!$Q$2:$Q$401,999),IF(ISNUMBER(SEARCH(CHAR(10)&amp;'Set Aliases'!$A$2:$A$501&amp;CHAR(10),$H1090)),'Set Aliases'!$C$2:$C$501,999))),"(none)"))</f>
        <v/>
      </c>
      <c r="C1090" s="80" t="str">
        <f t="shared" si="1"/>
        <v/>
      </c>
      <c r="D1090" s="80" t="str">
        <f t="array" ref="D1090">IF(A1090="","",IF(ISLOGICAL(INDEX('Deck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90" s="80" t="str">
        <f t="shared" si="2"/>
        <v/>
      </c>
      <c r="F1090" s="80" t="str">
        <f t="array" ref="F1090">IF(A1090="","",IF(ISNUMBER(J1090),J1090,IF(ISNUMBER(INDEX('Deck 4'!$A:$Z,ROW()-1000,'List Setup'!$F$6)),INDEX('Deck 4'!$A:$Z,ROW()-1000,'List Setup'!$F$6),0)))</f>
        <v/>
      </c>
      <c r="G1090" s="80" t="str">
        <f t="array" ref="G1090">IF(A1090="","",A1090&amp;IF(N(INDEX('Deck 4'!$A:$Z,ROW()-1000,'List Setup'!$C$6))&gt;1," (x"&amp;INDEX('Deck 4'!$A:$Z,ROW()-1000,'List Setup'!$C$6)&amp;")","")&amp;IF(COUNTIF(Binders!$J$6:$J$30,TRUE())&gt;1," ["&amp;Q1090&amp;"]",""))</f>
        <v/>
      </c>
      <c r="H1090" s="80" t="str">
        <f t="array" ref="H1090">IF(A1090="","",CHAR(10)&amp;INDEX('Deck 4'!$A:$Z,ROW()-1000,'List Setup'!$E$6)&amp;CHAR(10))</f>
        <v/>
      </c>
      <c r="I1090" s="80" t="str">
        <f t="array" ref="I1090">IF(OR(B1090="",B1090="(none)"),"",IF(ISNUMBER(SEARCH(CHAR(10)&amp;B1090&amp;CHAR(10),H1090)),B1090,IFERROR(INDEX('Set Aliases'!$A$2:$A$501,MATCH(1,('Set Aliases'!$B$2:$B$501=B1090)*ISNUMBER(SEARCH(CHAR(10)&amp;'Set Aliases'!$A$2:$A$501&amp;CHAR(10),H1090)),0)),"")))</f>
        <v/>
      </c>
      <c r="J1090" s="80" t="str">
        <f t="array" ref="J1090">IF(I1090="","",IFERROR(VALUE(TRIM(MID(SUBSTITUTE(INDEX('Deck 4'!$A:$Z,ROW()-1000,'List Setup'!$G$6),CHAR(10),REPT(" ",100)),((SEARCH(CHAR(10)&amp;I1090&amp;CHAR(10),H1090)-LEN(SUBSTITUTE(LEFT(H1090,SEARCH(CHAR(10)&amp;I1090&amp;CHAR(10),H1090)),CHAR(10),"")))-1)*100+1,100))),""))</f>
        <v/>
      </c>
      <c r="K1090" s="80" t="str">
        <f t="array" ref="K1090">IF(A1090="","",IF(ISNUMBER(SEARCH("Land",LEFT(IFERROR(INDEX('Deck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90" s="80" t="str">
        <f t="shared" si="3"/>
        <v/>
      </c>
      <c r="M1090" s="80" t="str">
        <f>IF(A1090="","",IF(AND(E1090="Y",B1090='Use at Shop'!$B$4),K1090*10000000000+(MAX(0,MIN(26,CODE(MID(UPPER(A1090)&amp;"    ",1,1))-64))*19683+MAX(0,MIN(26,CODE(MID(UPPER(A1090)&amp;"    ",2,1))-64))*729+MAX(0,MIN(26,CODE(MID(UPPER(A1090)&amp;"    ",3,1))-64))*27+MAX(0,MIN(26,CODE(MID(UPPER(A1090)&amp;"    ",4,1))-64))*1)*10000+ROW(),""))</f>
        <v/>
      </c>
      <c r="N1090" s="80" t="str">
        <f t="shared" si="8"/>
        <v/>
      </c>
      <c r="O1090" s="80" t="str">
        <f t="array" ref="O1090">IF(A1090="","",IFERROR(INDEX('Deck 4'!$A:$Z,ROW()-1000,'List Setup'!$J$6)&amp;"",""))</f>
        <v/>
      </c>
      <c r="P1090" s="2"/>
      <c r="Q1090" s="80" t="str">
        <f>IF(A1090="","",'List Setup'!$A$6)</f>
        <v/>
      </c>
      <c r="R1090" s="80" t="str">
        <f t="array" ref="R1090">IF(A1090="","",IFERROR(OR(INDEX(Binders!$J$6:$J$30,MATCH(Q1090,Binders!$I$6:$I$30,0))=TRUE(),UPPER(INDEX(Binders!$J$6:$J$30,MATCH(Q1090,Binders!$I$6:$I$30,0))&amp;"")="TRUE"),FALSE()))</f>
        <v/>
      </c>
    </row>
    <row r="1091" ht="15.75" customHeight="1">
      <c r="A1091" s="80" t="str">
        <f t="array" ref="A1091">IF(INDEX('Deck 4'!$A:$Z,ROW()-1000,'List Setup'!$D$6)="","",INDEX('Deck 4'!$A:$Z,ROW()-1000,'List Setup'!$D$6))</f>
        <v/>
      </c>
      <c r="B1091" s="80" t="str">
        <f t="array" ref="B1091">IF(A1091="","",IFERROR(INDEX('Binder Setup'!$B$2:$B$401,MIN(IF(ISNUMBER(SEARCH(CHAR(10)&amp;'Binder Setup'!$B$2:$B$401&amp;CHAR(10),$H1091)),'List Setup'!$Q$2:$Q$401,999),IF(ISNUMBER(SEARCH(CHAR(10)&amp;'Set Aliases'!$A$2:$A$501&amp;CHAR(10),$H1091)),'Set Aliases'!$C$2:$C$501,999))),"(none)"))</f>
        <v/>
      </c>
      <c r="C1091" s="80" t="str">
        <f t="shared" si="1"/>
        <v/>
      </c>
      <c r="D1091" s="80" t="str">
        <f t="array" ref="D1091">IF(A1091="","",IF(ISLOGICAL(INDEX('Deck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91" s="80" t="str">
        <f t="shared" si="2"/>
        <v/>
      </c>
      <c r="F1091" s="80" t="str">
        <f t="array" ref="F1091">IF(A1091="","",IF(ISNUMBER(J1091),J1091,IF(ISNUMBER(INDEX('Deck 4'!$A:$Z,ROW()-1000,'List Setup'!$F$6)),INDEX('Deck 4'!$A:$Z,ROW()-1000,'List Setup'!$F$6),0)))</f>
        <v/>
      </c>
      <c r="G1091" s="80" t="str">
        <f t="array" ref="G1091">IF(A1091="","",A1091&amp;IF(N(INDEX('Deck 4'!$A:$Z,ROW()-1000,'List Setup'!$C$6))&gt;1," (x"&amp;INDEX('Deck 4'!$A:$Z,ROW()-1000,'List Setup'!$C$6)&amp;")","")&amp;IF(COUNTIF(Binders!$J$6:$J$30,TRUE())&gt;1," ["&amp;Q1091&amp;"]",""))</f>
        <v/>
      </c>
      <c r="H1091" s="80" t="str">
        <f t="array" ref="H1091">IF(A1091="","",CHAR(10)&amp;INDEX('Deck 4'!$A:$Z,ROW()-1000,'List Setup'!$E$6)&amp;CHAR(10))</f>
        <v/>
      </c>
      <c r="I1091" s="80" t="str">
        <f t="array" ref="I1091">IF(OR(B1091="",B1091="(none)"),"",IF(ISNUMBER(SEARCH(CHAR(10)&amp;B1091&amp;CHAR(10),H1091)),B1091,IFERROR(INDEX('Set Aliases'!$A$2:$A$501,MATCH(1,('Set Aliases'!$B$2:$B$501=B1091)*ISNUMBER(SEARCH(CHAR(10)&amp;'Set Aliases'!$A$2:$A$501&amp;CHAR(10),H1091)),0)),"")))</f>
        <v/>
      </c>
      <c r="J1091" s="80" t="str">
        <f t="array" ref="J1091">IF(I1091="","",IFERROR(VALUE(TRIM(MID(SUBSTITUTE(INDEX('Deck 4'!$A:$Z,ROW()-1000,'List Setup'!$G$6),CHAR(10),REPT(" ",100)),((SEARCH(CHAR(10)&amp;I1091&amp;CHAR(10),H1091)-LEN(SUBSTITUTE(LEFT(H1091,SEARCH(CHAR(10)&amp;I1091&amp;CHAR(10),H1091)),CHAR(10),"")))-1)*100+1,100))),""))</f>
        <v/>
      </c>
      <c r="K1091" s="80" t="str">
        <f t="array" ref="K1091">IF(A1091="","",IF(ISNUMBER(SEARCH("Land",LEFT(IFERROR(INDEX('Deck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91" s="80" t="str">
        <f t="shared" si="3"/>
        <v/>
      </c>
      <c r="M1091" s="80" t="str">
        <f>IF(A1091="","",IF(AND(E1091="Y",B1091='Use at Shop'!$B$4),K1091*10000000000+(MAX(0,MIN(26,CODE(MID(UPPER(A1091)&amp;"    ",1,1))-64))*19683+MAX(0,MIN(26,CODE(MID(UPPER(A1091)&amp;"    ",2,1))-64))*729+MAX(0,MIN(26,CODE(MID(UPPER(A1091)&amp;"    ",3,1))-64))*27+MAX(0,MIN(26,CODE(MID(UPPER(A1091)&amp;"    ",4,1))-64))*1)*10000+ROW(),""))</f>
        <v/>
      </c>
      <c r="N1091" s="80" t="str">
        <f t="shared" si="8"/>
        <v/>
      </c>
      <c r="O1091" s="80" t="str">
        <f t="array" ref="O1091">IF(A1091="","",IFERROR(INDEX('Deck 4'!$A:$Z,ROW()-1000,'List Setup'!$J$6)&amp;"",""))</f>
        <v/>
      </c>
      <c r="P1091" s="2"/>
      <c r="Q1091" s="80" t="str">
        <f>IF(A1091="","",'List Setup'!$A$6)</f>
        <v/>
      </c>
      <c r="R1091" s="80" t="str">
        <f t="array" ref="R1091">IF(A1091="","",IFERROR(OR(INDEX(Binders!$J$6:$J$30,MATCH(Q1091,Binders!$I$6:$I$30,0))=TRUE(),UPPER(INDEX(Binders!$J$6:$J$30,MATCH(Q1091,Binders!$I$6:$I$30,0))&amp;"")="TRUE"),FALSE()))</f>
        <v/>
      </c>
    </row>
    <row r="1092" ht="15.75" customHeight="1">
      <c r="A1092" s="80" t="str">
        <f t="array" ref="A1092">IF(INDEX('Deck 4'!$A:$Z,ROW()-1000,'List Setup'!$D$6)="","",INDEX('Deck 4'!$A:$Z,ROW()-1000,'List Setup'!$D$6))</f>
        <v/>
      </c>
      <c r="B1092" s="80" t="str">
        <f t="array" ref="B1092">IF(A1092="","",IFERROR(INDEX('Binder Setup'!$B$2:$B$401,MIN(IF(ISNUMBER(SEARCH(CHAR(10)&amp;'Binder Setup'!$B$2:$B$401&amp;CHAR(10),$H1092)),'List Setup'!$Q$2:$Q$401,999),IF(ISNUMBER(SEARCH(CHAR(10)&amp;'Set Aliases'!$A$2:$A$501&amp;CHAR(10),$H1092)),'Set Aliases'!$C$2:$C$501,999))),"(none)"))</f>
        <v/>
      </c>
      <c r="C1092" s="80" t="str">
        <f t="shared" si="1"/>
        <v/>
      </c>
      <c r="D1092" s="80" t="str">
        <f t="array" ref="D1092">IF(A1092="","",IF(ISLOGICAL(INDEX('Deck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92" s="80" t="str">
        <f t="shared" si="2"/>
        <v/>
      </c>
      <c r="F1092" s="80" t="str">
        <f t="array" ref="F1092">IF(A1092="","",IF(ISNUMBER(J1092),J1092,IF(ISNUMBER(INDEX('Deck 4'!$A:$Z,ROW()-1000,'List Setup'!$F$6)),INDEX('Deck 4'!$A:$Z,ROW()-1000,'List Setup'!$F$6),0)))</f>
        <v/>
      </c>
      <c r="G1092" s="80" t="str">
        <f t="array" ref="G1092">IF(A1092="","",A1092&amp;IF(N(INDEX('Deck 4'!$A:$Z,ROW()-1000,'List Setup'!$C$6))&gt;1," (x"&amp;INDEX('Deck 4'!$A:$Z,ROW()-1000,'List Setup'!$C$6)&amp;")","")&amp;IF(COUNTIF(Binders!$J$6:$J$30,TRUE())&gt;1," ["&amp;Q1092&amp;"]",""))</f>
        <v/>
      </c>
      <c r="H1092" s="80" t="str">
        <f t="array" ref="H1092">IF(A1092="","",CHAR(10)&amp;INDEX('Deck 4'!$A:$Z,ROW()-1000,'List Setup'!$E$6)&amp;CHAR(10))</f>
        <v/>
      </c>
      <c r="I1092" s="80" t="str">
        <f t="array" ref="I1092">IF(OR(B1092="",B1092="(none)"),"",IF(ISNUMBER(SEARCH(CHAR(10)&amp;B1092&amp;CHAR(10),H1092)),B1092,IFERROR(INDEX('Set Aliases'!$A$2:$A$501,MATCH(1,('Set Aliases'!$B$2:$B$501=B1092)*ISNUMBER(SEARCH(CHAR(10)&amp;'Set Aliases'!$A$2:$A$501&amp;CHAR(10),H1092)),0)),"")))</f>
        <v/>
      </c>
      <c r="J1092" s="80" t="str">
        <f t="array" ref="J1092">IF(I1092="","",IFERROR(VALUE(TRIM(MID(SUBSTITUTE(INDEX('Deck 4'!$A:$Z,ROW()-1000,'List Setup'!$G$6),CHAR(10),REPT(" ",100)),((SEARCH(CHAR(10)&amp;I1092&amp;CHAR(10),H1092)-LEN(SUBSTITUTE(LEFT(H1092,SEARCH(CHAR(10)&amp;I1092&amp;CHAR(10),H1092)),CHAR(10),"")))-1)*100+1,100))),""))</f>
        <v/>
      </c>
      <c r="K1092" s="80" t="str">
        <f t="array" ref="K1092">IF(A1092="","",IF(ISNUMBER(SEARCH("Land",LEFT(IFERROR(INDEX('Deck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92" s="80" t="str">
        <f t="shared" si="3"/>
        <v/>
      </c>
      <c r="M1092" s="80" t="str">
        <f>IF(A1092="","",IF(AND(E1092="Y",B1092='Use at Shop'!$B$4),K1092*10000000000+(MAX(0,MIN(26,CODE(MID(UPPER(A1092)&amp;"    ",1,1))-64))*19683+MAX(0,MIN(26,CODE(MID(UPPER(A1092)&amp;"    ",2,1))-64))*729+MAX(0,MIN(26,CODE(MID(UPPER(A1092)&amp;"    ",3,1))-64))*27+MAX(0,MIN(26,CODE(MID(UPPER(A1092)&amp;"    ",4,1))-64))*1)*10000+ROW(),""))</f>
        <v/>
      </c>
      <c r="N1092" s="80" t="str">
        <f t="shared" si="8"/>
        <v/>
      </c>
      <c r="O1092" s="80" t="str">
        <f t="array" ref="O1092">IF(A1092="","",IFERROR(INDEX('Deck 4'!$A:$Z,ROW()-1000,'List Setup'!$J$6)&amp;"",""))</f>
        <v/>
      </c>
      <c r="P1092" s="2"/>
      <c r="Q1092" s="80" t="str">
        <f>IF(A1092="","",'List Setup'!$A$6)</f>
        <v/>
      </c>
      <c r="R1092" s="80" t="str">
        <f t="array" ref="R1092">IF(A1092="","",IFERROR(OR(INDEX(Binders!$J$6:$J$30,MATCH(Q1092,Binders!$I$6:$I$30,0))=TRUE(),UPPER(INDEX(Binders!$J$6:$J$30,MATCH(Q1092,Binders!$I$6:$I$30,0))&amp;"")="TRUE"),FALSE()))</f>
        <v/>
      </c>
    </row>
    <row r="1093" ht="15.75" customHeight="1">
      <c r="A1093" s="80" t="str">
        <f t="array" ref="A1093">IF(INDEX('Deck 4'!$A:$Z,ROW()-1000,'List Setup'!$D$6)="","",INDEX('Deck 4'!$A:$Z,ROW()-1000,'List Setup'!$D$6))</f>
        <v/>
      </c>
      <c r="B1093" s="80" t="str">
        <f t="array" ref="B1093">IF(A1093="","",IFERROR(INDEX('Binder Setup'!$B$2:$B$401,MIN(IF(ISNUMBER(SEARCH(CHAR(10)&amp;'Binder Setup'!$B$2:$B$401&amp;CHAR(10),$H1093)),'List Setup'!$Q$2:$Q$401,999),IF(ISNUMBER(SEARCH(CHAR(10)&amp;'Set Aliases'!$A$2:$A$501&amp;CHAR(10),$H1093)),'Set Aliases'!$C$2:$C$501,999))),"(none)"))</f>
        <v/>
      </c>
      <c r="C1093" s="80" t="str">
        <f t="shared" si="1"/>
        <v/>
      </c>
      <c r="D1093" s="80" t="str">
        <f t="array" ref="D1093">IF(A1093="","",IF(ISLOGICAL(INDEX('Deck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93" s="80" t="str">
        <f t="shared" si="2"/>
        <v/>
      </c>
      <c r="F1093" s="80" t="str">
        <f t="array" ref="F1093">IF(A1093="","",IF(ISNUMBER(J1093),J1093,IF(ISNUMBER(INDEX('Deck 4'!$A:$Z,ROW()-1000,'List Setup'!$F$6)),INDEX('Deck 4'!$A:$Z,ROW()-1000,'List Setup'!$F$6),0)))</f>
        <v/>
      </c>
      <c r="G1093" s="80" t="str">
        <f t="array" ref="G1093">IF(A1093="","",A1093&amp;IF(N(INDEX('Deck 4'!$A:$Z,ROW()-1000,'List Setup'!$C$6))&gt;1," (x"&amp;INDEX('Deck 4'!$A:$Z,ROW()-1000,'List Setup'!$C$6)&amp;")","")&amp;IF(COUNTIF(Binders!$J$6:$J$30,TRUE())&gt;1," ["&amp;Q1093&amp;"]",""))</f>
        <v/>
      </c>
      <c r="H1093" s="80" t="str">
        <f t="array" ref="H1093">IF(A1093="","",CHAR(10)&amp;INDEX('Deck 4'!$A:$Z,ROW()-1000,'List Setup'!$E$6)&amp;CHAR(10))</f>
        <v/>
      </c>
      <c r="I1093" s="80" t="str">
        <f t="array" ref="I1093">IF(OR(B1093="",B1093="(none)"),"",IF(ISNUMBER(SEARCH(CHAR(10)&amp;B1093&amp;CHAR(10),H1093)),B1093,IFERROR(INDEX('Set Aliases'!$A$2:$A$501,MATCH(1,('Set Aliases'!$B$2:$B$501=B1093)*ISNUMBER(SEARCH(CHAR(10)&amp;'Set Aliases'!$A$2:$A$501&amp;CHAR(10),H1093)),0)),"")))</f>
        <v/>
      </c>
      <c r="J1093" s="80" t="str">
        <f t="array" ref="J1093">IF(I1093="","",IFERROR(VALUE(TRIM(MID(SUBSTITUTE(INDEX('Deck 4'!$A:$Z,ROW()-1000,'List Setup'!$G$6),CHAR(10),REPT(" ",100)),((SEARCH(CHAR(10)&amp;I1093&amp;CHAR(10),H1093)-LEN(SUBSTITUTE(LEFT(H1093,SEARCH(CHAR(10)&amp;I1093&amp;CHAR(10),H1093)),CHAR(10),"")))-1)*100+1,100))),""))</f>
        <v/>
      </c>
      <c r="K1093" s="80" t="str">
        <f t="array" ref="K1093">IF(A1093="","",IF(ISNUMBER(SEARCH("Land",LEFT(IFERROR(INDEX('Deck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93" s="80" t="str">
        <f t="shared" si="3"/>
        <v/>
      </c>
      <c r="M1093" s="80" t="str">
        <f>IF(A1093="","",IF(AND(E1093="Y",B1093='Use at Shop'!$B$4),K1093*10000000000+(MAX(0,MIN(26,CODE(MID(UPPER(A1093)&amp;"    ",1,1))-64))*19683+MAX(0,MIN(26,CODE(MID(UPPER(A1093)&amp;"    ",2,1))-64))*729+MAX(0,MIN(26,CODE(MID(UPPER(A1093)&amp;"    ",3,1))-64))*27+MAX(0,MIN(26,CODE(MID(UPPER(A1093)&amp;"    ",4,1))-64))*1)*10000+ROW(),""))</f>
        <v/>
      </c>
      <c r="N1093" s="80" t="str">
        <f t="shared" si="8"/>
        <v/>
      </c>
      <c r="O1093" s="80" t="str">
        <f t="array" ref="O1093">IF(A1093="","",IFERROR(INDEX('Deck 4'!$A:$Z,ROW()-1000,'List Setup'!$J$6)&amp;"",""))</f>
        <v/>
      </c>
      <c r="P1093" s="2"/>
      <c r="Q1093" s="80" t="str">
        <f>IF(A1093="","",'List Setup'!$A$6)</f>
        <v/>
      </c>
      <c r="R1093" s="80" t="str">
        <f t="array" ref="R1093">IF(A1093="","",IFERROR(OR(INDEX(Binders!$J$6:$J$30,MATCH(Q1093,Binders!$I$6:$I$30,0))=TRUE(),UPPER(INDEX(Binders!$J$6:$J$30,MATCH(Q1093,Binders!$I$6:$I$30,0))&amp;"")="TRUE"),FALSE()))</f>
        <v/>
      </c>
    </row>
    <row r="1094" ht="15.75" customHeight="1">
      <c r="A1094" s="80" t="str">
        <f t="array" ref="A1094">IF(INDEX('Deck 4'!$A:$Z,ROW()-1000,'List Setup'!$D$6)="","",INDEX('Deck 4'!$A:$Z,ROW()-1000,'List Setup'!$D$6))</f>
        <v/>
      </c>
      <c r="B1094" s="80" t="str">
        <f t="array" ref="B1094">IF(A1094="","",IFERROR(INDEX('Binder Setup'!$B$2:$B$401,MIN(IF(ISNUMBER(SEARCH(CHAR(10)&amp;'Binder Setup'!$B$2:$B$401&amp;CHAR(10),$H1094)),'List Setup'!$Q$2:$Q$401,999),IF(ISNUMBER(SEARCH(CHAR(10)&amp;'Set Aliases'!$A$2:$A$501&amp;CHAR(10),$H1094)),'Set Aliases'!$C$2:$C$501,999))),"(none)"))</f>
        <v/>
      </c>
      <c r="C1094" s="80" t="str">
        <f t="shared" si="1"/>
        <v/>
      </c>
      <c r="D1094" s="80" t="str">
        <f t="array" ref="D1094">IF(A1094="","",IF(ISLOGICAL(INDEX('Deck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94" s="80" t="str">
        <f t="shared" si="2"/>
        <v/>
      </c>
      <c r="F1094" s="80" t="str">
        <f t="array" ref="F1094">IF(A1094="","",IF(ISNUMBER(J1094),J1094,IF(ISNUMBER(INDEX('Deck 4'!$A:$Z,ROW()-1000,'List Setup'!$F$6)),INDEX('Deck 4'!$A:$Z,ROW()-1000,'List Setup'!$F$6),0)))</f>
        <v/>
      </c>
      <c r="G1094" s="80" t="str">
        <f t="array" ref="G1094">IF(A1094="","",A1094&amp;IF(N(INDEX('Deck 4'!$A:$Z,ROW()-1000,'List Setup'!$C$6))&gt;1," (x"&amp;INDEX('Deck 4'!$A:$Z,ROW()-1000,'List Setup'!$C$6)&amp;")","")&amp;IF(COUNTIF(Binders!$J$6:$J$30,TRUE())&gt;1," ["&amp;Q1094&amp;"]",""))</f>
        <v/>
      </c>
      <c r="H1094" s="80" t="str">
        <f t="array" ref="H1094">IF(A1094="","",CHAR(10)&amp;INDEX('Deck 4'!$A:$Z,ROW()-1000,'List Setup'!$E$6)&amp;CHAR(10))</f>
        <v/>
      </c>
      <c r="I1094" s="80" t="str">
        <f t="array" ref="I1094">IF(OR(B1094="",B1094="(none)"),"",IF(ISNUMBER(SEARCH(CHAR(10)&amp;B1094&amp;CHAR(10),H1094)),B1094,IFERROR(INDEX('Set Aliases'!$A$2:$A$501,MATCH(1,('Set Aliases'!$B$2:$B$501=B1094)*ISNUMBER(SEARCH(CHAR(10)&amp;'Set Aliases'!$A$2:$A$501&amp;CHAR(10),H1094)),0)),"")))</f>
        <v/>
      </c>
      <c r="J1094" s="80" t="str">
        <f t="array" ref="J1094">IF(I1094="","",IFERROR(VALUE(TRIM(MID(SUBSTITUTE(INDEX('Deck 4'!$A:$Z,ROW()-1000,'List Setup'!$G$6),CHAR(10),REPT(" ",100)),((SEARCH(CHAR(10)&amp;I1094&amp;CHAR(10),H1094)-LEN(SUBSTITUTE(LEFT(H1094,SEARCH(CHAR(10)&amp;I1094&amp;CHAR(10),H1094)),CHAR(10),"")))-1)*100+1,100))),""))</f>
        <v/>
      </c>
      <c r="K1094" s="80" t="str">
        <f t="array" ref="K1094">IF(A1094="","",IF(ISNUMBER(SEARCH("Land",LEFT(IFERROR(INDEX('Deck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94" s="80" t="str">
        <f t="shared" si="3"/>
        <v/>
      </c>
      <c r="M1094" s="80" t="str">
        <f>IF(A1094="","",IF(AND(E1094="Y",B1094='Use at Shop'!$B$4),K1094*10000000000+(MAX(0,MIN(26,CODE(MID(UPPER(A1094)&amp;"    ",1,1))-64))*19683+MAX(0,MIN(26,CODE(MID(UPPER(A1094)&amp;"    ",2,1))-64))*729+MAX(0,MIN(26,CODE(MID(UPPER(A1094)&amp;"    ",3,1))-64))*27+MAX(0,MIN(26,CODE(MID(UPPER(A1094)&amp;"    ",4,1))-64))*1)*10000+ROW(),""))</f>
        <v/>
      </c>
      <c r="N1094" s="80" t="str">
        <f t="shared" si="8"/>
        <v/>
      </c>
      <c r="O1094" s="80" t="str">
        <f t="array" ref="O1094">IF(A1094="","",IFERROR(INDEX('Deck 4'!$A:$Z,ROW()-1000,'List Setup'!$J$6)&amp;"",""))</f>
        <v/>
      </c>
      <c r="P1094" s="2"/>
      <c r="Q1094" s="80" t="str">
        <f>IF(A1094="","",'List Setup'!$A$6)</f>
        <v/>
      </c>
      <c r="R1094" s="80" t="str">
        <f t="array" ref="R1094">IF(A1094="","",IFERROR(OR(INDEX(Binders!$J$6:$J$30,MATCH(Q1094,Binders!$I$6:$I$30,0))=TRUE(),UPPER(INDEX(Binders!$J$6:$J$30,MATCH(Q1094,Binders!$I$6:$I$30,0))&amp;"")="TRUE"),FALSE()))</f>
        <v/>
      </c>
    </row>
    <row r="1095" ht="15.75" customHeight="1">
      <c r="A1095" s="80" t="str">
        <f t="array" ref="A1095">IF(INDEX('Deck 4'!$A:$Z,ROW()-1000,'List Setup'!$D$6)="","",INDEX('Deck 4'!$A:$Z,ROW()-1000,'List Setup'!$D$6))</f>
        <v/>
      </c>
      <c r="B1095" s="80" t="str">
        <f t="array" ref="B1095">IF(A1095="","",IFERROR(INDEX('Binder Setup'!$B$2:$B$401,MIN(IF(ISNUMBER(SEARCH(CHAR(10)&amp;'Binder Setup'!$B$2:$B$401&amp;CHAR(10),$H1095)),'List Setup'!$Q$2:$Q$401,999),IF(ISNUMBER(SEARCH(CHAR(10)&amp;'Set Aliases'!$A$2:$A$501&amp;CHAR(10),$H1095)),'Set Aliases'!$C$2:$C$501,999))),"(none)"))</f>
        <v/>
      </c>
      <c r="C1095" s="80" t="str">
        <f t="shared" si="1"/>
        <v/>
      </c>
      <c r="D1095" s="80" t="str">
        <f t="array" ref="D1095">IF(A1095="","",IF(ISLOGICAL(INDEX('Deck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95" s="80" t="str">
        <f t="shared" si="2"/>
        <v/>
      </c>
      <c r="F1095" s="80" t="str">
        <f t="array" ref="F1095">IF(A1095="","",IF(ISNUMBER(J1095),J1095,IF(ISNUMBER(INDEX('Deck 4'!$A:$Z,ROW()-1000,'List Setup'!$F$6)),INDEX('Deck 4'!$A:$Z,ROW()-1000,'List Setup'!$F$6),0)))</f>
        <v/>
      </c>
      <c r="G1095" s="80" t="str">
        <f t="array" ref="G1095">IF(A1095="","",A1095&amp;IF(N(INDEX('Deck 4'!$A:$Z,ROW()-1000,'List Setup'!$C$6))&gt;1," (x"&amp;INDEX('Deck 4'!$A:$Z,ROW()-1000,'List Setup'!$C$6)&amp;")","")&amp;IF(COUNTIF(Binders!$J$6:$J$30,TRUE())&gt;1," ["&amp;Q1095&amp;"]",""))</f>
        <v/>
      </c>
      <c r="H1095" s="80" t="str">
        <f t="array" ref="H1095">IF(A1095="","",CHAR(10)&amp;INDEX('Deck 4'!$A:$Z,ROW()-1000,'List Setup'!$E$6)&amp;CHAR(10))</f>
        <v/>
      </c>
      <c r="I1095" s="80" t="str">
        <f t="array" ref="I1095">IF(OR(B1095="",B1095="(none)"),"",IF(ISNUMBER(SEARCH(CHAR(10)&amp;B1095&amp;CHAR(10),H1095)),B1095,IFERROR(INDEX('Set Aliases'!$A$2:$A$501,MATCH(1,('Set Aliases'!$B$2:$B$501=B1095)*ISNUMBER(SEARCH(CHAR(10)&amp;'Set Aliases'!$A$2:$A$501&amp;CHAR(10),H1095)),0)),"")))</f>
        <v/>
      </c>
      <c r="J1095" s="80" t="str">
        <f t="array" ref="J1095">IF(I1095="","",IFERROR(VALUE(TRIM(MID(SUBSTITUTE(INDEX('Deck 4'!$A:$Z,ROW()-1000,'List Setup'!$G$6),CHAR(10),REPT(" ",100)),((SEARCH(CHAR(10)&amp;I1095&amp;CHAR(10),H1095)-LEN(SUBSTITUTE(LEFT(H1095,SEARCH(CHAR(10)&amp;I1095&amp;CHAR(10),H1095)),CHAR(10),"")))-1)*100+1,100))),""))</f>
        <v/>
      </c>
      <c r="K1095" s="80" t="str">
        <f t="array" ref="K1095">IF(A1095="","",IF(ISNUMBER(SEARCH("Land",LEFT(IFERROR(INDEX('Deck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95" s="80" t="str">
        <f t="shared" si="3"/>
        <v/>
      </c>
      <c r="M1095" s="80" t="str">
        <f>IF(A1095="","",IF(AND(E1095="Y",B1095='Use at Shop'!$B$4),K1095*10000000000+(MAX(0,MIN(26,CODE(MID(UPPER(A1095)&amp;"    ",1,1))-64))*19683+MAX(0,MIN(26,CODE(MID(UPPER(A1095)&amp;"    ",2,1))-64))*729+MAX(0,MIN(26,CODE(MID(UPPER(A1095)&amp;"    ",3,1))-64))*27+MAX(0,MIN(26,CODE(MID(UPPER(A1095)&amp;"    ",4,1))-64))*1)*10000+ROW(),""))</f>
        <v/>
      </c>
      <c r="N1095" s="80" t="str">
        <f t="shared" si="8"/>
        <v/>
      </c>
      <c r="O1095" s="80" t="str">
        <f t="array" ref="O1095">IF(A1095="","",IFERROR(INDEX('Deck 4'!$A:$Z,ROW()-1000,'List Setup'!$J$6)&amp;"",""))</f>
        <v/>
      </c>
      <c r="P1095" s="2"/>
      <c r="Q1095" s="80" t="str">
        <f>IF(A1095="","",'List Setup'!$A$6)</f>
        <v/>
      </c>
      <c r="R1095" s="80" t="str">
        <f t="array" ref="R1095">IF(A1095="","",IFERROR(OR(INDEX(Binders!$J$6:$J$30,MATCH(Q1095,Binders!$I$6:$I$30,0))=TRUE(),UPPER(INDEX(Binders!$J$6:$J$30,MATCH(Q1095,Binders!$I$6:$I$30,0))&amp;"")="TRUE"),FALSE()))</f>
        <v/>
      </c>
    </row>
    <row r="1096" ht="15.75" customHeight="1">
      <c r="A1096" s="80" t="str">
        <f t="array" ref="A1096">IF(INDEX('Deck 4'!$A:$Z,ROW()-1000,'List Setup'!$D$6)="","",INDEX('Deck 4'!$A:$Z,ROW()-1000,'List Setup'!$D$6))</f>
        <v/>
      </c>
      <c r="B1096" s="80" t="str">
        <f t="array" ref="B1096">IF(A1096="","",IFERROR(INDEX('Binder Setup'!$B$2:$B$401,MIN(IF(ISNUMBER(SEARCH(CHAR(10)&amp;'Binder Setup'!$B$2:$B$401&amp;CHAR(10),$H1096)),'List Setup'!$Q$2:$Q$401,999),IF(ISNUMBER(SEARCH(CHAR(10)&amp;'Set Aliases'!$A$2:$A$501&amp;CHAR(10),$H1096)),'Set Aliases'!$C$2:$C$501,999))),"(none)"))</f>
        <v/>
      </c>
      <c r="C1096" s="80" t="str">
        <f t="shared" si="1"/>
        <v/>
      </c>
      <c r="D1096" s="80" t="str">
        <f t="array" ref="D1096">IF(A1096="","",IF(ISLOGICAL(INDEX('Deck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96" s="80" t="str">
        <f t="shared" si="2"/>
        <v/>
      </c>
      <c r="F1096" s="80" t="str">
        <f t="array" ref="F1096">IF(A1096="","",IF(ISNUMBER(J1096),J1096,IF(ISNUMBER(INDEX('Deck 4'!$A:$Z,ROW()-1000,'List Setup'!$F$6)),INDEX('Deck 4'!$A:$Z,ROW()-1000,'List Setup'!$F$6),0)))</f>
        <v/>
      </c>
      <c r="G1096" s="80" t="str">
        <f t="array" ref="G1096">IF(A1096="","",A1096&amp;IF(N(INDEX('Deck 4'!$A:$Z,ROW()-1000,'List Setup'!$C$6))&gt;1," (x"&amp;INDEX('Deck 4'!$A:$Z,ROW()-1000,'List Setup'!$C$6)&amp;")","")&amp;IF(COUNTIF(Binders!$J$6:$J$30,TRUE())&gt;1," ["&amp;Q1096&amp;"]",""))</f>
        <v/>
      </c>
      <c r="H1096" s="80" t="str">
        <f t="array" ref="H1096">IF(A1096="","",CHAR(10)&amp;INDEX('Deck 4'!$A:$Z,ROW()-1000,'List Setup'!$E$6)&amp;CHAR(10))</f>
        <v/>
      </c>
      <c r="I1096" s="80" t="str">
        <f t="array" ref="I1096">IF(OR(B1096="",B1096="(none)"),"",IF(ISNUMBER(SEARCH(CHAR(10)&amp;B1096&amp;CHAR(10),H1096)),B1096,IFERROR(INDEX('Set Aliases'!$A$2:$A$501,MATCH(1,('Set Aliases'!$B$2:$B$501=B1096)*ISNUMBER(SEARCH(CHAR(10)&amp;'Set Aliases'!$A$2:$A$501&amp;CHAR(10),H1096)),0)),"")))</f>
        <v/>
      </c>
      <c r="J1096" s="80" t="str">
        <f t="array" ref="J1096">IF(I1096="","",IFERROR(VALUE(TRIM(MID(SUBSTITUTE(INDEX('Deck 4'!$A:$Z,ROW()-1000,'List Setup'!$G$6),CHAR(10),REPT(" ",100)),((SEARCH(CHAR(10)&amp;I1096&amp;CHAR(10),H1096)-LEN(SUBSTITUTE(LEFT(H1096,SEARCH(CHAR(10)&amp;I1096&amp;CHAR(10),H1096)),CHAR(10),"")))-1)*100+1,100))),""))</f>
        <v/>
      </c>
      <c r="K1096" s="80" t="str">
        <f t="array" ref="K1096">IF(A1096="","",IF(ISNUMBER(SEARCH("Land",LEFT(IFERROR(INDEX('Deck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96" s="80" t="str">
        <f t="shared" si="3"/>
        <v/>
      </c>
      <c r="M1096" s="80" t="str">
        <f>IF(A1096="","",IF(AND(E1096="Y",B1096='Use at Shop'!$B$4),K1096*10000000000+(MAX(0,MIN(26,CODE(MID(UPPER(A1096)&amp;"    ",1,1))-64))*19683+MAX(0,MIN(26,CODE(MID(UPPER(A1096)&amp;"    ",2,1))-64))*729+MAX(0,MIN(26,CODE(MID(UPPER(A1096)&amp;"    ",3,1))-64))*27+MAX(0,MIN(26,CODE(MID(UPPER(A1096)&amp;"    ",4,1))-64))*1)*10000+ROW(),""))</f>
        <v/>
      </c>
      <c r="N1096" s="80" t="str">
        <f t="shared" si="8"/>
        <v/>
      </c>
      <c r="O1096" s="80" t="str">
        <f t="array" ref="O1096">IF(A1096="","",IFERROR(INDEX('Deck 4'!$A:$Z,ROW()-1000,'List Setup'!$J$6)&amp;"",""))</f>
        <v/>
      </c>
      <c r="P1096" s="2"/>
      <c r="Q1096" s="80" t="str">
        <f>IF(A1096="","",'List Setup'!$A$6)</f>
        <v/>
      </c>
      <c r="R1096" s="80" t="str">
        <f t="array" ref="R1096">IF(A1096="","",IFERROR(OR(INDEX(Binders!$J$6:$J$30,MATCH(Q1096,Binders!$I$6:$I$30,0))=TRUE(),UPPER(INDEX(Binders!$J$6:$J$30,MATCH(Q1096,Binders!$I$6:$I$30,0))&amp;"")="TRUE"),FALSE()))</f>
        <v/>
      </c>
    </row>
    <row r="1097" ht="15.75" customHeight="1">
      <c r="A1097" s="80" t="str">
        <f t="array" ref="A1097">IF(INDEX('Deck 4'!$A:$Z,ROW()-1000,'List Setup'!$D$6)="","",INDEX('Deck 4'!$A:$Z,ROW()-1000,'List Setup'!$D$6))</f>
        <v/>
      </c>
      <c r="B1097" s="80" t="str">
        <f t="array" ref="B1097">IF(A1097="","",IFERROR(INDEX('Binder Setup'!$B$2:$B$401,MIN(IF(ISNUMBER(SEARCH(CHAR(10)&amp;'Binder Setup'!$B$2:$B$401&amp;CHAR(10),$H1097)),'List Setup'!$Q$2:$Q$401,999),IF(ISNUMBER(SEARCH(CHAR(10)&amp;'Set Aliases'!$A$2:$A$501&amp;CHAR(10),$H1097)),'Set Aliases'!$C$2:$C$501,999))),"(none)"))</f>
        <v/>
      </c>
      <c r="C1097" s="80" t="str">
        <f t="shared" si="1"/>
        <v/>
      </c>
      <c r="D1097" s="80" t="str">
        <f t="array" ref="D1097">IF(A1097="","",IF(ISLOGICAL(INDEX('Deck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97" s="80" t="str">
        <f t="shared" si="2"/>
        <v/>
      </c>
      <c r="F1097" s="80" t="str">
        <f t="array" ref="F1097">IF(A1097="","",IF(ISNUMBER(J1097),J1097,IF(ISNUMBER(INDEX('Deck 4'!$A:$Z,ROW()-1000,'List Setup'!$F$6)),INDEX('Deck 4'!$A:$Z,ROW()-1000,'List Setup'!$F$6),0)))</f>
        <v/>
      </c>
      <c r="G1097" s="80" t="str">
        <f t="array" ref="G1097">IF(A1097="","",A1097&amp;IF(N(INDEX('Deck 4'!$A:$Z,ROW()-1000,'List Setup'!$C$6))&gt;1," (x"&amp;INDEX('Deck 4'!$A:$Z,ROW()-1000,'List Setup'!$C$6)&amp;")","")&amp;IF(COUNTIF(Binders!$J$6:$J$30,TRUE())&gt;1," ["&amp;Q1097&amp;"]",""))</f>
        <v/>
      </c>
      <c r="H1097" s="80" t="str">
        <f t="array" ref="H1097">IF(A1097="","",CHAR(10)&amp;INDEX('Deck 4'!$A:$Z,ROW()-1000,'List Setup'!$E$6)&amp;CHAR(10))</f>
        <v/>
      </c>
      <c r="I1097" s="80" t="str">
        <f t="array" ref="I1097">IF(OR(B1097="",B1097="(none)"),"",IF(ISNUMBER(SEARCH(CHAR(10)&amp;B1097&amp;CHAR(10),H1097)),B1097,IFERROR(INDEX('Set Aliases'!$A$2:$A$501,MATCH(1,('Set Aliases'!$B$2:$B$501=B1097)*ISNUMBER(SEARCH(CHAR(10)&amp;'Set Aliases'!$A$2:$A$501&amp;CHAR(10),H1097)),0)),"")))</f>
        <v/>
      </c>
      <c r="J1097" s="80" t="str">
        <f t="array" ref="J1097">IF(I1097="","",IFERROR(VALUE(TRIM(MID(SUBSTITUTE(INDEX('Deck 4'!$A:$Z,ROW()-1000,'List Setup'!$G$6),CHAR(10),REPT(" ",100)),((SEARCH(CHAR(10)&amp;I1097&amp;CHAR(10),H1097)-LEN(SUBSTITUTE(LEFT(H1097,SEARCH(CHAR(10)&amp;I1097&amp;CHAR(10),H1097)),CHAR(10),"")))-1)*100+1,100))),""))</f>
        <v/>
      </c>
      <c r="K1097" s="80" t="str">
        <f t="array" ref="K1097">IF(A1097="","",IF(ISNUMBER(SEARCH("Land",LEFT(IFERROR(INDEX('Deck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97" s="80" t="str">
        <f t="shared" si="3"/>
        <v/>
      </c>
      <c r="M1097" s="80" t="str">
        <f>IF(A1097="","",IF(AND(E1097="Y",B1097='Use at Shop'!$B$4),K1097*10000000000+(MAX(0,MIN(26,CODE(MID(UPPER(A1097)&amp;"    ",1,1))-64))*19683+MAX(0,MIN(26,CODE(MID(UPPER(A1097)&amp;"    ",2,1))-64))*729+MAX(0,MIN(26,CODE(MID(UPPER(A1097)&amp;"    ",3,1))-64))*27+MAX(0,MIN(26,CODE(MID(UPPER(A1097)&amp;"    ",4,1))-64))*1)*10000+ROW(),""))</f>
        <v/>
      </c>
      <c r="N1097" s="80" t="str">
        <f t="shared" si="8"/>
        <v/>
      </c>
      <c r="O1097" s="80" t="str">
        <f t="array" ref="O1097">IF(A1097="","",IFERROR(INDEX('Deck 4'!$A:$Z,ROW()-1000,'List Setup'!$J$6)&amp;"",""))</f>
        <v/>
      </c>
      <c r="P1097" s="2"/>
      <c r="Q1097" s="80" t="str">
        <f>IF(A1097="","",'List Setup'!$A$6)</f>
        <v/>
      </c>
      <c r="R1097" s="80" t="str">
        <f t="array" ref="R1097">IF(A1097="","",IFERROR(OR(INDEX(Binders!$J$6:$J$30,MATCH(Q1097,Binders!$I$6:$I$30,0))=TRUE(),UPPER(INDEX(Binders!$J$6:$J$30,MATCH(Q1097,Binders!$I$6:$I$30,0))&amp;"")="TRUE"),FALSE()))</f>
        <v/>
      </c>
    </row>
    <row r="1098" ht="15.75" customHeight="1">
      <c r="A1098" s="80" t="str">
        <f t="array" ref="A1098">IF(INDEX('Deck 4'!$A:$Z,ROW()-1000,'List Setup'!$D$6)="","",INDEX('Deck 4'!$A:$Z,ROW()-1000,'List Setup'!$D$6))</f>
        <v/>
      </c>
      <c r="B1098" s="80" t="str">
        <f t="array" ref="B1098">IF(A1098="","",IFERROR(INDEX('Binder Setup'!$B$2:$B$401,MIN(IF(ISNUMBER(SEARCH(CHAR(10)&amp;'Binder Setup'!$B$2:$B$401&amp;CHAR(10),$H1098)),'List Setup'!$Q$2:$Q$401,999),IF(ISNUMBER(SEARCH(CHAR(10)&amp;'Set Aliases'!$A$2:$A$501&amp;CHAR(10),$H1098)),'Set Aliases'!$C$2:$C$501,999))),"(none)"))</f>
        <v/>
      </c>
      <c r="C1098" s="80" t="str">
        <f t="shared" si="1"/>
        <v/>
      </c>
      <c r="D1098" s="80" t="str">
        <f t="array" ref="D1098">IF(A1098="","",IF(ISLOGICAL(INDEX('Deck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98" s="80" t="str">
        <f t="shared" si="2"/>
        <v/>
      </c>
      <c r="F1098" s="80" t="str">
        <f t="array" ref="F1098">IF(A1098="","",IF(ISNUMBER(J1098),J1098,IF(ISNUMBER(INDEX('Deck 4'!$A:$Z,ROW()-1000,'List Setup'!$F$6)),INDEX('Deck 4'!$A:$Z,ROW()-1000,'List Setup'!$F$6),0)))</f>
        <v/>
      </c>
      <c r="G1098" s="80" t="str">
        <f t="array" ref="G1098">IF(A1098="","",A1098&amp;IF(N(INDEX('Deck 4'!$A:$Z,ROW()-1000,'List Setup'!$C$6))&gt;1," (x"&amp;INDEX('Deck 4'!$A:$Z,ROW()-1000,'List Setup'!$C$6)&amp;")","")&amp;IF(COUNTIF(Binders!$J$6:$J$30,TRUE())&gt;1," ["&amp;Q1098&amp;"]",""))</f>
        <v/>
      </c>
      <c r="H1098" s="80" t="str">
        <f t="array" ref="H1098">IF(A1098="","",CHAR(10)&amp;INDEX('Deck 4'!$A:$Z,ROW()-1000,'List Setup'!$E$6)&amp;CHAR(10))</f>
        <v/>
      </c>
      <c r="I1098" s="80" t="str">
        <f t="array" ref="I1098">IF(OR(B1098="",B1098="(none)"),"",IF(ISNUMBER(SEARCH(CHAR(10)&amp;B1098&amp;CHAR(10),H1098)),B1098,IFERROR(INDEX('Set Aliases'!$A$2:$A$501,MATCH(1,('Set Aliases'!$B$2:$B$501=B1098)*ISNUMBER(SEARCH(CHAR(10)&amp;'Set Aliases'!$A$2:$A$501&amp;CHAR(10),H1098)),0)),"")))</f>
        <v/>
      </c>
      <c r="J1098" s="80" t="str">
        <f t="array" ref="J1098">IF(I1098="","",IFERROR(VALUE(TRIM(MID(SUBSTITUTE(INDEX('Deck 4'!$A:$Z,ROW()-1000,'List Setup'!$G$6),CHAR(10),REPT(" ",100)),((SEARCH(CHAR(10)&amp;I1098&amp;CHAR(10),H1098)-LEN(SUBSTITUTE(LEFT(H1098,SEARCH(CHAR(10)&amp;I1098&amp;CHAR(10),H1098)),CHAR(10),"")))-1)*100+1,100))),""))</f>
        <v/>
      </c>
      <c r="K1098" s="80" t="str">
        <f t="array" ref="K1098">IF(A1098="","",IF(ISNUMBER(SEARCH("Land",LEFT(IFERROR(INDEX('Deck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98" s="80" t="str">
        <f t="shared" si="3"/>
        <v/>
      </c>
      <c r="M1098" s="80" t="str">
        <f>IF(A1098="","",IF(AND(E1098="Y",B1098='Use at Shop'!$B$4),K1098*10000000000+(MAX(0,MIN(26,CODE(MID(UPPER(A1098)&amp;"    ",1,1))-64))*19683+MAX(0,MIN(26,CODE(MID(UPPER(A1098)&amp;"    ",2,1))-64))*729+MAX(0,MIN(26,CODE(MID(UPPER(A1098)&amp;"    ",3,1))-64))*27+MAX(0,MIN(26,CODE(MID(UPPER(A1098)&amp;"    ",4,1))-64))*1)*10000+ROW(),""))</f>
        <v/>
      </c>
      <c r="N1098" s="80" t="str">
        <f t="shared" si="8"/>
        <v/>
      </c>
      <c r="O1098" s="80" t="str">
        <f t="array" ref="O1098">IF(A1098="","",IFERROR(INDEX('Deck 4'!$A:$Z,ROW()-1000,'List Setup'!$J$6)&amp;"",""))</f>
        <v/>
      </c>
      <c r="P1098" s="2"/>
      <c r="Q1098" s="80" t="str">
        <f>IF(A1098="","",'List Setup'!$A$6)</f>
        <v/>
      </c>
      <c r="R1098" s="80" t="str">
        <f t="array" ref="R1098">IF(A1098="","",IFERROR(OR(INDEX(Binders!$J$6:$J$30,MATCH(Q1098,Binders!$I$6:$I$30,0))=TRUE(),UPPER(INDEX(Binders!$J$6:$J$30,MATCH(Q1098,Binders!$I$6:$I$30,0))&amp;"")="TRUE"),FALSE()))</f>
        <v/>
      </c>
    </row>
    <row r="1099" ht="15.75" customHeight="1">
      <c r="A1099" s="80" t="str">
        <f t="array" ref="A1099">IF(INDEX('Deck 4'!$A:$Z,ROW()-1000,'List Setup'!$D$6)="","",INDEX('Deck 4'!$A:$Z,ROW()-1000,'List Setup'!$D$6))</f>
        <v/>
      </c>
      <c r="B1099" s="80" t="str">
        <f t="array" ref="B1099">IF(A1099="","",IFERROR(INDEX('Binder Setup'!$B$2:$B$401,MIN(IF(ISNUMBER(SEARCH(CHAR(10)&amp;'Binder Setup'!$B$2:$B$401&amp;CHAR(10),$H1099)),'List Setup'!$Q$2:$Q$401,999),IF(ISNUMBER(SEARCH(CHAR(10)&amp;'Set Aliases'!$A$2:$A$501&amp;CHAR(10),$H1099)),'Set Aliases'!$C$2:$C$501,999))),"(none)"))</f>
        <v/>
      </c>
      <c r="C1099" s="80" t="str">
        <f t="shared" si="1"/>
        <v/>
      </c>
      <c r="D1099" s="80" t="str">
        <f t="array" ref="D1099">IF(A1099="","",IF(ISLOGICAL(INDEX('Deck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099" s="80" t="str">
        <f t="shared" si="2"/>
        <v/>
      </c>
      <c r="F1099" s="80" t="str">
        <f t="array" ref="F1099">IF(A1099="","",IF(ISNUMBER(J1099),J1099,IF(ISNUMBER(INDEX('Deck 4'!$A:$Z,ROW()-1000,'List Setup'!$F$6)),INDEX('Deck 4'!$A:$Z,ROW()-1000,'List Setup'!$F$6),0)))</f>
        <v/>
      </c>
      <c r="G1099" s="80" t="str">
        <f t="array" ref="G1099">IF(A1099="","",A1099&amp;IF(N(INDEX('Deck 4'!$A:$Z,ROW()-1000,'List Setup'!$C$6))&gt;1," (x"&amp;INDEX('Deck 4'!$A:$Z,ROW()-1000,'List Setup'!$C$6)&amp;")","")&amp;IF(COUNTIF(Binders!$J$6:$J$30,TRUE())&gt;1," ["&amp;Q1099&amp;"]",""))</f>
        <v/>
      </c>
      <c r="H1099" s="80" t="str">
        <f t="array" ref="H1099">IF(A1099="","",CHAR(10)&amp;INDEX('Deck 4'!$A:$Z,ROW()-1000,'List Setup'!$E$6)&amp;CHAR(10))</f>
        <v/>
      </c>
      <c r="I1099" s="80" t="str">
        <f t="array" ref="I1099">IF(OR(B1099="",B1099="(none)"),"",IF(ISNUMBER(SEARCH(CHAR(10)&amp;B1099&amp;CHAR(10),H1099)),B1099,IFERROR(INDEX('Set Aliases'!$A$2:$A$501,MATCH(1,('Set Aliases'!$B$2:$B$501=B1099)*ISNUMBER(SEARCH(CHAR(10)&amp;'Set Aliases'!$A$2:$A$501&amp;CHAR(10),H1099)),0)),"")))</f>
        <v/>
      </c>
      <c r="J1099" s="80" t="str">
        <f t="array" ref="J1099">IF(I1099="","",IFERROR(VALUE(TRIM(MID(SUBSTITUTE(INDEX('Deck 4'!$A:$Z,ROW()-1000,'List Setup'!$G$6),CHAR(10),REPT(" ",100)),((SEARCH(CHAR(10)&amp;I1099&amp;CHAR(10),H1099)-LEN(SUBSTITUTE(LEFT(H1099,SEARCH(CHAR(10)&amp;I1099&amp;CHAR(10),H1099)),CHAR(10),"")))-1)*100+1,100))),""))</f>
        <v/>
      </c>
      <c r="K1099" s="80" t="str">
        <f t="array" ref="K1099">IF(A1099="","",IF(ISNUMBER(SEARCH("Land",LEFT(IFERROR(INDEX('Deck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099" s="80" t="str">
        <f t="shared" si="3"/>
        <v/>
      </c>
      <c r="M1099" s="80" t="str">
        <f>IF(A1099="","",IF(AND(E1099="Y",B1099='Use at Shop'!$B$4),K1099*10000000000+(MAX(0,MIN(26,CODE(MID(UPPER(A1099)&amp;"    ",1,1))-64))*19683+MAX(0,MIN(26,CODE(MID(UPPER(A1099)&amp;"    ",2,1))-64))*729+MAX(0,MIN(26,CODE(MID(UPPER(A1099)&amp;"    ",3,1))-64))*27+MAX(0,MIN(26,CODE(MID(UPPER(A1099)&amp;"    ",4,1))-64))*1)*10000+ROW(),""))</f>
        <v/>
      </c>
      <c r="N1099" s="80" t="str">
        <f t="shared" si="8"/>
        <v/>
      </c>
      <c r="O1099" s="80" t="str">
        <f t="array" ref="O1099">IF(A1099="","",IFERROR(INDEX('Deck 4'!$A:$Z,ROW()-1000,'List Setup'!$J$6)&amp;"",""))</f>
        <v/>
      </c>
      <c r="P1099" s="2"/>
      <c r="Q1099" s="80" t="str">
        <f>IF(A1099="","",'List Setup'!$A$6)</f>
        <v/>
      </c>
      <c r="R1099" s="80" t="str">
        <f t="array" ref="R1099">IF(A1099="","",IFERROR(OR(INDEX(Binders!$J$6:$J$30,MATCH(Q1099,Binders!$I$6:$I$30,0))=TRUE(),UPPER(INDEX(Binders!$J$6:$J$30,MATCH(Q1099,Binders!$I$6:$I$30,0))&amp;"")="TRUE"),FALSE()))</f>
        <v/>
      </c>
    </row>
    <row r="1100" ht="15.75" customHeight="1">
      <c r="A1100" s="80" t="str">
        <f t="array" ref="A1100">IF(INDEX('Deck 4'!$A:$Z,ROW()-1000,'List Setup'!$D$6)="","",INDEX('Deck 4'!$A:$Z,ROW()-1000,'List Setup'!$D$6))</f>
        <v/>
      </c>
      <c r="B1100" s="80" t="str">
        <f t="array" ref="B1100">IF(A1100="","",IFERROR(INDEX('Binder Setup'!$B$2:$B$401,MIN(IF(ISNUMBER(SEARCH(CHAR(10)&amp;'Binder Setup'!$B$2:$B$401&amp;CHAR(10),$H1100)),'List Setup'!$Q$2:$Q$401,999),IF(ISNUMBER(SEARCH(CHAR(10)&amp;'Set Aliases'!$A$2:$A$501&amp;CHAR(10),$H1100)),'Set Aliases'!$C$2:$C$501,999))),"(none)"))</f>
        <v/>
      </c>
      <c r="C1100" s="80" t="str">
        <f t="shared" si="1"/>
        <v/>
      </c>
      <c r="D1100" s="80" t="str">
        <f t="array" ref="D1100">IF(A1100="","",IF(ISLOGICAL(INDEX('Deck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00" s="80" t="str">
        <f t="shared" si="2"/>
        <v/>
      </c>
      <c r="F1100" s="80" t="str">
        <f t="array" ref="F1100">IF(A1100="","",IF(ISNUMBER(J1100),J1100,IF(ISNUMBER(INDEX('Deck 4'!$A:$Z,ROW()-1000,'List Setup'!$F$6)),INDEX('Deck 4'!$A:$Z,ROW()-1000,'List Setup'!$F$6),0)))</f>
        <v/>
      </c>
      <c r="G1100" s="80" t="str">
        <f t="array" ref="G1100">IF(A1100="","",A1100&amp;IF(N(INDEX('Deck 4'!$A:$Z,ROW()-1000,'List Setup'!$C$6))&gt;1," (x"&amp;INDEX('Deck 4'!$A:$Z,ROW()-1000,'List Setup'!$C$6)&amp;")","")&amp;IF(COUNTIF(Binders!$J$6:$J$30,TRUE())&gt;1," ["&amp;Q1100&amp;"]",""))</f>
        <v/>
      </c>
      <c r="H1100" s="80" t="str">
        <f t="array" ref="H1100">IF(A1100="","",CHAR(10)&amp;INDEX('Deck 4'!$A:$Z,ROW()-1000,'List Setup'!$E$6)&amp;CHAR(10))</f>
        <v/>
      </c>
      <c r="I1100" s="80" t="str">
        <f t="array" ref="I1100">IF(OR(B1100="",B1100="(none)"),"",IF(ISNUMBER(SEARCH(CHAR(10)&amp;B1100&amp;CHAR(10),H1100)),B1100,IFERROR(INDEX('Set Aliases'!$A$2:$A$501,MATCH(1,('Set Aliases'!$B$2:$B$501=B1100)*ISNUMBER(SEARCH(CHAR(10)&amp;'Set Aliases'!$A$2:$A$501&amp;CHAR(10),H1100)),0)),"")))</f>
        <v/>
      </c>
      <c r="J1100" s="80" t="str">
        <f t="array" ref="J1100">IF(I1100="","",IFERROR(VALUE(TRIM(MID(SUBSTITUTE(INDEX('Deck 4'!$A:$Z,ROW()-1000,'List Setup'!$G$6),CHAR(10),REPT(" ",100)),((SEARCH(CHAR(10)&amp;I1100&amp;CHAR(10),H1100)-LEN(SUBSTITUTE(LEFT(H1100,SEARCH(CHAR(10)&amp;I1100&amp;CHAR(10),H1100)),CHAR(10),"")))-1)*100+1,100))),""))</f>
        <v/>
      </c>
      <c r="K1100" s="80" t="str">
        <f t="array" ref="K1100">IF(A1100="","",IF(ISNUMBER(SEARCH("Land",LEFT(IFERROR(INDEX('Deck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00" s="80" t="str">
        <f t="shared" si="3"/>
        <v/>
      </c>
      <c r="M1100" s="80" t="str">
        <f>IF(A1100="","",IF(AND(E1100="Y",B1100='Use at Shop'!$B$4),K1100*10000000000+(MAX(0,MIN(26,CODE(MID(UPPER(A1100)&amp;"    ",1,1))-64))*19683+MAX(0,MIN(26,CODE(MID(UPPER(A1100)&amp;"    ",2,1))-64))*729+MAX(0,MIN(26,CODE(MID(UPPER(A1100)&amp;"    ",3,1))-64))*27+MAX(0,MIN(26,CODE(MID(UPPER(A1100)&amp;"    ",4,1))-64))*1)*10000+ROW(),""))</f>
        <v/>
      </c>
      <c r="N1100" s="80" t="str">
        <f t="shared" si="8"/>
        <v/>
      </c>
      <c r="O1100" s="80" t="str">
        <f t="array" ref="O1100">IF(A1100="","",IFERROR(INDEX('Deck 4'!$A:$Z,ROW()-1000,'List Setup'!$J$6)&amp;"",""))</f>
        <v/>
      </c>
      <c r="P1100" s="2"/>
      <c r="Q1100" s="80" t="str">
        <f>IF(A1100="","",'List Setup'!$A$6)</f>
        <v/>
      </c>
      <c r="R1100" s="80" t="str">
        <f t="array" ref="R1100">IF(A1100="","",IFERROR(OR(INDEX(Binders!$J$6:$J$30,MATCH(Q1100,Binders!$I$6:$I$30,0))=TRUE(),UPPER(INDEX(Binders!$J$6:$J$30,MATCH(Q1100,Binders!$I$6:$I$30,0))&amp;"")="TRUE"),FALSE()))</f>
        <v/>
      </c>
    </row>
    <row r="1101" ht="15.75" customHeight="1">
      <c r="A1101" s="80" t="str">
        <f t="array" ref="A1101">IF(INDEX('Deck 4'!$A:$Z,ROW()-1000,'List Setup'!$D$6)="","",INDEX('Deck 4'!$A:$Z,ROW()-1000,'List Setup'!$D$6))</f>
        <v/>
      </c>
      <c r="B1101" s="80" t="str">
        <f t="array" ref="B1101">IF(A1101="","",IFERROR(INDEX('Binder Setup'!$B$2:$B$401,MIN(IF(ISNUMBER(SEARCH(CHAR(10)&amp;'Binder Setup'!$B$2:$B$401&amp;CHAR(10),$H1101)),'List Setup'!$Q$2:$Q$401,999),IF(ISNUMBER(SEARCH(CHAR(10)&amp;'Set Aliases'!$A$2:$A$501&amp;CHAR(10),$H1101)),'Set Aliases'!$C$2:$C$501,999))),"(none)"))</f>
        <v/>
      </c>
      <c r="C1101" s="80" t="str">
        <f t="shared" si="1"/>
        <v/>
      </c>
      <c r="D1101" s="80" t="str">
        <f t="array" ref="D1101">IF(A1101="","",IF(ISLOGICAL(INDEX('Deck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01" s="80" t="str">
        <f t="shared" si="2"/>
        <v/>
      </c>
      <c r="F1101" s="80" t="str">
        <f t="array" ref="F1101">IF(A1101="","",IF(ISNUMBER(J1101),J1101,IF(ISNUMBER(INDEX('Deck 4'!$A:$Z,ROW()-1000,'List Setup'!$F$6)),INDEX('Deck 4'!$A:$Z,ROW()-1000,'List Setup'!$F$6),0)))</f>
        <v/>
      </c>
      <c r="G1101" s="80" t="str">
        <f t="array" ref="G1101">IF(A1101="","",A1101&amp;IF(N(INDEX('Deck 4'!$A:$Z,ROW()-1000,'List Setup'!$C$6))&gt;1," (x"&amp;INDEX('Deck 4'!$A:$Z,ROW()-1000,'List Setup'!$C$6)&amp;")","")&amp;IF(COUNTIF(Binders!$J$6:$J$30,TRUE())&gt;1," ["&amp;Q1101&amp;"]",""))</f>
        <v/>
      </c>
      <c r="H1101" s="80" t="str">
        <f t="array" ref="H1101">IF(A1101="","",CHAR(10)&amp;INDEX('Deck 4'!$A:$Z,ROW()-1000,'List Setup'!$E$6)&amp;CHAR(10))</f>
        <v/>
      </c>
      <c r="I1101" s="80" t="str">
        <f t="array" ref="I1101">IF(OR(B1101="",B1101="(none)"),"",IF(ISNUMBER(SEARCH(CHAR(10)&amp;B1101&amp;CHAR(10),H1101)),B1101,IFERROR(INDEX('Set Aliases'!$A$2:$A$501,MATCH(1,('Set Aliases'!$B$2:$B$501=B1101)*ISNUMBER(SEARCH(CHAR(10)&amp;'Set Aliases'!$A$2:$A$501&amp;CHAR(10),H1101)),0)),"")))</f>
        <v/>
      </c>
      <c r="J1101" s="80" t="str">
        <f t="array" ref="J1101">IF(I1101="","",IFERROR(VALUE(TRIM(MID(SUBSTITUTE(INDEX('Deck 4'!$A:$Z,ROW()-1000,'List Setup'!$G$6),CHAR(10),REPT(" ",100)),((SEARCH(CHAR(10)&amp;I1101&amp;CHAR(10),H1101)-LEN(SUBSTITUTE(LEFT(H1101,SEARCH(CHAR(10)&amp;I1101&amp;CHAR(10),H1101)),CHAR(10),"")))-1)*100+1,100))),""))</f>
        <v/>
      </c>
      <c r="K1101" s="80" t="str">
        <f t="array" ref="K1101">IF(A1101="","",IF(ISNUMBER(SEARCH("Land",LEFT(IFERROR(INDEX('Deck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01" s="80" t="str">
        <f t="shared" si="3"/>
        <v/>
      </c>
      <c r="M1101" s="80" t="str">
        <f>IF(A1101="","",IF(AND(E1101="Y",B1101='Use at Shop'!$B$4),K1101*10000000000+(MAX(0,MIN(26,CODE(MID(UPPER(A1101)&amp;"    ",1,1))-64))*19683+MAX(0,MIN(26,CODE(MID(UPPER(A1101)&amp;"    ",2,1))-64))*729+MAX(0,MIN(26,CODE(MID(UPPER(A1101)&amp;"    ",3,1))-64))*27+MAX(0,MIN(26,CODE(MID(UPPER(A1101)&amp;"    ",4,1))-64))*1)*10000+ROW(),""))</f>
        <v/>
      </c>
      <c r="N1101" s="80" t="str">
        <f t="shared" si="8"/>
        <v/>
      </c>
      <c r="O1101" s="80" t="str">
        <f t="array" ref="O1101">IF(A1101="","",IFERROR(INDEX('Deck 4'!$A:$Z,ROW()-1000,'List Setup'!$J$6)&amp;"",""))</f>
        <v/>
      </c>
      <c r="P1101" s="2"/>
      <c r="Q1101" s="80" t="str">
        <f>IF(A1101="","",'List Setup'!$A$6)</f>
        <v/>
      </c>
      <c r="R1101" s="80" t="str">
        <f t="array" ref="R1101">IF(A1101="","",IFERROR(OR(INDEX(Binders!$J$6:$J$30,MATCH(Q1101,Binders!$I$6:$I$30,0))=TRUE(),UPPER(INDEX(Binders!$J$6:$J$30,MATCH(Q1101,Binders!$I$6:$I$30,0))&amp;"")="TRUE"),FALSE()))</f>
        <v/>
      </c>
    </row>
    <row r="1102" ht="15.75" customHeight="1">
      <c r="A1102" s="80" t="str">
        <f t="array" ref="A1102">IF(INDEX('Deck 4'!$A:$Z,ROW()-1000,'List Setup'!$D$6)="","",INDEX('Deck 4'!$A:$Z,ROW()-1000,'List Setup'!$D$6))</f>
        <v/>
      </c>
      <c r="B1102" s="80" t="str">
        <f t="array" ref="B1102">IF(A1102="","",IFERROR(INDEX('Binder Setup'!$B$2:$B$401,MIN(IF(ISNUMBER(SEARCH(CHAR(10)&amp;'Binder Setup'!$B$2:$B$401&amp;CHAR(10),$H1102)),'List Setup'!$Q$2:$Q$401,999),IF(ISNUMBER(SEARCH(CHAR(10)&amp;'Set Aliases'!$A$2:$A$501&amp;CHAR(10),$H1102)),'Set Aliases'!$C$2:$C$501,999))),"(none)"))</f>
        <v/>
      </c>
      <c r="C1102" s="80" t="str">
        <f t="shared" si="1"/>
        <v/>
      </c>
      <c r="D1102" s="80" t="str">
        <f t="array" ref="D1102">IF(A1102="","",IF(ISLOGICAL(INDEX('Deck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02" s="80" t="str">
        <f t="shared" si="2"/>
        <v/>
      </c>
      <c r="F1102" s="80" t="str">
        <f t="array" ref="F1102">IF(A1102="","",IF(ISNUMBER(J1102),J1102,IF(ISNUMBER(INDEX('Deck 4'!$A:$Z,ROW()-1000,'List Setup'!$F$6)),INDEX('Deck 4'!$A:$Z,ROW()-1000,'List Setup'!$F$6),0)))</f>
        <v/>
      </c>
      <c r="G1102" s="80" t="str">
        <f t="array" ref="G1102">IF(A1102="","",A1102&amp;IF(N(INDEX('Deck 4'!$A:$Z,ROW()-1000,'List Setup'!$C$6))&gt;1," (x"&amp;INDEX('Deck 4'!$A:$Z,ROW()-1000,'List Setup'!$C$6)&amp;")","")&amp;IF(COUNTIF(Binders!$J$6:$J$30,TRUE())&gt;1," ["&amp;Q1102&amp;"]",""))</f>
        <v/>
      </c>
      <c r="H1102" s="80" t="str">
        <f t="array" ref="H1102">IF(A1102="","",CHAR(10)&amp;INDEX('Deck 4'!$A:$Z,ROW()-1000,'List Setup'!$E$6)&amp;CHAR(10))</f>
        <v/>
      </c>
      <c r="I1102" s="80" t="str">
        <f t="array" ref="I1102">IF(OR(B1102="",B1102="(none)"),"",IF(ISNUMBER(SEARCH(CHAR(10)&amp;B1102&amp;CHAR(10),H1102)),B1102,IFERROR(INDEX('Set Aliases'!$A$2:$A$501,MATCH(1,('Set Aliases'!$B$2:$B$501=B1102)*ISNUMBER(SEARCH(CHAR(10)&amp;'Set Aliases'!$A$2:$A$501&amp;CHAR(10),H1102)),0)),"")))</f>
        <v/>
      </c>
      <c r="J1102" s="80" t="str">
        <f t="array" ref="J1102">IF(I1102="","",IFERROR(VALUE(TRIM(MID(SUBSTITUTE(INDEX('Deck 4'!$A:$Z,ROW()-1000,'List Setup'!$G$6),CHAR(10),REPT(" ",100)),((SEARCH(CHAR(10)&amp;I1102&amp;CHAR(10),H1102)-LEN(SUBSTITUTE(LEFT(H1102,SEARCH(CHAR(10)&amp;I1102&amp;CHAR(10),H1102)),CHAR(10),"")))-1)*100+1,100))),""))</f>
        <v/>
      </c>
      <c r="K1102" s="80" t="str">
        <f t="array" ref="K1102">IF(A1102="","",IF(ISNUMBER(SEARCH("Land",LEFT(IFERROR(INDEX('Deck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02" s="80" t="str">
        <f t="shared" si="3"/>
        <v/>
      </c>
      <c r="M1102" s="80" t="str">
        <f>IF(A1102="","",IF(AND(E1102="Y",B1102='Use at Shop'!$B$4),K1102*10000000000+(MAX(0,MIN(26,CODE(MID(UPPER(A1102)&amp;"    ",1,1))-64))*19683+MAX(0,MIN(26,CODE(MID(UPPER(A1102)&amp;"    ",2,1))-64))*729+MAX(0,MIN(26,CODE(MID(UPPER(A1102)&amp;"    ",3,1))-64))*27+MAX(0,MIN(26,CODE(MID(UPPER(A1102)&amp;"    ",4,1))-64))*1)*10000+ROW(),""))</f>
        <v/>
      </c>
      <c r="N1102" s="80" t="str">
        <f t="shared" si="8"/>
        <v/>
      </c>
      <c r="O1102" s="80" t="str">
        <f t="array" ref="O1102">IF(A1102="","",IFERROR(INDEX('Deck 4'!$A:$Z,ROW()-1000,'List Setup'!$J$6)&amp;"",""))</f>
        <v/>
      </c>
      <c r="P1102" s="2"/>
      <c r="Q1102" s="80" t="str">
        <f>IF(A1102="","",'List Setup'!$A$6)</f>
        <v/>
      </c>
      <c r="R1102" s="80" t="str">
        <f t="array" ref="R1102">IF(A1102="","",IFERROR(OR(INDEX(Binders!$J$6:$J$30,MATCH(Q1102,Binders!$I$6:$I$30,0))=TRUE(),UPPER(INDEX(Binders!$J$6:$J$30,MATCH(Q1102,Binders!$I$6:$I$30,0))&amp;"")="TRUE"),FALSE()))</f>
        <v/>
      </c>
    </row>
    <row r="1103" ht="15.75" customHeight="1">
      <c r="A1103" s="80" t="str">
        <f t="array" ref="A1103">IF(INDEX('Deck 4'!$A:$Z,ROW()-1000,'List Setup'!$D$6)="","",INDEX('Deck 4'!$A:$Z,ROW()-1000,'List Setup'!$D$6))</f>
        <v/>
      </c>
      <c r="B1103" s="80" t="str">
        <f t="array" ref="B1103">IF(A1103="","",IFERROR(INDEX('Binder Setup'!$B$2:$B$401,MIN(IF(ISNUMBER(SEARCH(CHAR(10)&amp;'Binder Setup'!$B$2:$B$401&amp;CHAR(10),$H1103)),'List Setup'!$Q$2:$Q$401,999),IF(ISNUMBER(SEARCH(CHAR(10)&amp;'Set Aliases'!$A$2:$A$501&amp;CHAR(10),$H1103)),'Set Aliases'!$C$2:$C$501,999))),"(none)"))</f>
        <v/>
      </c>
      <c r="C1103" s="80" t="str">
        <f t="shared" si="1"/>
        <v/>
      </c>
      <c r="D1103" s="80" t="str">
        <f t="array" ref="D1103">IF(A1103="","",IF(ISLOGICAL(INDEX('Deck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03" s="80" t="str">
        <f t="shared" si="2"/>
        <v/>
      </c>
      <c r="F1103" s="80" t="str">
        <f t="array" ref="F1103">IF(A1103="","",IF(ISNUMBER(J1103),J1103,IF(ISNUMBER(INDEX('Deck 4'!$A:$Z,ROW()-1000,'List Setup'!$F$6)),INDEX('Deck 4'!$A:$Z,ROW()-1000,'List Setup'!$F$6),0)))</f>
        <v/>
      </c>
      <c r="G1103" s="80" t="str">
        <f t="array" ref="G1103">IF(A1103="","",A1103&amp;IF(N(INDEX('Deck 4'!$A:$Z,ROW()-1000,'List Setup'!$C$6))&gt;1," (x"&amp;INDEX('Deck 4'!$A:$Z,ROW()-1000,'List Setup'!$C$6)&amp;")","")&amp;IF(COUNTIF(Binders!$J$6:$J$30,TRUE())&gt;1," ["&amp;Q1103&amp;"]",""))</f>
        <v/>
      </c>
      <c r="H1103" s="80" t="str">
        <f t="array" ref="H1103">IF(A1103="","",CHAR(10)&amp;INDEX('Deck 4'!$A:$Z,ROW()-1000,'List Setup'!$E$6)&amp;CHAR(10))</f>
        <v/>
      </c>
      <c r="I1103" s="80" t="str">
        <f t="array" ref="I1103">IF(OR(B1103="",B1103="(none)"),"",IF(ISNUMBER(SEARCH(CHAR(10)&amp;B1103&amp;CHAR(10),H1103)),B1103,IFERROR(INDEX('Set Aliases'!$A$2:$A$501,MATCH(1,('Set Aliases'!$B$2:$B$501=B1103)*ISNUMBER(SEARCH(CHAR(10)&amp;'Set Aliases'!$A$2:$A$501&amp;CHAR(10),H1103)),0)),"")))</f>
        <v/>
      </c>
      <c r="J1103" s="80" t="str">
        <f t="array" ref="J1103">IF(I1103="","",IFERROR(VALUE(TRIM(MID(SUBSTITUTE(INDEX('Deck 4'!$A:$Z,ROW()-1000,'List Setup'!$G$6),CHAR(10),REPT(" ",100)),((SEARCH(CHAR(10)&amp;I1103&amp;CHAR(10),H1103)-LEN(SUBSTITUTE(LEFT(H1103,SEARCH(CHAR(10)&amp;I1103&amp;CHAR(10),H1103)),CHAR(10),"")))-1)*100+1,100))),""))</f>
        <v/>
      </c>
      <c r="K1103" s="80" t="str">
        <f t="array" ref="K1103">IF(A1103="","",IF(ISNUMBER(SEARCH("Land",LEFT(IFERROR(INDEX('Deck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03" s="80" t="str">
        <f t="shared" si="3"/>
        <v/>
      </c>
      <c r="M1103" s="80" t="str">
        <f>IF(A1103="","",IF(AND(E1103="Y",B1103='Use at Shop'!$B$4),K1103*10000000000+(MAX(0,MIN(26,CODE(MID(UPPER(A1103)&amp;"    ",1,1))-64))*19683+MAX(0,MIN(26,CODE(MID(UPPER(A1103)&amp;"    ",2,1))-64))*729+MAX(0,MIN(26,CODE(MID(UPPER(A1103)&amp;"    ",3,1))-64))*27+MAX(0,MIN(26,CODE(MID(UPPER(A1103)&amp;"    ",4,1))-64))*1)*10000+ROW(),""))</f>
        <v/>
      </c>
      <c r="N1103" s="80" t="str">
        <f t="shared" si="8"/>
        <v/>
      </c>
      <c r="O1103" s="80" t="str">
        <f t="array" ref="O1103">IF(A1103="","",IFERROR(INDEX('Deck 4'!$A:$Z,ROW()-1000,'List Setup'!$J$6)&amp;"",""))</f>
        <v/>
      </c>
      <c r="P1103" s="2"/>
      <c r="Q1103" s="80" t="str">
        <f>IF(A1103="","",'List Setup'!$A$6)</f>
        <v/>
      </c>
      <c r="R1103" s="80" t="str">
        <f t="array" ref="R1103">IF(A1103="","",IFERROR(OR(INDEX(Binders!$J$6:$J$30,MATCH(Q1103,Binders!$I$6:$I$30,0))=TRUE(),UPPER(INDEX(Binders!$J$6:$J$30,MATCH(Q1103,Binders!$I$6:$I$30,0))&amp;"")="TRUE"),FALSE()))</f>
        <v/>
      </c>
    </row>
    <row r="1104" ht="15.75" customHeight="1">
      <c r="A1104" s="80" t="str">
        <f t="array" ref="A1104">IF(INDEX('Deck 4'!$A:$Z,ROW()-1000,'List Setup'!$D$6)="","",INDEX('Deck 4'!$A:$Z,ROW()-1000,'List Setup'!$D$6))</f>
        <v/>
      </c>
      <c r="B1104" s="80" t="str">
        <f t="array" ref="B1104">IF(A1104="","",IFERROR(INDEX('Binder Setup'!$B$2:$B$401,MIN(IF(ISNUMBER(SEARCH(CHAR(10)&amp;'Binder Setup'!$B$2:$B$401&amp;CHAR(10),$H1104)),'List Setup'!$Q$2:$Q$401,999),IF(ISNUMBER(SEARCH(CHAR(10)&amp;'Set Aliases'!$A$2:$A$501&amp;CHAR(10),$H1104)),'Set Aliases'!$C$2:$C$501,999))),"(none)"))</f>
        <v/>
      </c>
      <c r="C1104" s="80" t="str">
        <f t="shared" si="1"/>
        <v/>
      </c>
      <c r="D1104" s="80" t="str">
        <f t="array" ref="D1104">IF(A1104="","",IF(ISLOGICAL(INDEX('Deck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04" s="80" t="str">
        <f t="shared" si="2"/>
        <v/>
      </c>
      <c r="F1104" s="80" t="str">
        <f t="array" ref="F1104">IF(A1104="","",IF(ISNUMBER(J1104),J1104,IF(ISNUMBER(INDEX('Deck 4'!$A:$Z,ROW()-1000,'List Setup'!$F$6)),INDEX('Deck 4'!$A:$Z,ROW()-1000,'List Setup'!$F$6),0)))</f>
        <v/>
      </c>
      <c r="G1104" s="80" t="str">
        <f t="array" ref="G1104">IF(A1104="","",A1104&amp;IF(N(INDEX('Deck 4'!$A:$Z,ROW()-1000,'List Setup'!$C$6))&gt;1," (x"&amp;INDEX('Deck 4'!$A:$Z,ROW()-1000,'List Setup'!$C$6)&amp;")","")&amp;IF(COUNTIF(Binders!$J$6:$J$30,TRUE())&gt;1," ["&amp;Q1104&amp;"]",""))</f>
        <v/>
      </c>
      <c r="H1104" s="80" t="str">
        <f t="array" ref="H1104">IF(A1104="","",CHAR(10)&amp;INDEX('Deck 4'!$A:$Z,ROW()-1000,'List Setup'!$E$6)&amp;CHAR(10))</f>
        <v/>
      </c>
      <c r="I1104" s="80" t="str">
        <f t="array" ref="I1104">IF(OR(B1104="",B1104="(none)"),"",IF(ISNUMBER(SEARCH(CHAR(10)&amp;B1104&amp;CHAR(10),H1104)),B1104,IFERROR(INDEX('Set Aliases'!$A$2:$A$501,MATCH(1,('Set Aliases'!$B$2:$B$501=B1104)*ISNUMBER(SEARCH(CHAR(10)&amp;'Set Aliases'!$A$2:$A$501&amp;CHAR(10),H1104)),0)),"")))</f>
        <v/>
      </c>
      <c r="J1104" s="80" t="str">
        <f t="array" ref="J1104">IF(I1104="","",IFERROR(VALUE(TRIM(MID(SUBSTITUTE(INDEX('Deck 4'!$A:$Z,ROW()-1000,'List Setup'!$G$6),CHAR(10),REPT(" ",100)),((SEARCH(CHAR(10)&amp;I1104&amp;CHAR(10),H1104)-LEN(SUBSTITUTE(LEFT(H1104,SEARCH(CHAR(10)&amp;I1104&amp;CHAR(10),H1104)),CHAR(10),"")))-1)*100+1,100))),""))</f>
        <v/>
      </c>
      <c r="K1104" s="80" t="str">
        <f t="array" ref="K1104">IF(A1104="","",IF(ISNUMBER(SEARCH("Land",LEFT(IFERROR(INDEX('Deck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04" s="80" t="str">
        <f t="shared" si="3"/>
        <v/>
      </c>
      <c r="M1104" s="80" t="str">
        <f>IF(A1104="","",IF(AND(E1104="Y",B1104='Use at Shop'!$B$4),K1104*10000000000+(MAX(0,MIN(26,CODE(MID(UPPER(A1104)&amp;"    ",1,1))-64))*19683+MAX(0,MIN(26,CODE(MID(UPPER(A1104)&amp;"    ",2,1))-64))*729+MAX(0,MIN(26,CODE(MID(UPPER(A1104)&amp;"    ",3,1))-64))*27+MAX(0,MIN(26,CODE(MID(UPPER(A1104)&amp;"    ",4,1))-64))*1)*10000+ROW(),""))</f>
        <v/>
      </c>
      <c r="N1104" s="80" t="str">
        <f t="shared" si="8"/>
        <v/>
      </c>
      <c r="O1104" s="80" t="str">
        <f t="array" ref="O1104">IF(A1104="","",IFERROR(INDEX('Deck 4'!$A:$Z,ROW()-1000,'List Setup'!$J$6)&amp;"",""))</f>
        <v/>
      </c>
      <c r="P1104" s="2"/>
      <c r="Q1104" s="80" t="str">
        <f>IF(A1104="","",'List Setup'!$A$6)</f>
        <v/>
      </c>
      <c r="R1104" s="80" t="str">
        <f t="array" ref="R1104">IF(A1104="","",IFERROR(OR(INDEX(Binders!$J$6:$J$30,MATCH(Q1104,Binders!$I$6:$I$30,0))=TRUE(),UPPER(INDEX(Binders!$J$6:$J$30,MATCH(Q1104,Binders!$I$6:$I$30,0))&amp;"")="TRUE"),FALSE()))</f>
        <v/>
      </c>
    </row>
    <row r="1105" ht="15.75" customHeight="1">
      <c r="A1105" s="80" t="str">
        <f t="array" ref="A1105">IF(INDEX('Deck 4'!$A:$Z,ROW()-1000,'List Setup'!$D$6)="","",INDEX('Deck 4'!$A:$Z,ROW()-1000,'List Setup'!$D$6))</f>
        <v/>
      </c>
      <c r="B1105" s="80" t="str">
        <f t="array" ref="B1105">IF(A1105="","",IFERROR(INDEX('Binder Setup'!$B$2:$B$401,MIN(IF(ISNUMBER(SEARCH(CHAR(10)&amp;'Binder Setup'!$B$2:$B$401&amp;CHAR(10),$H1105)),'List Setup'!$Q$2:$Q$401,999),IF(ISNUMBER(SEARCH(CHAR(10)&amp;'Set Aliases'!$A$2:$A$501&amp;CHAR(10),$H1105)),'Set Aliases'!$C$2:$C$501,999))),"(none)"))</f>
        <v/>
      </c>
      <c r="C1105" s="80" t="str">
        <f t="shared" si="1"/>
        <v/>
      </c>
      <c r="D1105" s="80" t="str">
        <f t="array" ref="D1105">IF(A1105="","",IF(ISLOGICAL(INDEX('Deck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05" s="80" t="str">
        <f t="shared" si="2"/>
        <v/>
      </c>
      <c r="F1105" s="80" t="str">
        <f t="array" ref="F1105">IF(A1105="","",IF(ISNUMBER(J1105),J1105,IF(ISNUMBER(INDEX('Deck 4'!$A:$Z,ROW()-1000,'List Setup'!$F$6)),INDEX('Deck 4'!$A:$Z,ROW()-1000,'List Setup'!$F$6),0)))</f>
        <v/>
      </c>
      <c r="G1105" s="80" t="str">
        <f t="array" ref="G1105">IF(A1105="","",A1105&amp;IF(N(INDEX('Deck 4'!$A:$Z,ROW()-1000,'List Setup'!$C$6))&gt;1," (x"&amp;INDEX('Deck 4'!$A:$Z,ROW()-1000,'List Setup'!$C$6)&amp;")","")&amp;IF(COUNTIF(Binders!$J$6:$J$30,TRUE())&gt;1," ["&amp;Q1105&amp;"]",""))</f>
        <v/>
      </c>
      <c r="H1105" s="80" t="str">
        <f t="array" ref="H1105">IF(A1105="","",CHAR(10)&amp;INDEX('Deck 4'!$A:$Z,ROW()-1000,'List Setup'!$E$6)&amp;CHAR(10))</f>
        <v/>
      </c>
      <c r="I1105" s="80" t="str">
        <f t="array" ref="I1105">IF(OR(B1105="",B1105="(none)"),"",IF(ISNUMBER(SEARCH(CHAR(10)&amp;B1105&amp;CHAR(10),H1105)),B1105,IFERROR(INDEX('Set Aliases'!$A$2:$A$501,MATCH(1,('Set Aliases'!$B$2:$B$501=B1105)*ISNUMBER(SEARCH(CHAR(10)&amp;'Set Aliases'!$A$2:$A$501&amp;CHAR(10),H1105)),0)),"")))</f>
        <v/>
      </c>
      <c r="J1105" s="80" t="str">
        <f t="array" ref="J1105">IF(I1105="","",IFERROR(VALUE(TRIM(MID(SUBSTITUTE(INDEX('Deck 4'!$A:$Z,ROW()-1000,'List Setup'!$G$6),CHAR(10),REPT(" ",100)),((SEARCH(CHAR(10)&amp;I1105&amp;CHAR(10),H1105)-LEN(SUBSTITUTE(LEFT(H1105,SEARCH(CHAR(10)&amp;I1105&amp;CHAR(10),H1105)),CHAR(10),"")))-1)*100+1,100))),""))</f>
        <v/>
      </c>
      <c r="K1105" s="80" t="str">
        <f t="array" ref="K1105">IF(A1105="","",IF(ISNUMBER(SEARCH("Land",LEFT(IFERROR(INDEX('Deck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05" s="80" t="str">
        <f t="shared" si="3"/>
        <v/>
      </c>
      <c r="M1105" s="80" t="str">
        <f>IF(A1105="","",IF(AND(E1105="Y",B1105='Use at Shop'!$B$4),K1105*10000000000+(MAX(0,MIN(26,CODE(MID(UPPER(A1105)&amp;"    ",1,1))-64))*19683+MAX(0,MIN(26,CODE(MID(UPPER(A1105)&amp;"    ",2,1))-64))*729+MAX(0,MIN(26,CODE(MID(UPPER(A1105)&amp;"    ",3,1))-64))*27+MAX(0,MIN(26,CODE(MID(UPPER(A1105)&amp;"    ",4,1))-64))*1)*10000+ROW(),""))</f>
        <v/>
      </c>
      <c r="N1105" s="80" t="str">
        <f t="shared" si="8"/>
        <v/>
      </c>
      <c r="O1105" s="80" t="str">
        <f t="array" ref="O1105">IF(A1105="","",IFERROR(INDEX('Deck 4'!$A:$Z,ROW()-1000,'List Setup'!$J$6)&amp;"",""))</f>
        <v/>
      </c>
      <c r="P1105" s="2"/>
      <c r="Q1105" s="80" t="str">
        <f>IF(A1105="","",'List Setup'!$A$6)</f>
        <v/>
      </c>
      <c r="R1105" s="80" t="str">
        <f t="array" ref="R1105">IF(A1105="","",IFERROR(OR(INDEX(Binders!$J$6:$J$30,MATCH(Q1105,Binders!$I$6:$I$30,0))=TRUE(),UPPER(INDEX(Binders!$J$6:$J$30,MATCH(Q1105,Binders!$I$6:$I$30,0))&amp;"")="TRUE"),FALSE()))</f>
        <v/>
      </c>
    </row>
    <row r="1106" ht="15.75" customHeight="1">
      <c r="A1106" s="80" t="str">
        <f t="array" ref="A1106">IF(INDEX('Deck 4'!$A:$Z,ROW()-1000,'List Setup'!$D$6)="","",INDEX('Deck 4'!$A:$Z,ROW()-1000,'List Setup'!$D$6))</f>
        <v/>
      </c>
      <c r="B1106" s="80" t="str">
        <f t="array" ref="B1106">IF(A1106="","",IFERROR(INDEX('Binder Setup'!$B$2:$B$401,MIN(IF(ISNUMBER(SEARCH(CHAR(10)&amp;'Binder Setup'!$B$2:$B$401&amp;CHAR(10),$H1106)),'List Setup'!$Q$2:$Q$401,999),IF(ISNUMBER(SEARCH(CHAR(10)&amp;'Set Aliases'!$A$2:$A$501&amp;CHAR(10),$H1106)),'Set Aliases'!$C$2:$C$501,999))),"(none)"))</f>
        <v/>
      </c>
      <c r="C1106" s="80" t="str">
        <f t="shared" si="1"/>
        <v/>
      </c>
      <c r="D1106" s="80" t="str">
        <f t="array" ref="D1106">IF(A1106="","",IF(ISLOGICAL(INDEX('Deck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06" s="80" t="str">
        <f t="shared" si="2"/>
        <v/>
      </c>
      <c r="F1106" s="80" t="str">
        <f t="array" ref="F1106">IF(A1106="","",IF(ISNUMBER(J1106),J1106,IF(ISNUMBER(INDEX('Deck 4'!$A:$Z,ROW()-1000,'List Setup'!$F$6)),INDEX('Deck 4'!$A:$Z,ROW()-1000,'List Setup'!$F$6),0)))</f>
        <v/>
      </c>
      <c r="G1106" s="80" t="str">
        <f t="array" ref="G1106">IF(A1106="","",A1106&amp;IF(N(INDEX('Deck 4'!$A:$Z,ROW()-1000,'List Setup'!$C$6))&gt;1," (x"&amp;INDEX('Deck 4'!$A:$Z,ROW()-1000,'List Setup'!$C$6)&amp;")","")&amp;IF(COUNTIF(Binders!$J$6:$J$30,TRUE())&gt;1," ["&amp;Q1106&amp;"]",""))</f>
        <v/>
      </c>
      <c r="H1106" s="80" t="str">
        <f t="array" ref="H1106">IF(A1106="","",CHAR(10)&amp;INDEX('Deck 4'!$A:$Z,ROW()-1000,'List Setup'!$E$6)&amp;CHAR(10))</f>
        <v/>
      </c>
      <c r="I1106" s="80" t="str">
        <f t="array" ref="I1106">IF(OR(B1106="",B1106="(none)"),"",IF(ISNUMBER(SEARCH(CHAR(10)&amp;B1106&amp;CHAR(10),H1106)),B1106,IFERROR(INDEX('Set Aliases'!$A$2:$A$501,MATCH(1,('Set Aliases'!$B$2:$B$501=B1106)*ISNUMBER(SEARCH(CHAR(10)&amp;'Set Aliases'!$A$2:$A$501&amp;CHAR(10),H1106)),0)),"")))</f>
        <v/>
      </c>
      <c r="J1106" s="80" t="str">
        <f t="array" ref="J1106">IF(I1106="","",IFERROR(VALUE(TRIM(MID(SUBSTITUTE(INDEX('Deck 4'!$A:$Z,ROW()-1000,'List Setup'!$G$6),CHAR(10),REPT(" ",100)),((SEARCH(CHAR(10)&amp;I1106&amp;CHAR(10),H1106)-LEN(SUBSTITUTE(LEFT(H1106,SEARCH(CHAR(10)&amp;I1106&amp;CHAR(10),H1106)),CHAR(10),"")))-1)*100+1,100))),""))</f>
        <v/>
      </c>
      <c r="K1106" s="80" t="str">
        <f t="array" ref="K1106">IF(A1106="","",IF(ISNUMBER(SEARCH("Land",LEFT(IFERROR(INDEX('Deck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06" s="80" t="str">
        <f t="shared" si="3"/>
        <v/>
      </c>
      <c r="M1106" s="80" t="str">
        <f>IF(A1106="","",IF(AND(E1106="Y",B1106='Use at Shop'!$B$4),K1106*10000000000+(MAX(0,MIN(26,CODE(MID(UPPER(A1106)&amp;"    ",1,1))-64))*19683+MAX(0,MIN(26,CODE(MID(UPPER(A1106)&amp;"    ",2,1))-64))*729+MAX(0,MIN(26,CODE(MID(UPPER(A1106)&amp;"    ",3,1))-64))*27+MAX(0,MIN(26,CODE(MID(UPPER(A1106)&amp;"    ",4,1))-64))*1)*10000+ROW(),""))</f>
        <v/>
      </c>
      <c r="N1106" s="80" t="str">
        <f t="shared" si="8"/>
        <v/>
      </c>
      <c r="O1106" s="80" t="str">
        <f t="array" ref="O1106">IF(A1106="","",IFERROR(INDEX('Deck 4'!$A:$Z,ROW()-1000,'List Setup'!$J$6)&amp;"",""))</f>
        <v/>
      </c>
      <c r="P1106" s="2"/>
      <c r="Q1106" s="80" t="str">
        <f>IF(A1106="","",'List Setup'!$A$6)</f>
        <v/>
      </c>
      <c r="R1106" s="80" t="str">
        <f t="array" ref="R1106">IF(A1106="","",IFERROR(OR(INDEX(Binders!$J$6:$J$30,MATCH(Q1106,Binders!$I$6:$I$30,0))=TRUE(),UPPER(INDEX(Binders!$J$6:$J$30,MATCH(Q1106,Binders!$I$6:$I$30,0))&amp;"")="TRUE"),FALSE()))</f>
        <v/>
      </c>
    </row>
    <row r="1107" ht="15.75" customHeight="1">
      <c r="A1107" s="80" t="str">
        <f t="array" ref="A1107">IF(INDEX('Deck 4'!$A:$Z,ROW()-1000,'List Setup'!$D$6)="","",INDEX('Deck 4'!$A:$Z,ROW()-1000,'List Setup'!$D$6))</f>
        <v/>
      </c>
      <c r="B1107" s="80" t="str">
        <f t="array" ref="B1107">IF(A1107="","",IFERROR(INDEX('Binder Setup'!$B$2:$B$401,MIN(IF(ISNUMBER(SEARCH(CHAR(10)&amp;'Binder Setup'!$B$2:$B$401&amp;CHAR(10),$H1107)),'List Setup'!$Q$2:$Q$401,999),IF(ISNUMBER(SEARCH(CHAR(10)&amp;'Set Aliases'!$A$2:$A$501&amp;CHAR(10),$H1107)),'Set Aliases'!$C$2:$C$501,999))),"(none)"))</f>
        <v/>
      </c>
      <c r="C1107" s="80" t="str">
        <f t="shared" si="1"/>
        <v/>
      </c>
      <c r="D1107" s="80" t="str">
        <f t="array" ref="D1107">IF(A1107="","",IF(ISLOGICAL(INDEX('Deck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07" s="80" t="str">
        <f t="shared" si="2"/>
        <v/>
      </c>
      <c r="F1107" s="80" t="str">
        <f t="array" ref="F1107">IF(A1107="","",IF(ISNUMBER(J1107),J1107,IF(ISNUMBER(INDEX('Deck 4'!$A:$Z,ROW()-1000,'List Setup'!$F$6)),INDEX('Deck 4'!$A:$Z,ROW()-1000,'List Setup'!$F$6),0)))</f>
        <v/>
      </c>
      <c r="G1107" s="80" t="str">
        <f t="array" ref="G1107">IF(A1107="","",A1107&amp;IF(N(INDEX('Deck 4'!$A:$Z,ROW()-1000,'List Setup'!$C$6))&gt;1," (x"&amp;INDEX('Deck 4'!$A:$Z,ROW()-1000,'List Setup'!$C$6)&amp;")","")&amp;IF(COUNTIF(Binders!$J$6:$J$30,TRUE())&gt;1," ["&amp;Q1107&amp;"]",""))</f>
        <v/>
      </c>
      <c r="H1107" s="80" t="str">
        <f t="array" ref="H1107">IF(A1107="","",CHAR(10)&amp;INDEX('Deck 4'!$A:$Z,ROW()-1000,'List Setup'!$E$6)&amp;CHAR(10))</f>
        <v/>
      </c>
      <c r="I1107" s="80" t="str">
        <f t="array" ref="I1107">IF(OR(B1107="",B1107="(none)"),"",IF(ISNUMBER(SEARCH(CHAR(10)&amp;B1107&amp;CHAR(10),H1107)),B1107,IFERROR(INDEX('Set Aliases'!$A$2:$A$501,MATCH(1,('Set Aliases'!$B$2:$B$501=B1107)*ISNUMBER(SEARCH(CHAR(10)&amp;'Set Aliases'!$A$2:$A$501&amp;CHAR(10),H1107)),0)),"")))</f>
        <v/>
      </c>
      <c r="J1107" s="80" t="str">
        <f t="array" ref="J1107">IF(I1107="","",IFERROR(VALUE(TRIM(MID(SUBSTITUTE(INDEX('Deck 4'!$A:$Z,ROW()-1000,'List Setup'!$G$6),CHAR(10),REPT(" ",100)),((SEARCH(CHAR(10)&amp;I1107&amp;CHAR(10),H1107)-LEN(SUBSTITUTE(LEFT(H1107,SEARCH(CHAR(10)&amp;I1107&amp;CHAR(10),H1107)),CHAR(10),"")))-1)*100+1,100))),""))</f>
        <v/>
      </c>
      <c r="K1107" s="80" t="str">
        <f t="array" ref="K1107">IF(A1107="","",IF(ISNUMBER(SEARCH("Land",LEFT(IFERROR(INDEX('Deck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07" s="80" t="str">
        <f t="shared" si="3"/>
        <v/>
      </c>
      <c r="M1107" s="80" t="str">
        <f>IF(A1107="","",IF(AND(E1107="Y",B1107='Use at Shop'!$B$4),K1107*10000000000+(MAX(0,MIN(26,CODE(MID(UPPER(A1107)&amp;"    ",1,1))-64))*19683+MAX(0,MIN(26,CODE(MID(UPPER(A1107)&amp;"    ",2,1))-64))*729+MAX(0,MIN(26,CODE(MID(UPPER(A1107)&amp;"    ",3,1))-64))*27+MAX(0,MIN(26,CODE(MID(UPPER(A1107)&amp;"    ",4,1))-64))*1)*10000+ROW(),""))</f>
        <v/>
      </c>
      <c r="N1107" s="80" t="str">
        <f t="shared" si="8"/>
        <v/>
      </c>
      <c r="O1107" s="80" t="str">
        <f t="array" ref="O1107">IF(A1107="","",IFERROR(INDEX('Deck 4'!$A:$Z,ROW()-1000,'List Setup'!$J$6)&amp;"",""))</f>
        <v/>
      </c>
      <c r="P1107" s="2"/>
      <c r="Q1107" s="80" t="str">
        <f>IF(A1107="","",'List Setup'!$A$6)</f>
        <v/>
      </c>
      <c r="R1107" s="80" t="str">
        <f t="array" ref="R1107">IF(A1107="","",IFERROR(OR(INDEX(Binders!$J$6:$J$30,MATCH(Q1107,Binders!$I$6:$I$30,0))=TRUE(),UPPER(INDEX(Binders!$J$6:$J$30,MATCH(Q1107,Binders!$I$6:$I$30,0))&amp;"")="TRUE"),FALSE()))</f>
        <v/>
      </c>
    </row>
    <row r="1108" ht="15.75" customHeight="1">
      <c r="A1108" s="80" t="str">
        <f t="array" ref="A1108">IF(INDEX('Deck 4'!$A:$Z,ROW()-1000,'List Setup'!$D$6)="","",INDEX('Deck 4'!$A:$Z,ROW()-1000,'List Setup'!$D$6))</f>
        <v/>
      </c>
      <c r="B1108" s="80" t="str">
        <f t="array" ref="B1108">IF(A1108="","",IFERROR(INDEX('Binder Setup'!$B$2:$B$401,MIN(IF(ISNUMBER(SEARCH(CHAR(10)&amp;'Binder Setup'!$B$2:$B$401&amp;CHAR(10),$H1108)),'List Setup'!$Q$2:$Q$401,999),IF(ISNUMBER(SEARCH(CHAR(10)&amp;'Set Aliases'!$A$2:$A$501&amp;CHAR(10),$H1108)),'Set Aliases'!$C$2:$C$501,999))),"(none)"))</f>
        <v/>
      </c>
      <c r="C1108" s="80" t="str">
        <f t="shared" si="1"/>
        <v/>
      </c>
      <c r="D1108" s="80" t="str">
        <f t="array" ref="D1108">IF(A1108="","",IF(ISLOGICAL(INDEX('Deck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08" s="80" t="str">
        <f t="shared" si="2"/>
        <v/>
      </c>
      <c r="F1108" s="80" t="str">
        <f t="array" ref="F1108">IF(A1108="","",IF(ISNUMBER(J1108),J1108,IF(ISNUMBER(INDEX('Deck 4'!$A:$Z,ROW()-1000,'List Setup'!$F$6)),INDEX('Deck 4'!$A:$Z,ROW()-1000,'List Setup'!$F$6),0)))</f>
        <v/>
      </c>
      <c r="G1108" s="80" t="str">
        <f t="array" ref="G1108">IF(A1108="","",A1108&amp;IF(N(INDEX('Deck 4'!$A:$Z,ROW()-1000,'List Setup'!$C$6))&gt;1," (x"&amp;INDEX('Deck 4'!$A:$Z,ROW()-1000,'List Setup'!$C$6)&amp;")","")&amp;IF(COUNTIF(Binders!$J$6:$J$30,TRUE())&gt;1," ["&amp;Q1108&amp;"]",""))</f>
        <v/>
      </c>
      <c r="H1108" s="80" t="str">
        <f t="array" ref="H1108">IF(A1108="","",CHAR(10)&amp;INDEX('Deck 4'!$A:$Z,ROW()-1000,'List Setup'!$E$6)&amp;CHAR(10))</f>
        <v/>
      </c>
      <c r="I1108" s="80" t="str">
        <f t="array" ref="I1108">IF(OR(B1108="",B1108="(none)"),"",IF(ISNUMBER(SEARCH(CHAR(10)&amp;B1108&amp;CHAR(10),H1108)),B1108,IFERROR(INDEX('Set Aliases'!$A$2:$A$501,MATCH(1,('Set Aliases'!$B$2:$B$501=B1108)*ISNUMBER(SEARCH(CHAR(10)&amp;'Set Aliases'!$A$2:$A$501&amp;CHAR(10),H1108)),0)),"")))</f>
        <v/>
      </c>
      <c r="J1108" s="80" t="str">
        <f t="array" ref="J1108">IF(I1108="","",IFERROR(VALUE(TRIM(MID(SUBSTITUTE(INDEX('Deck 4'!$A:$Z,ROW()-1000,'List Setup'!$G$6),CHAR(10),REPT(" ",100)),((SEARCH(CHAR(10)&amp;I1108&amp;CHAR(10),H1108)-LEN(SUBSTITUTE(LEFT(H1108,SEARCH(CHAR(10)&amp;I1108&amp;CHAR(10),H1108)),CHAR(10),"")))-1)*100+1,100))),""))</f>
        <v/>
      </c>
      <c r="K1108" s="80" t="str">
        <f t="array" ref="K1108">IF(A1108="","",IF(ISNUMBER(SEARCH("Land",LEFT(IFERROR(INDEX('Deck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08" s="80" t="str">
        <f t="shared" si="3"/>
        <v/>
      </c>
      <c r="M1108" s="80" t="str">
        <f>IF(A1108="","",IF(AND(E1108="Y",B1108='Use at Shop'!$B$4),K1108*10000000000+(MAX(0,MIN(26,CODE(MID(UPPER(A1108)&amp;"    ",1,1))-64))*19683+MAX(0,MIN(26,CODE(MID(UPPER(A1108)&amp;"    ",2,1))-64))*729+MAX(0,MIN(26,CODE(MID(UPPER(A1108)&amp;"    ",3,1))-64))*27+MAX(0,MIN(26,CODE(MID(UPPER(A1108)&amp;"    ",4,1))-64))*1)*10000+ROW(),""))</f>
        <v/>
      </c>
      <c r="N1108" s="80" t="str">
        <f t="shared" si="8"/>
        <v/>
      </c>
      <c r="O1108" s="80" t="str">
        <f t="array" ref="O1108">IF(A1108="","",IFERROR(INDEX('Deck 4'!$A:$Z,ROW()-1000,'List Setup'!$J$6)&amp;"",""))</f>
        <v/>
      </c>
      <c r="P1108" s="2"/>
      <c r="Q1108" s="80" t="str">
        <f>IF(A1108="","",'List Setup'!$A$6)</f>
        <v/>
      </c>
      <c r="R1108" s="80" t="str">
        <f t="array" ref="R1108">IF(A1108="","",IFERROR(OR(INDEX(Binders!$J$6:$J$30,MATCH(Q1108,Binders!$I$6:$I$30,0))=TRUE(),UPPER(INDEX(Binders!$J$6:$J$30,MATCH(Q1108,Binders!$I$6:$I$30,0))&amp;"")="TRUE"),FALSE()))</f>
        <v/>
      </c>
    </row>
    <row r="1109" ht="15.75" customHeight="1">
      <c r="A1109" s="80" t="str">
        <f t="array" ref="A1109">IF(INDEX('Deck 4'!$A:$Z,ROW()-1000,'List Setup'!$D$6)="","",INDEX('Deck 4'!$A:$Z,ROW()-1000,'List Setup'!$D$6))</f>
        <v/>
      </c>
      <c r="B1109" s="80" t="str">
        <f t="array" ref="B1109">IF(A1109="","",IFERROR(INDEX('Binder Setup'!$B$2:$B$401,MIN(IF(ISNUMBER(SEARCH(CHAR(10)&amp;'Binder Setup'!$B$2:$B$401&amp;CHAR(10),$H1109)),'List Setup'!$Q$2:$Q$401,999),IF(ISNUMBER(SEARCH(CHAR(10)&amp;'Set Aliases'!$A$2:$A$501&amp;CHAR(10),$H1109)),'Set Aliases'!$C$2:$C$501,999))),"(none)"))</f>
        <v/>
      </c>
      <c r="C1109" s="80" t="str">
        <f t="shared" si="1"/>
        <v/>
      </c>
      <c r="D1109" s="80" t="str">
        <f t="array" ref="D1109">IF(A1109="","",IF(ISLOGICAL(INDEX('Deck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09" s="80" t="str">
        <f t="shared" si="2"/>
        <v/>
      </c>
      <c r="F1109" s="80" t="str">
        <f t="array" ref="F1109">IF(A1109="","",IF(ISNUMBER(J1109),J1109,IF(ISNUMBER(INDEX('Deck 4'!$A:$Z,ROW()-1000,'List Setup'!$F$6)),INDEX('Deck 4'!$A:$Z,ROW()-1000,'List Setup'!$F$6),0)))</f>
        <v/>
      </c>
      <c r="G1109" s="80" t="str">
        <f t="array" ref="G1109">IF(A1109="","",A1109&amp;IF(N(INDEX('Deck 4'!$A:$Z,ROW()-1000,'List Setup'!$C$6))&gt;1," (x"&amp;INDEX('Deck 4'!$A:$Z,ROW()-1000,'List Setup'!$C$6)&amp;")","")&amp;IF(COUNTIF(Binders!$J$6:$J$30,TRUE())&gt;1," ["&amp;Q1109&amp;"]",""))</f>
        <v/>
      </c>
      <c r="H1109" s="80" t="str">
        <f t="array" ref="H1109">IF(A1109="","",CHAR(10)&amp;INDEX('Deck 4'!$A:$Z,ROW()-1000,'List Setup'!$E$6)&amp;CHAR(10))</f>
        <v/>
      </c>
      <c r="I1109" s="80" t="str">
        <f t="array" ref="I1109">IF(OR(B1109="",B1109="(none)"),"",IF(ISNUMBER(SEARCH(CHAR(10)&amp;B1109&amp;CHAR(10),H1109)),B1109,IFERROR(INDEX('Set Aliases'!$A$2:$A$501,MATCH(1,('Set Aliases'!$B$2:$B$501=B1109)*ISNUMBER(SEARCH(CHAR(10)&amp;'Set Aliases'!$A$2:$A$501&amp;CHAR(10),H1109)),0)),"")))</f>
        <v/>
      </c>
      <c r="J1109" s="80" t="str">
        <f t="array" ref="J1109">IF(I1109="","",IFERROR(VALUE(TRIM(MID(SUBSTITUTE(INDEX('Deck 4'!$A:$Z,ROW()-1000,'List Setup'!$G$6),CHAR(10),REPT(" ",100)),((SEARCH(CHAR(10)&amp;I1109&amp;CHAR(10),H1109)-LEN(SUBSTITUTE(LEFT(H1109,SEARCH(CHAR(10)&amp;I1109&amp;CHAR(10),H1109)),CHAR(10),"")))-1)*100+1,100))),""))</f>
        <v/>
      </c>
      <c r="K1109" s="80" t="str">
        <f t="array" ref="K1109">IF(A1109="","",IF(ISNUMBER(SEARCH("Land",LEFT(IFERROR(INDEX('Deck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09" s="80" t="str">
        <f t="shared" si="3"/>
        <v/>
      </c>
      <c r="M1109" s="80" t="str">
        <f>IF(A1109="","",IF(AND(E1109="Y",B1109='Use at Shop'!$B$4),K1109*10000000000+(MAX(0,MIN(26,CODE(MID(UPPER(A1109)&amp;"    ",1,1))-64))*19683+MAX(0,MIN(26,CODE(MID(UPPER(A1109)&amp;"    ",2,1))-64))*729+MAX(0,MIN(26,CODE(MID(UPPER(A1109)&amp;"    ",3,1))-64))*27+MAX(0,MIN(26,CODE(MID(UPPER(A1109)&amp;"    ",4,1))-64))*1)*10000+ROW(),""))</f>
        <v/>
      </c>
      <c r="N1109" s="80" t="str">
        <f t="shared" si="8"/>
        <v/>
      </c>
      <c r="O1109" s="80" t="str">
        <f t="array" ref="O1109">IF(A1109="","",IFERROR(INDEX('Deck 4'!$A:$Z,ROW()-1000,'List Setup'!$J$6)&amp;"",""))</f>
        <v/>
      </c>
      <c r="P1109" s="2"/>
      <c r="Q1109" s="80" t="str">
        <f>IF(A1109="","",'List Setup'!$A$6)</f>
        <v/>
      </c>
      <c r="R1109" s="80" t="str">
        <f t="array" ref="R1109">IF(A1109="","",IFERROR(OR(INDEX(Binders!$J$6:$J$30,MATCH(Q1109,Binders!$I$6:$I$30,0))=TRUE(),UPPER(INDEX(Binders!$J$6:$J$30,MATCH(Q1109,Binders!$I$6:$I$30,0))&amp;"")="TRUE"),FALSE()))</f>
        <v/>
      </c>
    </row>
    <row r="1110" ht="15.75" customHeight="1">
      <c r="A1110" s="80" t="str">
        <f t="array" ref="A1110">IF(INDEX('Deck 4'!$A:$Z,ROW()-1000,'List Setup'!$D$6)="","",INDEX('Deck 4'!$A:$Z,ROW()-1000,'List Setup'!$D$6))</f>
        <v/>
      </c>
      <c r="B1110" s="80" t="str">
        <f t="array" ref="B1110">IF(A1110="","",IFERROR(INDEX('Binder Setup'!$B$2:$B$401,MIN(IF(ISNUMBER(SEARCH(CHAR(10)&amp;'Binder Setup'!$B$2:$B$401&amp;CHAR(10),$H1110)),'List Setup'!$Q$2:$Q$401,999),IF(ISNUMBER(SEARCH(CHAR(10)&amp;'Set Aliases'!$A$2:$A$501&amp;CHAR(10),$H1110)),'Set Aliases'!$C$2:$C$501,999))),"(none)"))</f>
        <v/>
      </c>
      <c r="C1110" s="80" t="str">
        <f t="shared" si="1"/>
        <v/>
      </c>
      <c r="D1110" s="80" t="str">
        <f t="array" ref="D1110">IF(A1110="","",IF(ISLOGICAL(INDEX('Deck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10" s="80" t="str">
        <f t="shared" si="2"/>
        <v/>
      </c>
      <c r="F1110" s="80" t="str">
        <f t="array" ref="F1110">IF(A1110="","",IF(ISNUMBER(J1110),J1110,IF(ISNUMBER(INDEX('Deck 4'!$A:$Z,ROW()-1000,'List Setup'!$F$6)),INDEX('Deck 4'!$A:$Z,ROW()-1000,'List Setup'!$F$6),0)))</f>
        <v/>
      </c>
      <c r="G1110" s="80" t="str">
        <f t="array" ref="G1110">IF(A1110="","",A1110&amp;IF(N(INDEX('Deck 4'!$A:$Z,ROW()-1000,'List Setup'!$C$6))&gt;1," (x"&amp;INDEX('Deck 4'!$A:$Z,ROW()-1000,'List Setup'!$C$6)&amp;")","")&amp;IF(COUNTIF(Binders!$J$6:$J$30,TRUE())&gt;1," ["&amp;Q1110&amp;"]",""))</f>
        <v/>
      </c>
      <c r="H1110" s="80" t="str">
        <f t="array" ref="H1110">IF(A1110="","",CHAR(10)&amp;INDEX('Deck 4'!$A:$Z,ROW()-1000,'List Setup'!$E$6)&amp;CHAR(10))</f>
        <v/>
      </c>
      <c r="I1110" s="80" t="str">
        <f t="array" ref="I1110">IF(OR(B1110="",B1110="(none)"),"",IF(ISNUMBER(SEARCH(CHAR(10)&amp;B1110&amp;CHAR(10),H1110)),B1110,IFERROR(INDEX('Set Aliases'!$A$2:$A$501,MATCH(1,('Set Aliases'!$B$2:$B$501=B1110)*ISNUMBER(SEARCH(CHAR(10)&amp;'Set Aliases'!$A$2:$A$501&amp;CHAR(10),H1110)),0)),"")))</f>
        <v/>
      </c>
      <c r="J1110" s="80" t="str">
        <f t="array" ref="J1110">IF(I1110="","",IFERROR(VALUE(TRIM(MID(SUBSTITUTE(INDEX('Deck 4'!$A:$Z,ROW()-1000,'List Setup'!$G$6),CHAR(10),REPT(" ",100)),((SEARCH(CHAR(10)&amp;I1110&amp;CHAR(10),H1110)-LEN(SUBSTITUTE(LEFT(H1110,SEARCH(CHAR(10)&amp;I1110&amp;CHAR(10),H1110)),CHAR(10),"")))-1)*100+1,100))),""))</f>
        <v/>
      </c>
      <c r="K1110" s="80" t="str">
        <f t="array" ref="K1110">IF(A1110="","",IF(ISNUMBER(SEARCH("Land",LEFT(IFERROR(INDEX('Deck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10" s="80" t="str">
        <f t="shared" si="3"/>
        <v/>
      </c>
      <c r="M1110" s="80" t="str">
        <f>IF(A1110="","",IF(AND(E1110="Y",B1110='Use at Shop'!$B$4),K1110*10000000000+(MAX(0,MIN(26,CODE(MID(UPPER(A1110)&amp;"    ",1,1))-64))*19683+MAX(0,MIN(26,CODE(MID(UPPER(A1110)&amp;"    ",2,1))-64))*729+MAX(0,MIN(26,CODE(MID(UPPER(A1110)&amp;"    ",3,1))-64))*27+MAX(0,MIN(26,CODE(MID(UPPER(A1110)&amp;"    ",4,1))-64))*1)*10000+ROW(),""))</f>
        <v/>
      </c>
      <c r="N1110" s="80" t="str">
        <f t="shared" si="8"/>
        <v/>
      </c>
      <c r="O1110" s="80" t="str">
        <f t="array" ref="O1110">IF(A1110="","",IFERROR(INDEX('Deck 4'!$A:$Z,ROW()-1000,'List Setup'!$J$6)&amp;"",""))</f>
        <v/>
      </c>
      <c r="P1110" s="2"/>
      <c r="Q1110" s="80" t="str">
        <f>IF(A1110="","",'List Setup'!$A$6)</f>
        <v/>
      </c>
      <c r="R1110" s="80" t="str">
        <f t="array" ref="R1110">IF(A1110="","",IFERROR(OR(INDEX(Binders!$J$6:$J$30,MATCH(Q1110,Binders!$I$6:$I$30,0))=TRUE(),UPPER(INDEX(Binders!$J$6:$J$30,MATCH(Q1110,Binders!$I$6:$I$30,0))&amp;"")="TRUE"),FALSE()))</f>
        <v/>
      </c>
    </row>
    <row r="1111" ht="15.75" customHeight="1">
      <c r="A1111" s="80" t="str">
        <f t="array" ref="A1111">IF(INDEX('Deck 4'!$A:$Z,ROW()-1000,'List Setup'!$D$6)="","",INDEX('Deck 4'!$A:$Z,ROW()-1000,'List Setup'!$D$6))</f>
        <v/>
      </c>
      <c r="B1111" s="80" t="str">
        <f t="array" ref="B1111">IF(A1111="","",IFERROR(INDEX('Binder Setup'!$B$2:$B$401,MIN(IF(ISNUMBER(SEARCH(CHAR(10)&amp;'Binder Setup'!$B$2:$B$401&amp;CHAR(10),$H1111)),'List Setup'!$Q$2:$Q$401,999),IF(ISNUMBER(SEARCH(CHAR(10)&amp;'Set Aliases'!$A$2:$A$501&amp;CHAR(10),$H1111)),'Set Aliases'!$C$2:$C$501,999))),"(none)"))</f>
        <v/>
      </c>
      <c r="C1111" s="80" t="str">
        <f t="shared" si="1"/>
        <v/>
      </c>
      <c r="D1111" s="80" t="str">
        <f t="array" ref="D1111">IF(A1111="","",IF(ISLOGICAL(INDEX('Deck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11" s="80" t="str">
        <f t="shared" si="2"/>
        <v/>
      </c>
      <c r="F1111" s="80" t="str">
        <f t="array" ref="F1111">IF(A1111="","",IF(ISNUMBER(J1111),J1111,IF(ISNUMBER(INDEX('Deck 4'!$A:$Z,ROW()-1000,'List Setup'!$F$6)),INDEX('Deck 4'!$A:$Z,ROW()-1000,'List Setup'!$F$6),0)))</f>
        <v/>
      </c>
      <c r="G1111" s="80" t="str">
        <f t="array" ref="G1111">IF(A1111="","",A1111&amp;IF(N(INDEX('Deck 4'!$A:$Z,ROW()-1000,'List Setup'!$C$6))&gt;1," (x"&amp;INDEX('Deck 4'!$A:$Z,ROW()-1000,'List Setup'!$C$6)&amp;")","")&amp;IF(COUNTIF(Binders!$J$6:$J$30,TRUE())&gt;1," ["&amp;Q1111&amp;"]",""))</f>
        <v/>
      </c>
      <c r="H1111" s="80" t="str">
        <f t="array" ref="H1111">IF(A1111="","",CHAR(10)&amp;INDEX('Deck 4'!$A:$Z,ROW()-1000,'List Setup'!$E$6)&amp;CHAR(10))</f>
        <v/>
      </c>
      <c r="I1111" s="80" t="str">
        <f t="array" ref="I1111">IF(OR(B1111="",B1111="(none)"),"",IF(ISNUMBER(SEARCH(CHAR(10)&amp;B1111&amp;CHAR(10),H1111)),B1111,IFERROR(INDEX('Set Aliases'!$A$2:$A$501,MATCH(1,('Set Aliases'!$B$2:$B$501=B1111)*ISNUMBER(SEARCH(CHAR(10)&amp;'Set Aliases'!$A$2:$A$501&amp;CHAR(10),H1111)),0)),"")))</f>
        <v/>
      </c>
      <c r="J1111" s="80" t="str">
        <f t="array" ref="J1111">IF(I1111="","",IFERROR(VALUE(TRIM(MID(SUBSTITUTE(INDEX('Deck 4'!$A:$Z,ROW()-1000,'List Setup'!$G$6),CHAR(10),REPT(" ",100)),((SEARCH(CHAR(10)&amp;I1111&amp;CHAR(10),H1111)-LEN(SUBSTITUTE(LEFT(H1111,SEARCH(CHAR(10)&amp;I1111&amp;CHAR(10),H1111)),CHAR(10),"")))-1)*100+1,100))),""))</f>
        <v/>
      </c>
      <c r="K1111" s="80" t="str">
        <f t="array" ref="K1111">IF(A1111="","",IF(ISNUMBER(SEARCH("Land",LEFT(IFERROR(INDEX('Deck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11" s="80" t="str">
        <f t="shared" si="3"/>
        <v/>
      </c>
      <c r="M1111" s="80" t="str">
        <f>IF(A1111="","",IF(AND(E1111="Y",B1111='Use at Shop'!$B$4),K1111*10000000000+(MAX(0,MIN(26,CODE(MID(UPPER(A1111)&amp;"    ",1,1))-64))*19683+MAX(0,MIN(26,CODE(MID(UPPER(A1111)&amp;"    ",2,1))-64))*729+MAX(0,MIN(26,CODE(MID(UPPER(A1111)&amp;"    ",3,1))-64))*27+MAX(0,MIN(26,CODE(MID(UPPER(A1111)&amp;"    ",4,1))-64))*1)*10000+ROW(),""))</f>
        <v/>
      </c>
      <c r="N1111" s="80" t="str">
        <f t="shared" si="8"/>
        <v/>
      </c>
      <c r="O1111" s="80" t="str">
        <f t="array" ref="O1111">IF(A1111="","",IFERROR(INDEX('Deck 4'!$A:$Z,ROW()-1000,'List Setup'!$J$6)&amp;"",""))</f>
        <v/>
      </c>
      <c r="P1111" s="2"/>
      <c r="Q1111" s="80" t="str">
        <f>IF(A1111="","",'List Setup'!$A$6)</f>
        <v/>
      </c>
      <c r="R1111" s="80" t="str">
        <f t="array" ref="R1111">IF(A1111="","",IFERROR(OR(INDEX(Binders!$J$6:$J$30,MATCH(Q1111,Binders!$I$6:$I$30,0))=TRUE(),UPPER(INDEX(Binders!$J$6:$J$30,MATCH(Q1111,Binders!$I$6:$I$30,0))&amp;"")="TRUE"),FALSE()))</f>
        <v/>
      </c>
    </row>
    <row r="1112" ht="15.75" customHeight="1">
      <c r="A1112" s="80" t="str">
        <f t="array" ref="A1112">IF(INDEX('Deck 4'!$A:$Z,ROW()-1000,'List Setup'!$D$6)="","",INDEX('Deck 4'!$A:$Z,ROW()-1000,'List Setup'!$D$6))</f>
        <v/>
      </c>
      <c r="B1112" s="80" t="str">
        <f t="array" ref="B1112">IF(A1112="","",IFERROR(INDEX('Binder Setup'!$B$2:$B$401,MIN(IF(ISNUMBER(SEARCH(CHAR(10)&amp;'Binder Setup'!$B$2:$B$401&amp;CHAR(10),$H1112)),'List Setup'!$Q$2:$Q$401,999),IF(ISNUMBER(SEARCH(CHAR(10)&amp;'Set Aliases'!$A$2:$A$501&amp;CHAR(10),$H1112)),'Set Aliases'!$C$2:$C$501,999))),"(none)"))</f>
        <v/>
      </c>
      <c r="C1112" s="80" t="str">
        <f t="shared" si="1"/>
        <v/>
      </c>
      <c r="D1112" s="80" t="str">
        <f t="array" ref="D1112">IF(A1112="","",IF(ISLOGICAL(INDEX('Deck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12" s="80" t="str">
        <f t="shared" si="2"/>
        <v/>
      </c>
      <c r="F1112" s="80" t="str">
        <f t="array" ref="F1112">IF(A1112="","",IF(ISNUMBER(J1112),J1112,IF(ISNUMBER(INDEX('Deck 4'!$A:$Z,ROW()-1000,'List Setup'!$F$6)),INDEX('Deck 4'!$A:$Z,ROW()-1000,'List Setup'!$F$6),0)))</f>
        <v/>
      </c>
      <c r="G1112" s="80" t="str">
        <f t="array" ref="G1112">IF(A1112="","",A1112&amp;IF(N(INDEX('Deck 4'!$A:$Z,ROW()-1000,'List Setup'!$C$6))&gt;1," (x"&amp;INDEX('Deck 4'!$A:$Z,ROW()-1000,'List Setup'!$C$6)&amp;")","")&amp;IF(COUNTIF(Binders!$J$6:$J$30,TRUE())&gt;1," ["&amp;Q1112&amp;"]",""))</f>
        <v/>
      </c>
      <c r="H1112" s="80" t="str">
        <f t="array" ref="H1112">IF(A1112="","",CHAR(10)&amp;INDEX('Deck 4'!$A:$Z,ROW()-1000,'List Setup'!$E$6)&amp;CHAR(10))</f>
        <v/>
      </c>
      <c r="I1112" s="80" t="str">
        <f t="array" ref="I1112">IF(OR(B1112="",B1112="(none)"),"",IF(ISNUMBER(SEARCH(CHAR(10)&amp;B1112&amp;CHAR(10),H1112)),B1112,IFERROR(INDEX('Set Aliases'!$A$2:$A$501,MATCH(1,('Set Aliases'!$B$2:$B$501=B1112)*ISNUMBER(SEARCH(CHAR(10)&amp;'Set Aliases'!$A$2:$A$501&amp;CHAR(10),H1112)),0)),"")))</f>
        <v/>
      </c>
      <c r="J1112" s="80" t="str">
        <f t="array" ref="J1112">IF(I1112="","",IFERROR(VALUE(TRIM(MID(SUBSTITUTE(INDEX('Deck 4'!$A:$Z,ROW()-1000,'List Setup'!$G$6),CHAR(10),REPT(" ",100)),((SEARCH(CHAR(10)&amp;I1112&amp;CHAR(10),H1112)-LEN(SUBSTITUTE(LEFT(H1112,SEARCH(CHAR(10)&amp;I1112&amp;CHAR(10),H1112)),CHAR(10),"")))-1)*100+1,100))),""))</f>
        <v/>
      </c>
      <c r="K1112" s="80" t="str">
        <f t="array" ref="K1112">IF(A1112="","",IF(ISNUMBER(SEARCH("Land",LEFT(IFERROR(INDEX('Deck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12" s="80" t="str">
        <f t="shared" si="3"/>
        <v/>
      </c>
      <c r="M1112" s="80" t="str">
        <f>IF(A1112="","",IF(AND(E1112="Y",B1112='Use at Shop'!$B$4),K1112*10000000000+(MAX(0,MIN(26,CODE(MID(UPPER(A1112)&amp;"    ",1,1))-64))*19683+MAX(0,MIN(26,CODE(MID(UPPER(A1112)&amp;"    ",2,1))-64))*729+MAX(0,MIN(26,CODE(MID(UPPER(A1112)&amp;"    ",3,1))-64))*27+MAX(0,MIN(26,CODE(MID(UPPER(A1112)&amp;"    ",4,1))-64))*1)*10000+ROW(),""))</f>
        <v/>
      </c>
      <c r="N1112" s="80" t="str">
        <f t="shared" si="8"/>
        <v/>
      </c>
      <c r="O1112" s="80" t="str">
        <f t="array" ref="O1112">IF(A1112="","",IFERROR(INDEX('Deck 4'!$A:$Z,ROW()-1000,'List Setup'!$J$6)&amp;"",""))</f>
        <v/>
      </c>
      <c r="P1112" s="2"/>
      <c r="Q1112" s="80" t="str">
        <f>IF(A1112="","",'List Setup'!$A$6)</f>
        <v/>
      </c>
      <c r="R1112" s="80" t="str">
        <f t="array" ref="R1112">IF(A1112="","",IFERROR(OR(INDEX(Binders!$J$6:$J$30,MATCH(Q1112,Binders!$I$6:$I$30,0))=TRUE(),UPPER(INDEX(Binders!$J$6:$J$30,MATCH(Q1112,Binders!$I$6:$I$30,0))&amp;"")="TRUE"),FALSE()))</f>
        <v/>
      </c>
    </row>
    <row r="1113" ht="15.75" customHeight="1">
      <c r="A1113" s="80" t="str">
        <f t="array" ref="A1113">IF(INDEX('Deck 4'!$A:$Z,ROW()-1000,'List Setup'!$D$6)="","",INDEX('Deck 4'!$A:$Z,ROW()-1000,'List Setup'!$D$6))</f>
        <v/>
      </c>
      <c r="B1113" s="80" t="str">
        <f t="array" ref="B1113">IF(A1113="","",IFERROR(INDEX('Binder Setup'!$B$2:$B$401,MIN(IF(ISNUMBER(SEARCH(CHAR(10)&amp;'Binder Setup'!$B$2:$B$401&amp;CHAR(10),$H1113)),'List Setup'!$Q$2:$Q$401,999),IF(ISNUMBER(SEARCH(CHAR(10)&amp;'Set Aliases'!$A$2:$A$501&amp;CHAR(10),$H1113)),'Set Aliases'!$C$2:$C$501,999))),"(none)"))</f>
        <v/>
      </c>
      <c r="C1113" s="80" t="str">
        <f t="shared" si="1"/>
        <v/>
      </c>
      <c r="D1113" s="80" t="str">
        <f t="array" ref="D1113">IF(A1113="","",IF(ISLOGICAL(INDEX('Deck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13" s="80" t="str">
        <f t="shared" si="2"/>
        <v/>
      </c>
      <c r="F1113" s="80" t="str">
        <f t="array" ref="F1113">IF(A1113="","",IF(ISNUMBER(J1113),J1113,IF(ISNUMBER(INDEX('Deck 4'!$A:$Z,ROW()-1000,'List Setup'!$F$6)),INDEX('Deck 4'!$A:$Z,ROW()-1000,'List Setup'!$F$6),0)))</f>
        <v/>
      </c>
      <c r="G1113" s="80" t="str">
        <f t="array" ref="G1113">IF(A1113="","",A1113&amp;IF(N(INDEX('Deck 4'!$A:$Z,ROW()-1000,'List Setup'!$C$6))&gt;1," (x"&amp;INDEX('Deck 4'!$A:$Z,ROW()-1000,'List Setup'!$C$6)&amp;")","")&amp;IF(COUNTIF(Binders!$J$6:$J$30,TRUE())&gt;1," ["&amp;Q1113&amp;"]",""))</f>
        <v/>
      </c>
      <c r="H1113" s="80" t="str">
        <f t="array" ref="H1113">IF(A1113="","",CHAR(10)&amp;INDEX('Deck 4'!$A:$Z,ROW()-1000,'List Setup'!$E$6)&amp;CHAR(10))</f>
        <v/>
      </c>
      <c r="I1113" s="80" t="str">
        <f t="array" ref="I1113">IF(OR(B1113="",B1113="(none)"),"",IF(ISNUMBER(SEARCH(CHAR(10)&amp;B1113&amp;CHAR(10),H1113)),B1113,IFERROR(INDEX('Set Aliases'!$A$2:$A$501,MATCH(1,('Set Aliases'!$B$2:$B$501=B1113)*ISNUMBER(SEARCH(CHAR(10)&amp;'Set Aliases'!$A$2:$A$501&amp;CHAR(10),H1113)),0)),"")))</f>
        <v/>
      </c>
      <c r="J1113" s="80" t="str">
        <f t="array" ref="J1113">IF(I1113="","",IFERROR(VALUE(TRIM(MID(SUBSTITUTE(INDEX('Deck 4'!$A:$Z,ROW()-1000,'List Setup'!$G$6),CHAR(10),REPT(" ",100)),((SEARCH(CHAR(10)&amp;I1113&amp;CHAR(10),H1113)-LEN(SUBSTITUTE(LEFT(H1113,SEARCH(CHAR(10)&amp;I1113&amp;CHAR(10),H1113)),CHAR(10),"")))-1)*100+1,100))),""))</f>
        <v/>
      </c>
      <c r="K1113" s="80" t="str">
        <f t="array" ref="K1113">IF(A1113="","",IF(ISNUMBER(SEARCH("Land",LEFT(IFERROR(INDEX('Deck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13" s="80" t="str">
        <f t="shared" si="3"/>
        <v/>
      </c>
      <c r="M1113" s="80" t="str">
        <f>IF(A1113="","",IF(AND(E1113="Y",B1113='Use at Shop'!$B$4),K1113*10000000000+(MAX(0,MIN(26,CODE(MID(UPPER(A1113)&amp;"    ",1,1))-64))*19683+MAX(0,MIN(26,CODE(MID(UPPER(A1113)&amp;"    ",2,1))-64))*729+MAX(0,MIN(26,CODE(MID(UPPER(A1113)&amp;"    ",3,1))-64))*27+MAX(0,MIN(26,CODE(MID(UPPER(A1113)&amp;"    ",4,1))-64))*1)*10000+ROW(),""))</f>
        <v/>
      </c>
      <c r="N1113" s="80" t="str">
        <f t="shared" si="8"/>
        <v/>
      </c>
      <c r="O1113" s="80" t="str">
        <f t="array" ref="O1113">IF(A1113="","",IFERROR(INDEX('Deck 4'!$A:$Z,ROW()-1000,'List Setup'!$J$6)&amp;"",""))</f>
        <v/>
      </c>
      <c r="P1113" s="2"/>
      <c r="Q1113" s="80" t="str">
        <f>IF(A1113="","",'List Setup'!$A$6)</f>
        <v/>
      </c>
      <c r="R1113" s="80" t="str">
        <f t="array" ref="R1113">IF(A1113="","",IFERROR(OR(INDEX(Binders!$J$6:$J$30,MATCH(Q1113,Binders!$I$6:$I$30,0))=TRUE(),UPPER(INDEX(Binders!$J$6:$J$30,MATCH(Q1113,Binders!$I$6:$I$30,0))&amp;"")="TRUE"),FALSE()))</f>
        <v/>
      </c>
    </row>
    <row r="1114" ht="15.75" customHeight="1">
      <c r="A1114" s="80" t="str">
        <f t="array" ref="A1114">IF(INDEX('Deck 4'!$A:$Z,ROW()-1000,'List Setup'!$D$6)="","",INDEX('Deck 4'!$A:$Z,ROW()-1000,'List Setup'!$D$6))</f>
        <v/>
      </c>
      <c r="B1114" s="80" t="str">
        <f t="array" ref="B1114">IF(A1114="","",IFERROR(INDEX('Binder Setup'!$B$2:$B$401,MIN(IF(ISNUMBER(SEARCH(CHAR(10)&amp;'Binder Setup'!$B$2:$B$401&amp;CHAR(10),$H1114)),'List Setup'!$Q$2:$Q$401,999),IF(ISNUMBER(SEARCH(CHAR(10)&amp;'Set Aliases'!$A$2:$A$501&amp;CHAR(10),$H1114)),'Set Aliases'!$C$2:$C$501,999))),"(none)"))</f>
        <v/>
      </c>
      <c r="C1114" s="80" t="str">
        <f t="shared" si="1"/>
        <v/>
      </c>
      <c r="D1114" s="80" t="str">
        <f t="array" ref="D1114">IF(A1114="","",IF(ISLOGICAL(INDEX('Deck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14" s="80" t="str">
        <f t="shared" si="2"/>
        <v/>
      </c>
      <c r="F1114" s="80" t="str">
        <f t="array" ref="F1114">IF(A1114="","",IF(ISNUMBER(J1114),J1114,IF(ISNUMBER(INDEX('Deck 4'!$A:$Z,ROW()-1000,'List Setup'!$F$6)),INDEX('Deck 4'!$A:$Z,ROW()-1000,'List Setup'!$F$6),0)))</f>
        <v/>
      </c>
      <c r="G1114" s="80" t="str">
        <f t="array" ref="G1114">IF(A1114="","",A1114&amp;IF(N(INDEX('Deck 4'!$A:$Z,ROW()-1000,'List Setup'!$C$6))&gt;1," (x"&amp;INDEX('Deck 4'!$A:$Z,ROW()-1000,'List Setup'!$C$6)&amp;")","")&amp;IF(COUNTIF(Binders!$J$6:$J$30,TRUE())&gt;1," ["&amp;Q1114&amp;"]",""))</f>
        <v/>
      </c>
      <c r="H1114" s="80" t="str">
        <f t="array" ref="H1114">IF(A1114="","",CHAR(10)&amp;INDEX('Deck 4'!$A:$Z,ROW()-1000,'List Setup'!$E$6)&amp;CHAR(10))</f>
        <v/>
      </c>
      <c r="I1114" s="80" t="str">
        <f t="array" ref="I1114">IF(OR(B1114="",B1114="(none)"),"",IF(ISNUMBER(SEARCH(CHAR(10)&amp;B1114&amp;CHAR(10),H1114)),B1114,IFERROR(INDEX('Set Aliases'!$A$2:$A$501,MATCH(1,('Set Aliases'!$B$2:$B$501=B1114)*ISNUMBER(SEARCH(CHAR(10)&amp;'Set Aliases'!$A$2:$A$501&amp;CHAR(10),H1114)),0)),"")))</f>
        <v/>
      </c>
      <c r="J1114" s="80" t="str">
        <f t="array" ref="J1114">IF(I1114="","",IFERROR(VALUE(TRIM(MID(SUBSTITUTE(INDEX('Deck 4'!$A:$Z,ROW()-1000,'List Setup'!$G$6),CHAR(10),REPT(" ",100)),((SEARCH(CHAR(10)&amp;I1114&amp;CHAR(10),H1114)-LEN(SUBSTITUTE(LEFT(H1114,SEARCH(CHAR(10)&amp;I1114&amp;CHAR(10),H1114)),CHAR(10),"")))-1)*100+1,100))),""))</f>
        <v/>
      </c>
      <c r="K1114" s="80" t="str">
        <f t="array" ref="K1114">IF(A1114="","",IF(ISNUMBER(SEARCH("Land",LEFT(IFERROR(INDEX('Deck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14" s="80" t="str">
        <f t="shared" si="3"/>
        <v/>
      </c>
      <c r="M1114" s="80" t="str">
        <f>IF(A1114="","",IF(AND(E1114="Y",B1114='Use at Shop'!$B$4),K1114*10000000000+(MAX(0,MIN(26,CODE(MID(UPPER(A1114)&amp;"    ",1,1))-64))*19683+MAX(0,MIN(26,CODE(MID(UPPER(A1114)&amp;"    ",2,1))-64))*729+MAX(0,MIN(26,CODE(MID(UPPER(A1114)&amp;"    ",3,1))-64))*27+MAX(0,MIN(26,CODE(MID(UPPER(A1114)&amp;"    ",4,1))-64))*1)*10000+ROW(),""))</f>
        <v/>
      </c>
      <c r="N1114" s="80" t="str">
        <f t="shared" si="8"/>
        <v/>
      </c>
      <c r="O1114" s="80" t="str">
        <f t="array" ref="O1114">IF(A1114="","",IFERROR(INDEX('Deck 4'!$A:$Z,ROW()-1000,'List Setup'!$J$6)&amp;"",""))</f>
        <v/>
      </c>
      <c r="P1114" s="2"/>
      <c r="Q1114" s="80" t="str">
        <f>IF(A1114="","",'List Setup'!$A$6)</f>
        <v/>
      </c>
      <c r="R1114" s="80" t="str">
        <f t="array" ref="R1114">IF(A1114="","",IFERROR(OR(INDEX(Binders!$J$6:$J$30,MATCH(Q1114,Binders!$I$6:$I$30,0))=TRUE(),UPPER(INDEX(Binders!$J$6:$J$30,MATCH(Q1114,Binders!$I$6:$I$30,0))&amp;"")="TRUE"),FALSE()))</f>
        <v/>
      </c>
    </row>
    <row r="1115" ht="15.75" customHeight="1">
      <c r="A1115" s="80" t="str">
        <f t="array" ref="A1115">IF(INDEX('Deck 4'!$A:$Z,ROW()-1000,'List Setup'!$D$6)="","",INDEX('Deck 4'!$A:$Z,ROW()-1000,'List Setup'!$D$6))</f>
        <v/>
      </c>
      <c r="B1115" s="80" t="str">
        <f t="array" ref="B1115">IF(A1115="","",IFERROR(INDEX('Binder Setup'!$B$2:$B$401,MIN(IF(ISNUMBER(SEARCH(CHAR(10)&amp;'Binder Setup'!$B$2:$B$401&amp;CHAR(10),$H1115)),'List Setup'!$Q$2:$Q$401,999),IF(ISNUMBER(SEARCH(CHAR(10)&amp;'Set Aliases'!$A$2:$A$501&amp;CHAR(10),$H1115)),'Set Aliases'!$C$2:$C$501,999))),"(none)"))</f>
        <v/>
      </c>
      <c r="C1115" s="80" t="str">
        <f t="shared" si="1"/>
        <v/>
      </c>
      <c r="D1115" s="80" t="str">
        <f t="array" ref="D1115">IF(A1115="","",IF(ISLOGICAL(INDEX('Deck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15" s="80" t="str">
        <f t="shared" si="2"/>
        <v/>
      </c>
      <c r="F1115" s="80" t="str">
        <f t="array" ref="F1115">IF(A1115="","",IF(ISNUMBER(J1115),J1115,IF(ISNUMBER(INDEX('Deck 4'!$A:$Z,ROW()-1000,'List Setup'!$F$6)),INDEX('Deck 4'!$A:$Z,ROW()-1000,'List Setup'!$F$6),0)))</f>
        <v/>
      </c>
      <c r="G1115" s="80" t="str">
        <f t="array" ref="G1115">IF(A1115="","",A1115&amp;IF(N(INDEX('Deck 4'!$A:$Z,ROW()-1000,'List Setup'!$C$6))&gt;1," (x"&amp;INDEX('Deck 4'!$A:$Z,ROW()-1000,'List Setup'!$C$6)&amp;")","")&amp;IF(COUNTIF(Binders!$J$6:$J$30,TRUE())&gt;1," ["&amp;Q1115&amp;"]",""))</f>
        <v/>
      </c>
      <c r="H1115" s="80" t="str">
        <f t="array" ref="H1115">IF(A1115="","",CHAR(10)&amp;INDEX('Deck 4'!$A:$Z,ROW()-1000,'List Setup'!$E$6)&amp;CHAR(10))</f>
        <v/>
      </c>
      <c r="I1115" s="80" t="str">
        <f t="array" ref="I1115">IF(OR(B1115="",B1115="(none)"),"",IF(ISNUMBER(SEARCH(CHAR(10)&amp;B1115&amp;CHAR(10),H1115)),B1115,IFERROR(INDEX('Set Aliases'!$A$2:$A$501,MATCH(1,('Set Aliases'!$B$2:$B$501=B1115)*ISNUMBER(SEARCH(CHAR(10)&amp;'Set Aliases'!$A$2:$A$501&amp;CHAR(10),H1115)),0)),"")))</f>
        <v/>
      </c>
      <c r="J1115" s="80" t="str">
        <f t="array" ref="J1115">IF(I1115="","",IFERROR(VALUE(TRIM(MID(SUBSTITUTE(INDEX('Deck 4'!$A:$Z,ROW()-1000,'List Setup'!$G$6),CHAR(10),REPT(" ",100)),((SEARCH(CHAR(10)&amp;I1115&amp;CHAR(10),H1115)-LEN(SUBSTITUTE(LEFT(H1115,SEARCH(CHAR(10)&amp;I1115&amp;CHAR(10),H1115)),CHAR(10),"")))-1)*100+1,100))),""))</f>
        <v/>
      </c>
      <c r="K1115" s="80" t="str">
        <f t="array" ref="K1115">IF(A1115="","",IF(ISNUMBER(SEARCH("Land",LEFT(IFERROR(INDEX('Deck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15" s="80" t="str">
        <f t="shared" si="3"/>
        <v/>
      </c>
      <c r="M1115" s="80" t="str">
        <f>IF(A1115="","",IF(AND(E1115="Y",B1115='Use at Shop'!$B$4),K1115*10000000000+(MAX(0,MIN(26,CODE(MID(UPPER(A1115)&amp;"    ",1,1))-64))*19683+MAX(0,MIN(26,CODE(MID(UPPER(A1115)&amp;"    ",2,1))-64))*729+MAX(0,MIN(26,CODE(MID(UPPER(A1115)&amp;"    ",3,1))-64))*27+MAX(0,MIN(26,CODE(MID(UPPER(A1115)&amp;"    ",4,1))-64))*1)*10000+ROW(),""))</f>
        <v/>
      </c>
      <c r="N1115" s="80" t="str">
        <f t="shared" si="8"/>
        <v/>
      </c>
      <c r="O1115" s="80" t="str">
        <f t="array" ref="O1115">IF(A1115="","",IFERROR(INDEX('Deck 4'!$A:$Z,ROW()-1000,'List Setup'!$J$6)&amp;"",""))</f>
        <v/>
      </c>
      <c r="P1115" s="2"/>
      <c r="Q1115" s="80" t="str">
        <f>IF(A1115="","",'List Setup'!$A$6)</f>
        <v/>
      </c>
      <c r="R1115" s="80" t="str">
        <f t="array" ref="R1115">IF(A1115="","",IFERROR(OR(INDEX(Binders!$J$6:$J$30,MATCH(Q1115,Binders!$I$6:$I$30,0))=TRUE(),UPPER(INDEX(Binders!$J$6:$J$30,MATCH(Q1115,Binders!$I$6:$I$30,0))&amp;"")="TRUE"),FALSE()))</f>
        <v/>
      </c>
    </row>
    <row r="1116" ht="15.75" customHeight="1">
      <c r="A1116" s="80" t="str">
        <f t="array" ref="A1116">IF(INDEX('Deck 4'!$A:$Z,ROW()-1000,'List Setup'!$D$6)="","",INDEX('Deck 4'!$A:$Z,ROW()-1000,'List Setup'!$D$6))</f>
        <v/>
      </c>
      <c r="B1116" s="80" t="str">
        <f t="array" ref="B1116">IF(A1116="","",IFERROR(INDEX('Binder Setup'!$B$2:$B$401,MIN(IF(ISNUMBER(SEARCH(CHAR(10)&amp;'Binder Setup'!$B$2:$B$401&amp;CHAR(10),$H1116)),'List Setup'!$Q$2:$Q$401,999),IF(ISNUMBER(SEARCH(CHAR(10)&amp;'Set Aliases'!$A$2:$A$501&amp;CHAR(10),$H1116)),'Set Aliases'!$C$2:$C$501,999))),"(none)"))</f>
        <v/>
      </c>
      <c r="C1116" s="80" t="str">
        <f t="shared" si="1"/>
        <v/>
      </c>
      <c r="D1116" s="80" t="str">
        <f t="array" ref="D1116">IF(A1116="","",IF(ISLOGICAL(INDEX('Deck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16" s="80" t="str">
        <f t="shared" si="2"/>
        <v/>
      </c>
      <c r="F1116" s="80" t="str">
        <f t="array" ref="F1116">IF(A1116="","",IF(ISNUMBER(J1116),J1116,IF(ISNUMBER(INDEX('Deck 4'!$A:$Z,ROW()-1000,'List Setup'!$F$6)),INDEX('Deck 4'!$A:$Z,ROW()-1000,'List Setup'!$F$6),0)))</f>
        <v/>
      </c>
      <c r="G1116" s="80" t="str">
        <f t="array" ref="G1116">IF(A1116="","",A1116&amp;IF(N(INDEX('Deck 4'!$A:$Z,ROW()-1000,'List Setup'!$C$6))&gt;1," (x"&amp;INDEX('Deck 4'!$A:$Z,ROW()-1000,'List Setup'!$C$6)&amp;")","")&amp;IF(COUNTIF(Binders!$J$6:$J$30,TRUE())&gt;1," ["&amp;Q1116&amp;"]",""))</f>
        <v/>
      </c>
      <c r="H1116" s="80" t="str">
        <f t="array" ref="H1116">IF(A1116="","",CHAR(10)&amp;INDEX('Deck 4'!$A:$Z,ROW()-1000,'List Setup'!$E$6)&amp;CHAR(10))</f>
        <v/>
      </c>
      <c r="I1116" s="80" t="str">
        <f t="array" ref="I1116">IF(OR(B1116="",B1116="(none)"),"",IF(ISNUMBER(SEARCH(CHAR(10)&amp;B1116&amp;CHAR(10),H1116)),B1116,IFERROR(INDEX('Set Aliases'!$A$2:$A$501,MATCH(1,('Set Aliases'!$B$2:$B$501=B1116)*ISNUMBER(SEARCH(CHAR(10)&amp;'Set Aliases'!$A$2:$A$501&amp;CHAR(10),H1116)),0)),"")))</f>
        <v/>
      </c>
      <c r="J1116" s="80" t="str">
        <f t="array" ref="J1116">IF(I1116="","",IFERROR(VALUE(TRIM(MID(SUBSTITUTE(INDEX('Deck 4'!$A:$Z,ROW()-1000,'List Setup'!$G$6),CHAR(10),REPT(" ",100)),((SEARCH(CHAR(10)&amp;I1116&amp;CHAR(10),H1116)-LEN(SUBSTITUTE(LEFT(H1116,SEARCH(CHAR(10)&amp;I1116&amp;CHAR(10),H1116)),CHAR(10),"")))-1)*100+1,100))),""))</f>
        <v/>
      </c>
      <c r="K1116" s="80" t="str">
        <f t="array" ref="K1116">IF(A1116="","",IF(ISNUMBER(SEARCH("Land",LEFT(IFERROR(INDEX('Deck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16" s="80" t="str">
        <f t="shared" si="3"/>
        <v/>
      </c>
      <c r="M1116" s="80" t="str">
        <f>IF(A1116="","",IF(AND(E1116="Y",B1116='Use at Shop'!$B$4),K1116*10000000000+(MAX(0,MIN(26,CODE(MID(UPPER(A1116)&amp;"    ",1,1))-64))*19683+MAX(0,MIN(26,CODE(MID(UPPER(A1116)&amp;"    ",2,1))-64))*729+MAX(0,MIN(26,CODE(MID(UPPER(A1116)&amp;"    ",3,1))-64))*27+MAX(0,MIN(26,CODE(MID(UPPER(A1116)&amp;"    ",4,1))-64))*1)*10000+ROW(),""))</f>
        <v/>
      </c>
      <c r="N1116" s="80" t="str">
        <f t="shared" si="8"/>
        <v/>
      </c>
      <c r="O1116" s="80" t="str">
        <f t="array" ref="O1116">IF(A1116="","",IFERROR(INDEX('Deck 4'!$A:$Z,ROW()-1000,'List Setup'!$J$6)&amp;"",""))</f>
        <v/>
      </c>
      <c r="P1116" s="2"/>
      <c r="Q1116" s="80" t="str">
        <f>IF(A1116="","",'List Setup'!$A$6)</f>
        <v/>
      </c>
      <c r="R1116" s="80" t="str">
        <f t="array" ref="R1116">IF(A1116="","",IFERROR(OR(INDEX(Binders!$J$6:$J$30,MATCH(Q1116,Binders!$I$6:$I$30,0))=TRUE(),UPPER(INDEX(Binders!$J$6:$J$30,MATCH(Q1116,Binders!$I$6:$I$30,0))&amp;"")="TRUE"),FALSE()))</f>
        <v/>
      </c>
    </row>
    <row r="1117" ht="15.75" customHeight="1">
      <c r="A1117" s="80" t="str">
        <f t="array" ref="A1117">IF(INDEX('Deck 4'!$A:$Z,ROW()-1000,'List Setup'!$D$6)="","",INDEX('Deck 4'!$A:$Z,ROW()-1000,'List Setup'!$D$6))</f>
        <v/>
      </c>
      <c r="B1117" s="80" t="str">
        <f t="array" ref="B1117">IF(A1117="","",IFERROR(INDEX('Binder Setup'!$B$2:$B$401,MIN(IF(ISNUMBER(SEARCH(CHAR(10)&amp;'Binder Setup'!$B$2:$B$401&amp;CHAR(10),$H1117)),'List Setup'!$Q$2:$Q$401,999),IF(ISNUMBER(SEARCH(CHAR(10)&amp;'Set Aliases'!$A$2:$A$501&amp;CHAR(10),$H1117)),'Set Aliases'!$C$2:$C$501,999))),"(none)"))</f>
        <v/>
      </c>
      <c r="C1117" s="80" t="str">
        <f t="shared" si="1"/>
        <v/>
      </c>
      <c r="D1117" s="80" t="str">
        <f t="array" ref="D1117">IF(A1117="","",IF(ISLOGICAL(INDEX('Deck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17" s="80" t="str">
        <f t="shared" si="2"/>
        <v/>
      </c>
      <c r="F1117" s="80" t="str">
        <f t="array" ref="F1117">IF(A1117="","",IF(ISNUMBER(J1117),J1117,IF(ISNUMBER(INDEX('Deck 4'!$A:$Z,ROW()-1000,'List Setup'!$F$6)),INDEX('Deck 4'!$A:$Z,ROW()-1000,'List Setup'!$F$6),0)))</f>
        <v/>
      </c>
      <c r="G1117" s="80" t="str">
        <f t="array" ref="G1117">IF(A1117="","",A1117&amp;IF(N(INDEX('Deck 4'!$A:$Z,ROW()-1000,'List Setup'!$C$6))&gt;1," (x"&amp;INDEX('Deck 4'!$A:$Z,ROW()-1000,'List Setup'!$C$6)&amp;")","")&amp;IF(COUNTIF(Binders!$J$6:$J$30,TRUE())&gt;1," ["&amp;Q1117&amp;"]",""))</f>
        <v/>
      </c>
      <c r="H1117" s="80" t="str">
        <f t="array" ref="H1117">IF(A1117="","",CHAR(10)&amp;INDEX('Deck 4'!$A:$Z,ROW()-1000,'List Setup'!$E$6)&amp;CHAR(10))</f>
        <v/>
      </c>
      <c r="I1117" s="80" t="str">
        <f t="array" ref="I1117">IF(OR(B1117="",B1117="(none)"),"",IF(ISNUMBER(SEARCH(CHAR(10)&amp;B1117&amp;CHAR(10),H1117)),B1117,IFERROR(INDEX('Set Aliases'!$A$2:$A$501,MATCH(1,('Set Aliases'!$B$2:$B$501=B1117)*ISNUMBER(SEARCH(CHAR(10)&amp;'Set Aliases'!$A$2:$A$501&amp;CHAR(10),H1117)),0)),"")))</f>
        <v/>
      </c>
      <c r="J1117" s="80" t="str">
        <f t="array" ref="J1117">IF(I1117="","",IFERROR(VALUE(TRIM(MID(SUBSTITUTE(INDEX('Deck 4'!$A:$Z,ROW()-1000,'List Setup'!$G$6),CHAR(10),REPT(" ",100)),((SEARCH(CHAR(10)&amp;I1117&amp;CHAR(10),H1117)-LEN(SUBSTITUTE(LEFT(H1117,SEARCH(CHAR(10)&amp;I1117&amp;CHAR(10),H1117)),CHAR(10),"")))-1)*100+1,100))),""))</f>
        <v/>
      </c>
      <c r="K1117" s="80" t="str">
        <f t="array" ref="K1117">IF(A1117="","",IF(ISNUMBER(SEARCH("Land",LEFT(IFERROR(INDEX('Deck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17" s="80" t="str">
        <f t="shared" si="3"/>
        <v/>
      </c>
      <c r="M1117" s="80" t="str">
        <f>IF(A1117="","",IF(AND(E1117="Y",B1117='Use at Shop'!$B$4),K1117*10000000000+(MAX(0,MIN(26,CODE(MID(UPPER(A1117)&amp;"    ",1,1))-64))*19683+MAX(0,MIN(26,CODE(MID(UPPER(A1117)&amp;"    ",2,1))-64))*729+MAX(0,MIN(26,CODE(MID(UPPER(A1117)&amp;"    ",3,1))-64))*27+MAX(0,MIN(26,CODE(MID(UPPER(A1117)&amp;"    ",4,1))-64))*1)*10000+ROW(),""))</f>
        <v/>
      </c>
      <c r="N1117" s="80" t="str">
        <f t="shared" si="8"/>
        <v/>
      </c>
      <c r="O1117" s="80" t="str">
        <f t="array" ref="O1117">IF(A1117="","",IFERROR(INDEX('Deck 4'!$A:$Z,ROW()-1000,'List Setup'!$J$6)&amp;"",""))</f>
        <v/>
      </c>
      <c r="P1117" s="2"/>
      <c r="Q1117" s="80" t="str">
        <f>IF(A1117="","",'List Setup'!$A$6)</f>
        <v/>
      </c>
      <c r="R1117" s="80" t="str">
        <f t="array" ref="R1117">IF(A1117="","",IFERROR(OR(INDEX(Binders!$J$6:$J$30,MATCH(Q1117,Binders!$I$6:$I$30,0))=TRUE(),UPPER(INDEX(Binders!$J$6:$J$30,MATCH(Q1117,Binders!$I$6:$I$30,0))&amp;"")="TRUE"),FALSE()))</f>
        <v/>
      </c>
    </row>
    <row r="1118" ht="15.75" customHeight="1">
      <c r="A1118" s="80" t="str">
        <f t="array" ref="A1118">IF(INDEX('Deck 4'!$A:$Z,ROW()-1000,'List Setup'!$D$6)="","",INDEX('Deck 4'!$A:$Z,ROW()-1000,'List Setup'!$D$6))</f>
        <v/>
      </c>
      <c r="B1118" s="80" t="str">
        <f t="array" ref="B1118">IF(A1118="","",IFERROR(INDEX('Binder Setup'!$B$2:$B$401,MIN(IF(ISNUMBER(SEARCH(CHAR(10)&amp;'Binder Setup'!$B$2:$B$401&amp;CHAR(10),$H1118)),'List Setup'!$Q$2:$Q$401,999),IF(ISNUMBER(SEARCH(CHAR(10)&amp;'Set Aliases'!$A$2:$A$501&amp;CHAR(10),$H1118)),'Set Aliases'!$C$2:$C$501,999))),"(none)"))</f>
        <v/>
      </c>
      <c r="C1118" s="80" t="str">
        <f t="shared" si="1"/>
        <v/>
      </c>
      <c r="D1118" s="80" t="str">
        <f t="array" ref="D1118">IF(A1118="","",IF(ISLOGICAL(INDEX('Deck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18" s="80" t="str">
        <f t="shared" si="2"/>
        <v/>
      </c>
      <c r="F1118" s="80" t="str">
        <f t="array" ref="F1118">IF(A1118="","",IF(ISNUMBER(J1118),J1118,IF(ISNUMBER(INDEX('Deck 4'!$A:$Z,ROW()-1000,'List Setup'!$F$6)),INDEX('Deck 4'!$A:$Z,ROW()-1000,'List Setup'!$F$6),0)))</f>
        <v/>
      </c>
      <c r="G1118" s="80" t="str">
        <f t="array" ref="G1118">IF(A1118="","",A1118&amp;IF(N(INDEX('Deck 4'!$A:$Z,ROW()-1000,'List Setup'!$C$6))&gt;1," (x"&amp;INDEX('Deck 4'!$A:$Z,ROW()-1000,'List Setup'!$C$6)&amp;")","")&amp;IF(COUNTIF(Binders!$J$6:$J$30,TRUE())&gt;1," ["&amp;Q1118&amp;"]",""))</f>
        <v/>
      </c>
      <c r="H1118" s="80" t="str">
        <f t="array" ref="H1118">IF(A1118="","",CHAR(10)&amp;INDEX('Deck 4'!$A:$Z,ROW()-1000,'List Setup'!$E$6)&amp;CHAR(10))</f>
        <v/>
      </c>
      <c r="I1118" s="80" t="str">
        <f t="array" ref="I1118">IF(OR(B1118="",B1118="(none)"),"",IF(ISNUMBER(SEARCH(CHAR(10)&amp;B1118&amp;CHAR(10),H1118)),B1118,IFERROR(INDEX('Set Aliases'!$A$2:$A$501,MATCH(1,('Set Aliases'!$B$2:$B$501=B1118)*ISNUMBER(SEARCH(CHAR(10)&amp;'Set Aliases'!$A$2:$A$501&amp;CHAR(10),H1118)),0)),"")))</f>
        <v/>
      </c>
      <c r="J1118" s="80" t="str">
        <f t="array" ref="J1118">IF(I1118="","",IFERROR(VALUE(TRIM(MID(SUBSTITUTE(INDEX('Deck 4'!$A:$Z,ROW()-1000,'List Setup'!$G$6),CHAR(10),REPT(" ",100)),((SEARCH(CHAR(10)&amp;I1118&amp;CHAR(10),H1118)-LEN(SUBSTITUTE(LEFT(H1118,SEARCH(CHAR(10)&amp;I1118&amp;CHAR(10),H1118)),CHAR(10),"")))-1)*100+1,100))),""))</f>
        <v/>
      </c>
      <c r="K1118" s="80" t="str">
        <f t="array" ref="K1118">IF(A1118="","",IF(ISNUMBER(SEARCH("Land",LEFT(IFERROR(INDEX('Deck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18" s="80" t="str">
        <f t="shared" si="3"/>
        <v/>
      </c>
      <c r="M1118" s="80" t="str">
        <f>IF(A1118="","",IF(AND(E1118="Y",B1118='Use at Shop'!$B$4),K1118*10000000000+(MAX(0,MIN(26,CODE(MID(UPPER(A1118)&amp;"    ",1,1))-64))*19683+MAX(0,MIN(26,CODE(MID(UPPER(A1118)&amp;"    ",2,1))-64))*729+MAX(0,MIN(26,CODE(MID(UPPER(A1118)&amp;"    ",3,1))-64))*27+MAX(0,MIN(26,CODE(MID(UPPER(A1118)&amp;"    ",4,1))-64))*1)*10000+ROW(),""))</f>
        <v/>
      </c>
      <c r="N1118" s="80" t="str">
        <f t="shared" si="8"/>
        <v/>
      </c>
      <c r="O1118" s="80" t="str">
        <f t="array" ref="O1118">IF(A1118="","",IFERROR(INDEX('Deck 4'!$A:$Z,ROW()-1000,'List Setup'!$J$6)&amp;"",""))</f>
        <v/>
      </c>
      <c r="P1118" s="2"/>
      <c r="Q1118" s="80" t="str">
        <f>IF(A1118="","",'List Setup'!$A$6)</f>
        <v/>
      </c>
      <c r="R1118" s="80" t="str">
        <f t="array" ref="R1118">IF(A1118="","",IFERROR(OR(INDEX(Binders!$J$6:$J$30,MATCH(Q1118,Binders!$I$6:$I$30,0))=TRUE(),UPPER(INDEX(Binders!$J$6:$J$30,MATCH(Q1118,Binders!$I$6:$I$30,0))&amp;"")="TRUE"),FALSE()))</f>
        <v/>
      </c>
    </row>
    <row r="1119" ht="15.75" customHeight="1">
      <c r="A1119" s="80" t="str">
        <f t="array" ref="A1119">IF(INDEX('Deck 4'!$A:$Z,ROW()-1000,'List Setup'!$D$6)="","",INDEX('Deck 4'!$A:$Z,ROW()-1000,'List Setup'!$D$6))</f>
        <v/>
      </c>
      <c r="B1119" s="80" t="str">
        <f t="array" ref="B1119">IF(A1119="","",IFERROR(INDEX('Binder Setup'!$B$2:$B$401,MIN(IF(ISNUMBER(SEARCH(CHAR(10)&amp;'Binder Setup'!$B$2:$B$401&amp;CHAR(10),$H1119)),'List Setup'!$Q$2:$Q$401,999),IF(ISNUMBER(SEARCH(CHAR(10)&amp;'Set Aliases'!$A$2:$A$501&amp;CHAR(10),$H1119)),'Set Aliases'!$C$2:$C$501,999))),"(none)"))</f>
        <v/>
      </c>
      <c r="C1119" s="80" t="str">
        <f t="shared" si="1"/>
        <v/>
      </c>
      <c r="D1119" s="80" t="str">
        <f t="array" ref="D1119">IF(A1119="","",IF(ISLOGICAL(INDEX('Deck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19" s="80" t="str">
        <f t="shared" si="2"/>
        <v/>
      </c>
      <c r="F1119" s="80" t="str">
        <f t="array" ref="F1119">IF(A1119="","",IF(ISNUMBER(J1119),J1119,IF(ISNUMBER(INDEX('Deck 4'!$A:$Z,ROW()-1000,'List Setup'!$F$6)),INDEX('Deck 4'!$A:$Z,ROW()-1000,'List Setup'!$F$6),0)))</f>
        <v/>
      </c>
      <c r="G1119" s="80" t="str">
        <f t="array" ref="G1119">IF(A1119="","",A1119&amp;IF(N(INDEX('Deck 4'!$A:$Z,ROW()-1000,'List Setup'!$C$6))&gt;1," (x"&amp;INDEX('Deck 4'!$A:$Z,ROW()-1000,'List Setup'!$C$6)&amp;")","")&amp;IF(COUNTIF(Binders!$J$6:$J$30,TRUE())&gt;1," ["&amp;Q1119&amp;"]",""))</f>
        <v/>
      </c>
      <c r="H1119" s="80" t="str">
        <f t="array" ref="H1119">IF(A1119="","",CHAR(10)&amp;INDEX('Deck 4'!$A:$Z,ROW()-1000,'List Setup'!$E$6)&amp;CHAR(10))</f>
        <v/>
      </c>
      <c r="I1119" s="80" t="str">
        <f t="array" ref="I1119">IF(OR(B1119="",B1119="(none)"),"",IF(ISNUMBER(SEARCH(CHAR(10)&amp;B1119&amp;CHAR(10),H1119)),B1119,IFERROR(INDEX('Set Aliases'!$A$2:$A$501,MATCH(1,('Set Aliases'!$B$2:$B$501=B1119)*ISNUMBER(SEARCH(CHAR(10)&amp;'Set Aliases'!$A$2:$A$501&amp;CHAR(10),H1119)),0)),"")))</f>
        <v/>
      </c>
      <c r="J1119" s="80" t="str">
        <f t="array" ref="J1119">IF(I1119="","",IFERROR(VALUE(TRIM(MID(SUBSTITUTE(INDEX('Deck 4'!$A:$Z,ROW()-1000,'List Setup'!$G$6),CHAR(10),REPT(" ",100)),((SEARCH(CHAR(10)&amp;I1119&amp;CHAR(10),H1119)-LEN(SUBSTITUTE(LEFT(H1119,SEARCH(CHAR(10)&amp;I1119&amp;CHAR(10),H1119)),CHAR(10),"")))-1)*100+1,100))),""))</f>
        <v/>
      </c>
      <c r="K1119" s="80" t="str">
        <f t="array" ref="K1119">IF(A1119="","",IF(ISNUMBER(SEARCH("Land",LEFT(IFERROR(INDEX('Deck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19" s="80" t="str">
        <f t="shared" si="3"/>
        <v/>
      </c>
      <c r="M1119" s="80" t="str">
        <f>IF(A1119="","",IF(AND(E1119="Y",B1119='Use at Shop'!$B$4),K1119*10000000000+(MAX(0,MIN(26,CODE(MID(UPPER(A1119)&amp;"    ",1,1))-64))*19683+MAX(0,MIN(26,CODE(MID(UPPER(A1119)&amp;"    ",2,1))-64))*729+MAX(0,MIN(26,CODE(MID(UPPER(A1119)&amp;"    ",3,1))-64))*27+MAX(0,MIN(26,CODE(MID(UPPER(A1119)&amp;"    ",4,1))-64))*1)*10000+ROW(),""))</f>
        <v/>
      </c>
      <c r="N1119" s="80" t="str">
        <f t="shared" si="8"/>
        <v/>
      </c>
      <c r="O1119" s="80" t="str">
        <f t="array" ref="O1119">IF(A1119="","",IFERROR(INDEX('Deck 4'!$A:$Z,ROW()-1000,'List Setup'!$J$6)&amp;"",""))</f>
        <v/>
      </c>
      <c r="P1119" s="2"/>
      <c r="Q1119" s="80" t="str">
        <f>IF(A1119="","",'List Setup'!$A$6)</f>
        <v/>
      </c>
      <c r="R1119" s="80" t="str">
        <f t="array" ref="R1119">IF(A1119="","",IFERROR(OR(INDEX(Binders!$J$6:$J$30,MATCH(Q1119,Binders!$I$6:$I$30,0))=TRUE(),UPPER(INDEX(Binders!$J$6:$J$30,MATCH(Q1119,Binders!$I$6:$I$30,0))&amp;"")="TRUE"),FALSE()))</f>
        <v/>
      </c>
    </row>
    <row r="1120" ht="15.75" customHeight="1">
      <c r="A1120" s="80" t="str">
        <f t="array" ref="A1120">IF(INDEX('Deck 4'!$A:$Z,ROW()-1000,'List Setup'!$D$6)="","",INDEX('Deck 4'!$A:$Z,ROW()-1000,'List Setup'!$D$6))</f>
        <v/>
      </c>
      <c r="B1120" s="80" t="str">
        <f t="array" ref="B1120">IF(A1120="","",IFERROR(INDEX('Binder Setup'!$B$2:$B$401,MIN(IF(ISNUMBER(SEARCH(CHAR(10)&amp;'Binder Setup'!$B$2:$B$401&amp;CHAR(10),$H1120)),'List Setup'!$Q$2:$Q$401,999),IF(ISNUMBER(SEARCH(CHAR(10)&amp;'Set Aliases'!$A$2:$A$501&amp;CHAR(10),$H1120)),'Set Aliases'!$C$2:$C$501,999))),"(none)"))</f>
        <v/>
      </c>
      <c r="C1120" s="80" t="str">
        <f t="shared" si="1"/>
        <v/>
      </c>
      <c r="D1120" s="80" t="str">
        <f t="array" ref="D1120">IF(A1120="","",IF(ISLOGICAL(INDEX('Deck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20" s="80" t="str">
        <f t="shared" si="2"/>
        <v/>
      </c>
      <c r="F1120" s="80" t="str">
        <f t="array" ref="F1120">IF(A1120="","",IF(ISNUMBER(J1120),J1120,IF(ISNUMBER(INDEX('Deck 4'!$A:$Z,ROW()-1000,'List Setup'!$F$6)),INDEX('Deck 4'!$A:$Z,ROW()-1000,'List Setup'!$F$6),0)))</f>
        <v/>
      </c>
      <c r="G1120" s="80" t="str">
        <f t="array" ref="G1120">IF(A1120="","",A1120&amp;IF(N(INDEX('Deck 4'!$A:$Z,ROW()-1000,'List Setup'!$C$6))&gt;1," (x"&amp;INDEX('Deck 4'!$A:$Z,ROW()-1000,'List Setup'!$C$6)&amp;")","")&amp;IF(COUNTIF(Binders!$J$6:$J$30,TRUE())&gt;1," ["&amp;Q1120&amp;"]",""))</f>
        <v/>
      </c>
      <c r="H1120" s="80" t="str">
        <f t="array" ref="H1120">IF(A1120="","",CHAR(10)&amp;INDEX('Deck 4'!$A:$Z,ROW()-1000,'List Setup'!$E$6)&amp;CHAR(10))</f>
        <v/>
      </c>
      <c r="I1120" s="80" t="str">
        <f t="array" ref="I1120">IF(OR(B1120="",B1120="(none)"),"",IF(ISNUMBER(SEARCH(CHAR(10)&amp;B1120&amp;CHAR(10),H1120)),B1120,IFERROR(INDEX('Set Aliases'!$A$2:$A$501,MATCH(1,('Set Aliases'!$B$2:$B$501=B1120)*ISNUMBER(SEARCH(CHAR(10)&amp;'Set Aliases'!$A$2:$A$501&amp;CHAR(10),H1120)),0)),"")))</f>
        <v/>
      </c>
      <c r="J1120" s="80" t="str">
        <f t="array" ref="J1120">IF(I1120="","",IFERROR(VALUE(TRIM(MID(SUBSTITUTE(INDEX('Deck 4'!$A:$Z,ROW()-1000,'List Setup'!$G$6),CHAR(10),REPT(" ",100)),((SEARCH(CHAR(10)&amp;I1120&amp;CHAR(10),H1120)-LEN(SUBSTITUTE(LEFT(H1120,SEARCH(CHAR(10)&amp;I1120&amp;CHAR(10),H1120)),CHAR(10),"")))-1)*100+1,100))),""))</f>
        <v/>
      </c>
      <c r="K1120" s="80" t="str">
        <f t="array" ref="K1120">IF(A1120="","",IF(ISNUMBER(SEARCH("Land",LEFT(IFERROR(INDEX('Deck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20" s="80" t="str">
        <f t="shared" si="3"/>
        <v/>
      </c>
      <c r="M1120" s="80" t="str">
        <f>IF(A1120="","",IF(AND(E1120="Y",B1120='Use at Shop'!$B$4),K1120*10000000000+(MAX(0,MIN(26,CODE(MID(UPPER(A1120)&amp;"    ",1,1))-64))*19683+MAX(0,MIN(26,CODE(MID(UPPER(A1120)&amp;"    ",2,1))-64))*729+MAX(0,MIN(26,CODE(MID(UPPER(A1120)&amp;"    ",3,1))-64))*27+MAX(0,MIN(26,CODE(MID(UPPER(A1120)&amp;"    ",4,1))-64))*1)*10000+ROW(),""))</f>
        <v/>
      </c>
      <c r="N1120" s="80" t="str">
        <f t="shared" si="8"/>
        <v/>
      </c>
      <c r="O1120" s="80" t="str">
        <f t="array" ref="O1120">IF(A1120="","",IFERROR(INDEX('Deck 4'!$A:$Z,ROW()-1000,'List Setup'!$J$6)&amp;"",""))</f>
        <v/>
      </c>
      <c r="P1120" s="2"/>
      <c r="Q1120" s="80" t="str">
        <f>IF(A1120="","",'List Setup'!$A$6)</f>
        <v/>
      </c>
      <c r="R1120" s="80" t="str">
        <f t="array" ref="R1120">IF(A1120="","",IFERROR(OR(INDEX(Binders!$J$6:$J$30,MATCH(Q1120,Binders!$I$6:$I$30,0))=TRUE(),UPPER(INDEX(Binders!$J$6:$J$30,MATCH(Q1120,Binders!$I$6:$I$30,0))&amp;"")="TRUE"),FALSE()))</f>
        <v/>
      </c>
    </row>
    <row r="1121" ht="15.75" customHeight="1">
      <c r="A1121" s="80" t="str">
        <f t="array" ref="A1121">IF(INDEX('Deck 4'!$A:$Z,ROW()-1000,'List Setup'!$D$6)="","",INDEX('Deck 4'!$A:$Z,ROW()-1000,'List Setup'!$D$6))</f>
        <v/>
      </c>
      <c r="B1121" s="80" t="str">
        <f t="array" ref="B1121">IF(A1121="","",IFERROR(INDEX('Binder Setup'!$B$2:$B$401,MIN(IF(ISNUMBER(SEARCH(CHAR(10)&amp;'Binder Setup'!$B$2:$B$401&amp;CHAR(10),$H1121)),'List Setup'!$Q$2:$Q$401,999),IF(ISNUMBER(SEARCH(CHAR(10)&amp;'Set Aliases'!$A$2:$A$501&amp;CHAR(10),$H1121)),'Set Aliases'!$C$2:$C$501,999))),"(none)"))</f>
        <v/>
      </c>
      <c r="C1121" s="80" t="str">
        <f t="shared" si="1"/>
        <v/>
      </c>
      <c r="D1121" s="80" t="str">
        <f t="array" ref="D1121">IF(A1121="","",IF(ISLOGICAL(INDEX('Deck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21" s="80" t="str">
        <f t="shared" si="2"/>
        <v/>
      </c>
      <c r="F1121" s="80" t="str">
        <f t="array" ref="F1121">IF(A1121="","",IF(ISNUMBER(J1121),J1121,IF(ISNUMBER(INDEX('Deck 4'!$A:$Z,ROW()-1000,'List Setup'!$F$6)),INDEX('Deck 4'!$A:$Z,ROW()-1000,'List Setup'!$F$6),0)))</f>
        <v/>
      </c>
      <c r="G1121" s="80" t="str">
        <f t="array" ref="G1121">IF(A1121="","",A1121&amp;IF(N(INDEX('Deck 4'!$A:$Z,ROW()-1000,'List Setup'!$C$6))&gt;1," (x"&amp;INDEX('Deck 4'!$A:$Z,ROW()-1000,'List Setup'!$C$6)&amp;")","")&amp;IF(COUNTIF(Binders!$J$6:$J$30,TRUE())&gt;1," ["&amp;Q1121&amp;"]",""))</f>
        <v/>
      </c>
      <c r="H1121" s="80" t="str">
        <f t="array" ref="H1121">IF(A1121="","",CHAR(10)&amp;INDEX('Deck 4'!$A:$Z,ROW()-1000,'List Setup'!$E$6)&amp;CHAR(10))</f>
        <v/>
      </c>
      <c r="I1121" s="80" t="str">
        <f t="array" ref="I1121">IF(OR(B1121="",B1121="(none)"),"",IF(ISNUMBER(SEARCH(CHAR(10)&amp;B1121&amp;CHAR(10),H1121)),B1121,IFERROR(INDEX('Set Aliases'!$A$2:$A$501,MATCH(1,('Set Aliases'!$B$2:$B$501=B1121)*ISNUMBER(SEARCH(CHAR(10)&amp;'Set Aliases'!$A$2:$A$501&amp;CHAR(10),H1121)),0)),"")))</f>
        <v/>
      </c>
      <c r="J1121" s="80" t="str">
        <f t="array" ref="J1121">IF(I1121="","",IFERROR(VALUE(TRIM(MID(SUBSTITUTE(INDEX('Deck 4'!$A:$Z,ROW()-1000,'List Setup'!$G$6),CHAR(10),REPT(" ",100)),((SEARCH(CHAR(10)&amp;I1121&amp;CHAR(10),H1121)-LEN(SUBSTITUTE(LEFT(H1121,SEARCH(CHAR(10)&amp;I1121&amp;CHAR(10),H1121)),CHAR(10),"")))-1)*100+1,100))),""))</f>
        <v/>
      </c>
      <c r="K1121" s="80" t="str">
        <f t="array" ref="K1121">IF(A1121="","",IF(ISNUMBER(SEARCH("Land",LEFT(IFERROR(INDEX('Deck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21" s="80" t="str">
        <f t="shared" si="3"/>
        <v/>
      </c>
      <c r="M1121" s="80" t="str">
        <f>IF(A1121="","",IF(AND(E1121="Y",B1121='Use at Shop'!$B$4),K1121*10000000000+(MAX(0,MIN(26,CODE(MID(UPPER(A1121)&amp;"    ",1,1))-64))*19683+MAX(0,MIN(26,CODE(MID(UPPER(A1121)&amp;"    ",2,1))-64))*729+MAX(0,MIN(26,CODE(MID(UPPER(A1121)&amp;"    ",3,1))-64))*27+MAX(0,MIN(26,CODE(MID(UPPER(A1121)&amp;"    ",4,1))-64))*1)*10000+ROW(),""))</f>
        <v/>
      </c>
      <c r="N1121" s="80" t="str">
        <f t="shared" si="8"/>
        <v/>
      </c>
      <c r="O1121" s="80" t="str">
        <f t="array" ref="O1121">IF(A1121="","",IFERROR(INDEX('Deck 4'!$A:$Z,ROW()-1000,'List Setup'!$J$6)&amp;"",""))</f>
        <v/>
      </c>
      <c r="P1121" s="2"/>
      <c r="Q1121" s="80" t="str">
        <f>IF(A1121="","",'List Setup'!$A$6)</f>
        <v/>
      </c>
      <c r="R1121" s="80" t="str">
        <f t="array" ref="R1121">IF(A1121="","",IFERROR(OR(INDEX(Binders!$J$6:$J$30,MATCH(Q1121,Binders!$I$6:$I$30,0))=TRUE(),UPPER(INDEX(Binders!$J$6:$J$30,MATCH(Q1121,Binders!$I$6:$I$30,0))&amp;"")="TRUE"),FALSE()))</f>
        <v/>
      </c>
    </row>
    <row r="1122" ht="15.75" customHeight="1">
      <c r="A1122" s="80" t="str">
        <f t="array" ref="A1122">IF(INDEX('Deck 4'!$A:$Z,ROW()-1000,'List Setup'!$D$6)="","",INDEX('Deck 4'!$A:$Z,ROW()-1000,'List Setup'!$D$6))</f>
        <v/>
      </c>
      <c r="B1122" s="80" t="str">
        <f t="array" ref="B1122">IF(A1122="","",IFERROR(INDEX('Binder Setup'!$B$2:$B$401,MIN(IF(ISNUMBER(SEARCH(CHAR(10)&amp;'Binder Setup'!$B$2:$B$401&amp;CHAR(10),$H1122)),'List Setup'!$Q$2:$Q$401,999),IF(ISNUMBER(SEARCH(CHAR(10)&amp;'Set Aliases'!$A$2:$A$501&amp;CHAR(10),$H1122)),'Set Aliases'!$C$2:$C$501,999))),"(none)"))</f>
        <v/>
      </c>
      <c r="C1122" s="80" t="str">
        <f t="shared" si="1"/>
        <v/>
      </c>
      <c r="D1122" s="80" t="str">
        <f t="array" ref="D1122">IF(A1122="","",IF(ISLOGICAL(INDEX('Deck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22" s="80" t="str">
        <f t="shared" si="2"/>
        <v/>
      </c>
      <c r="F1122" s="80" t="str">
        <f t="array" ref="F1122">IF(A1122="","",IF(ISNUMBER(J1122),J1122,IF(ISNUMBER(INDEX('Deck 4'!$A:$Z,ROW()-1000,'List Setup'!$F$6)),INDEX('Deck 4'!$A:$Z,ROW()-1000,'List Setup'!$F$6),0)))</f>
        <v/>
      </c>
      <c r="G1122" s="80" t="str">
        <f t="array" ref="G1122">IF(A1122="","",A1122&amp;IF(N(INDEX('Deck 4'!$A:$Z,ROW()-1000,'List Setup'!$C$6))&gt;1," (x"&amp;INDEX('Deck 4'!$A:$Z,ROW()-1000,'List Setup'!$C$6)&amp;")","")&amp;IF(COUNTIF(Binders!$J$6:$J$30,TRUE())&gt;1," ["&amp;Q1122&amp;"]",""))</f>
        <v/>
      </c>
      <c r="H1122" s="80" t="str">
        <f t="array" ref="H1122">IF(A1122="","",CHAR(10)&amp;INDEX('Deck 4'!$A:$Z,ROW()-1000,'List Setup'!$E$6)&amp;CHAR(10))</f>
        <v/>
      </c>
      <c r="I1122" s="80" t="str">
        <f t="array" ref="I1122">IF(OR(B1122="",B1122="(none)"),"",IF(ISNUMBER(SEARCH(CHAR(10)&amp;B1122&amp;CHAR(10),H1122)),B1122,IFERROR(INDEX('Set Aliases'!$A$2:$A$501,MATCH(1,('Set Aliases'!$B$2:$B$501=B1122)*ISNUMBER(SEARCH(CHAR(10)&amp;'Set Aliases'!$A$2:$A$501&amp;CHAR(10),H1122)),0)),"")))</f>
        <v/>
      </c>
      <c r="J1122" s="80" t="str">
        <f t="array" ref="J1122">IF(I1122="","",IFERROR(VALUE(TRIM(MID(SUBSTITUTE(INDEX('Deck 4'!$A:$Z,ROW()-1000,'List Setup'!$G$6),CHAR(10),REPT(" ",100)),((SEARCH(CHAR(10)&amp;I1122&amp;CHAR(10),H1122)-LEN(SUBSTITUTE(LEFT(H1122,SEARCH(CHAR(10)&amp;I1122&amp;CHAR(10),H1122)),CHAR(10),"")))-1)*100+1,100))),""))</f>
        <v/>
      </c>
      <c r="K1122" s="80" t="str">
        <f t="array" ref="K1122">IF(A1122="","",IF(ISNUMBER(SEARCH("Land",LEFT(IFERROR(INDEX('Deck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22" s="80" t="str">
        <f t="shared" si="3"/>
        <v/>
      </c>
      <c r="M1122" s="80" t="str">
        <f>IF(A1122="","",IF(AND(E1122="Y",B1122='Use at Shop'!$B$4),K1122*10000000000+(MAX(0,MIN(26,CODE(MID(UPPER(A1122)&amp;"    ",1,1))-64))*19683+MAX(0,MIN(26,CODE(MID(UPPER(A1122)&amp;"    ",2,1))-64))*729+MAX(0,MIN(26,CODE(MID(UPPER(A1122)&amp;"    ",3,1))-64))*27+MAX(0,MIN(26,CODE(MID(UPPER(A1122)&amp;"    ",4,1))-64))*1)*10000+ROW(),""))</f>
        <v/>
      </c>
      <c r="N1122" s="80" t="str">
        <f t="shared" si="8"/>
        <v/>
      </c>
      <c r="O1122" s="80" t="str">
        <f t="array" ref="O1122">IF(A1122="","",IFERROR(INDEX('Deck 4'!$A:$Z,ROW()-1000,'List Setup'!$J$6)&amp;"",""))</f>
        <v/>
      </c>
      <c r="P1122" s="2"/>
      <c r="Q1122" s="80" t="str">
        <f>IF(A1122="","",'List Setup'!$A$6)</f>
        <v/>
      </c>
      <c r="R1122" s="80" t="str">
        <f t="array" ref="R1122">IF(A1122="","",IFERROR(OR(INDEX(Binders!$J$6:$J$30,MATCH(Q1122,Binders!$I$6:$I$30,0))=TRUE(),UPPER(INDEX(Binders!$J$6:$J$30,MATCH(Q1122,Binders!$I$6:$I$30,0))&amp;"")="TRUE"),FALSE()))</f>
        <v/>
      </c>
    </row>
    <row r="1123" ht="15.75" customHeight="1">
      <c r="A1123" s="80" t="str">
        <f t="array" ref="A1123">IF(INDEX('Deck 4'!$A:$Z,ROW()-1000,'List Setup'!$D$6)="","",INDEX('Deck 4'!$A:$Z,ROW()-1000,'List Setup'!$D$6))</f>
        <v/>
      </c>
      <c r="B1123" s="80" t="str">
        <f t="array" ref="B1123">IF(A1123="","",IFERROR(INDEX('Binder Setup'!$B$2:$B$401,MIN(IF(ISNUMBER(SEARCH(CHAR(10)&amp;'Binder Setup'!$B$2:$B$401&amp;CHAR(10),$H1123)),'List Setup'!$Q$2:$Q$401,999),IF(ISNUMBER(SEARCH(CHAR(10)&amp;'Set Aliases'!$A$2:$A$501&amp;CHAR(10),$H1123)),'Set Aliases'!$C$2:$C$501,999))),"(none)"))</f>
        <v/>
      </c>
      <c r="C1123" s="80" t="str">
        <f t="shared" si="1"/>
        <v/>
      </c>
      <c r="D1123" s="80" t="str">
        <f t="array" ref="D1123">IF(A1123="","",IF(ISLOGICAL(INDEX('Deck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23" s="80" t="str">
        <f t="shared" si="2"/>
        <v/>
      </c>
      <c r="F1123" s="80" t="str">
        <f t="array" ref="F1123">IF(A1123="","",IF(ISNUMBER(J1123),J1123,IF(ISNUMBER(INDEX('Deck 4'!$A:$Z,ROW()-1000,'List Setup'!$F$6)),INDEX('Deck 4'!$A:$Z,ROW()-1000,'List Setup'!$F$6),0)))</f>
        <v/>
      </c>
      <c r="G1123" s="80" t="str">
        <f t="array" ref="G1123">IF(A1123="","",A1123&amp;IF(N(INDEX('Deck 4'!$A:$Z,ROW()-1000,'List Setup'!$C$6))&gt;1," (x"&amp;INDEX('Deck 4'!$A:$Z,ROW()-1000,'List Setup'!$C$6)&amp;")","")&amp;IF(COUNTIF(Binders!$J$6:$J$30,TRUE())&gt;1," ["&amp;Q1123&amp;"]",""))</f>
        <v/>
      </c>
      <c r="H1123" s="80" t="str">
        <f t="array" ref="H1123">IF(A1123="","",CHAR(10)&amp;INDEX('Deck 4'!$A:$Z,ROW()-1000,'List Setup'!$E$6)&amp;CHAR(10))</f>
        <v/>
      </c>
      <c r="I1123" s="80" t="str">
        <f t="array" ref="I1123">IF(OR(B1123="",B1123="(none)"),"",IF(ISNUMBER(SEARCH(CHAR(10)&amp;B1123&amp;CHAR(10),H1123)),B1123,IFERROR(INDEX('Set Aliases'!$A$2:$A$501,MATCH(1,('Set Aliases'!$B$2:$B$501=B1123)*ISNUMBER(SEARCH(CHAR(10)&amp;'Set Aliases'!$A$2:$A$501&amp;CHAR(10),H1123)),0)),"")))</f>
        <v/>
      </c>
      <c r="J1123" s="80" t="str">
        <f t="array" ref="J1123">IF(I1123="","",IFERROR(VALUE(TRIM(MID(SUBSTITUTE(INDEX('Deck 4'!$A:$Z,ROW()-1000,'List Setup'!$G$6),CHAR(10),REPT(" ",100)),((SEARCH(CHAR(10)&amp;I1123&amp;CHAR(10),H1123)-LEN(SUBSTITUTE(LEFT(H1123,SEARCH(CHAR(10)&amp;I1123&amp;CHAR(10),H1123)),CHAR(10),"")))-1)*100+1,100))),""))</f>
        <v/>
      </c>
      <c r="K1123" s="80" t="str">
        <f t="array" ref="K1123">IF(A1123="","",IF(ISNUMBER(SEARCH("Land",LEFT(IFERROR(INDEX('Deck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23" s="80" t="str">
        <f t="shared" si="3"/>
        <v/>
      </c>
      <c r="M1123" s="80" t="str">
        <f>IF(A1123="","",IF(AND(E1123="Y",B1123='Use at Shop'!$B$4),K1123*10000000000+(MAX(0,MIN(26,CODE(MID(UPPER(A1123)&amp;"    ",1,1))-64))*19683+MAX(0,MIN(26,CODE(MID(UPPER(A1123)&amp;"    ",2,1))-64))*729+MAX(0,MIN(26,CODE(MID(UPPER(A1123)&amp;"    ",3,1))-64))*27+MAX(0,MIN(26,CODE(MID(UPPER(A1123)&amp;"    ",4,1))-64))*1)*10000+ROW(),""))</f>
        <v/>
      </c>
      <c r="N1123" s="80" t="str">
        <f t="shared" si="8"/>
        <v/>
      </c>
      <c r="O1123" s="80" t="str">
        <f t="array" ref="O1123">IF(A1123="","",IFERROR(INDEX('Deck 4'!$A:$Z,ROW()-1000,'List Setup'!$J$6)&amp;"",""))</f>
        <v/>
      </c>
      <c r="P1123" s="2"/>
      <c r="Q1123" s="80" t="str">
        <f>IF(A1123="","",'List Setup'!$A$6)</f>
        <v/>
      </c>
      <c r="R1123" s="80" t="str">
        <f t="array" ref="R1123">IF(A1123="","",IFERROR(OR(INDEX(Binders!$J$6:$J$30,MATCH(Q1123,Binders!$I$6:$I$30,0))=TRUE(),UPPER(INDEX(Binders!$J$6:$J$30,MATCH(Q1123,Binders!$I$6:$I$30,0))&amp;"")="TRUE"),FALSE()))</f>
        <v/>
      </c>
    </row>
    <row r="1124" ht="15.75" customHeight="1">
      <c r="A1124" s="80" t="str">
        <f t="array" ref="A1124">IF(INDEX('Deck 4'!$A:$Z,ROW()-1000,'List Setup'!$D$6)="","",INDEX('Deck 4'!$A:$Z,ROW()-1000,'List Setup'!$D$6))</f>
        <v/>
      </c>
      <c r="B1124" s="80" t="str">
        <f t="array" ref="B1124">IF(A1124="","",IFERROR(INDEX('Binder Setup'!$B$2:$B$401,MIN(IF(ISNUMBER(SEARCH(CHAR(10)&amp;'Binder Setup'!$B$2:$B$401&amp;CHAR(10),$H1124)),'List Setup'!$Q$2:$Q$401,999),IF(ISNUMBER(SEARCH(CHAR(10)&amp;'Set Aliases'!$A$2:$A$501&amp;CHAR(10),$H1124)),'Set Aliases'!$C$2:$C$501,999))),"(none)"))</f>
        <v/>
      </c>
      <c r="C1124" s="80" t="str">
        <f t="shared" si="1"/>
        <v/>
      </c>
      <c r="D1124" s="80" t="str">
        <f t="array" ref="D1124">IF(A1124="","",IF(ISLOGICAL(INDEX('Deck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24" s="80" t="str">
        <f t="shared" si="2"/>
        <v/>
      </c>
      <c r="F1124" s="80" t="str">
        <f t="array" ref="F1124">IF(A1124="","",IF(ISNUMBER(J1124),J1124,IF(ISNUMBER(INDEX('Deck 4'!$A:$Z,ROW()-1000,'List Setup'!$F$6)),INDEX('Deck 4'!$A:$Z,ROW()-1000,'List Setup'!$F$6),0)))</f>
        <v/>
      </c>
      <c r="G1124" s="80" t="str">
        <f t="array" ref="G1124">IF(A1124="","",A1124&amp;IF(N(INDEX('Deck 4'!$A:$Z,ROW()-1000,'List Setup'!$C$6))&gt;1," (x"&amp;INDEX('Deck 4'!$A:$Z,ROW()-1000,'List Setup'!$C$6)&amp;")","")&amp;IF(COUNTIF(Binders!$J$6:$J$30,TRUE())&gt;1," ["&amp;Q1124&amp;"]",""))</f>
        <v/>
      </c>
      <c r="H1124" s="80" t="str">
        <f t="array" ref="H1124">IF(A1124="","",CHAR(10)&amp;INDEX('Deck 4'!$A:$Z,ROW()-1000,'List Setup'!$E$6)&amp;CHAR(10))</f>
        <v/>
      </c>
      <c r="I1124" s="80" t="str">
        <f t="array" ref="I1124">IF(OR(B1124="",B1124="(none)"),"",IF(ISNUMBER(SEARCH(CHAR(10)&amp;B1124&amp;CHAR(10),H1124)),B1124,IFERROR(INDEX('Set Aliases'!$A$2:$A$501,MATCH(1,('Set Aliases'!$B$2:$B$501=B1124)*ISNUMBER(SEARCH(CHAR(10)&amp;'Set Aliases'!$A$2:$A$501&amp;CHAR(10),H1124)),0)),"")))</f>
        <v/>
      </c>
      <c r="J1124" s="80" t="str">
        <f t="array" ref="J1124">IF(I1124="","",IFERROR(VALUE(TRIM(MID(SUBSTITUTE(INDEX('Deck 4'!$A:$Z,ROW()-1000,'List Setup'!$G$6),CHAR(10),REPT(" ",100)),((SEARCH(CHAR(10)&amp;I1124&amp;CHAR(10),H1124)-LEN(SUBSTITUTE(LEFT(H1124,SEARCH(CHAR(10)&amp;I1124&amp;CHAR(10),H1124)),CHAR(10),"")))-1)*100+1,100))),""))</f>
        <v/>
      </c>
      <c r="K1124" s="80" t="str">
        <f t="array" ref="K1124">IF(A1124="","",IF(ISNUMBER(SEARCH("Land",LEFT(IFERROR(INDEX('Deck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24" s="80" t="str">
        <f t="shared" si="3"/>
        <v/>
      </c>
      <c r="M1124" s="80" t="str">
        <f>IF(A1124="","",IF(AND(E1124="Y",B1124='Use at Shop'!$B$4),K1124*10000000000+(MAX(0,MIN(26,CODE(MID(UPPER(A1124)&amp;"    ",1,1))-64))*19683+MAX(0,MIN(26,CODE(MID(UPPER(A1124)&amp;"    ",2,1))-64))*729+MAX(0,MIN(26,CODE(MID(UPPER(A1124)&amp;"    ",3,1))-64))*27+MAX(0,MIN(26,CODE(MID(UPPER(A1124)&amp;"    ",4,1))-64))*1)*10000+ROW(),""))</f>
        <v/>
      </c>
      <c r="N1124" s="80" t="str">
        <f t="shared" si="8"/>
        <v/>
      </c>
      <c r="O1124" s="80" t="str">
        <f t="array" ref="O1124">IF(A1124="","",IFERROR(INDEX('Deck 4'!$A:$Z,ROW()-1000,'List Setup'!$J$6)&amp;"",""))</f>
        <v/>
      </c>
      <c r="P1124" s="2"/>
      <c r="Q1124" s="80" t="str">
        <f>IF(A1124="","",'List Setup'!$A$6)</f>
        <v/>
      </c>
      <c r="R1124" s="80" t="str">
        <f t="array" ref="R1124">IF(A1124="","",IFERROR(OR(INDEX(Binders!$J$6:$J$30,MATCH(Q1124,Binders!$I$6:$I$30,0))=TRUE(),UPPER(INDEX(Binders!$J$6:$J$30,MATCH(Q1124,Binders!$I$6:$I$30,0))&amp;"")="TRUE"),FALSE()))</f>
        <v/>
      </c>
    </row>
    <row r="1125" ht="15.75" customHeight="1">
      <c r="A1125" s="80" t="str">
        <f t="array" ref="A1125">IF(INDEX('Deck 4'!$A:$Z,ROW()-1000,'List Setup'!$D$6)="","",INDEX('Deck 4'!$A:$Z,ROW()-1000,'List Setup'!$D$6))</f>
        <v/>
      </c>
      <c r="B1125" s="80" t="str">
        <f t="array" ref="B1125">IF(A1125="","",IFERROR(INDEX('Binder Setup'!$B$2:$B$401,MIN(IF(ISNUMBER(SEARCH(CHAR(10)&amp;'Binder Setup'!$B$2:$B$401&amp;CHAR(10),$H1125)),'List Setup'!$Q$2:$Q$401,999),IF(ISNUMBER(SEARCH(CHAR(10)&amp;'Set Aliases'!$A$2:$A$501&amp;CHAR(10),$H1125)),'Set Aliases'!$C$2:$C$501,999))),"(none)"))</f>
        <v/>
      </c>
      <c r="C1125" s="80" t="str">
        <f t="shared" si="1"/>
        <v/>
      </c>
      <c r="D1125" s="80" t="str">
        <f t="array" ref="D1125">IF(A1125="","",IF(ISLOGICAL(INDEX('Deck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25" s="80" t="str">
        <f t="shared" si="2"/>
        <v/>
      </c>
      <c r="F1125" s="80" t="str">
        <f t="array" ref="F1125">IF(A1125="","",IF(ISNUMBER(J1125),J1125,IF(ISNUMBER(INDEX('Deck 4'!$A:$Z,ROW()-1000,'List Setup'!$F$6)),INDEX('Deck 4'!$A:$Z,ROW()-1000,'List Setup'!$F$6),0)))</f>
        <v/>
      </c>
      <c r="G1125" s="80" t="str">
        <f t="array" ref="G1125">IF(A1125="","",A1125&amp;IF(N(INDEX('Deck 4'!$A:$Z,ROW()-1000,'List Setup'!$C$6))&gt;1," (x"&amp;INDEX('Deck 4'!$A:$Z,ROW()-1000,'List Setup'!$C$6)&amp;")","")&amp;IF(COUNTIF(Binders!$J$6:$J$30,TRUE())&gt;1," ["&amp;Q1125&amp;"]",""))</f>
        <v/>
      </c>
      <c r="H1125" s="80" t="str">
        <f t="array" ref="H1125">IF(A1125="","",CHAR(10)&amp;INDEX('Deck 4'!$A:$Z,ROW()-1000,'List Setup'!$E$6)&amp;CHAR(10))</f>
        <v/>
      </c>
      <c r="I1125" s="80" t="str">
        <f t="array" ref="I1125">IF(OR(B1125="",B1125="(none)"),"",IF(ISNUMBER(SEARCH(CHAR(10)&amp;B1125&amp;CHAR(10),H1125)),B1125,IFERROR(INDEX('Set Aliases'!$A$2:$A$501,MATCH(1,('Set Aliases'!$B$2:$B$501=B1125)*ISNUMBER(SEARCH(CHAR(10)&amp;'Set Aliases'!$A$2:$A$501&amp;CHAR(10),H1125)),0)),"")))</f>
        <v/>
      </c>
      <c r="J1125" s="80" t="str">
        <f t="array" ref="J1125">IF(I1125="","",IFERROR(VALUE(TRIM(MID(SUBSTITUTE(INDEX('Deck 4'!$A:$Z,ROW()-1000,'List Setup'!$G$6),CHAR(10),REPT(" ",100)),((SEARCH(CHAR(10)&amp;I1125&amp;CHAR(10),H1125)-LEN(SUBSTITUTE(LEFT(H1125,SEARCH(CHAR(10)&amp;I1125&amp;CHAR(10),H1125)),CHAR(10),"")))-1)*100+1,100))),""))</f>
        <v/>
      </c>
      <c r="K1125" s="80" t="str">
        <f t="array" ref="K1125">IF(A1125="","",IF(ISNUMBER(SEARCH("Land",LEFT(IFERROR(INDEX('Deck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25" s="80" t="str">
        <f t="shared" si="3"/>
        <v/>
      </c>
      <c r="M1125" s="80" t="str">
        <f>IF(A1125="","",IF(AND(E1125="Y",B1125='Use at Shop'!$B$4),K1125*10000000000+(MAX(0,MIN(26,CODE(MID(UPPER(A1125)&amp;"    ",1,1))-64))*19683+MAX(0,MIN(26,CODE(MID(UPPER(A1125)&amp;"    ",2,1))-64))*729+MAX(0,MIN(26,CODE(MID(UPPER(A1125)&amp;"    ",3,1))-64))*27+MAX(0,MIN(26,CODE(MID(UPPER(A1125)&amp;"    ",4,1))-64))*1)*10000+ROW(),""))</f>
        <v/>
      </c>
      <c r="N1125" s="80" t="str">
        <f t="shared" si="8"/>
        <v/>
      </c>
      <c r="O1125" s="80" t="str">
        <f t="array" ref="O1125">IF(A1125="","",IFERROR(INDEX('Deck 4'!$A:$Z,ROW()-1000,'List Setup'!$J$6)&amp;"",""))</f>
        <v/>
      </c>
      <c r="P1125" s="2"/>
      <c r="Q1125" s="80" t="str">
        <f>IF(A1125="","",'List Setup'!$A$6)</f>
        <v/>
      </c>
      <c r="R1125" s="80" t="str">
        <f t="array" ref="R1125">IF(A1125="","",IFERROR(OR(INDEX(Binders!$J$6:$J$30,MATCH(Q1125,Binders!$I$6:$I$30,0))=TRUE(),UPPER(INDEX(Binders!$J$6:$J$30,MATCH(Q1125,Binders!$I$6:$I$30,0))&amp;"")="TRUE"),FALSE()))</f>
        <v/>
      </c>
    </row>
    <row r="1126" ht="15.75" customHeight="1">
      <c r="A1126" s="80" t="str">
        <f t="array" ref="A1126">IF(INDEX('Deck 4'!$A:$Z,ROW()-1000,'List Setup'!$D$6)="","",INDEX('Deck 4'!$A:$Z,ROW()-1000,'List Setup'!$D$6))</f>
        <v/>
      </c>
      <c r="B1126" s="80" t="str">
        <f t="array" ref="B1126">IF(A1126="","",IFERROR(INDEX('Binder Setup'!$B$2:$B$401,MIN(IF(ISNUMBER(SEARCH(CHAR(10)&amp;'Binder Setup'!$B$2:$B$401&amp;CHAR(10),$H1126)),'List Setup'!$Q$2:$Q$401,999),IF(ISNUMBER(SEARCH(CHAR(10)&amp;'Set Aliases'!$A$2:$A$501&amp;CHAR(10),$H1126)),'Set Aliases'!$C$2:$C$501,999))),"(none)"))</f>
        <v/>
      </c>
      <c r="C1126" s="80" t="str">
        <f t="shared" si="1"/>
        <v/>
      </c>
      <c r="D1126" s="80" t="str">
        <f t="array" ref="D1126">IF(A1126="","",IF(ISLOGICAL(INDEX('Deck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26" s="80" t="str">
        <f t="shared" si="2"/>
        <v/>
      </c>
      <c r="F1126" s="80" t="str">
        <f t="array" ref="F1126">IF(A1126="","",IF(ISNUMBER(J1126),J1126,IF(ISNUMBER(INDEX('Deck 4'!$A:$Z,ROW()-1000,'List Setup'!$F$6)),INDEX('Deck 4'!$A:$Z,ROW()-1000,'List Setup'!$F$6),0)))</f>
        <v/>
      </c>
      <c r="G1126" s="80" t="str">
        <f t="array" ref="G1126">IF(A1126="","",A1126&amp;IF(N(INDEX('Deck 4'!$A:$Z,ROW()-1000,'List Setup'!$C$6))&gt;1," (x"&amp;INDEX('Deck 4'!$A:$Z,ROW()-1000,'List Setup'!$C$6)&amp;")","")&amp;IF(COUNTIF(Binders!$J$6:$J$30,TRUE())&gt;1," ["&amp;Q1126&amp;"]",""))</f>
        <v/>
      </c>
      <c r="H1126" s="80" t="str">
        <f t="array" ref="H1126">IF(A1126="","",CHAR(10)&amp;INDEX('Deck 4'!$A:$Z,ROW()-1000,'List Setup'!$E$6)&amp;CHAR(10))</f>
        <v/>
      </c>
      <c r="I1126" s="80" t="str">
        <f t="array" ref="I1126">IF(OR(B1126="",B1126="(none)"),"",IF(ISNUMBER(SEARCH(CHAR(10)&amp;B1126&amp;CHAR(10),H1126)),B1126,IFERROR(INDEX('Set Aliases'!$A$2:$A$501,MATCH(1,('Set Aliases'!$B$2:$B$501=B1126)*ISNUMBER(SEARCH(CHAR(10)&amp;'Set Aliases'!$A$2:$A$501&amp;CHAR(10),H1126)),0)),"")))</f>
        <v/>
      </c>
      <c r="J1126" s="80" t="str">
        <f t="array" ref="J1126">IF(I1126="","",IFERROR(VALUE(TRIM(MID(SUBSTITUTE(INDEX('Deck 4'!$A:$Z,ROW()-1000,'List Setup'!$G$6),CHAR(10),REPT(" ",100)),((SEARCH(CHAR(10)&amp;I1126&amp;CHAR(10),H1126)-LEN(SUBSTITUTE(LEFT(H1126,SEARCH(CHAR(10)&amp;I1126&amp;CHAR(10),H1126)),CHAR(10),"")))-1)*100+1,100))),""))</f>
        <v/>
      </c>
      <c r="K1126" s="80" t="str">
        <f t="array" ref="K1126">IF(A1126="","",IF(ISNUMBER(SEARCH("Land",LEFT(IFERROR(INDEX('Deck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26" s="80" t="str">
        <f t="shared" si="3"/>
        <v/>
      </c>
      <c r="M1126" s="80" t="str">
        <f>IF(A1126="","",IF(AND(E1126="Y",B1126='Use at Shop'!$B$4),K1126*10000000000+(MAX(0,MIN(26,CODE(MID(UPPER(A1126)&amp;"    ",1,1))-64))*19683+MAX(0,MIN(26,CODE(MID(UPPER(A1126)&amp;"    ",2,1))-64))*729+MAX(0,MIN(26,CODE(MID(UPPER(A1126)&amp;"    ",3,1))-64))*27+MAX(0,MIN(26,CODE(MID(UPPER(A1126)&amp;"    ",4,1))-64))*1)*10000+ROW(),""))</f>
        <v/>
      </c>
      <c r="N1126" s="80" t="str">
        <f t="shared" si="8"/>
        <v/>
      </c>
      <c r="O1126" s="80" t="str">
        <f t="array" ref="O1126">IF(A1126="","",IFERROR(INDEX('Deck 4'!$A:$Z,ROW()-1000,'List Setup'!$J$6)&amp;"",""))</f>
        <v/>
      </c>
      <c r="P1126" s="2"/>
      <c r="Q1126" s="80" t="str">
        <f>IF(A1126="","",'List Setup'!$A$6)</f>
        <v/>
      </c>
      <c r="R1126" s="80" t="str">
        <f t="array" ref="R1126">IF(A1126="","",IFERROR(OR(INDEX(Binders!$J$6:$J$30,MATCH(Q1126,Binders!$I$6:$I$30,0))=TRUE(),UPPER(INDEX(Binders!$J$6:$J$30,MATCH(Q1126,Binders!$I$6:$I$30,0))&amp;"")="TRUE"),FALSE()))</f>
        <v/>
      </c>
    </row>
    <row r="1127" ht="15.75" customHeight="1">
      <c r="A1127" s="80" t="str">
        <f t="array" ref="A1127">IF(INDEX('Deck 4'!$A:$Z,ROW()-1000,'List Setup'!$D$6)="","",INDEX('Deck 4'!$A:$Z,ROW()-1000,'List Setup'!$D$6))</f>
        <v/>
      </c>
      <c r="B1127" s="80" t="str">
        <f t="array" ref="B1127">IF(A1127="","",IFERROR(INDEX('Binder Setup'!$B$2:$B$401,MIN(IF(ISNUMBER(SEARCH(CHAR(10)&amp;'Binder Setup'!$B$2:$B$401&amp;CHAR(10),$H1127)),'List Setup'!$Q$2:$Q$401,999),IF(ISNUMBER(SEARCH(CHAR(10)&amp;'Set Aliases'!$A$2:$A$501&amp;CHAR(10),$H1127)),'Set Aliases'!$C$2:$C$501,999))),"(none)"))</f>
        <v/>
      </c>
      <c r="C1127" s="80" t="str">
        <f t="shared" si="1"/>
        <v/>
      </c>
      <c r="D1127" s="80" t="str">
        <f t="array" ref="D1127">IF(A1127="","",IF(ISLOGICAL(INDEX('Deck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27" s="80" t="str">
        <f t="shared" si="2"/>
        <v/>
      </c>
      <c r="F1127" s="80" t="str">
        <f t="array" ref="F1127">IF(A1127="","",IF(ISNUMBER(J1127),J1127,IF(ISNUMBER(INDEX('Deck 4'!$A:$Z,ROW()-1000,'List Setup'!$F$6)),INDEX('Deck 4'!$A:$Z,ROW()-1000,'List Setup'!$F$6),0)))</f>
        <v/>
      </c>
      <c r="G1127" s="80" t="str">
        <f t="array" ref="G1127">IF(A1127="","",A1127&amp;IF(N(INDEX('Deck 4'!$A:$Z,ROW()-1000,'List Setup'!$C$6))&gt;1," (x"&amp;INDEX('Deck 4'!$A:$Z,ROW()-1000,'List Setup'!$C$6)&amp;")","")&amp;IF(COUNTIF(Binders!$J$6:$J$30,TRUE())&gt;1," ["&amp;Q1127&amp;"]",""))</f>
        <v/>
      </c>
      <c r="H1127" s="80" t="str">
        <f t="array" ref="H1127">IF(A1127="","",CHAR(10)&amp;INDEX('Deck 4'!$A:$Z,ROW()-1000,'List Setup'!$E$6)&amp;CHAR(10))</f>
        <v/>
      </c>
      <c r="I1127" s="80" t="str">
        <f t="array" ref="I1127">IF(OR(B1127="",B1127="(none)"),"",IF(ISNUMBER(SEARCH(CHAR(10)&amp;B1127&amp;CHAR(10),H1127)),B1127,IFERROR(INDEX('Set Aliases'!$A$2:$A$501,MATCH(1,('Set Aliases'!$B$2:$B$501=B1127)*ISNUMBER(SEARCH(CHAR(10)&amp;'Set Aliases'!$A$2:$A$501&amp;CHAR(10),H1127)),0)),"")))</f>
        <v/>
      </c>
      <c r="J1127" s="80" t="str">
        <f t="array" ref="J1127">IF(I1127="","",IFERROR(VALUE(TRIM(MID(SUBSTITUTE(INDEX('Deck 4'!$A:$Z,ROW()-1000,'List Setup'!$G$6),CHAR(10),REPT(" ",100)),((SEARCH(CHAR(10)&amp;I1127&amp;CHAR(10),H1127)-LEN(SUBSTITUTE(LEFT(H1127,SEARCH(CHAR(10)&amp;I1127&amp;CHAR(10),H1127)),CHAR(10),"")))-1)*100+1,100))),""))</f>
        <v/>
      </c>
      <c r="K1127" s="80" t="str">
        <f t="array" ref="K1127">IF(A1127="","",IF(ISNUMBER(SEARCH("Land",LEFT(IFERROR(INDEX('Deck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27" s="80" t="str">
        <f t="shared" si="3"/>
        <v/>
      </c>
      <c r="M1127" s="80" t="str">
        <f>IF(A1127="","",IF(AND(E1127="Y",B1127='Use at Shop'!$B$4),K1127*10000000000+(MAX(0,MIN(26,CODE(MID(UPPER(A1127)&amp;"    ",1,1))-64))*19683+MAX(0,MIN(26,CODE(MID(UPPER(A1127)&amp;"    ",2,1))-64))*729+MAX(0,MIN(26,CODE(MID(UPPER(A1127)&amp;"    ",3,1))-64))*27+MAX(0,MIN(26,CODE(MID(UPPER(A1127)&amp;"    ",4,1))-64))*1)*10000+ROW(),""))</f>
        <v/>
      </c>
      <c r="N1127" s="80" t="str">
        <f t="shared" si="8"/>
        <v/>
      </c>
      <c r="O1127" s="80" t="str">
        <f t="array" ref="O1127">IF(A1127="","",IFERROR(INDEX('Deck 4'!$A:$Z,ROW()-1000,'List Setup'!$J$6)&amp;"",""))</f>
        <v/>
      </c>
      <c r="P1127" s="2"/>
      <c r="Q1127" s="80" t="str">
        <f>IF(A1127="","",'List Setup'!$A$6)</f>
        <v/>
      </c>
      <c r="R1127" s="80" t="str">
        <f t="array" ref="R1127">IF(A1127="","",IFERROR(OR(INDEX(Binders!$J$6:$J$30,MATCH(Q1127,Binders!$I$6:$I$30,0))=TRUE(),UPPER(INDEX(Binders!$J$6:$J$30,MATCH(Q1127,Binders!$I$6:$I$30,0))&amp;"")="TRUE"),FALSE()))</f>
        <v/>
      </c>
    </row>
    <row r="1128" ht="15.75" customHeight="1">
      <c r="A1128" s="80" t="str">
        <f t="array" ref="A1128">IF(INDEX('Deck 4'!$A:$Z,ROW()-1000,'List Setup'!$D$6)="","",INDEX('Deck 4'!$A:$Z,ROW()-1000,'List Setup'!$D$6))</f>
        <v/>
      </c>
      <c r="B1128" s="80" t="str">
        <f t="array" ref="B1128">IF(A1128="","",IFERROR(INDEX('Binder Setup'!$B$2:$B$401,MIN(IF(ISNUMBER(SEARCH(CHAR(10)&amp;'Binder Setup'!$B$2:$B$401&amp;CHAR(10),$H1128)),'List Setup'!$Q$2:$Q$401,999),IF(ISNUMBER(SEARCH(CHAR(10)&amp;'Set Aliases'!$A$2:$A$501&amp;CHAR(10),$H1128)),'Set Aliases'!$C$2:$C$501,999))),"(none)"))</f>
        <v/>
      </c>
      <c r="C1128" s="80" t="str">
        <f t="shared" si="1"/>
        <v/>
      </c>
      <c r="D1128" s="80" t="str">
        <f t="array" ref="D1128">IF(A1128="","",IF(ISLOGICAL(INDEX('Deck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28" s="80" t="str">
        <f t="shared" si="2"/>
        <v/>
      </c>
      <c r="F1128" s="80" t="str">
        <f t="array" ref="F1128">IF(A1128="","",IF(ISNUMBER(J1128),J1128,IF(ISNUMBER(INDEX('Deck 4'!$A:$Z,ROW()-1000,'List Setup'!$F$6)),INDEX('Deck 4'!$A:$Z,ROW()-1000,'List Setup'!$F$6),0)))</f>
        <v/>
      </c>
      <c r="G1128" s="80" t="str">
        <f t="array" ref="G1128">IF(A1128="","",A1128&amp;IF(N(INDEX('Deck 4'!$A:$Z,ROW()-1000,'List Setup'!$C$6))&gt;1," (x"&amp;INDEX('Deck 4'!$A:$Z,ROW()-1000,'List Setup'!$C$6)&amp;")","")&amp;IF(COUNTIF(Binders!$J$6:$J$30,TRUE())&gt;1," ["&amp;Q1128&amp;"]",""))</f>
        <v/>
      </c>
      <c r="H1128" s="80" t="str">
        <f t="array" ref="H1128">IF(A1128="","",CHAR(10)&amp;INDEX('Deck 4'!$A:$Z,ROW()-1000,'List Setup'!$E$6)&amp;CHAR(10))</f>
        <v/>
      </c>
      <c r="I1128" s="80" t="str">
        <f t="array" ref="I1128">IF(OR(B1128="",B1128="(none)"),"",IF(ISNUMBER(SEARCH(CHAR(10)&amp;B1128&amp;CHAR(10),H1128)),B1128,IFERROR(INDEX('Set Aliases'!$A$2:$A$501,MATCH(1,('Set Aliases'!$B$2:$B$501=B1128)*ISNUMBER(SEARCH(CHAR(10)&amp;'Set Aliases'!$A$2:$A$501&amp;CHAR(10),H1128)),0)),"")))</f>
        <v/>
      </c>
      <c r="J1128" s="80" t="str">
        <f t="array" ref="J1128">IF(I1128="","",IFERROR(VALUE(TRIM(MID(SUBSTITUTE(INDEX('Deck 4'!$A:$Z,ROW()-1000,'List Setup'!$G$6),CHAR(10),REPT(" ",100)),((SEARCH(CHAR(10)&amp;I1128&amp;CHAR(10),H1128)-LEN(SUBSTITUTE(LEFT(H1128,SEARCH(CHAR(10)&amp;I1128&amp;CHAR(10),H1128)),CHAR(10),"")))-1)*100+1,100))),""))</f>
        <v/>
      </c>
      <c r="K1128" s="80" t="str">
        <f t="array" ref="K1128">IF(A1128="","",IF(ISNUMBER(SEARCH("Land",LEFT(IFERROR(INDEX('Deck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28" s="80" t="str">
        <f t="shared" si="3"/>
        <v/>
      </c>
      <c r="M1128" s="80" t="str">
        <f>IF(A1128="","",IF(AND(E1128="Y",B1128='Use at Shop'!$B$4),K1128*10000000000+(MAX(0,MIN(26,CODE(MID(UPPER(A1128)&amp;"    ",1,1))-64))*19683+MAX(0,MIN(26,CODE(MID(UPPER(A1128)&amp;"    ",2,1))-64))*729+MAX(0,MIN(26,CODE(MID(UPPER(A1128)&amp;"    ",3,1))-64))*27+MAX(0,MIN(26,CODE(MID(UPPER(A1128)&amp;"    ",4,1))-64))*1)*10000+ROW(),""))</f>
        <v/>
      </c>
      <c r="N1128" s="80" t="str">
        <f t="shared" si="8"/>
        <v/>
      </c>
      <c r="O1128" s="80" t="str">
        <f t="array" ref="O1128">IF(A1128="","",IFERROR(INDEX('Deck 4'!$A:$Z,ROW()-1000,'List Setup'!$J$6)&amp;"",""))</f>
        <v/>
      </c>
      <c r="P1128" s="2"/>
      <c r="Q1128" s="80" t="str">
        <f>IF(A1128="","",'List Setup'!$A$6)</f>
        <v/>
      </c>
      <c r="R1128" s="80" t="str">
        <f t="array" ref="R1128">IF(A1128="","",IFERROR(OR(INDEX(Binders!$J$6:$J$30,MATCH(Q1128,Binders!$I$6:$I$30,0))=TRUE(),UPPER(INDEX(Binders!$J$6:$J$30,MATCH(Q1128,Binders!$I$6:$I$30,0))&amp;"")="TRUE"),FALSE()))</f>
        <v/>
      </c>
    </row>
    <row r="1129" ht="15.75" customHeight="1">
      <c r="A1129" s="80" t="str">
        <f t="array" ref="A1129">IF(INDEX('Deck 4'!$A:$Z,ROW()-1000,'List Setup'!$D$6)="","",INDEX('Deck 4'!$A:$Z,ROW()-1000,'List Setup'!$D$6))</f>
        <v/>
      </c>
      <c r="B1129" s="80" t="str">
        <f t="array" ref="B1129">IF(A1129="","",IFERROR(INDEX('Binder Setup'!$B$2:$B$401,MIN(IF(ISNUMBER(SEARCH(CHAR(10)&amp;'Binder Setup'!$B$2:$B$401&amp;CHAR(10),$H1129)),'List Setup'!$Q$2:$Q$401,999),IF(ISNUMBER(SEARCH(CHAR(10)&amp;'Set Aliases'!$A$2:$A$501&amp;CHAR(10),$H1129)),'Set Aliases'!$C$2:$C$501,999))),"(none)"))</f>
        <v/>
      </c>
      <c r="C1129" s="80" t="str">
        <f t="shared" si="1"/>
        <v/>
      </c>
      <c r="D1129" s="80" t="str">
        <f t="array" ref="D1129">IF(A1129="","",IF(ISLOGICAL(INDEX('Deck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29" s="80" t="str">
        <f t="shared" si="2"/>
        <v/>
      </c>
      <c r="F1129" s="80" t="str">
        <f t="array" ref="F1129">IF(A1129="","",IF(ISNUMBER(J1129),J1129,IF(ISNUMBER(INDEX('Deck 4'!$A:$Z,ROW()-1000,'List Setup'!$F$6)),INDEX('Deck 4'!$A:$Z,ROW()-1000,'List Setup'!$F$6),0)))</f>
        <v/>
      </c>
      <c r="G1129" s="80" t="str">
        <f t="array" ref="G1129">IF(A1129="","",A1129&amp;IF(N(INDEX('Deck 4'!$A:$Z,ROW()-1000,'List Setup'!$C$6))&gt;1," (x"&amp;INDEX('Deck 4'!$A:$Z,ROW()-1000,'List Setup'!$C$6)&amp;")","")&amp;IF(COUNTIF(Binders!$J$6:$J$30,TRUE())&gt;1," ["&amp;Q1129&amp;"]",""))</f>
        <v/>
      </c>
      <c r="H1129" s="80" t="str">
        <f t="array" ref="H1129">IF(A1129="","",CHAR(10)&amp;INDEX('Deck 4'!$A:$Z,ROW()-1000,'List Setup'!$E$6)&amp;CHAR(10))</f>
        <v/>
      </c>
      <c r="I1129" s="80" t="str">
        <f t="array" ref="I1129">IF(OR(B1129="",B1129="(none)"),"",IF(ISNUMBER(SEARCH(CHAR(10)&amp;B1129&amp;CHAR(10),H1129)),B1129,IFERROR(INDEX('Set Aliases'!$A$2:$A$501,MATCH(1,('Set Aliases'!$B$2:$B$501=B1129)*ISNUMBER(SEARCH(CHAR(10)&amp;'Set Aliases'!$A$2:$A$501&amp;CHAR(10),H1129)),0)),"")))</f>
        <v/>
      </c>
      <c r="J1129" s="80" t="str">
        <f t="array" ref="J1129">IF(I1129="","",IFERROR(VALUE(TRIM(MID(SUBSTITUTE(INDEX('Deck 4'!$A:$Z,ROW()-1000,'List Setup'!$G$6),CHAR(10),REPT(" ",100)),((SEARCH(CHAR(10)&amp;I1129&amp;CHAR(10),H1129)-LEN(SUBSTITUTE(LEFT(H1129,SEARCH(CHAR(10)&amp;I1129&amp;CHAR(10),H1129)),CHAR(10),"")))-1)*100+1,100))),""))</f>
        <v/>
      </c>
      <c r="K1129" s="80" t="str">
        <f t="array" ref="K1129">IF(A1129="","",IF(ISNUMBER(SEARCH("Land",LEFT(IFERROR(INDEX('Deck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29" s="80" t="str">
        <f t="shared" si="3"/>
        <v/>
      </c>
      <c r="M1129" s="80" t="str">
        <f>IF(A1129="","",IF(AND(E1129="Y",B1129='Use at Shop'!$B$4),K1129*10000000000+(MAX(0,MIN(26,CODE(MID(UPPER(A1129)&amp;"    ",1,1))-64))*19683+MAX(0,MIN(26,CODE(MID(UPPER(A1129)&amp;"    ",2,1))-64))*729+MAX(0,MIN(26,CODE(MID(UPPER(A1129)&amp;"    ",3,1))-64))*27+MAX(0,MIN(26,CODE(MID(UPPER(A1129)&amp;"    ",4,1))-64))*1)*10000+ROW(),""))</f>
        <v/>
      </c>
      <c r="N1129" s="80" t="str">
        <f t="shared" si="8"/>
        <v/>
      </c>
      <c r="O1129" s="80" t="str">
        <f t="array" ref="O1129">IF(A1129="","",IFERROR(INDEX('Deck 4'!$A:$Z,ROW()-1000,'List Setup'!$J$6)&amp;"",""))</f>
        <v/>
      </c>
      <c r="P1129" s="2"/>
      <c r="Q1129" s="80" t="str">
        <f>IF(A1129="","",'List Setup'!$A$6)</f>
        <v/>
      </c>
      <c r="R1129" s="80" t="str">
        <f t="array" ref="R1129">IF(A1129="","",IFERROR(OR(INDEX(Binders!$J$6:$J$30,MATCH(Q1129,Binders!$I$6:$I$30,0))=TRUE(),UPPER(INDEX(Binders!$J$6:$J$30,MATCH(Q1129,Binders!$I$6:$I$30,0))&amp;"")="TRUE"),FALSE()))</f>
        <v/>
      </c>
    </row>
    <row r="1130" ht="15.75" customHeight="1">
      <c r="A1130" s="80" t="str">
        <f t="array" ref="A1130">IF(INDEX('Deck 4'!$A:$Z,ROW()-1000,'List Setup'!$D$6)="","",INDEX('Deck 4'!$A:$Z,ROW()-1000,'List Setup'!$D$6))</f>
        <v/>
      </c>
      <c r="B1130" s="80" t="str">
        <f t="array" ref="B1130">IF(A1130="","",IFERROR(INDEX('Binder Setup'!$B$2:$B$401,MIN(IF(ISNUMBER(SEARCH(CHAR(10)&amp;'Binder Setup'!$B$2:$B$401&amp;CHAR(10),$H1130)),'List Setup'!$Q$2:$Q$401,999),IF(ISNUMBER(SEARCH(CHAR(10)&amp;'Set Aliases'!$A$2:$A$501&amp;CHAR(10),$H1130)),'Set Aliases'!$C$2:$C$501,999))),"(none)"))</f>
        <v/>
      </c>
      <c r="C1130" s="80" t="str">
        <f t="shared" si="1"/>
        <v/>
      </c>
      <c r="D1130" s="80" t="str">
        <f t="array" ref="D1130">IF(A1130="","",IF(ISLOGICAL(INDEX('Deck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30" s="80" t="str">
        <f t="shared" si="2"/>
        <v/>
      </c>
      <c r="F1130" s="80" t="str">
        <f t="array" ref="F1130">IF(A1130="","",IF(ISNUMBER(J1130),J1130,IF(ISNUMBER(INDEX('Deck 4'!$A:$Z,ROW()-1000,'List Setup'!$F$6)),INDEX('Deck 4'!$A:$Z,ROW()-1000,'List Setup'!$F$6),0)))</f>
        <v/>
      </c>
      <c r="G1130" s="80" t="str">
        <f t="array" ref="G1130">IF(A1130="","",A1130&amp;IF(N(INDEX('Deck 4'!$A:$Z,ROW()-1000,'List Setup'!$C$6))&gt;1," (x"&amp;INDEX('Deck 4'!$A:$Z,ROW()-1000,'List Setup'!$C$6)&amp;")","")&amp;IF(COUNTIF(Binders!$J$6:$J$30,TRUE())&gt;1," ["&amp;Q1130&amp;"]",""))</f>
        <v/>
      </c>
      <c r="H1130" s="80" t="str">
        <f t="array" ref="H1130">IF(A1130="","",CHAR(10)&amp;INDEX('Deck 4'!$A:$Z,ROW()-1000,'List Setup'!$E$6)&amp;CHAR(10))</f>
        <v/>
      </c>
      <c r="I1130" s="80" t="str">
        <f t="array" ref="I1130">IF(OR(B1130="",B1130="(none)"),"",IF(ISNUMBER(SEARCH(CHAR(10)&amp;B1130&amp;CHAR(10),H1130)),B1130,IFERROR(INDEX('Set Aliases'!$A$2:$A$501,MATCH(1,('Set Aliases'!$B$2:$B$501=B1130)*ISNUMBER(SEARCH(CHAR(10)&amp;'Set Aliases'!$A$2:$A$501&amp;CHAR(10),H1130)),0)),"")))</f>
        <v/>
      </c>
      <c r="J1130" s="80" t="str">
        <f t="array" ref="J1130">IF(I1130="","",IFERROR(VALUE(TRIM(MID(SUBSTITUTE(INDEX('Deck 4'!$A:$Z,ROW()-1000,'List Setup'!$G$6),CHAR(10),REPT(" ",100)),((SEARCH(CHAR(10)&amp;I1130&amp;CHAR(10),H1130)-LEN(SUBSTITUTE(LEFT(H1130,SEARCH(CHAR(10)&amp;I1130&amp;CHAR(10),H1130)),CHAR(10),"")))-1)*100+1,100))),""))</f>
        <v/>
      </c>
      <c r="K1130" s="80" t="str">
        <f t="array" ref="K1130">IF(A1130="","",IF(ISNUMBER(SEARCH("Land",LEFT(IFERROR(INDEX('Deck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30" s="80" t="str">
        <f t="shared" si="3"/>
        <v/>
      </c>
      <c r="M1130" s="80" t="str">
        <f>IF(A1130="","",IF(AND(E1130="Y",B1130='Use at Shop'!$B$4),K1130*10000000000+(MAX(0,MIN(26,CODE(MID(UPPER(A1130)&amp;"    ",1,1))-64))*19683+MAX(0,MIN(26,CODE(MID(UPPER(A1130)&amp;"    ",2,1))-64))*729+MAX(0,MIN(26,CODE(MID(UPPER(A1130)&amp;"    ",3,1))-64))*27+MAX(0,MIN(26,CODE(MID(UPPER(A1130)&amp;"    ",4,1))-64))*1)*10000+ROW(),""))</f>
        <v/>
      </c>
      <c r="N1130" s="80" t="str">
        <f t="shared" si="8"/>
        <v/>
      </c>
      <c r="O1130" s="80" t="str">
        <f t="array" ref="O1130">IF(A1130="","",IFERROR(INDEX('Deck 4'!$A:$Z,ROW()-1000,'List Setup'!$J$6)&amp;"",""))</f>
        <v/>
      </c>
      <c r="P1130" s="2"/>
      <c r="Q1130" s="80" t="str">
        <f>IF(A1130="","",'List Setup'!$A$6)</f>
        <v/>
      </c>
      <c r="R1130" s="80" t="str">
        <f t="array" ref="R1130">IF(A1130="","",IFERROR(OR(INDEX(Binders!$J$6:$J$30,MATCH(Q1130,Binders!$I$6:$I$30,0))=TRUE(),UPPER(INDEX(Binders!$J$6:$J$30,MATCH(Q1130,Binders!$I$6:$I$30,0))&amp;"")="TRUE"),FALSE()))</f>
        <v/>
      </c>
    </row>
    <row r="1131" ht="15.75" customHeight="1">
      <c r="A1131" s="80" t="str">
        <f t="array" ref="A1131">IF(INDEX('Deck 4'!$A:$Z,ROW()-1000,'List Setup'!$D$6)="","",INDEX('Deck 4'!$A:$Z,ROW()-1000,'List Setup'!$D$6))</f>
        <v/>
      </c>
      <c r="B1131" s="80" t="str">
        <f t="array" ref="B1131">IF(A1131="","",IFERROR(INDEX('Binder Setup'!$B$2:$B$401,MIN(IF(ISNUMBER(SEARCH(CHAR(10)&amp;'Binder Setup'!$B$2:$B$401&amp;CHAR(10),$H1131)),'List Setup'!$Q$2:$Q$401,999),IF(ISNUMBER(SEARCH(CHAR(10)&amp;'Set Aliases'!$A$2:$A$501&amp;CHAR(10),$H1131)),'Set Aliases'!$C$2:$C$501,999))),"(none)"))</f>
        <v/>
      </c>
      <c r="C1131" s="80" t="str">
        <f t="shared" si="1"/>
        <v/>
      </c>
      <c r="D1131" s="80" t="str">
        <f t="array" ref="D1131">IF(A1131="","",IF(ISLOGICAL(INDEX('Deck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31" s="80" t="str">
        <f t="shared" si="2"/>
        <v/>
      </c>
      <c r="F1131" s="80" t="str">
        <f t="array" ref="F1131">IF(A1131="","",IF(ISNUMBER(J1131),J1131,IF(ISNUMBER(INDEX('Deck 4'!$A:$Z,ROW()-1000,'List Setup'!$F$6)),INDEX('Deck 4'!$A:$Z,ROW()-1000,'List Setup'!$F$6),0)))</f>
        <v/>
      </c>
      <c r="G1131" s="80" t="str">
        <f t="array" ref="G1131">IF(A1131="","",A1131&amp;IF(N(INDEX('Deck 4'!$A:$Z,ROW()-1000,'List Setup'!$C$6))&gt;1," (x"&amp;INDEX('Deck 4'!$A:$Z,ROW()-1000,'List Setup'!$C$6)&amp;")","")&amp;IF(COUNTIF(Binders!$J$6:$J$30,TRUE())&gt;1," ["&amp;Q1131&amp;"]",""))</f>
        <v/>
      </c>
      <c r="H1131" s="80" t="str">
        <f t="array" ref="H1131">IF(A1131="","",CHAR(10)&amp;INDEX('Deck 4'!$A:$Z,ROW()-1000,'List Setup'!$E$6)&amp;CHAR(10))</f>
        <v/>
      </c>
      <c r="I1131" s="80" t="str">
        <f t="array" ref="I1131">IF(OR(B1131="",B1131="(none)"),"",IF(ISNUMBER(SEARCH(CHAR(10)&amp;B1131&amp;CHAR(10),H1131)),B1131,IFERROR(INDEX('Set Aliases'!$A$2:$A$501,MATCH(1,('Set Aliases'!$B$2:$B$501=B1131)*ISNUMBER(SEARCH(CHAR(10)&amp;'Set Aliases'!$A$2:$A$501&amp;CHAR(10),H1131)),0)),"")))</f>
        <v/>
      </c>
      <c r="J1131" s="80" t="str">
        <f t="array" ref="J1131">IF(I1131="","",IFERROR(VALUE(TRIM(MID(SUBSTITUTE(INDEX('Deck 4'!$A:$Z,ROW()-1000,'List Setup'!$G$6),CHAR(10),REPT(" ",100)),((SEARCH(CHAR(10)&amp;I1131&amp;CHAR(10),H1131)-LEN(SUBSTITUTE(LEFT(H1131,SEARCH(CHAR(10)&amp;I1131&amp;CHAR(10),H1131)),CHAR(10),"")))-1)*100+1,100))),""))</f>
        <v/>
      </c>
      <c r="K1131" s="80" t="str">
        <f t="array" ref="K1131">IF(A1131="","",IF(ISNUMBER(SEARCH("Land",LEFT(IFERROR(INDEX('Deck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31" s="80" t="str">
        <f t="shared" si="3"/>
        <v/>
      </c>
      <c r="M1131" s="80" t="str">
        <f>IF(A1131="","",IF(AND(E1131="Y",B1131='Use at Shop'!$B$4),K1131*10000000000+(MAX(0,MIN(26,CODE(MID(UPPER(A1131)&amp;"    ",1,1))-64))*19683+MAX(0,MIN(26,CODE(MID(UPPER(A1131)&amp;"    ",2,1))-64))*729+MAX(0,MIN(26,CODE(MID(UPPER(A1131)&amp;"    ",3,1))-64))*27+MAX(0,MIN(26,CODE(MID(UPPER(A1131)&amp;"    ",4,1))-64))*1)*10000+ROW(),""))</f>
        <v/>
      </c>
      <c r="N1131" s="80" t="str">
        <f t="shared" si="8"/>
        <v/>
      </c>
      <c r="O1131" s="80" t="str">
        <f t="array" ref="O1131">IF(A1131="","",IFERROR(INDEX('Deck 4'!$A:$Z,ROW()-1000,'List Setup'!$J$6)&amp;"",""))</f>
        <v/>
      </c>
      <c r="P1131" s="2"/>
      <c r="Q1131" s="80" t="str">
        <f>IF(A1131="","",'List Setup'!$A$6)</f>
        <v/>
      </c>
      <c r="R1131" s="80" t="str">
        <f t="array" ref="R1131">IF(A1131="","",IFERROR(OR(INDEX(Binders!$J$6:$J$30,MATCH(Q1131,Binders!$I$6:$I$30,0))=TRUE(),UPPER(INDEX(Binders!$J$6:$J$30,MATCH(Q1131,Binders!$I$6:$I$30,0))&amp;"")="TRUE"),FALSE()))</f>
        <v/>
      </c>
    </row>
    <row r="1132" ht="15.75" customHeight="1">
      <c r="A1132" s="80" t="str">
        <f t="array" ref="A1132">IF(INDEX('Deck 4'!$A:$Z,ROW()-1000,'List Setup'!$D$6)="","",INDEX('Deck 4'!$A:$Z,ROW()-1000,'List Setup'!$D$6))</f>
        <v/>
      </c>
      <c r="B1132" s="80" t="str">
        <f t="array" ref="B1132">IF(A1132="","",IFERROR(INDEX('Binder Setup'!$B$2:$B$401,MIN(IF(ISNUMBER(SEARCH(CHAR(10)&amp;'Binder Setup'!$B$2:$B$401&amp;CHAR(10),$H1132)),'List Setup'!$Q$2:$Q$401,999),IF(ISNUMBER(SEARCH(CHAR(10)&amp;'Set Aliases'!$A$2:$A$501&amp;CHAR(10),$H1132)),'Set Aliases'!$C$2:$C$501,999))),"(none)"))</f>
        <v/>
      </c>
      <c r="C1132" s="80" t="str">
        <f t="shared" si="1"/>
        <v/>
      </c>
      <c r="D1132" s="80" t="str">
        <f t="array" ref="D1132">IF(A1132="","",IF(ISLOGICAL(INDEX('Deck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32" s="80" t="str">
        <f t="shared" si="2"/>
        <v/>
      </c>
      <c r="F1132" s="80" t="str">
        <f t="array" ref="F1132">IF(A1132="","",IF(ISNUMBER(J1132),J1132,IF(ISNUMBER(INDEX('Deck 4'!$A:$Z,ROW()-1000,'List Setup'!$F$6)),INDEX('Deck 4'!$A:$Z,ROW()-1000,'List Setup'!$F$6),0)))</f>
        <v/>
      </c>
      <c r="G1132" s="80" t="str">
        <f t="array" ref="G1132">IF(A1132="","",A1132&amp;IF(N(INDEX('Deck 4'!$A:$Z,ROW()-1000,'List Setup'!$C$6))&gt;1," (x"&amp;INDEX('Deck 4'!$A:$Z,ROW()-1000,'List Setup'!$C$6)&amp;")","")&amp;IF(COUNTIF(Binders!$J$6:$J$30,TRUE())&gt;1," ["&amp;Q1132&amp;"]",""))</f>
        <v/>
      </c>
      <c r="H1132" s="80" t="str">
        <f t="array" ref="H1132">IF(A1132="","",CHAR(10)&amp;INDEX('Deck 4'!$A:$Z,ROW()-1000,'List Setup'!$E$6)&amp;CHAR(10))</f>
        <v/>
      </c>
      <c r="I1132" s="80" t="str">
        <f t="array" ref="I1132">IF(OR(B1132="",B1132="(none)"),"",IF(ISNUMBER(SEARCH(CHAR(10)&amp;B1132&amp;CHAR(10),H1132)),B1132,IFERROR(INDEX('Set Aliases'!$A$2:$A$501,MATCH(1,('Set Aliases'!$B$2:$B$501=B1132)*ISNUMBER(SEARCH(CHAR(10)&amp;'Set Aliases'!$A$2:$A$501&amp;CHAR(10),H1132)),0)),"")))</f>
        <v/>
      </c>
      <c r="J1132" s="80" t="str">
        <f t="array" ref="J1132">IF(I1132="","",IFERROR(VALUE(TRIM(MID(SUBSTITUTE(INDEX('Deck 4'!$A:$Z,ROW()-1000,'List Setup'!$G$6),CHAR(10),REPT(" ",100)),((SEARCH(CHAR(10)&amp;I1132&amp;CHAR(10),H1132)-LEN(SUBSTITUTE(LEFT(H1132,SEARCH(CHAR(10)&amp;I1132&amp;CHAR(10),H1132)),CHAR(10),"")))-1)*100+1,100))),""))</f>
        <v/>
      </c>
      <c r="K1132" s="80" t="str">
        <f t="array" ref="K1132">IF(A1132="","",IF(ISNUMBER(SEARCH("Land",LEFT(IFERROR(INDEX('Deck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32" s="80" t="str">
        <f t="shared" si="3"/>
        <v/>
      </c>
      <c r="M1132" s="80" t="str">
        <f>IF(A1132="","",IF(AND(E1132="Y",B1132='Use at Shop'!$B$4),K1132*10000000000+(MAX(0,MIN(26,CODE(MID(UPPER(A1132)&amp;"    ",1,1))-64))*19683+MAX(0,MIN(26,CODE(MID(UPPER(A1132)&amp;"    ",2,1))-64))*729+MAX(0,MIN(26,CODE(MID(UPPER(A1132)&amp;"    ",3,1))-64))*27+MAX(0,MIN(26,CODE(MID(UPPER(A1132)&amp;"    ",4,1))-64))*1)*10000+ROW(),""))</f>
        <v/>
      </c>
      <c r="N1132" s="80" t="str">
        <f t="shared" si="8"/>
        <v/>
      </c>
      <c r="O1132" s="80" t="str">
        <f t="array" ref="O1132">IF(A1132="","",IFERROR(INDEX('Deck 4'!$A:$Z,ROW()-1000,'List Setup'!$J$6)&amp;"",""))</f>
        <v/>
      </c>
      <c r="P1132" s="2"/>
      <c r="Q1132" s="80" t="str">
        <f>IF(A1132="","",'List Setup'!$A$6)</f>
        <v/>
      </c>
      <c r="R1132" s="80" t="str">
        <f t="array" ref="R1132">IF(A1132="","",IFERROR(OR(INDEX(Binders!$J$6:$J$30,MATCH(Q1132,Binders!$I$6:$I$30,0))=TRUE(),UPPER(INDEX(Binders!$J$6:$J$30,MATCH(Q1132,Binders!$I$6:$I$30,0))&amp;"")="TRUE"),FALSE()))</f>
        <v/>
      </c>
    </row>
    <row r="1133" ht="15.75" customHeight="1">
      <c r="A1133" s="80" t="str">
        <f t="array" ref="A1133">IF(INDEX('Deck 4'!$A:$Z,ROW()-1000,'List Setup'!$D$6)="","",INDEX('Deck 4'!$A:$Z,ROW()-1000,'List Setup'!$D$6))</f>
        <v/>
      </c>
      <c r="B1133" s="80" t="str">
        <f t="array" ref="B1133">IF(A1133="","",IFERROR(INDEX('Binder Setup'!$B$2:$B$401,MIN(IF(ISNUMBER(SEARCH(CHAR(10)&amp;'Binder Setup'!$B$2:$B$401&amp;CHAR(10),$H1133)),'List Setup'!$Q$2:$Q$401,999),IF(ISNUMBER(SEARCH(CHAR(10)&amp;'Set Aliases'!$A$2:$A$501&amp;CHAR(10),$H1133)),'Set Aliases'!$C$2:$C$501,999))),"(none)"))</f>
        <v/>
      </c>
      <c r="C1133" s="80" t="str">
        <f t="shared" si="1"/>
        <v/>
      </c>
      <c r="D1133" s="80" t="str">
        <f t="array" ref="D1133">IF(A1133="","",IF(ISLOGICAL(INDEX('Deck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33" s="80" t="str">
        <f t="shared" si="2"/>
        <v/>
      </c>
      <c r="F1133" s="80" t="str">
        <f t="array" ref="F1133">IF(A1133="","",IF(ISNUMBER(J1133),J1133,IF(ISNUMBER(INDEX('Deck 4'!$A:$Z,ROW()-1000,'List Setup'!$F$6)),INDEX('Deck 4'!$A:$Z,ROW()-1000,'List Setup'!$F$6),0)))</f>
        <v/>
      </c>
      <c r="G1133" s="80" t="str">
        <f t="array" ref="G1133">IF(A1133="","",A1133&amp;IF(N(INDEX('Deck 4'!$A:$Z,ROW()-1000,'List Setup'!$C$6))&gt;1," (x"&amp;INDEX('Deck 4'!$A:$Z,ROW()-1000,'List Setup'!$C$6)&amp;")","")&amp;IF(COUNTIF(Binders!$J$6:$J$30,TRUE())&gt;1," ["&amp;Q1133&amp;"]",""))</f>
        <v/>
      </c>
      <c r="H1133" s="80" t="str">
        <f t="array" ref="H1133">IF(A1133="","",CHAR(10)&amp;INDEX('Deck 4'!$A:$Z,ROW()-1000,'List Setup'!$E$6)&amp;CHAR(10))</f>
        <v/>
      </c>
      <c r="I1133" s="80" t="str">
        <f t="array" ref="I1133">IF(OR(B1133="",B1133="(none)"),"",IF(ISNUMBER(SEARCH(CHAR(10)&amp;B1133&amp;CHAR(10),H1133)),B1133,IFERROR(INDEX('Set Aliases'!$A$2:$A$501,MATCH(1,('Set Aliases'!$B$2:$B$501=B1133)*ISNUMBER(SEARCH(CHAR(10)&amp;'Set Aliases'!$A$2:$A$501&amp;CHAR(10),H1133)),0)),"")))</f>
        <v/>
      </c>
      <c r="J1133" s="80" t="str">
        <f t="array" ref="J1133">IF(I1133="","",IFERROR(VALUE(TRIM(MID(SUBSTITUTE(INDEX('Deck 4'!$A:$Z,ROW()-1000,'List Setup'!$G$6),CHAR(10),REPT(" ",100)),((SEARCH(CHAR(10)&amp;I1133&amp;CHAR(10),H1133)-LEN(SUBSTITUTE(LEFT(H1133,SEARCH(CHAR(10)&amp;I1133&amp;CHAR(10),H1133)),CHAR(10),"")))-1)*100+1,100))),""))</f>
        <v/>
      </c>
      <c r="K1133" s="80" t="str">
        <f t="array" ref="K1133">IF(A1133="","",IF(ISNUMBER(SEARCH("Land",LEFT(IFERROR(INDEX('Deck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33" s="80" t="str">
        <f t="shared" si="3"/>
        <v/>
      </c>
      <c r="M1133" s="80" t="str">
        <f>IF(A1133="","",IF(AND(E1133="Y",B1133='Use at Shop'!$B$4),K1133*10000000000+(MAX(0,MIN(26,CODE(MID(UPPER(A1133)&amp;"    ",1,1))-64))*19683+MAX(0,MIN(26,CODE(MID(UPPER(A1133)&amp;"    ",2,1))-64))*729+MAX(0,MIN(26,CODE(MID(UPPER(A1133)&amp;"    ",3,1))-64))*27+MAX(0,MIN(26,CODE(MID(UPPER(A1133)&amp;"    ",4,1))-64))*1)*10000+ROW(),""))</f>
        <v/>
      </c>
      <c r="N1133" s="80" t="str">
        <f t="shared" si="8"/>
        <v/>
      </c>
      <c r="O1133" s="80" t="str">
        <f t="array" ref="O1133">IF(A1133="","",IFERROR(INDEX('Deck 4'!$A:$Z,ROW()-1000,'List Setup'!$J$6)&amp;"",""))</f>
        <v/>
      </c>
      <c r="P1133" s="2"/>
      <c r="Q1133" s="80" t="str">
        <f>IF(A1133="","",'List Setup'!$A$6)</f>
        <v/>
      </c>
      <c r="R1133" s="80" t="str">
        <f t="array" ref="R1133">IF(A1133="","",IFERROR(OR(INDEX(Binders!$J$6:$J$30,MATCH(Q1133,Binders!$I$6:$I$30,0))=TRUE(),UPPER(INDEX(Binders!$J$6:$J$30,MATCH(Q1133,Binders!$I$6:$I$30,0))&amp;"")="TRUE"),FALSE()))</f>
        <v/>
      </c>
    </row>
    <row r="1134" ht="15.75" customHeight="1">
      <c r="A1134" s="80" t="str">
        <f t="array" ref="A1134">IF(INDEX('Deck 4'!$A:$Z,ROW()-1000,'List Setup'!$D$6)="","",INDEX('Deck 4'!$A:$Z,ROW()-1000,'List Setup'!$D$6))</f>
        <v/>
      </c>
      <c r="B1134" s="80" t="str">
        <f t="array" ref="B1134">IF(A1134="","",IFERROR(INDEX('Binder Setup'!$B$2:$B$401,MIN(IF(ISNUMBER(SEARCH(CHAR(10)&amp;'Binder Setup'!$B$2:$B$401&amp;CHAR(10),$H1134)),'List Setup'!$Q$2:$Q$401,999),IF(ISNUMBER(SEARCH(CHAR(10)&amp;'Set Aliases'!$A$2:$A$501&amp;CHAR(10),$H1134)),'Set Aliases'!$C$2:$C$501,999))),"(none)"))</f>
        <v/>
      </c>
      <c r="C1134" s="80" t="str">
        <f t="shared" si="1"/>
        <v/>
      </c>
      <c r="D1134" s="80" t="str">
        <f t="array" ref="D1134">IF(A1134="","",IF(ISLOGICAL(INDEX('Deck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34" s="80" t="str">
        <f t="shared" si="2"/>
        <v/>
      </c>
      <c r="F1134" s="80" t="str">
        <f t="array" ref="F1134">IF(A1134="","",IF(ISNUMBER(J1134),J1134,IF(ISNUMBER(INDEX('Deck 4'!$A:$Z,ROW()-1000,'List Setup'!$F$6)),INDEX('Deck 4'!$A:$Z,ROW()-1000,'List Setup'!$F$6),0)))</f>
        <v/>
      </c>
      <c r="G1134" s="80" t="str">
        <f t="array" ref="G1134">IF(A1134="","",A1134&amp;IF(N(INDEX('Deck 4'!$A:$Z,ROW()-1000,'List Setup'!$C$6))&gt;1," (x"&amp;INDEX('Deck 4'!$A:$Z,ROW()-1000,'List Setup'!$C$6)&amp;")","")&amp;IF(COUNTIF(Binders!$J$6:$J$30,TRUE())&gt;1," ["&amp;Q1134&amp;"]",""))</f>
        <v/>
      </c>
      <c r="H1134" s="80" t="str">
        <f t="array" ref="H1134">IF(A1134="","",CHAR(10)&amp;INDEX('Deck 4'!$A:$Z,ROW()-1000,'List Setup'!$E$6)&amp;CHAR(10))</f>
        <v/>
      </c>
      <c r="I1134" s="80" t="str">
        <f t="array" ref="I1134">IF(OR(B1134="",B1134="(none)"),"",IF(ISNUMBER(SEARCH(CHAR(10)&amp;B1134&amp;CHAR(10),H1134)),B1134,IFERROR(INDEX('Set Aliases'!$A$2:$A$501,MATCH(1,('Set Aliases'!$B$2:$B$501=B1134)*ISNUMBER(SEARCH(CHAR(10)&amp;'Set Aliases'!$A$2:$A$501&amp;CHAR(10),H1134)),0)),"")))</f>
        <v/>
      </c>
      <c r="J1134" s="80" t="str">
        <f t="array" ref="J1134">IF(I1134="","",IFERROR(VALUE(TRIM(MID(SUBSTITUTE(INDEX('Deck 4'!$A:$Z,ROW()-1000,'List Setup'!$G$6),CHAR(10),REPT(" ",100)),((SEARCH(CHAR(10)&amp;I1134&amp;CHAR(10),H1134)-LEN(SUBSTITUTE(LEFT(H1134,SEARCH(CHAR(10)&amp;I1134&amp;CHAR(10),H1134)),CHAR(10),"")))-1)*100+1,100))),""))</f>
        <v/>
      </c>
      <c r="K1134" s="80" t="str">
        <f t="array" ref="K1134">IF(A1134="","",IF(ISNUMBER(SEARCH("Land",LEFT(IFERROR(INDEX('Deck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34" s="80" t="str">
        <f t="shared" si="3"/>
        <v/>
      </c>
      <c r="M1134" s="80" t="str">
        <f>IF(A1134="","",IF(AND(E1134="Y",B1134='Use at Shop'!$B$4),K1134*10000000000+(MAX(0,MIN(26,CODE(MID(UPPER(A1134)&amp;"    ",1,1))-64))*19683+MAX(0,MIN(26,CODE(MID(UPPER(A1134)&amp;"    ",2,1))-64))*729+MAX(0,MIN(26,CODE(MID(UPPER(A1134)&amp;"    ",3,1))-64))*27+MAX(0,MIN(26,CODE(MID(UPPER(A1134)&amp;"    ",4,1))-64))*1)*10000+ROW(),""))</f>
        <v/>
      </c>
      <c r="N1134" s="80" t="str">
        <f t="shared" si="8"/>
        <v/>
      </c>
      <c r="O1134" s="80" t="str">
        <f t="array" ref="O1134">IF(A1134="","",IFERROR(INDEX('Deck 4'!$A:$Z,ROW()-1000,'List Setup'!$J$6)&amp;"",""))</f>
        <v/>
      </c>
      <c r="P1134" s="2"/>
      <c r="Q1134" s="80" t="str">
        <f>IF(A1134="","",'List Setup'!$A$6)</f>
        <v/>
      </c>
      <c r="R1134" s="80" t="str">
        <f t="array" ref="R1134">IF(A1134="","",IFERROR(OR(INDEX(Binders!$J$6:$J$30,MATCH(Q1134,Binders!$I$6:$I$30,0))=TRUE(),UPPER(INDEX(Binders!$J$6:$J$30,MATCH(Q1134,Binders!$I$6:$I$30,0))&amp;"")="TRUE"),FALSE()))</f>
        <v/>
      </c>
    </row>
    <row r="1135" ht="15.75" customHeight="1">
      <c r="A1135" s="80" t="str">
        <f t="array" ref="A1135">IF(INDEX('Deck 4'!$A:$Z,ROW()-1000,'List Setup'!$D$6)="","",INDEX('Deck 4'!$A:$Z,ROW()-1000,'List Setup'!$D$6))</f>
        <v/>
      </c>
      <c r="B1135" s="80" t="str">
        <f t="array" ref="B1135">IF(A1135="","",IFERROR(INDEX('Binder Setup'!$B$2:$B$401,MIN(IF(ISNUMBER(SEARCH(CHAR(10)&amp;'Binder Setup'!$B$2:$B$401&amp;CHAR(10),$H1135)),'List Setup'!$Q$2:$Q$401,999),IF(ISNUMBER(SEARCH(CHAR(10)&amp;'Set Aliases'!$A$2:$A$501&amp;CHAR(10),$H1135)),'Set Aliases'!$C$2:$C$501,999))),"(none)"))</f>
        <v/>
      </c>
      <c r="C1135" s="80" t="str">
        <f t="shared" si="1"/>
        <v/>
      </c>
      <c r="D1135" s="80" t="str">
        <f t="array" ref="D1135">IF(A1135="","",IF(ISLOGICAL(INDEX('Deck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35" s="80" t="str">
        <f t="shared" si="2"/>
        <v/>
      </c>
      <c r="F1135" s="80" t="str">
        <f t="array" ref="F1135">IF(A1135="","",IF(ISNUMBER(J1135),J1135,IF(ISNUMBER(INDEX('Deck 4'!$A:$Z,ROW()-1000,'List Setup'!$F$6)),INDEX('Deck 4'!$A:$Z,ROW()-1000,'List Setup'!$F$6),0)))</f>
        <v/>
      </c>
      <c r="G1135" s="80" t="str">
        <f t="array" ref="G1135">IF(A1135="","",A1135&amp;IF(N(INDEX('Deck 4'!$A:$Z,ROW()-1000,'List Setup'!$C$6))&gt;1," (x"&amp;INDEX('Deck 4'!$A:$Z,ROW()-1000,'List Setup'!$C$6)&amp;")","")&amp;IF(COUNTIF(Binders!$J$6:$J$30,TRUE())&gt;1," ["&amp;Q1135&amp;"]",""))</f>
        <v/>
      </c>
      <c r="H1135" s="80" t="str">
        <f t="array" ref="H1135">IF(A1135="","",CHAR(10)&amp;INDEX('Deck 4'!$A:$Z,ROW()-1000,'List Setup'!$E$6)&amp;CHAR(10))</f>
        <v/>
      </c>
      <c r="I1135" s="80" t="str">
        <f t="array" ref="I1135">IF(OR(B1135="",B1135="(none)"),"",IF(ISNUMBER(SEARCH(CHAR(10)&amp;B1135&amp;CHAR(10),H1135)),B1135,IFERROR(INDEX('Set Aliases'!$A$2:$A$501,MATCH(1,('Set Aliases'!$B$2:$B$501=B1135)*ISNUMBER(SEARCH(CHAR(10)&amp;'Set Aliases'!$A$2:$A$501&amp;CHAR(10),H1135)),0)),"")))</f>
        <v/>
      </c>
      <c r="J1135" s="80" t="str">
        <f t="array" ref="J1135">IF(I1135="","",IFERROR(VALUE(TRIM(MID(SUBSTITUTE(INDEX('Deck 4'!$A:$Z,ROW()-1000,'List Setup'!$G$6),CHAR(10),REPT(" ",100)),((SEARCH(CHAR(10)&amp;I1135&amp;CHAR(10),H1135)-LEN(SUBSTITUTE(LEFT(H1135,SEARCH(CHAR(10)&amp;I1135&amp;CHAR(10),H1135)),CHAR(10),"")))-1)*100+1,100))),""))</f>
        <v/>
      </c>
      <c r="K1135" s="80" t="str">
        <f t="array" ref="K1135">IF(A1135="","",IF(ISNUMBER(SEARCH("Land",LEFT(IFERROR(INDEX('Deck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35" s="80" t="str">
        <f t="shared" si="3"/>
        <v/>
      </c>
      <c r="M1135" s="80" t="str">
        <f>IF(A1135="","",IF(AND(E1135="Y",B1135='Use at Shop'!$B$4),K1135*10000000000+(MAX(0,MIN(26,CODE(MID(UPPER(A1135)&amp;"    ",1,1))-64))*19683+MAX(0,MIN(26,CODE(MID(UPPER(A1135)&amp;"    ",2,1))-64))*729+MAX(0,MIN(26,CODE(MID(UPPER(A1135)&amp;"    ",3,1))-64))*27+MAX(0,MIN(26,CODE(MID(UPPER(A1135)&amp;"    ",4,1))-64))*1)*10000+ROW(),""))</f>
        <v/>
      </c>
      <c r="N1135" s="80" t="str">
        <f t="shared" si="8"/>
        <v/>
      </c>
      <c r="O1135" s="80" t="str">
        <f t="array" ref="O1135">IF(A1135="","",IFERROR(INDEX('Deck 4'!$A:$Z,ROW()-1000,'List Setup'!$J$6)&amp;"",""))</f>
        <v/>
      </c>
      <c r="P1135" s="2"/>
      <c r="Q1135" s="80" t="str">
        <f>IF(A1135="","",'List Setup'!$A$6)</f>
        <v/>
      </c>
      <c r="R1135" s="80" t="str">
        <f t="array" ref="R1135">IF(A1135="","",IFERROR(OR(INDEX(Binders!$J$6:$J$30,MATCH(Q1135,Binders!$I$6:$I$30,0))=TRUE(),UPPER(INDEX(Binders!$J$6:$J$30,MATCH(Q1135,Binders!$I$6:$I$30,0))&amp;"")="TRUE"),FALSE()))</f>
        <v/>
      </c>
    </row>
    <row r="1136" ht="15.75" customHeight="1">
      <c r="A1136" s="80" t="str">
        <f t="array" ref="A1136">IF(INDEX('Deck 4'!$A:$Z,ROW()-1000,'List Setup'!$D$6)="","",INDEX('Deck 4'!$A:$Z,ROW()-1000,'List Setup'!$D$6))</f>
        <v/>
      </c>
      <c r="B1136" s="80" t="str">
        <f t="array" ref="B1136">IF(A1136="","",IFERROR(INDEX('Binder Setup'!$B$2:$B$401,MIN(IF(ISNUMBER(SEARCH(CHAR(10)&amp;'Binder Setup'!$B$2:$B$401&amp;CHAR(10),$H1136)),'List Setup'!$Q$2:$Q$401,999),IF(ISNUMBER(SEARCH(CHAR(10)&amp;'Set Aliases'!$A$2:$A$501&amp;CHAR(10),$H1136)),'Set Aliases'!$C$2:$C$501,999))),"(none)"))</f>
        <v/>
      </c>
      <c r="C1136" s="80" t="str">
        <f t="shared" si="1"/>
        <v/>
      </c>
      <c r="D1136" s="80" t="str">
        <f t="array" ref="D1136">IF(A1136="","",IF(ISLOGICAL(INDEX('Deck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36" s="80" t="str">
        <f t="shared" si="2"/>
        <v/>
      </c>
      <c r="F1136" s="80" t="str">
        <f t="array" ref="F1136">IF(A1136="","",IF(ISNUMBER(J1136),J1136,IF(ISNUMBER(INDEX('Deck 4'!$A:$Z,ROW()-1000,'List Setup'!$F$6)),INDEX('Deck 4'!$A:$Z,ROW()-1000,'List Setup'!$F$6),0)))</f>
        <v/>
      </c>
      <c r="G1136" s="80" t="str">
        <f t="array" ref="G1136">IF(A1136="","",A1136&amp;IF(N(INDEX('Deck 4'!$A:$Z,ROW()-1000,'List Setup'!$C$6))&gt;1," (x"&amp;INDEX('Deck 4'!$A:$Z,ROW()-1000,'List Setup'!$C$6)&amp;")","")&amp;IF(COUNTIF(Binders!$J$6:$J$30,TRUE())&gt;1," ["&amp;Q1136&amp;"]",""))</f>
        <v/>
      </c>
      <c r="H1136" s="80" t="str">
        <f t="array" ref="H1136">IF(A1136="","",CHAR(10)&amp;INDEX('Deck 4'!$A:$Z,ROW()-1000,'List Setup'!$E$6)&amp;CHAR(10))</f>
        <v/>
      </c>
      <c r="I1136" s="80" t="str">
        <f t="array" ref="I1136">IF(OR(B1136="",B1136="(none)"),"",IF(ISNUMBER(SEARCH(CHAR(10)&amp;B1136&amp;CHAR(10),H1136)),B1136,IFERROR(INDEX('Set Aliases'!$A$2:$A$501,MATCH(1,('Set Aliases'!$B$2:$B$501=B1136)*ISNUMBER(SEARCH(CHAR(10)&amp;'Set Aliases'!$A$2:$A$501&amp;CHAR(10),H1136)),0)),"")))</f>
        <v/>
      </c>
      <c r="J1136" s="80" t="str">
        <f t="array" ref="J1136">IF(I1136="","",IFERROR(VALUE(TRIM(MID(SUBSTITUTE(INDEX('Deck 4'!$A:$Z,ROW()-1000,'List Setup'!$G$6),CHAR(10),REPT(" ",100)),((SEARCH(CHAR(10)&amp;I1136&amp;CHAR(10),H1136)-LEN(SUBSTITUTE(LEFT(H1136,SEARCH(CHAR(10)&amp;I1136&amp;CHAR(10),H1136)),CHAR(10),"")))-1)*100+1,100))),""))</f>
        <v/>
      </c>
      <c r="K1136" s="80" t="str">
        <f t="array" ref="K1136">IF(A1136="","",IF(ISNUMBER(SEARCH("Land",LEFT(IFERROR(INDEX('Deck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36" s="80" t="str">
        <f t="shared" si="3"/>
        <v/>
      </c>
      <c r="M1136" s="80" t="str">
        <f>IF(A1136="","",IF(AND(E1136="Y",B1136='Use at Shop'!$B$4),K1136*10000000000+(MAX(0,MIN(26,CODE(MID(UPPER(A1136)&amp;"    ",1,1))-64))*19683+MAX(0,MIN(26,CODE(MID(UPPER(A1136)&amp;"    ",2,1))-64))*729+MAX(0,MIN(26,CODE(MID(UPPER(A1136)&amp;"    ",3,1))-64))*27+MAX(0,MIN(26,CODE(MID(UPPER(A1136)&amp;"    ",4,1))-64))*1)*10000+ROW(),""))</f>
        <v/>
      </c>
      <c r="N1136" s="80" t="str">
        <f t="shared" si="8"/>
        <v/>
      </c>
      <c r="O1136" s="80" t="str">
        <f t="array" ref="O1136">IF(A1136="","",IFERROR(INDEX('Deck 4'!$A:$Z,ROW()-1000,'List Setup'!$J$6)&amp;"",""))</f>
        <v/>
      </c>
      <c r="P1136" s="2"/>
      <c r="Q1136" s="80" t="str">
        <f>IF(A1136="","",'List Setup'!$A$6)</f>
        <v/>
      </c>
      <c r="R1136" s="80" t="str">
        <f t="array" ref="R1136">IF(A1136="","",IFERROR(OR(INDEX(Binders!$J$6:$J$30,MATCH(Q1136,Binders!$I$6:$I$30,0))=TRUE(),UPPER(INDEX(Binders!$J$6:$J$30,MATCH(Q1136,Binders!$I$6:$I$30,0))&amp;"")="TRUE"),FALSE()))</f>
        <v/>
      </c>
    </row>
    <row r="1137" ht="15.75" customHeight="1">
      <c r="A1137" s="80" t="str">
        <f t="array" ref="A1137">IF(INDEX('Deck 4'!$A:$Z,ROW()-1000,'List Setup'!$D$6)="","",INDEX('Deck 4'!$A:$Z,ROW()-1000,'List Setup'!$D$6))</f>
        <v/>
      </c>
      <c r="B1137" s="80" t="str">
        <f t="array" ref="B1137">IF(A1137="","",IFERROR(INDEX('Binder Setup'!$B$2:$B$401,MIN(IF(ISNUMBER(SEARCH(CHAR(10)&amp;'Binder Setup'!$B$2:$B$401&amp;CHAR(10),$H1137)),'List Setup'!$Q$2:$Q$401,999),IF(ISNUMBER(SEARCH(CHAR(10)&amp;'Set Aliases'!$A$2:$A$501&amp;CHAR(10),$H1137)),'Set Aliases'!$C$2:$C$501,999))),"(none)"))</f>
        <v/>
      </c>
      <c r="C1137" s="80" t="str">
        <f t="shared" si="1"/>
        <v/>
      </c>
      <c r="D1137" s="80" t="str">
        <f t="array" ref="D1137">IF(A1137="","",IF(ISLOGICAL(INDEX('Deck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37" s="80" t="str">
        <f t="shared" si="2"/>
        <v/>
      </c>
      <c r="F1137" s="80" t="str">
        <f t="array" ref="F1137">IF(A1137="","",IF(ISNUMBER(J1137),J1137,IF(ISNUMBER(INDEX('Deck 4'!$A:$Z,ROW()-1000,'List Setup'!$F$6)),INDEX('Deck 4'!$A:$Z,ROW()-1000,'List Setup'!$F$6),0)))</f>
        <v/>
      </c>
      <c r="G1137" s="80" t="str">
        <f t="array" ref="G1137">IF(A1137="","",A1137&amp;IF(N(INDEX('Deck 4'!$A:$Z,ROW()-1000,'List Setup'!$C$6))&gt;1," (x"&amp;INDEX('Deck 4'!$A:$Z,ROW()-1000,'List Setup'!$C$6)&amp;")","")&amp;IF(COUNTIF(Binders!$J$6:$J$30,TRUE())&gt;1," ["&amp;Q1137&amp;"]",""))</f>
        <v/>
      </c>
      <c r="H1137" s="80" t="str">
        <f t="array" ref="H1137">IF(A1137="","",CHAR(10)&amp;INDEX('Deck 4'!$A:$Z,ROW()-1000,'List Setup'!$E$6)&amp;CHAR(10))</f>
        <v/>
      </c>
      <c r="I1137" s="80" t="str">
        <f t="array" ref="I1137">IF(OR(B1137="",B1137="(none)"),"",IF(ISNUMBER(SEARCH(CHAR(10)&amp;B1137&amp;CHAR(10),H1137)),B1137,IFERROR(INDEX('Set Aliases'!$A$2:$A$501,MATCH(1,('Set Aliases'!$B$2:$B$501=B1137)*ISNUMBER(SEARCH(CHAR(10)&amp;'Set Aliases'!$A$2:$A$501&amp;CHAR(10),H1137)),0)),"")))</f>
        <v/>
      </c>
      <c r="J1137" s="80" t="str">
        <f t="array" ref="J1137">IF(I1137="","",IFERROR(VALUE(TRIM(MID(SUBSTITUTE(INDEX('Deck 4'!$A:$Z,ROW()-1000,'List Setup'!$G$6),CHAR(10),REPT(" ",100)),((SEARCH(CHAR(10)&amp;I1137&amp;CHAR(10),H1137)-LEN(SUBSTITUTE(LEFT(H1137,SEARCH(CHAR(10)&amp;I1137&amp;CHAR(10),H1137)),CHAR(10),"")))-1)*100+1,100))),""))</f>
        <v/>
      </c>
      <c r="K1137" s="80" t="str">
        <f t="array" ref="K1137">IF(A1137="","",IF(ISNUMBER(SEARCH("Land",LEFT(IFERROR(INDEX('Deck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37" s="80" t="str">
        <f t="shared" si="3"/>
        <v/>
      </c>
      <c r="M1137" s="80" t="str">
        <f>IF(A1137="","",IF(AND(E1137="Y",B1137='Use at Shop'!$B$4),K1137*10000000000+(MAX(0,MIN(26,CODE(MID(UPPER(A1137)&amp;"    ",1,1))-64))*19683+MAX(0,MIN(26,CODE(MID(UPPER(A1137)&amp;"    ",2,1))-64))*729+MAX(0,MIN(26,CODE(MID(UPPER(A1137)&amp;"    ",3,1))-64))*27+MAX(0,MIN(26,CODE(MID(UPPER(A1137)&amp;"    ",4,1))-64))*1)*10000+ROW(),""))</f>
        <v/>
      </c>
      <c r="N1137" s="80" t="str">
        <f t="shared" si="8"/>
        <v/>
      </c>
      <c r="O1137" s="80" t="str">
        <f t="array" ref="O1137">IF(A1137="","",IFERROR(INDEX('Deck 4'!$A:$Z,ROW()-1000,'List Setup'!$J$6)&amp;"",""))</f>
        <v/>
      </c>
      <c r="P1137" s="2"/>
      <c r="Q1137" s="80" t="str">
        <f>IF(A1137="","",'List Setup'!$A$6)</f>
        <v/>
      </c>
      <c r="R1137" s="80" t="str">
        <f t="array" ref="R1137">IF(A1137="","",IFERROR(OR(INDEX(Binders!$J$6:$J$30,MATCH(Q1137,Binders!$I$6:$I$30,0))=TRUE(),UPPER(INDEX(Binders!$J$6:$J$30,MATCH(Q1137,Binders!$I$6:$I$30,0))&amp;"")="TRUE"),FALSE()))</f>
        <v/>
      </c>
    </row>
    <row r="1138" ht="15.75" customHeight="1">
      <c r="A1138" s="80" t="str">
        <f t="array" ref="A1138">IF(INDEX('Deck 4'!$A:$Z,ROW()-1000,'List Setup'!$D$6)="","",INDEX('Deck 4'!$A:$Z,ROW()-1000,'List Setup'!$D$6))</f>
        <v/>
      </c>
      <c r="B1138" s="80" t="str">
        <f t="array" ref="B1138">IF(A1138="","",IFERROR(INDEX('Binder Setup'!$B$2:$B$401,MIN(IF(ISNUMBER(SEARCH(CHAR(10)&amp;'Binder Setup'!$B$2:$B$401&amp;CHAR(10),$H1138)),'List Setup'!$Q$2:$Q$401,999),IF(ISNUMBER(SEARCH(CHAR(10)&amp;'Set Aliases'!$A$2:$A$501&amp;CHAR(10),$H1138)),'Set Aliases'!$C$2:$C$501,999))),"(none)"))</f>
        <v/>
      </c>
      <c r="C1138" s="80" t="str">
        <f t="shared" si="1"/>
        <v/>
      </c>
      <c r="D1138" s="80" t="str">
        <f t="array" ref="D1138">IF(A1138="","",IF(ISLOGICAL(INDEX('Deck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38" s="80" t="str">
        <f t="shared" si="2"/>
        <v/>
      </c>
      <c r="F1138" s="80" t="str">
        <f t="array" ref="F1138">IF(A1138="","",IF(ISNUMBER(J1138),J1138,IF(ISNUMBER(INDEX('Deck 4'!$A:$Z,ROW()-1000,'List Setup'!$F$6)),INDEX('Deck 4'!$A:$Z,ROW()-1000,'List Setup'!$F$6),0)))</f>
        <v/>
      </c>
      <c r="G1138" s="80" t="str">
        <f t="array" ref="G1138">IF(A1138="","",A1138&amp;IF(N(INDEX('Deck 4'!$A:$Z,ROW()-1000,'List Setup'!$C$6))&gt;1," (x"&amp;INDEX('Deck 4'!$A:$Z,ROW()-1000,'List Setup'!$C$6)&amp;")","")&amp;IF(COUNTIF(Binders!$J$6:$J$30,TRUE())&gt;1," ["&amp;Q1138&amp;"]",""))</f>
        <v/>
      </c>
      <c r="H1138" s="80" t="str">
        <f t="array" ref="H1138">IF(A1138="","",CHAR(10)&amp;INDEX('Deck 4'!$A:$Z,ROW()-1000,'List Setup'!$E$6)&amp;CHAR(10))</f>
        <v/>
      </c>
      <c r="I1138" s="80" t="str">
        <f t="array" ref="I1138">IF(OR(B1138="",B1138="(none)"),"",IF(ISNUMBER(SEARCH(CHAR(10)&amp;B1138&amp;CHAR(10),H1138)),B1138,IFERROR(INDEX('Set Aliases'!$A$2:$A$501,MATCH(1,('Set Aliases'!$B$2:$B$501=B1138)*ISNUMBER(SEARCH(CHAR(10)&amp;'Set Aliases'!$A$2:$A$501&amp;CHAR(10),H1138)),0)),"")))</f>
        <v/>
      </c>
      <c r="J1138" s="80" t="str">
        <f t="array" ref="J1138">IF(I1138="","",IFERROR(VALUE(TRIM(MID(SUBSTITUTE(INDEX('Deck 4'!$A:$Z,ROW()-1000,'List Setup'!$G$6),CHAR(10),REPT(" ",100)),((SEARCH(CHAR(10)&amp;I1138&amp;CHAR(10),H1138)-LEN(SUBSTITUTE(LEFT(H1138,SEARCH(CHAR(10)&amp;I1138&amp;CHAR(10),H1138)),CHAR(10),"")))-1)*100+1,100))),""))</f>
        <v/>
      </c>
      <c r="K1138" s="80" t="str">
        <f t="array" ref="K1138">IF(A1138="","",IF(ISNUMBER(SEARCH("Land",LEFT(IFERROR(INDEX('Deck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38" s="80" t="str">
        <f t="shared" si="3"/>
        <v/>
      </c>
      <c r="M1138" s="80" t="str">
        <f>IF(A1138="","",IF(AND(E1138="Y",B1138='Use at Shop'!$B$4),K1138*10000000000+(MAX(0,MIN(26,CODE(MID(UPPER(A1138)&amp;"    ",1,1))-64))*19683+MAX(0,MIN(26,CODE(MID(UPPER(A1138)&amp;"    ",2,1))-64))*729+MAX(0,MIN(26,CODE(MID(UPPER(A1138)&amp;"    ",3,1))-64))*27+MAX(0,MIN(26,CODE(MID(UPPER(A1138)&amp;"    ",4,1))-64))*1)*10000+ROW(),""))</f>
        <v/>
      </c>
      <c r="N1138" s="80" t="str">
        <f t="shared" si="8"/>
        <v/>
      </c>
      <c r="O1138" s="80" t="str">
        <f t="array" ref="O1138">IF(A1138="","",IFERROR(INDEX('Deck 4'!$A:$Z,ROW()-1000,'List Setup'!$J$6)&amp;"",""))</f>
        <v/>
      </c>
      <c r="P1138" s="2"/>
      <c r="Q1138" s="80" t="str">
        <f>IF(A1138="","",'List Setup'!$A$6)</f>
        <v/>
      </c>
      <c r="R1138" s="80" t="str">
        <f t="array" ref="R1138">IF(A1138="","",IFERROR(OR(INDEX(Binders!$J$6:$J$30,MATCH(Q1138,Binders!$I$6:$I$30,0))=TRUE(),UPPER(INDEX(Binders!$J$6:$J$30,MATCH(Q1138,Binders!$I$6:$I$30,0))&amp;"")="TRUE"),FALSE()))</f>
        <v/>
      </c>
    </row>
    <row r="1139" ht="15.75" customHeight="1">
      <c r="A1139" s="80" t="str">
        <f t="array" ref="A1139">IF(INDEX('Deck 4'!$A:$Z,ROW()-1000,'List Setup'!$D$6)="","",INDEX('Deck 4'!$A:$Z,ROW()-1000,'List Setup'!$D$6))</f>
        <v/>
      </c>
      <c r="B1139" s="80" t="str">
        <f t="array" ref="B1139">IF(A1139="","",IFERROR(INDEX('Binder Setup'!$B$2:$B$401,MIN(IF(ISNUMBER(SEARCH(CHAR(10)&amp;'Binder Setup'!$B$2:$B$401&amp;CHAR(10),$H1139)),'List Setup'!$Q$2:$Q$401,999),IF(ISNUMBER(SEARCH(CHAR(10)&amp;'Set Aliases'!$A$2:$A$501&amp;CHAR(10),$H1139)),'Set Aliases'!$C$2:$C$501,999))),"(none)"))</f>
        <v/>
      </c>
      <c r="C1139" s="80" t="str">
        <f t="shared" si="1"/>
        <v/>
      </c>
      <c r="D1139" s="80" t="str">
        <f t="array" ref="D1139">IF(A1139="","",IF(ISLOGICAL(INDEX('Deck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39" s="80" t="str">
        <f t="shared" si="2"/>
        <v/>
      </c>
      <c r="F1139" s="80" t="str">
        <f t="array" ref="F1139">IF(A1139="","",IF(ISNUMBER(J1139),J1139,IF(ISNUMBER(INDEX('Deck 4'!$A:$Z,ROW()-1000,'List Setup'!$F$6)),INDEX('Deck 4'!$A:$Z,ROW()-1000,'List Setup'!$F$6),0)))</f>
        <v/>
      </c>
      <c r="G1139" s="80" t="str">
        <f t="array" ref="G1139">IF(A1139="","",A1139&amp;IF(N(INDEX('Deck 4'!$A:$Z,ROW()-1000,'List Setup'!$C$6))&gt;1," (x"&amp;INDEX('Deck 4'!$A:$Z,ROW()-1000,'List Setup'!$C$6)&amp;")","")&amp;IF(COUNTIF(Binders!$J$6:$J$30,TRUE())&gt;1," ["&amp;Q1139&amp;"]",""))</f>
        <v/>
      </c>
      <c r="H1139" s="80" t="str">
        <f t="array" ref="H1139">IF(A1139="","",CHAR(10)&amp;INDEX('Deck 4'!$A:$Z,ROW()-1000,'List Setup'!$E$6)&amp;CHAR(10))</f>
        <v/>
      </c>
      <c r="I1139" s="80" t="str">
        <f t="array" ref="I1139">IF(OR(B1139="",B1139="(none)"),"",IF(ISNUMBER(SEARCH(CHAR(10)&amp;B1139&amp;CHAR(10),H1139)),B1139,IFERROR(INDEX('Set Aliases'!$A$2:$A$501,MATCH(1,('Set Aliases'!$B$2:$B$501=B1139)*ISNUMBER(SEARCH(CHAR(10)&amp;'Set Aliases'!$A$2:$A$501&amp;CHAR(10),H1139)),0)),"")))</f>
        <v/>
      </c>
      <c r="J1139" s="80" t="str">
        <f t="array" ref="J1139">IF(I1139="","",IFERROR(VALUE(TRIM(MID(SUBSTITUTE(INDEX('Deck 4'!$A:$Z,ROW()-1000,'List Setup'!$G$6),CHAR(10),REPT(" ",100)),((SEARCH(CHAR(10)&amp;I1139&amp;CHAR(10),H1139)-LEN(SUBSTITUTE(LEFT(H1139,SEARCH(CHAR(10)&amp;I1139&amp;CHAR(10),H1139)),CHAR(10),"")))-1)*100+1,100))),""))</f>
        <v/>
      </c>
      <c r="K1139" s="80" t="str">
        <f t="array" ref="K1139">IF(A1139="","",IF(ISNUMBER(SEARCH("Land",LEFT(IFERROR(INDEX('Deck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39" s="80" t="str">
        <f t="shared" si="3"/>
        <v/>
      </c>
      <c r="M1139" s="80" t="str">
        <f>IF(A1139="","",IF(AND(E1139="Y",B1139='Use at Shop'!$B$4),K1139*10000000000+(MAX(0,MIN(26,CODE(MID(UPPER(A1139)&amp;"    ",1,1))-64))*19683+MAX(0,MIN(26,CODE(MID(UPPER(A1139)&amp;"    ",2,1))-64))*729+MAX(0,MIN(26,CODE(MID(UPPER(A1139)&amp;"    ",3,1))-64))*27+MAX(0,MIN(26,CODE(MID(UPPER(A1139)&amp;"    ",4,1))-64))*1)*10000+ROW(),""))</f>
        <v/>
      </c>
      <c r="N1139" s="80" t="str">
        <f t="shared" si="8"/>
        <v/>
      </c>
      <c r="O1139" s="80" t="str">
        <f t="array" ref="O1139">IF(A1139="","",IFERROR(INDEX('Deck 4'!$A:$Z,ROW()-1000,'List Setup'!$J$6)&amp;"",""))</f>
        <v/>
      </c>
      <c r="P1139" s="2"/>
      <c r="Q1139" s="80" t="str">
        <f>IF(A1139="","",'List Setup'!$A$6)</f>
        <v/>
      </c>
      <c r="R1139" s="80" t="str">
        <f t="array" ref="R1139">IF(A1139="","",IFERROR(OR(INDEX(Binders!$J$6:$J$30,MATCH(Q1139,Binders!$I$6:$I$30,0))=TRUE(),UPPER(INDEX(Binders!$J$6:$J$30,MATCH(Q1139,Binders!$I$6:$I$30,0))&amp;"")="TRUE"),FALSE()))</f>
        <v/>
      </c>
    </row>
    <row r="1140" ht="15.75" customHeight="1">
      <c r="A1140" s="80" t="str">
        <f t="array" ref="A1140">IF(INDEX('Deck 4'!$A:$Z,ROW()-1000,'List Setup'!$D$6)="","",INDEX('Deck 4'!$A:$Z,ROW()-1000,'List Setup'!$D$6))</f>
        <v/>
      </c>
      <c r="B1140" s="80" t="str">
        <f t="array" ref="B1140">IF(A1140="","",IFERROR(INDEX('Binder Setup'!$B$2:$B$401,MIN(IF(ISNUMBER(SEARCH(CHAR(10)&amp;'Binder Setup'!$B$2:$B$401&amp;CHAR(10),$H1140)),'List Setup'!$Q$2:$Q$401,999),IF(ISNUMBER(SEARCH(CHAR(10)&amp;'Set Aliases'!$A$2:$A$501&amp;CHAR(10),$H1140)),'Set Aliases'!$C$2:$C$501,999))),"(none)"))</f>
        <v/>
      </c>
      <c r="C1140" s="80" t="str">
        <f t="shared" si="1"/>
        <v/>
      </c>
      <c r="D1140" s="80" t="str">
        <f t="array" ref="D1140">IF(A1140="","",IF(ISLOGICAL(INDEX('Deck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40" s="80" t="str">
        <f t="shared" si="2"/>
        <v/>
      </c>
      <c r="F1140" s="80" t="str">
        <f t="array" ref="F1140">IF(A1140="","",IF(ISNUMBER(J1140),J1140,IF(ISNUMBER(INDEX('Deck 4'!$A:$Z,ROW()-1000,'List Setup'!$F$6)),INDEX('Deck 4'!$A:$Z,ROW()-1000,'List Setup'!$F$6),0)))</f>
        <v/>
      </c>
      <c r="G1140" s="80" t="str">
        <f t="array" ref="G1140">IF(A1140="","",A1140&amp;IF(N(INDEX('Deck 4'!$A:$Z,ROW()-1000,'List Setup'!$C$6))&gt;1," (x"&amp;INDEX('Deck 4'!$A:$Z,ROW()-1000,'List Setup'!$C$6)&amp;")","")&amp;IF(COUNTIF(Binders!$J$6:$J$30,TRUE())&gt;1," ["&amp;Q1140&amp;"]",""))</f>
        <v/>
      </c>
      <c r="H1140" s="80" t="str">
        <f t="array" ref="H1140">IF(A1140="","",CHAR(10)&amp;INDEX('Deck 4'!$A:$Z,ROW()-1000,'List Setup'!$E$6)&amp;CHAR(10))</f>
        <v/>
      </c>
      <c r="I1140" s="80" t="str">
        <f t="array" ref="I1140">IF(OR(B1140="",B1140="(none)"),"",IF(ISNUMBER(SEARCH(CHAR(10)&amp;B1140&amp;CHAR(10),H1140)),B1140,IFERROR(INDEX('Set Aliases'!$A$2:$A$501,MATCH(1,('Set Aliases'!$B$2:$B$501=B1140)*ISNUMBER(SEARCH(CHAR(10)&amp;'Set Aliases'!$A$2:$A$501&amp;CHAR(10),H1140)),0)),"")))</f>
        <v/>
      </c>
      <c r="J1140" s="80" t="str">
        <f t="array" ref="J1140">IF(I1140="","",IFERROR(VALUE(TRIM(MID(SUBSTITUTE(INDEX('Deck 4'!$A:$Z,ROW()-1000,'List Setup'!$G$6),CHAR(10),REPT(" ",100)),((SEARCH(CHAR(10)&amp;I1140&amp;CHAR(10),H1140)-LEN(SUBSTITUTE(LEFT(H1140,SEARCH(CHAR(10)&amp;I1140&amp;CHAR(10),H1140)),CHAR(10),"")))-1)*100+1,100))),""))</f>
        <v/>
      </c>
      <c r="K1140" s="80" t="str">
        <f t="array" ref="K1140">IF(A1140="","",IF(ISNUMBER(SEARCH("Land",LEFT(IFERROR(INDEX('Deck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40" s="80" t="str">
        <f t="shared" si="3"/>
        <v/>
      </c>
      <c r="M1140" s="80" t="str">
        <f>IF(A1140="","",IF(AND(E1140="Y",B1140='Use at Shop'!$B$4),K1140*10000000000+(MAX(0,MIN(26,CODE(MID(UPPER(A1140)&amp;"    ",1,1))-64))*19683+MAX(0,MIN(26,CODE(MID(UPPER(A1140)&amp;"    ",2,1))-64))*729+MAX(0,MIN(26,CODE(MID(UPPER(A1140)&amp;"    ",3,1))-64))*27+MAX(0,MIN(26,CODE(MID(UPPER(A1140)&amp;"    ",4,1))-64))*1)*10000+ROW(),""))</f>
        <v/>
      </c>
      <c r="N1140" s="80" t="str">
        <f t="shared" si="8"/>
        <v/>
      </c>
      <c r="O1140" s="80" t="str">
        <f t="array" ref="O1140">IF(A1140="","",IFERROR(INDEX('Deck 4'!$A:$Z,ROW()-1000,'List Setup'!$J$6)&amp;"",""))</f>
        <v/>
      </c>
      <c r="P1140" s="2"/>
      <c r="Q1140" s="80" t="str">
        <f>IF(A1140="","",'List Setup'!$A$6)</f>
        <v/>
      </c>
      <c r="R1140" s="80" t="str">
        <f t="array" ref="R1140">IF(A1140="","",IFERROR(OR(INDEX(Binders!$J$6:$J$30,MATCH(Q1140,Binders!$I$6:$I$30,0))=TRUE(),UPPER(INDEX(Binders!$J$6:$J$30,MATCH(Q1140,Binders!$I$6:$I$30,0))&amp;"")="TRUE"),FALSE()))</f>
        <v/>
      </c>
    </row>
    <row r="1141" ht="15.75" customHeight="1">
      <c r="A1141" s="80" t="str">
        <f t="array" ref="A1141">IF(INDEX('Deck 4'!$A:$Z,ROW()-1000,'List Setup'!$D$6)="","",INDEX('Deck 4'!$A:$Z,ROW()-1000,'List Setup'!$D$6))</f>
        <v/>
      </c>
      <c r="B1141" s="80" t="str">
        <f t="array" ref="B1141">IF(A1141="","",IFERROR(INDEX('Binder Setup'!$B$2:$B$401,MIN(IF(ISNUMBER(SEARCH(CHAR(10)&amp;'Binder Setup'!$B$2:$B$401&amp;CHAR(10),$H1141)),'List Setup'!$Q$2:$Q$401,999),IF(ISNUMBER(SEARCH(CHAR(10)&amp;'Set Aliases'!$A$2:$A$501&amp;CHAR(10),$H1141)),'Set Aliases'!$C$2:$C$501,999))),"(none)"))</f>
        <v/>
      </c>
      <c r="C1141" s="80" t="str">
        <f t="shared" si="1"/>
        <v/>
      </c>
      <c r="D1141" s="80" t="str">
        <f t="array" ref="D1141">IF(A1141="","",IF(ISLOGICAL(INDEX('Deck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41" s="80" t="str">
        <f t="shared" si="2"/>
        <v/>
      </c>
      <c r="F1141" s="80" t="str">
        <f t="array" ref="F1141">IF(A1141="","",IF(ISNUMBER(J1141),J1141,IF(ISNUMBER(INDEX('Deck 4'!$A:$Z,ROW()-1000,'List Setup'!$F$6)),INDEX('Deck 4'!$A:$Z,ROW()-1000,'List Setup'!$F$6),0)))</f>
        <v/>
      </c>
      <c r="G1141" s="80" t="str">
        <f t="array" ref="G1141">IF(A1141="","",A1141&amp;IF(N(INDEX('Deck 4'!$A:$Z,ROW()-1000,'List Setup'!$C$6))&gt;1," (x"&amp;INDEX('Deck 4'!$A:$Z,ROW()-1000,'List Setup'!$C$6)&amp;")","")&amp;IF(COUNTIF(Binders!$J$6:$J$30,TRUE())&gt;1," ["&amp;Q1141&amp;"]",""))</f>
        <v/>
      </c>
      <c r="H1141" s="80" t="str">
        <f t="array" ref="H1141">IF(A1141="","",CHAR(10)&amp;INDEX('Deck 4'!$A:$Z,ROW()-1000,'List Setup'!$E$6)&amp;CHAR(10))</f>
        <v/>
      </c>
      <c r="I1141" s="80" t="str">
        <f t="array" ref="I1141">IF(OR(B1141="",B1141="(none)"),"",IF(ISNUMBER(SEARCH(CHAR(10)&amp;B1141&amp;CHAR(10),H1141)),B1141,IFERROR(INDEX('Set Aliases'!$A$2:$A$501,MATCH(1,('Set Aliases'!$B$2:$B$501=B1141)*ISNUMBER(SEARCH(CHAR(10)&amp;'Set Aliases'!$A$2:$A$501&amp;CHAR(10),H1141)),0)),"")))</f>
        <v/>
      </c>
      <c r="J1141" s="80" t="str">
        <f t="array" ref="J1141">IF(I1141="","",IFERROR(VALUE(TRIM(MID(SUBSTITUTE(INDEX('Deck 4'!$A:$Z,ROW()-1000,'List Setup'!$G$6),CHAR(10),REPT(" ",100)),((SEARCH(CHAR(10)&amp;I1141&amp;CHAR(10),H1141)-LEN(SUBSTITUTE(LEFT(H1141,SEARCH(CHAR(10)&amp;I1141&amp;CHAR(10),H1141)),CHAR(10),"")))-1)*100+1,100))),""))</f>
        <v/>
      </c>
      <c r="K1141" s="80" t="str">
        <f t="array" ref="K1141">IF(A1141="","",IF(ISNUMBER(SEARCH("Land",LEFT(IFERROR(INDEX('Deck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41" s="80" t="str">
        <f t="shared" si="3"/>
        <v/>
      </c>
      <c r="M1141" s="80" t="str">
        <f>IF(A1141="","",IF(AND(E1141="Y",B1141='Use at Shop'!$B$4),K1141*10000000000+(MAX(0,MIN(26,CODE(MID(UPPER(A1141)&amp;"    ",1,1))-64))*19683+MAX(0,MIN(26,CODE(MID(UPPER(A1141)&amp;"    ",2,1))-64))*729+MAX(0,MIN(26,CODE(MID(UPPER(A1141)&amp;"    ",3,1))-64))*27+MAX(0,MIN(26,CODE(MID(UPPER(A1141)&amp;"    ",4,1))-64))*1)*10000+ROW(),""))</f>
        <v/>
      </c>
      <c r="N1141" s="80" t="str">
        <f t="shared" si="8"/>
        <v/>
      </c>
      <c r="O1141" s="80" t="str">
        <f t="array" ref="O1141">IF(A1141="","",IFERROR(INDEX('Deck 4'!$A:$Z,ROW()-1000,'List Setup'!$J$6)&amp;"",""))</f>
        <v/>
      </c>
      <c r="P1141" s="2"/>
      <c r="Q1141" s="80" t="str">
        <f>IF(A1141="","",'List Setup'!$A$6)</f>
        <v/>
      </c>
      <c r="R1141" s="80" t="str">
        <f t="array" ref="R1141">IF(A1141="","",IFERROR(OR(INDEX(Binders!$J$6:$J$30,MATCH(Q1141,Binders!$I$6:$I$30,0))=TRUE(),UPPER(INDEX(Binders!$J$6:$J$30,MATCH(Q1141,Binders!$I$6:$I$30,0))&amp;"")="TRUE"),FALSE()))</f>
        <v/>
      </c>
    </row>
    <row r="1142" ht="15.75" customHeight="1">
      <c r="A1142" s="80" t="str">
        <f t="array" ref="A1142">IF(INDEX('Deck 4'!$A:$Z,ROW()-1000,'List Setup'!$D$6)="","",INDEX('Deck 4'!$A:$Z,ROW()-1000,'List Setup'!$D$6))</f>
        <v/>
      </c>
      <c r="B1142" s="80" t="str">
        <f t="array" ref="B1142">IF(A1142="","",IFERROR(INDEX('Binder Setup'!$B$2:$B$401,MIN(IF(ISNUMBER(SEARCH(CHAR(10)&amp;'Binder Setup'!$B$2:$B$401&amp;CHAR(10),$H1142)),'List Setup'!$Q$2:$Q$401,999),IF(ISNUMBER(SEARCH(CHAR(10)&amp;'Set Aliases'!$A$2:$A$501&amp;CHAR(10),$H1142)),'Set Aliases'!$C$2:$C$501,999))),"(none)"))</f>
        <v/>
      </c>
      <c r="C1142" s="80" t="str">
        <f t="shared" si="1"/>
        <v/>
      </c>
      <c r="D1142" s="80" t="str">
        <f t="array" ref="D1142">IF(A1142="","",IF(ISLOGICAL(INDEX('Deck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42" s="80" t="str">
        <f t="shared" si="2"/>
        <v/>
      </c>
      <c r="F1142" s="80" t="str">
        <f t="array" ref="F1142">IF(A1142="","",IF(ISNUMBER(J1142),J1142,IF(ISNUMBER(INDEX('Deck 4'!$A:$Z,ROW()-1000,'List Setup'!$F$6)),INDEX('Deck 4'!$A:$Z,ROW()-1000,'List Setup'!$F$6),0)))</f>
        <v/>
      </c>
      <c r="G1142" s="80" t="str">
        <f t="array" ref="G1142">IF(A1142="","",A1142&amp;IF(N(INDEX('Deck 4'!$A:$Z,ROW()-1000,'List Setup'!$C$6))&gt;1," (x"&amp;INDEX('Deck 4'!$A:$Z,ROW()-1000,'List Setup'!$C$6)&amp;")","")&amp;IF(COUNTIF(Binders!$J$6:$J$30,TRUE())&gt;1," ["&amp;Q1142&amp;"]",""))</f>
        <v/>
      </c>
      <c r="H1142" s="80" t="str">
        <f t="array" ref="H1142">IF(A1142="","",CHAR(10)&amp;INDEX('Deck 4'!$A:$Z,ROW()-1000,'List Setup'!$E$6)&amp;CHAR(10))</f>
        <v/>
      </c>
      <c r="I1142" s="80" t="str">
        <f t="array" ref="I1142">IF(OR(B1142="",B1142="(none)"),"",IF(ISNUMBER(SEARCH(CHAR(10)&amp;B1142&amp;CHAR(10),H1142)),B1142,IFERROR(INDEX('Set Aliases'!$A$2:$A$501,MATCH(1,('Set Aliases'!$B$2:$B$501=B1142)*ISNUMBER(SEARCH(CHAR(10)&amp;'Set Aliases'!$A$2:$A$501&amp;CHAR(10),H1142)),0)),"")))</f>
        <v/>
      </c>
      <c r="J1142" s="80" t="str">
        <f t="array" ref="J1142">IF(I1142="","",IFERROR(VALUE(TRIM(MID(SUBSTITUTE(INDEX('Deck 4'!$A:$Z,ROW()-1000,'List Setup'!$G$6),CHAR(10),REPT(" ",100)),((SEARCH(CHAR(10)&amp;I1142&amp;CHAR(10),H1142)-LEN(SUBSTITUTE(LEFT(H1142,SEARCH(CHAR(10)&amp;I1142&amp;CHAR(10),H1142)),CHAR(10),"")))-1)*100+1,100))),""))</f>
        <v/>
      </c>
      <c r="K1142" s="80" t="str">
        <f t="array" ref="K1142">IF(A1142="","",IF(ISNUMBER(SEARCH("Land",LEFT(IFERROR(INDEX('Deck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42" s="80" t="str">
        <f t="shared" si="3"/>
        <v/>
      </c>
      <c r="M1142" s="80" t="str">
        <f>IF(A1142="","",IF(AND(E1142="Y",B1142='Use at Shop'!$B$4),K1142*10000000000+(MAX(0,MIN(26,CODE(MID(UPPER(A1142)&amp;"    ",1,1))-64))*19683+MAX(0,MIN(26,CODE(MID(UPPER(A1142)&amp;"    ",2,1))-64))*729+MAX(0,MIN(26,CODE(MID(UPPER(A1142)&amp;"    ",3,1))-64))*27+MAX(0,MIN(26,CODE(MID(UPPER(A1142)&amp;"    ",4,1))-64))*1)*10000+ROW(),""))</f>
        <v/>
      </c>
      <c r="N1142" s="80" t="str">
        <f t="shared" si="8"/>
        <v/>
      </c>
      <c r="O1142" s="80" t="str">
        <f t="array" ref="O1142">IF(A1142="","",IFERROR(INDEX('Deck 4'!$A:$Z,ROW()-1000,'List Setup'!$J$6)&amp;"",""))</f>
        <v/>
      </c>
      <c r="P1142" s="2"/>
      <c r="Q1142" s="80" t="str">
        <f>IF(A1142="","",'List Setup'!$A$6)</f>
        <v/>
      </c>
      <c r="R1142" s="80" t="str">
        <f t="array" ref="R1142">IF(A1142="","",IFERROR(OR(INDEX(Binders!$J$6:$J$30,MATCH(Q1142,Binders!$I$6:$I$30,0))=TRUE(),UPPER(INDEX(Binders!$J$6:$J$30,MATCH(Q1142,Binders!$I$6:$I$30,0))&amp;"")="TRUE"),FALSE()))</f>
        <v/>
      </c>
    </row>
    <row r="1143" ht="15.75" customHeight="1">
      <c r="A1143" s="80" t="str">
        <f t="array" ref="A1143">IF(INDEX('Deck 4'!$A:$Z,ROW()-1000,'List Setup'!$D$6)="","",INDEX('Deck 4'!$A:$Z,ROW()-1000,'List Setup'!$D$6))</f>
        <v/>
      </c>
      <c r="B1143" s="80" t="str">
        <f t="array" ref="B1143">IF(A1143="","",IFERROR(INDEX('Binder Setup'!$B$2:$B$401,MIN(IF(ISNUMBER(SEARCH(CHAR(10)&amp;'Binder Setup'!$B$2:$B$401&amp;CHAR(10),$H1143)),'List Setup'!$Q$2:$Q$401,999),IF(ISNUMBER(SEARCH(CHAR(10)&amp;'Set Aliases'!$A$2:$A$501&amp;CHAR(10),$H1143)),'Set Aliases'!$C$2:$C$501,999))),"(none)"))</f>
        <v/>
      </c>
      <c r="C1143" s="80" t="str">
        <f t="shared" si="1"/>
        <v/>
      </c>
      <c r="D1143" s="80" t="str">
        <f t="array" ref="D1143">IF(A1143="","",IF(ISLOGICAL(INDEX('Deck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43" s="80" t="str">
        <f t="shared" si="2"/>
        <v/>
      </c>
      <c r="F1143" s="80" t="str">
        <f t="array" ref="F1143">IF(A1143="","",IF(ISNUMBER(J1143),J1143,IF(ISNUMBER(INDEX('Deck 4'!$A:$Z,ROW()-1000,'List Setup'!$F$6)),INDEX('Deck 4'!$A:$Z,ROW()-1000,'List Setup'!$F$6),0)))</f>
        <v/>
      </c>
      <c r="G1143" s="80" t="str">
        <f t="array" ref="G1143">IF(A1143="","",A1143&amp;IF(N(INDEX('Deck 4'!$A:$Z,ROW()-1000,'List Setup'!$C$6))&gt;1," (x"&amp;INDEX('Deck 4'!$A:$Z,ROW()-1000,'List Setup'!$C$6)&amp;")","")&amp;IF(COUNTIF(Binders!$J$6:$J$30,TRUE())&gt;1," ["&amp;Q1143&amp;"]",""))</f>
        <v/>
      </c>
      <c r="H1143" s="80" t="str">
        <f t="array" ref="H1143">IF(A1143="","",CHAR(10)&amp;INDEX('Deck 4'!$A:$Z,ROW()-1000,'List Setup'!$E$6)&amp;CHAR(10))</f>
        <v/>
      </c>
      <c r="I1143" s="80" t="str">
        <f t="array" ref="I1143">IF(OR(B1143="",B1143="(none)"),"",IF(ISNUMBER(SEARCH(CHAR(10)&amp;B1143&amp;CHAR(10),H1143)),B1143,IFERROR(INDEX('Set Aliases'!$A$2:$A$501,MATCH(1,('Set Aliases'!$B$2:$B$501=B1143)*ISNUMBER(SEARCH(CHAR(10)&amp;'Set Aliases'!$A$2:$A$501&amp;CHAR(10),H1143)),0)),"")))</f>
        <v/>
      </c>
      <c r="J1143" s="80" t="str">
        <f t="array" ref="J1143">IF(I1143="","",IFERROR(VALUE(TRIM(MID(SUBSTITUTE(INDEX('Deck 4'!$A:$Z,ROW()-1000,'List Setup'!$G$6),CHAR(10),REPT(" ",100)),((SEARCH(CHAR(10)&amp;I1143&amp;CHAR(10),H1143)-LEN(SUBSTITUTE(LEFT(H1143,SEARCH(CHAR(10)&amp;I1143&amp;CHAR(10),H1143)),CHAR(10),"")))-1)*100+1,100))),""))</f>
        <v/>
      </c>
      <c r="K1143" s="80" t="str">
        <f t="array" ref="K1143">IF(A1143="","",IF(ISNUMBER(SEARCH("Land",LEFT(IFERROR(INDEX('Deck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43" s="80" t="str">
        <f t="shared" si="3"/>
        <v/>
      </c>
      <c r="M1143" s="80" t="str">
        <f>IF(A1143="","",IF(AND(E1143="Y",B1143='Use at Shop'!$B$4),K1143*10000000000+(MAX(0,MIN(26,CODE(MID(UPPER(A1143)&amp;"    ",1,1))-64))*19683+MAX(0,MIN(26,CODE(MID(UPPER(A1143)&amp;"    ",2,1))-64))*729+MAX(0,MIN(26,CODE(MID(UPPER(A1143)&amp;"    ",3,1))-64))*27+MAX(0,MIN(26,CODE(MID(UPPER(A1143)&amp;"    ",4,1))-64))*1)*10000+ROW(),""))</f>
        <v/>
      </c>
      <c r="N1143" s="80" t="str">
        <f t="shared" si="8"/>
        <v/>
      </c>
      <c r="O1143" s="80" t="str">
        <f t="array" ref="O1143">IF(A1143="","",IFERROR(INDEX('Deck 4'!$A:$Z,ROW()-1000,'List Setup'!$J$6)&amp;"",""))</f>
        <v/>
      </c>
      <c r="P1143" s="2"/>
      <c r="Q1143" s="80" t="str">
        <f>IF(A1143="","",'List Setup'!$A$6)</f>
        <v/>
      </c>
      <c r="R1143" s="80" t="str">
        <f t="array" ref="R1143">IF(A1143="","",IFERROR(OR(INDEX(Binders!$J$6:$J$30,MATCH(Q1143,Binders!$I$6:$I$30,0))=TRUE(),UPPER(INDEX(Binders!$J$6:$J$30,MATCH(Q1143,Binders!$I$6:$I$30,0))&amp;"")="TRUE"),FALSE()))</f>
        <v/>
      </c>
    </row>
    <row r="1144" ht="15.75" customHeight="1">
      <c r="A1144" s="80" t="str">
        <f t="array" ref="A1144">IF(INDEX('Deck 4'!$A:$Z,ROW()-1000,'List Setup'!$D$6)="","",INDEX('Deck 4'!$A:$Z,ROW()-1000,'List Setup'!$D$6))</f>
        <v/>
      </c>
      <c r="B1144" s="80" t="str">
        <f t="array" ref="B1144">IF(A1144="","",IFERROR(INDEX('Binder Setup'!$B$2:$B$401,MIN(IF(ISNUMBER(SEARCH(CHAR(10)&amp;'Binder Setup'!$B$2:$B$401&amp;CHAR(10),$H1144)),'List Setup'!$Q$2:$Q$401,999),IF(ISNUMBER(SEARCH(CHAR(10)&amp;'Set Aliases'!$A$2:$A$501&amp;CHAR(10),$H1144)),'Set Aliases'!$C$2:$C$501,999))),"(none)"))</f>
        <v/>
      </c>
      <c r="C1144" s="80" t="str">
        <f t="shared" si="1"/>
        <v/>
      </c>
      <c r="D1144" s="80" t="str">
        <f t="array" ref="D1144">IF(A1144="","",IF(ISLOGICAL(INDEX('Deck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44" s="80" t="str">
        <f t="shared" si="2"/>
        <v/>
      </c>
      <c r="F1144" s="80" t="str">
        <f t="array" ref="F1144">IF(A1144="","",IF(ISNUMBER(J1144),J1144,IF(ISNUMBER(INDEX('Deck 4'!$A:$Z,ROW()-1000,'List Setup'!$F$6)),INDEX('Deck 4'!$A:$Z,ROW()-1000,'List Setup'!$F$6),0)))</f>
        <v/>
      </c>
      <c r="G1144" s="80" t="str">
        <f t="array" ref="G1144">IF(A1144="","",A1144&amp;IF(N(INDEX('Deck 4'!$A:$Z,ROW()-1000,'List Setup'!$C$6))&gt;1," (x"&amp;INDEX('Deck 4'!$A:$Z,ROW()-1000,'List Setup'!$C$6)&amp;")","")&amp;IF(COUNTIF(Binders!$J$6:$J$30,TRUE())&gt;1," ["&amp;Q1144&amp;"]",""))</f>
        <v/>
      </c>
      <c r="H1144" s="80" t="str">
        <f t="array" ref="H1144">IF(A1144="","",CHAR(10)&amp;INDEX('Deck 4'!$A:$Z,ROW()-1000,'List Setup'!$E$6)&amp;CHAR(10))</f>
        <v/>
      </c>
      <c r="I1144" s="80" t="str">
        <f t="array" ref="I1144">IF(OR(B1144="",B1144="(none)"),"",IF(ISNUMBER(SEARCH(CHAR(10)&amp;B1144&amp;CHAR(10),H1144)),B1144,IFERROR(INDEX('Set Aliases'!$A$2:$A$501,MATCH(1,('Set Aliases'!$B$2:$B$501=B1144)*ISNUMBER(SEARCH(CHAR(10)&amp;'Set Aliases'!$A$2:$A$501&amp;CHAR(10),H1144)),0)),"")))</f>
        <v/>
      </c>
      <c r="J1144" s="80" t="str">
        <f t="array" ref="J1144">IF(I1144="","",IFERROR(VALUE(TRIM(MID(SUBSTITUTE(INDEX('Deck 4'!$A:$Z,ROW()-1000,'List Setup'!$G$6),CHAR(10),REPT(" ",100)),((SEARCH(CHAR(10)&amp;I1144&amp;CHAR(10),H1144)-LEN(SUBSTITUTE(LEFT(H1144,SEARCH(CHAR(10)&amp;I1144&amp;CHAR(10),H1144)),CHAR(10),"")))-1)*100+1,100))),""))</f>
        <v/>
      </c>
      <c r="K1144" s="80" t="str">
        <f t="array" ref="K1144">IF(A1144="","",IF(ISNUMBER(SEARCH("Land",LEFT(IFERROR(INDEX('Deck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44" s="80" t="str">
        <f t="shared" si="3"/>
        <v/>
      </c>
      <c r="M1144" s="80" t="str">
        <f>IF(A1144="","",IF(AND(E1144="Y",B1144='Use at Shop'!$B$4),K1144*10000000000+(MAX(0,MIN(26,CODE(MID(UPPER(A1144)&amp;"    ",1,1))-64))*19683+MAX(0,MIN(26,CODE(MID(UPPER(A1144)&amp;"    ",2,1))-64))*729+MAX(0,MIN(26,CODE(MID(UPPER(A1144)&amp;"    ",3,1))-64))*27+MAX(0,MIN(26,CODE(MID(UPPER(A1144)&amp;"    ",4,1))-64))*1)*10000+ROW(),""))</f>
        <v/>
      </c>
      <c r="N1144" s="80" t="str">
        <f t="shared" si="8"/>
        <v/>
      </c>
      <c r="O1144" s="80" t="str">
        <f t="array" ref="O1144">IF(A1144="","",IFERROR(INDEX('Deck 4'!$A:$Z,ROW()-1000,'List Setup'!$J$6)&amp;"",""))</f>
        <v/>
      </c>
      <c r="P1144" s="2"/>
      <c r="Q1144" s="80" t="str">
        <f>IF(A1144="","",'List Setup'!$A$6)</f>
        <v/>
      </c>
      <c r="R1144" s="80" t="str">
        <f t="array" ref="R1144">IF(A1144="","",IFERROR(OR(INDEX(Binders!$J$6:$J$30,MATCH(Q1144,Binders!$I$6:$I$30,0))=TRUE(),UPPER(INDEX(Binders!$J$6:$J$30,MATCH(Q1144,Binders!$I$6:$I$30,0))&amp;"")="TRUE"),FALSE()))</f>
        <v/>
      </c>
    </row>
    <row r="1145" ht="15.75" customHeight="1">
      <c r="A1145" s="80" t="str">
        <f t="array" ref="A1145">IF(INDEX('Deck 4'!$A:$Z,ROW()-1000,'List Setup'!$D$6)="","",INDEX('Deck 4'!$A:$Z,ROW()-1000,'List Setup'!$D$6))</f>
        <v/>
      </c>
      <c r="B1145" s="80" t="str">
        <f t="array" ref="B1145">IF(A1145="","",IFERROR(INDEX('Binder Setup'!$B$2:$B$401,MIN(IF(ISNUMBER(SEARCH(CHAR(10)&amp;'Binder Setup'!$B$2:$B$401&amp;CHAR(10),$H1145)),'List Setup'!$Q$2:$Q$401,999),IF(ISNUMBER(SEARCH(CHAR(10)&amp;'Set Aliases'!$A$2:$A$501&amp;CHAR(10),$H1145)),'Set Aliases'!$C$2:$C$501,999))),"(none)"))</f>
        <v/>
      </c>
      <c r="C1145" s="80" t="str">
        <f t="shared" si="1"/>
        <v/>
      </c>
      <c r="D1145" s="80" t="str">
        <f t="array" ref="D1145">IF(A1145="","",IF(ISLOGICAL(INDEX('Deck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45" s="80" t="str">
        <f t="shared" si="2"/>
        <v/>
      </c>
      <c r="F1145" s="80" t="str">
        <f t="array" ref="F1145">IF(A1145="","",IF(ISNUMBER(J1145),J1145,IF(ISNUMBER(INDEX('Deck 4'!$A:$Z,ROW()-1000,'List Setup'!$F$6)),INDEX('Deck 4'!$A:$Z,ROW()-1000,'List Setup'!$F$6),0)))</f>
        <v/>
      </c>
      <c r="G1145" s="80" t="str">
        <f t="array" ref="G1145">IF(A1145="","",A1145&amp;IF(N(INDEX('Deck 4'!$A:$Z,ROW()-1000,'List Setup'!$C$6))&gt;1," (x"&amp;INDEX('Deck 4'!$A:$Z,ROW()-1000,'List Setup'!$C$6)&amp;")","")&amp;IF(COUNTIF(Binders!$J$6:$J$30,TRUE())&gt;1," ["&amp;Q1145&amp;"]",""))</f>
        <v/>
      </c>
      <c r="H1145" s="80" t="str">
        <f t="array" ref="H1145">IF(A1145="","",CHAR(10)&amp;INDEX('Deck 4'!$A:$Z,ROW()-1000,'List Setup'!$E$6)&amp;CHAR(10))</f>
        <v/>
      </c>
      <c r="I1145" s="80" t="str">
        <f t="array" ref="I1145">IF(OR(B1145="",B1145="(none)"),"",IF(ISNUMBER(SEARCH(CHAR(10)&amp;B1145&amp;CHAR(10),H1145)),B1145,IFERROR(INDEX('Set Aliases'!$A$2:$A$501,MATCH(1,('Set Aliases'!$B$2:$B$501=B1145)*ISNUMBER(SEARCH(CHAR(10)&amp;'Set Aliases'!$A$2:$A$501&amp;CHAR(10),H1145)),0)),"")))</f>
        <v/>
      </c>
      <c r="J1145" s="80" t="str">
        <f t="array" ref="J1145">IF(I1145="","",IFERROR(VALUE(TRIM(MID(SUBSTITUTE(INDEX('Deck 4'!$A:$Z,ROW()-1000,'List Setup'!$G$6),CHAR(10),REPT(" ",100)),((SEARCH(CHAR(10)&amp;I1145&amp;CHAR(10),H1145)-LEN(SUBSTITUTE(LEFT(H1145,SEARCH(CHAR(10)&amp;I1145&amp;CHAR(10),H1145)),CHAR(10),"")))-1)*100+1,100))),""))</f>
        <v/>
      </c>
      <c r="K1145" s="80" t="str">
        <f t="array" ref="K1145">IF(A1145="","",IF(ISNUMBER(SEARCH("Land",LEFT(IFERROR(INDEX('Deck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45" s="80" t="str">
        <f t="shared" si="3"/>
        <v/>
      </c>
      <c r="M1145" s="80" t="str">
        <f>IF(A1145="","",IF(AND(E1145="Y",B1145='Use at Shop'!$B$4),K1145*10000000000+(MAX(0,MIN(26,CODE(MID(UPPER(A1145)&amp;"    ",1,1))-64))*19683+MAX(0,MIN(26,CODE(MID(UPPER(A1145)&amp;"    ",2,1))-64))*729+MAX(0,MIN(26,CODE(MID(UPPER(A1145)&amp;"    ",3,1))-64))*27+MAX(0,MIN(26,CODE(MID(UPPER(A1145)&amp;"    ",4,1))-64))*1)*10000+ROW(),""))</f>
        <v/>
      </c>
      <c r="N1145" s="80" t="str">
        <f t="shared" si="8"/>
        <v/>
      </c>
      <c r="O1145" s="80" t="str">
        <f t="array" ref="O1145">IF(A1145="","",IFERROR(INDEX('Deck 4'!$A:$Z,ROW()-1000,'List Setup'!$J$6)&amp;"",""))</f>
        <v/>
      </c>
      <c r="P1145" s="2"/>
      <c r="Q1145" s="80" t="str">
        <f>IF(A1145="","",'List Setup'!$A$6)</f>
        <v/>
      </c>
      <c r="R1145" s="80" t="str">
        <f t="array" ref="R1145">IF(A1145="","",IFERROR(OR(INDEX(Binders!$J$6:$J$30,MATCH(Q1145,Binders!$I$6:$I$30,0))=TRUE(),UPPER(INDEX(Binders!$J$6:$J$30,MATCH(Q1145,Binders!$I$6:$I$30,0))&amp;"")="TRUE"),FALSE()))</f>
        <v/>
      </c>
    </row>
    <row r="1146" ht="15.75" customHeight="1">
      <c r="A1146" s="80" t="str">
        <f t="array" ref="A1146">IF(INDEX('Deck 4'!$A:$Z,ROW()-1000,'List Setup'!$D$6)="","",INDEX('Deck 4'!$A:$Z,ROW()-1000,'List Setup'!$D$6))</f>
        <v/>
      </c>
      <c r="B1146" s="80" t="str">
        <f t="array" ref="B1146">IF(A1146="","",IFERROR(INDEX('Binder Setup'!$B$2:$B$401,MIN(IF(ISNUMBER(SEARCH(CHAR(10)&amp;'Binder Setup'!$B$2:$B$401&amp;CHAR(10),$H1146)),'List Setup'!$Q$2:$Q$401,999),IF(ISNUMBER(SEARCH(CHAR(10)&amp;'Set Aliases'!$A$2:$A$501&amp;CHAR(10),$H1146)),'Set Aliases'!$C$2:$C$501,999))),"(none)"))</f>
        <v/>
      </c>
      <c r="C1146" s="80" t="str">
        <f t="shared" si="1"/>
        <v/>
      </c>
      <c r="D1146" s="80" t="str">
        <f t="array" ref="D1146">IF(A1146="","",IF(ISLOGICAL(INDEX('Deck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46" s="80" t="str">
        <f t="shared" si="2"/>
        <v/>
      </c>
      <c r="F1146" s="80" t="str">
        <f t="array" ref="F1146">IF(A1146="","",IF(ISNUMBER(J1146),J1146,IF(ISNUMBER(INDEX('Deck 4'!$A:$Z,ROW()-1000,'List Setup'!$F$6)),INDEX('Deck 4'!$A:$Z,ROW()-1000,'List Setup'!$F$6),0)))</f>
        <v/>
      </c>
      <c r="G1146" s="80" t="str">
        <f t="array" ref="G1146">IF(A1146="","",A1146&amp;IF(N(INDEX('Deck 4'!$A:$Z,ROW()-1000,'List Setup'!$C$6))&gt;1," (x"&amp;INDEX('Deck 4'!$A:$Z,ROW()-1000,'List Setup'!$C$6)&amp;")","")&amp;IF(COUNTIF(Binders!$J$6:$J$30,TRUE())&gt;1," ["&amp;Q1146&amp;"]",""))</f>
        <v/>
      </c>
      <c r="H1146" s="80" t="str">
        <f t="array" ref="H1146">IF(A1146="","",CHAR(10)&amp;INDEX('Deck 4'!$A:$Z,ROW()-1000,'List Setup'!$E$6)&amp;CHAR(10))</f>
        <v/>
      </c>
      <c r="I1146" s="80" t="str">
        <f t="array" ref="I1146">IF(OR(B1146="",B1146="(none)"),"",IF(ISNUMBER(SEARCH(CHAR(10)&amp;B1146&amp;CHAR(10),H1146)),B1146,IFERROR(INDEX('Set Aliases'!$A$2:$A$501,MATCH(1,('Set Aliases'!$B$2:$B$501=B1146)*ISNUMBER(SEARCH(CHAR(10)&amp;'Set Aliases'!$A$2:$A$501&amp;CHAR(10),H1146)),0)),"")))</f>
        <v/>
      </c>
      <c r="J1146" s="80" t="str">
        <f t="array" ref="J1146">IF(I1146="","",IFERROR(VALUE(TRIM(MID(SUBSTITUTE(INDEX('Deck 4'!$A:$Z,ROW()-1000,'List Setup'!$G$6),CHAR(10),REPT(" ",100)),((SEARCH(CHAR(10)&amp;I1146&amp;CHAR(10),H1146)-LEN(SUBSTITUTE(LEFT(H1146,SEARCH(CHAR(10)&amp;I1146&amp;CHAR(10),H1146)),CHAR(10),"")))-1)*100+1,100))),""))</f>
        <v/>
      </c>
      <c r="K1146" s="80" t="str">
        <f t="array" ref="K1146">IF(A1146="","",IF(ISNUMBER(SEARCH("Land",LEFT(IFERROR(INDEX('Deck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46" s="80" t="str">
        <f t="shared" si="3"/>
        <v/>
      </c>
      <c r="M1146" s="80" t="str">
        <f>IF(A1146="","",IF(AND(E1146="Y",B1146='Use at Shop'!$B$4),K1146*10000000000+(MAX(0,MIN(26,CODE(MID(UPPER(A1146)&amp;"    ",1,1))-64))*19683+MAX(0,MIN(26,CODE(MID(UPPER(A1146)&amp;"    ",2,1))-64))*729+MAX(0,MIN(26,CODE(MID(UPPER(A1146)&amp;"    ",3,1))-64))*27+MAX(0,MIN(26,CODE(MID(UPPER(A1146)&amp;"    ",4,1))-64))*1)*10000+ROW(),""))</f>
        <v/>
      </c>
      <c r="N1146" s="80" t="str">
        <f t="shared" si="8"/>
        <v/>
      </c>
      <c r="O1146" s="80" t="str">
        <f t="array" ref="O1146">IF(A1146="","",IFERROR(INDEX('Deck 4'!$A:$Z,ROW()-1000,'List Setup'!$J$6)&amp;"",""))</f>
        <v/>
      </c>
      <c r="P1146" s="2"/>
      <c r="Q1146" s="80" t="str">
        <f>IF(A1146="","",'List Setup'!$A$6)</f>
        <v/>
      </c>
      <c r="R1146" s="80" t="str">
        <f t="array" ref="R1146">IF(A1146="","",IFERROR(OR(INDEX(Binders!$J$6:$J$30,MATCH(Q1146,Binders!$I$6:$I$30,0))=TRUE(),UPPER(INDEX(Binders!$J$6:$J$30,MATCH(Q1146,Binders!$I$6:$I$30,0))&amp;"")="TRUE"),FALSE()))</f>
        <v/>
      </c>
    </row>
    <row r="1147" ht="15.75" customHeight="1">
      <c r="A1147" s="80" t="str">
        <f t="array" ref="A1147">IF(INDEX('Deck 4'!$A:$Z,ROW()-1000,'List Setup'!$D$6)="","",INDEX('Deck 4'!$A:$Z,ROW()-1000,'List Setup'!$D$6))</f>
        <v/>
      </c>
      <c r="B1147" s="80" t="str">
        <f t="array" ref="B1147">IF(A1147="","",IFERROR(INDEX('Binder Setup'!$B$2:$B$401,MIN(IF(ISNUMBER(SEARCH(CHAR(10)&amp;'Binder Setup'!$B$2:$B$401&amp;CHAR(10),$H1147)),'List Setup'!$Q$2:$Q$401,999),IF(ISNUMBER(SEARCH(CHAR(10)&amp;'Set Aliases'!$A$2:$A$501&amp;CHAR(10),$H1147)),'Set Aliases'!$C$2:$C$501,999))),"(none)"))</f>
        <v/>
      </c>
      <c r="C1147" s="80" t="str">
        <f t="shared" si="1"/>
        <v/>
      </c>
      <c r="D1147" s="80" t="str">
        <f t="array" ref="D1147">IF(A1147="","",IF(ISLOGICAL(INDEX('Deck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47" s="80" t="str">
        <f t="shared" si="2"/>
        <v/>
      </c>
      <c r="F1147" s="80" t="str">
        <f t="array" ref="F1147">IF(A1147="","",IF(ISNUMBER(J1147),J1147,IF(ISNUMBER(INDEX('Deck 4'!$A:$Z,ROW()-1000,'List Setup'!$F$6)),INDEX('Deck 4'!$A:$Z,ROW()-1000,'List Setup'!$F$6),0)))</f>
        <v/>
      </c>
      <c r="G1147" s="80" t="str">
        <f t="array" ref="G1147">IF(A1147="","",A1147&amp;IF(N(INDEX('Deck 4'!$A:$Z,ROW()-1000,'List Setup'!$C$6))&gt;1," (x"&amp;INDEX('Deck 4'!$A:$Z,ROW()-1000,'List Setup'!$C$6)&amp;")","")&amp;IF(COUNTIF(Binders!$J$6:$J$30,TRUE())&gt;1," ["&amp;Q1147&amp;"]",""))</f>
        <v/>
      </c>
      <c r="H1147" s="80" t="str">
        <f t="array" ref="H1147">IF(A1147="","",CHAR(10)&amp;INDEX('Deck 4'!$A:$Z,ROW()-1000,'List Setup'!$E$6)&amp;CHAR(10))</f>
        <v/>
      </c>
      <c r="I1147" s="80" t="str">
        <f t="array" ref="I1147">IF(OR(B1147="",B1147="(none)"),"",IF(ISNUMBER(SEARCH(CHAR(10)&amp;B1147&amp;CHAR(10),H1147)),B1147,IFERROR(INDEX('Set Aliases'!$A$2:$A$501,MATCH(1,('Set Aliases'!$B$2:$B$501=B1147)*ISNUMBER(SEARCH(CHAR(10)&amp;'Set Aliases'!$A$2:$A$501&amp;CHAR(10),H1147)),0)),"")))</f>
        <v/>
      </c>
      <c r="J1147" s="80" t="str">
        <f t="array" ref="J1147">IF(I1147="","",IFERROR(VALUE(TRIM(MID(SUBSTITUTE(INDEX('Deck 4'!$A:$Z,ROW()-1000,'List Setup'!$G$6),CHAR(10),REPT(" ",100)),((SEARCH(CHAR(10)&amp;I1147&amp;CHAR(10),H1147)-LEN(SUBSTITUTE(LEFT(H1147,SEARCH(CHAR(10)&amp;I1147&amp;CHAR(10),H1147)),CHAR(10),"")))-1)*100+1,100))),""))</f>
        <v/>
      </c>
      <c r="K1147" s="80" t="str">
        <f t="array" ref="K1147">IF(A1147="","",IF(ISNUMBER(SEARCH("Land",LEFT(IFERROR(INDEX('Deck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47" s="80" t="str">
        <f t="shared" si="3"/>
        <v/>
      </c>
      <c r="M1147" s="80" t="str">
        <f>IF(A1147="","",IF(AND(E1147="Y",B1147='Use at Shop'!$B$4),K1147*10000000000+(MAX(0,MIN(26,CODE(MID(UPPER(A1147)&amp;"    ",1,1))-64))*19683+MAX(0,MIN(26,CODE(MID(UPPER(A1147)&amp;"    ",2,1))-64))*729+MAX(0,MIN(26,CODE(MID(UPPER(A1147)&amp;"    ",3,1))-64))*27+MAX(0,MIN(26,CODE(MID(UPPER(A1147)&amp;"    ",4,1))-64))*1)*10000+ROW(),""))</f>
        <v/>
      </c>
      <c r="N1147" s="80" t="str">
        <f t="shared" si="8"/>
        <v/>
      </c>
      <c r="O1147" s="80" t="str">
        <f t="array" ref="O1147">IF(A1147="","",IFERROR(INDEX('Deck 4'!$A:$Z,ROW()-1000,'List Setup'!$J$6)&amp;"",""))</f>
        <v/>
      </c>
      <c r="P1147" s="2"/>
      <c r="Q1147" s="80" t="str">
        <f>IF(A1147="","",'List Setup'!$A$6)</f>
        <v/>
      </c>
      <c r="R1147" s="80" t="str">
        <f t="array" ref="R1147">IF(A1147="","",IFERROR(OR(INDEX(Binders!$J$6:$J$30,MATCH(Q1147,Binders!$I$6:$I$30,0))=TRUE(),UPPER(INDEX(Binders!$J$6:$J$30,MATCH(Q1147,Binders!$I$6:$I$30,0))&amp;"")="TRUE"),FALSE()))</f>
        <v/>
      </c>
    </row>
    <row r="1148" ht="15.75" customHeight="1">
      <c r="A1148" s="80" t="str">
        <f t="array" ref="A1148">IF(INDEX('Deck 4'!$A:$Z,ROW()-1000,'List Setup'!$D$6)="","",INDEX('Deck 4'!$A:$Z,ROW()-1000,'List Setup'!$D$6))</f>
        <v/>
      </c>
      <c r="B1148" s="80" t="str">
        <f t="array" ref="B1148">IF(A1148="","",IFERROR(INDEX('Binder Setup'!$B$2:$B$401,MIN(IF(ISNUMBER(SEARCH(CHAR(10)&amp;'Binder Setup'!$B$2:$B$401&amp;CHAR(10),$H1148)),'List Setup'!$Q$2:$Q$401,999),IF(ISNUMBER(SEARCH(CHAR(10)&amp;'Set Aliases'!$A$2:$A$501&amp;CHAR(10),$H1148)),'Set Aliases'!$C$2:$C$501,999))),"(none)"))</f>
        <v/>
      </c>
      <c r="C1148" s="80" t="str">
        <f t="shared" si="1"/>
        <v/>
      </c>
      <c r="D1148" s="80" t="str">
        <f t="array" ref="D1148">IF(A1148="","",IF(ISLOGICAL(INDEX('Deck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48" s="80" t="str">
        <f t="shared" si="2"/>
        <v/>
      </c>
      <c r="F1148" s="80" t="str">
        <f t="array" ref="F1148">IF(A1148="","",IF(ISNUMBER(J1148),J1148,IF(ISNUMBER(INDEX('Deck 4'!$A:$Z,ROW()-1000,'List Setup'!$F$6)),INDEX('Deck 4'!$A:$Z,ROW()-1000,'List Setup'!$F$6),0)))</f>
        <v/>
      </c>
      <c r="G1148" s="80" t="str">
        <f t="array" ref="G1148">IF(A1148="","",A1148&amp;IF(N(INDEX('Deck 4'!$A:$Z,ROW()-1000,'List Setup'!$C$6))&gt;1," (x"&amp;INDEX('Deck 4'!$A:$Z,ROW()-1000,'List Setup'!$C$6)&amp;")","")&amp;IF(COUNTIF(Binders!$J$6:$J$30,TRUE())&gt;1," ["&amp;Q1148&amp;"]",""))</f>
        <v/>
      </c>
      <c r="H1148" s="80" t="str">
        <f t="array" ref="H1148">IF(A1148="","",CHAR(10)&amp;INDEX('Deck 4'!$A:$Z,ROW()-1000,'List Setup'!$E$6)&amp;CHAR(10))</f>
        <v/>
      </c>
      <c r="I1148" s="80" t="str">
        <f t="array" ref="I1148">IF(OR(B1148="",B1148="(none)"),"",IF(ISNUMBER(SEARCH(CHAR(10)&amp;B1148&amp;CHAR(10),H1148)),B1148,IFERROR(INDEX('Set Aliases'!$A$2:$A$501,MATCH(1,('Set Aliases'!$B$2:$B$501=B1148)*ISNUMBER(SEARCH(CHAR(10)&amp;'Set Aliases'!$A$2:$A$501&amp;CHAR(10),H1148)),0)),"")))</f>
        <v/>
      </c>
      <c r="J1148" s="80" t="str">
        <f t="array" ref="J1148">IF(I1148="","",IFERROR(VALUE(TRIM(MID(SUBSTITUTE(INDEX('Deck 4'!$A:$Z,ROW()-1000,'List Setup'!$G$6),CHAR(10),REPT(" ",100)),((SEARCH(CHAR(10)&amp;I1148&amp;CHAR(10),H1148)-LEN(SUBSTITUTE(LEFT(H1148,SEARCH(CHAR(10)&amp;I1148&amp;CHAR(10),H1148)),CHAR(10),"")))-1)*100+1,100))),""))</f>
        <v/>
      </c>
      <c r="K1148" s="80" t="str">
        <f t="array" ref="K1148">IF(A1148="","",IF(ISNUMBER(SEARCH("Land",LEFT(IFERROR(INDEX('Deck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48" s="80" t="str">
        <f t="shared" si="3"/>
        <v/>
      </c>
      <c r="M1148" s="80" t="str">
        <f>IF(A1148="","",IF(AND(E1148="Y",B1148='Use at Shop'!$B$4),K1148*10000000000+(MAX(0,MIN(26,CODE(MID(UPPER(A1148)&amp;"    ",1,1))-64))*19683+MAX(0,MIN(26,CODE(MID(UPPER(A1148)&amp;"    ",2,1))-64))*729+MAX(0,MIN(26,CODE(MID(UPPER(A1148)&amp;"    ",3,1))-64))*27+MAX(0,MIN(26,CODE(MID(UPPER(A1148)&amp;"    ",4,1))-64))*1)*10000+ROW(),""))</f>
        <v/>
      </c>
      <c r="N1148" s="80" t="str">
        <f t="shared" si="8"/>
        <v/>
      </c>
      <c r="O1148" s="80" t="str">
        <f t="array" ref="O1148">IF(A1148="","",IFERROR(INDEX('Deck 4'!$A:$Z,ROW()-1000,'List Setup'!$J$6)&amp;"",""))</f>
        <v/>
      </c>
      <c r="P1148" s="2"/>
      <c r="Q1148" s="80" t="str">
        <f>IF(A1148="","",'List Setup'!$A$6)</f>
        <v/>
      </c>
      <c r="R1148" s="80" t="str">
        <f t="array" ref="R1148">IF(A1148="","",IFERROR(OR(INDEX(Binders!$J$6:$J$30,MATCH(Q1148,Binders!$I$6:$I$30,0))=TRUE(),UPPER(INDEX(Binders!$J$6:$J$30,MATCH(Q1148,Binders!$I$6:$I$30,0))&amp;"")="TRUE"),FALSE()))</f>
        <v/>
      </c>
    </row>
    <row r="1149" ht="15.75" customHeight="1">
      <c r="A1149" s="80" t="str">
        <f t="array" ref="A1149">IF(INDEX('Deck 4'!$A:$Z,ROW()-1000,'List Setup'!$D$6)="","",INDEX('Deck 4'!$A:$Z,ROW()-1000,'List Setup'!$D$6))</f>
        <v/>
      </c>
      <c r="B1149" s="80" t="str">
        <f t="array" ref="B1149">IF(A1149="","",IFERROR(INDEX('Binder Setup'!$B$2:$B$401,MIN(IF(ISNUMBER(SEARCH(CHAR(10)&amp;'Binder Setup'!$B$2:$B$401&amp;CHAR(10),$H1149)),'List Setup'!$Q$2:$Q$401,999),IF(ISNUMBER(SEARCH(CHAR(10)&amp;'Set Aliases'!$A$2:$A$501&amp;CHAR(10),$H1149)),'Set Aliases'!$C$2:$C$501,999))),"(none)"))</f>
        <v/>
      </c>
      <c r="C1149" s="80" t="str">
        <f t="shared" si="1"/>
        <v/>
      </c>
      <c r="D1149" s="80" t="str">
        <f t="array" ref="D1149">IF(A1149="","",IF(ISLOGICAL(INDEX('Deck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49" s="80" t="str">
        <f t="shared" si="2"/>
        <v/>
      </c>
      <c r="F1149" s="80" t="str">
        <f t="array" ref="F1149">IF(A1149="","",IF(ISNUMBER(J1149),J1149,IF(ISNUMBER(INDEX('Deck 4'!$A:$Z,ROW()-1000,'List Setup'!$F$6)),INDEX('Deck 4'!$A:$Z,ROW()-1000,'List Setup'!$F$6),0)))</f>
        <v/>
      </c>
      <c r="G1149" s="80" t="str">
        <f t="array" ref="G1149">IF(A1149="","",A1149&amp;IF(N(INDEX('Deck 4'!$A:$Z,ROW()-1000,'List Setup'!$C$6))&gt;1," (x"&amp;INDEX('Deck 4'!$A:$Z,ROW()-1000,'List Setup'!$C$6)&amp;")","")&amp;IF(COUNTIF(Binders!$J$6:$J$30,TRUE())&gt;1," ["&amp;Q1149&amp;"]",""))</f>
        <v/>
      </c>
      <c r="H1149" s="80" t="str">
        <f t="array" ref="H1149">IF(A1149="","",CHAR(10)&amp;INDEX('Deck 4'!$A:$Z,ROW()-1000,'List Setup'!$E$6)&amp;CHAR(10))</f>
        <v/>
      </c>
      <c r="I1149" s="80" t="str">
        <f t="array" ref="I1149">IF(OR(B1149="",B1149="(none)"),"",IF(ISNUMBER(SEARCH(CHAR(10)&amp;B1149&amp;CHAR(10),H1149)),B1149,IFERROR(INDEX('Set Aliases'!$A$2:$A$501,MATCH(1,('Set Aliases'!$B$2:$B$501=B1149)*ISNUMBER(SEARCH(CHAR(10)&amp;'Set Aliases'!$A$2:$A$501&amp;CHAR(10),H1149)),0)),"")))</f>
        <v/>
      </c>
      <c r="J1149" s="80" t="str">
        <f t="array" ref="J1149">IF(I1149="","",IFERROR(VALUE(TRIM(MID(SUBSTITUTE(INDEX('Deck 4'!$A:$Z,ROW()-1000,'List Setup'!$G$6),CHAR(10),REPT(" ",100)),((SEARCH(CHAR(10)&amp;I1149&amp;CHAR(10),H1149)-LEN(SUBSTITUTE(LEFT(H1149,SEARCH(CHAR(10)&amp;I1149&amp;CHAR(10),H1149)),CHAR(10),"")))-1)*100+1,100))),""))</f>
        <v/>
      </c>
      <c r="K1149" s="80" t="str">
        <f t="array" ref="K1149">IF(A1149="","",IF(ISNUMBER(SEARCH("Land",LEFT(IFERROR(INDEX('Deck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49" s="80" t="str">
        <f t="shared" si="3"/>
        <v/>
      </c>
      <c r="M1149" s="80" t="str">
        <f>IF(A1149="","",IF(AND(E1149="Y",B1149='Use at Shop'!$B$4),K1149*10000000000+(MAX(0,MIN(26,CODE(MID(UPPER(A1149)&amp;"    ",1,1))-64))*19683+MAX(0,MIN(26,CODE(MID(UPPER(A1149)&amp;"    ",2,1))-64))*729+MAX(0,MIN(26,CODE(MID(UPPER(A1149)&amp;"    ",3,1))-64))*27+MAX(0,MIN(26,CODE(MID(UPPER(A1149)&amp;"    ",4,1))-64))*1)*10000+ROW(),""))</f>
        <v/>
      </c>
      <c r="N1149" s="80" t="str">
        <f t="shared" si="8"/>
        <v/>
      </c>
      <c r="O1149" s="80" t="str">
        <f t="array" ref="O1149">IF(A1149="","",IFERROR(INDEX('Deck 4'!$A:$Z,ROW()-1000,'List Setup'!$J$6)&amp;"",""))</f>
        <v/>
      </c>
      <c r="P1149" s="2"/>
      <c r="Q1149" s="80" t="str">
        <f>IF(A1149="","",'List Setup'!$A$6)</f>
        <v/>
      </c>
      <c r="R1149" s="80" t="str">
        <f t="array" ref="R1149">IF(A1149="","",IFERROR(OR(INDEX(Binders!$J$6:$J$30,MATCH(Q1149,Binders!$I$6:$I$30,0))=TRUE(),UPPER(INDEX(Binders!$J$6:$J$30,MATCH(Q1149,Binders!$I$6:$I$30,0))&amp;"")="TRUE"),FALSE()))</f>
        <v/>
      </c>
    </row>
    <row r="1150" ht="15.75" customHeight="1">
      <c r="A1150" s="80" t="str">
        <f t="array" ref="A1150">IF(INDEX('Deck 4'!$A:$Z,ROW()-1000,'List Setup'!$D$6)="","",INDEX('Deck 4'!$A:$Z,ROW()-1000,'List Setup'!$D$6))</f>
        <v/>
      </c>
      <c r="B1150" s="80" t="str">
        <f t="array" ref="B1150">IF(A1150="","",IFERROR(INDEX('Binder Setup'!$B$2:$B$401,MIN(IF(ISNUMBER(SEARCH(CHAR(10)&amp;'Binder Setup'!$B$2:$B$401&amp;CHAR(10),$H1150)),'List Setup'!$Q$2:$Q$401,999),IF(ISNUMBER(SEARCH(CHAR(10)&amp;'Set Aliases'!$A$2:$A$501&amp;CHAR(10),$H1150)),'Set Aliases'!$C$2:$C$501,999))),"(none)"))</f>
        <v/>
      </c>
      <c r="C1150" s="80" t="str">
        <f t="shared" si="1"/>
        <v/>
      </c>
      <c r="D1150" s="80" t="str">
        <f t="array" ref="D1150">IF(A1150="","",IF(ISLOGICAL(INDEX('Deck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50" s="80" t="str">
        <f t="shared" si="2"/>
        <v/>
      </c>
      <c r="F1150" s="80" t="str">
        <f t="array" ref="F1150">IF(A1150="","",IF(ISNUMBER(J1150),J1150,IF(ISNUMBER(INDEX('Deck 4'!$A:$Z,ROW()-1000,'List Setup'!$F$6)),INDEX('Deck 4'!$A:$Z,ROW()-1000,'List Setup'!$F$6),0)))</f>
        <v/>
      </c>
      <c r="G1150" s="80" t="str">
        <f t="array" ref="G1150">IF(A1150="","",A1150&amp;IF(N(INDEX('Deck 4'!$A:$Z,ROW()-1000,'List Setup'!$C$6))&gt;1," (x"&amp;INDEX('Deck 4'!$A:$Z,ROW()-1000,'List Setup'!$C$6)&amp;")","")&amp;IF(COUNTIF(Binders!$J$6:$J$30,TRUE())&gt;1," ["&amp;Q1150&amp;"]",""))</f>
        <v/>
      </c>
      <c r="H1150" s="80" t="str">
        <f t="array" ref="H1150">IF(A1150="","",CHAR(10)&amp;INDEX('Deck 4'!$A:$Z,ROW()-1000,'List Setup'!$E$6)&amp;CHAR(10))</f>
        <v/>
      </c>
      <c r="I1150" s="80" t="str">
        <f t="array" ref="I1150">IF(OR(B1150="",B1150="(none)"),"",IF(ISNUMBER(SEARCH(CHAR(10)&amp;B1150&amp;CHAR(10),H1150)),B1150,IFERROR(INDEX('Set Aliases'!$A$2:$A$501,MATCH(1,('Set Aliases'!$B$2:$B$501=B1150)*ISNUMBER(SEARCH(CHAR(10)&amp;'Set Aliases'!$A$2:$A$501&amp;CHAR(10),H1150)),0)),"")))</f>
        <v/>
      </c>
      <c r="J1150" s="80" t="str">
        <f t="array" ref="J1150">IF(I1150="","",IFERROR(VALUE(TRIM(MID(SUBSTITUTE(INDEX('Deck 4'!$A:$Z,ROW()-1000,'List Setup'!$G$6),CHAR(10),REPT(" ",100)),((SEARCH(CHAR(10)&amp;I1150&amp;CHAR(10),H1150)-LEN(SUBSTITUTE(LEFT(H1150,SEARCH(CHAR(10)&amp;I1150&amp;CHAR(10),H1150)),CHAR(10),"")))-1)*100+1,100))),""))</f>
        <v/>
      </c>
      <c r="K1150" s="80" t="str">
        <f t="array" ref="K1150">IF(A1150="","",IF(ISNUMBER(SEARCH("Land",LEFT(IFERROR(INDEX('Deck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50" s="80" t="str">
        <f t="shared" si="3"/>
        <v/>
      </c>
      <c r="M1150" s="80" t="str">
        <f>IF(A1150="","",IF(AND(E1150="Y",B1150='Use at Shop'!$B$4),K1150*10000000000+(MAX(0,MIN(26,CODE(MID(UPPER(A1150)&amp;"    ",1,1))-64))*19683+MAX(0,MIN(26,CODE(MID(UPPER(A1150)&amp;"    ",2,1))-64))*729+MAX(0,MIN(26,CODE(MID(UPPER(A1150)&amp;"    ",3,1))-64))*27+MAX(0,MIN(26,CODE(MID(UPPER(A1150)&amp;"    ",4,1))-64))*1)*10000+ROW(),""))</f>
        <v/>
      </c>
      <c r="N1150" s="80" t="str">
        <f t="shared" si="8"/>
        <v/>
      </c>
      <c r="O1150" s="80" t="str">
        <f t="array" ref="O1150">IF(A1150="","",IFERROR(INDEX('Deck 4'!$A:$Z,ROW()-1000,'List Setup'!$J$6)&amp;"",""))</f>
        <v/>
      </c>
      <c r="P1150" s="2"/>
      <c r="Q1150" s="80" t="str">
        <f>IF(A1150="","",'List Setup'!$A$6)</f>
        <v/>
      </c>
      <c r="R1150" s="80" t="str">
        <f t="array" ref="R1150">IF(A1150="","",IFERROR(OR(INDEX(Binders!$J$6:$J$30,MATCH(Q1150,Binders!$I$6:$I$30,0))=TRUE(),UPPER(INDEX(Binders!$J$6:$J$30,MATCH(Q1150,Binders!$I$6:$I$30,0))&amp;"")="TRUE"),FALSE()))</f>
        <v/>
      </c>
    </row>
    <row r="1151" ht="15.75" customHeight="1">
      <c r="A1151" s="80" t="str">
        <f t="array" ref="A1151">IF(INDEX('Deck 4'!$A:$Z,ROW()-1000,'List Setup'!$D$6)="","",INDEX('Deck 4'!$A:$Z,ROW()-1000,'List Setup'!$D$6))</f>
        <v/>
      </c>
      <c r="B1151" s="80" t="str">
        <f t="array" ref="B1151">IF(A1151="","",IFERROR(INDEX('Binder Setup'!$B$2:$B$401,MIN(IF(ISNUMBER(SEARCH(CHAR(10)&amp;'Binder Setup'!$B$2:$B$401&amp;CHAR(10),$H1151)),'List Setup'!$Q$2:$Q$401,999),IF(ISNUMBER(SEARCH(CHAR(10)&amp;'Set Aliases'!$A$2:$A$501&amp;CHAR(10),$H1151)),'Set Aliases'!$C$2:$C$501,999))),"(none)"))</f>
        <v/>
      </c>
      <c r="C1151" s="80" t="str">
        <f t="shared" si="1"/>
        <v/>
      </c>
      <c r="D1151" s="80" t="str">
        <f t="array" ref="D1151">IF(A1151="","",IF(ISLOGICAL(INDEX('Deck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51" s="80" t="str">
        <f t="shared" si="2"/>
        <v/>
      </c>
      <c r="F1151" s="80" t="str">
        <f t="array" ref="F1151">IF(A1151="","",IF(ISNUMBER(J1151),J1151,IF(ISNUMBER(INDEX('Deck 4'!$A:$Z,ROW()-1000,'List Setup'!$F$6)),INDEX('Deck 4'!$A:$Z,ROW()-1000,'List Setup'!$F$6),0)))</f>
        <v/>
      </c>
      <c r="G1151" s="80" t="str">
        <f t="array" ref="G1151">IF(A1151="","",A1151&amp;IF(N(INDEX('Deck 4'!$A:$Z,ROW()-1000,'List Setup'!$C$6))&gt;1," (x"&amp;INDEX('Deck 4'!$A:$Z,ROW()-1000,'List Setup'!$C$6)&amp;")","")&amp;IF(COUNTIF(Binders!$J$6:$J$30,TRUE())&gt;1," ["&amp;Q1151&amp;"]",""))</f>
        <v/>
      </c>
      <c r="H1151" s="80" t="str">
        <f t="array" ref="H1151">IF(A1151="","",CHAR(10)&amp;INDEX('Deck 4'!$A:$Z,ROW()-1000,'List Setup'!$E$6)&amp;CHAR(10))</f>
        <v/>
      </c>
      <c r="I1151" s="80" t="str">
        <f t="array" ref="I1151">IF(OR(B1151="",B1151="(none)"),"",IF(ISNUMBER(SEARCH(CHAR(10)&amp;B1151&amp;CHAR(10),H1151)),B1151,IFERROR(INDEX('Set Aliases'!$A$2:$A$501,MATCH(1,('Set Aliases'!$B$2:$B$501=B1151)*ISNUMBER(SEARCH(CHAR(10)&amp;'Set Aliases'!$A$2:$A$501&amp;CHAR(10),H1151)),0)),"")))</f>
        <v/>
      </c>
      <c r="J1151" s="80" t="str">
        <f t="array" ref="J1151">IF(I1151="","",IFERROR(VALUE(TRIM(MID(SUBSTITUTE(INDEX('Deck 4'!$A:$Z,ROW()-1000,'List Setup'!$G$6),CHAR(10),REPT(" ",100)),((SEARCH(CHAR(10)&amp;I1151&amp;CHAR(10),H1151)-LEN(SUBSTITUTE(LEFT(H1151,SEARCH(CHAR(10)&amp;I1151&amp;CHAR(10),H1151)),CHAR(10),"")))-1)*100+1,100))),""))</f>
        <v/>
      </c>
      <c r="K1151" s="80" t="str">
        <f t="array" ref="K1151">IF(A1151="","",IF(ISNUMBER(SEARCH("Land",LEFT(IFERROR(INDEX('Deck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51" s="80" t="str">
        <f t="shared" si="3"/>
        <v/>
      </c>
      <c r="M1151" s="80" t="str">
        <f>IF(A1151="","",IF(AND(E1151="Y",B1151='Use at Shop'!$B$4),K1151*10000000000+(MAX(0,MIN(26,CODE(MID(UPPER(A1151)&amp;"    ",1,1))-64))*19683+MAX(0,MIN(26,CODE(MID(UPPER(A1151)&amp;"    ",2,1))-64))*729+MAX(0,MIN(26,CODE(MID(UPPER(A1151)&amp;"    ",3,1))-64))*27+MAX(0,MIN(26,CODE(MID(UPPER(A1151)&amp;"    ",4,1))-64))*1)*10000+ROW(),""))</f>
        <v/>
      </c>
      <c r="N1151" s="80" t="str">
        <f t="shared" si="8"/>
        <v/>
      </c>
      <c r="O1151" s="80" t="str">
        <f t="array" ref="O1151">IF(A1151="","",IFERROR(INDEX('Deck 4'!$A:$Z,ROW()-1000,'List Setup'!$J$6)&amp;"",""))</f>
        <v/>
      </c>
      <c r="P1151" s="2"/>
      <c r="Q1151" s="80" t="str">
        <f>IF(A1151="","",'List Setup'!$A$6)</f>
        <v/>
      </c>
      <c r="R1151" s="80" t="str">
        <f t="array" ref="R1151">IF(A1151="","",IFERROR(OR(INDEX(Binders!$J$6:$J$30,MATCH(Q1151,Binders!$I$6:$I$30,0))=TRUE(),UPPER(INDEX(Binders!$J$6:$J$30,MATCH(Q1151,Binders!$I$6:$I$30,0))&amp;"")="TRUE"),FALSE()))</f>
        <v/>
      </c>
    </row>
    <row r="1152" ht="15.75" customHeight="1">
      <c r="A1152" s="80" t="str">
        <f t="array" ref="A1152">IF(INDEX('Deck 4'!$A:$Z,ROW()-1000,'List Setup'!$D$6)="","",INDEX('Deck 4'!$A:$Z,ROW()-1000,'List Setup'!$D$6))</f>
        <v/>
      </c>
      <c r="B1152" s="80" t="str">
        <f t="array" ref="B1152">IF(A1152="","",IFERROR(INDEX('Binder Setup'!$B$2:$B$401,MIN(IF(ISNUMBER(SEARCH(CHAR(10)&amp;'Binder Setup'!$B$2:$B$401&amp;CHAR(10),$H1152)),'List Setup'!$Q$2:$Q$401,999),IF(ISNUMBER(SEARCH(CHAR(10)&amp;'Set Aliases'!$A$2:$A$501&amp;CHAR(10),$H1152)),'Set Aliases'!$C$2:$C$501,999))),"(none)"))</f>
        <v/>
      </c>
      <c r="C1152" s="80" t="str">
        <f t="shared" si="1"/>
        <v/>
      </c>
      <c r="D1152" s="80" t="str">
        <f t="array" ref="D1152">IF(A1152="","",IF(ISLOGICAL(INDEX('Deck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52" s="80" t="str">
        <f t="shared" si="2"/>
        <v/>
      </c>
      <c r="F1152" s="80" t="str">
        <f t="array" ref="F1152">IF(A1152="","",IF(ISNUMBER(J1152),J1152,IF(ISNUMBER(INDEX('Deck 4'!$A:$Z,ROW()-1000,'List Setup'!$F$6)),INDEX('Deck 4'!$A:$Z,ROW()-1000,'List Setup'!$F$6),0)))</f>
        <v/>
      </c>
      <c r="G1152" s="80" t="str">
        <f t="array" ref="G1152">IF(A1152="","",A1152&amp;IF(N(INDEX('Deck 4'!$A:$Z,ROW()-1000,'List Setup'!$C$6))&gt;1," (x"&amp;INDEX('Deck 4'!$A:$Z,ROW()-1000,'List Setup'!$C$6)&amp;")","")&amp;IF(COUNTIF(Binders!$J$6:$J$30,TRUE())&gt;1," ["&amp;Q1152&amp;"]",""))</f>
        <v/>
      </c>
      <c r="H1152" s="80" t="str">
        <f t="array" ref="H1152">IF(A1152="","",CHAR(10)&amp;INDEX('Deck 4'!$A:$Z,ROW()-1000,'List Setup'!$E$6)&amp;CHAR(10))</f>
        <v/>
      </c>
      <c r="I1152" s="80" t="str">
        <f t="array" ref="I1152">IF(OR(B1152="",B1152="(none)"),"",IF(ISNUMBER(SEARCH(CHAR(10)&amp;B1152&amp;CHAR(10),H1152)),B1152,IFERROR(INDEX('Set Aliases'!$A$2:$A$501,MATCH(1,('Set Aliases'!$B$2:$B$501=B1152)*ISNUMBER(SEARCH(CHAR(10)&amp;'Set Aliases'!$A$2:$A$501&amp;CHAR(10),H1152)),0)),"")))</f>
        <v/>
      </c>
      <c r="J1152" s="80" t="str">
        <f t="array" ref="J1152">IF(I1152="","",IFERROR(VALUE(TRIM(MID(SUBSTITUTE(INDEX('Deck 4'!$A:$Z,ROW()-1000,'List Setup'!$G$6),CHAR(10),REPT(" ",100)),((SEARCH(CHAR(10)&amp;I1152&amp;CHAR(10),H1152)-LEN(SUBSTITUTE(LEFT(H1152,SEARCH(CHAR(10)&amp;I1152&amp;CHAR(10),H1152)),CHAR(10),"")))-1)*100+1,100))),""))</f>
        <v/>
      </c>
      <c r="K1152" s="80" t="str">
        <f t="array" ref="K1152">IF(A1152="","",IF(ISNUMBER(SEARCH("Land",LEFT(IFERROR(INDEX('Deck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52" s="80" t="str">
        <f t="shared" si="3"/>
        <v/>
      </c>
      <c r="M1152" s="80" t="str">
        <f>IF(A1152="","",IF(AND(E1152="Y",B1152='Use at Shop'!$B$4),K1152*10000000000+(MAX(0,MIN(26,CODE(MID(UPPER(A1152)&amp;"    ",1,1))-64))*19683+MAX(0,MIN(26,CODE(MID(UPPER(A1152)&amp;"    ",2,1))-64))*729+MAX(0,MIN(26,CODE(MID(UPPER(A1152)&amp;"    ",3,1))-64))*27+MAX(0,MIN(26,CODE(MID(UPPER(A1152)&amp;"    ",4,1))-64))*1)*10000+ROW(),""))</f>
        <v/>
      </c>
      <c r="N1152" s="80" t="str">
        <f t="shared" si="8"/>
        <v/>
      </c>
      <c r="O1152" s="80" t="str">
        <f t="array" ref="O1152">IF(A1152="","",IFERROR(INDEX('Deck 4'!$A:$Z,ROW()-1000,'List Setup'!$J$6)&amp;"",""))</f>
        <v/>
      </c>
      <c r="P1152" s="2"/>
      <c r="Q1152" s="80" t="str">
        <f>IF(A1152="","",'List Setup'!$A$6)</f>
        <v/>
      </c>
      <c r="R1152" s="80" t="str">
        <f t="array" ref="R1152">IF(A1152="","",IFERROR(OR(INDEX(Binders!$J$6:$J$30,MATCH(Q1152,Binders!$I$6:$I$30,0))=TRUE(),UPPER(INDEX(Binders!$J$6:$J$30,MATCH(Q1152,Binders!$I$6:$I$30,0))&amp;"")="TRUE"),FALSE()))</f>
        <v/>
      </c>
    </row>
    <row r="1153" ht="15.75" customHeight="1">
      <c r="A1153" s="80" t="str">
        <f t="array" ref="A1153">IF(INDEX('Deck 4'!$A:$Z,ROW()-1000,'List Setup'!$D$6)="","",INDEX('Deck 4'!$A:$Z,ROW()-1000,'List Setup'!$D$6))</f>
        <v/>
      </c>
      <c r="B1153" s="80" t="str">
        <f t="array" ref="B1153">IF(A1153="","",IFERROR(INDEX('Binder Setup'!$B$2:$B$401,MIN(IF(ISNUMBER(SEARCH(CHAR(10)&amp;'Binder Setup'!$B$2:$B$401&amp;CHAR(10),$H1153)),'List Setup'!$Q$2:$Q$401,999),IF(ISNUMBER(SEARCH(CHAR(10)&amp;'Set Aliases'!$A$2:$A$501&amp;CHAR(10),$H1153)),'Set Aliases'!$C$2:$C$501,999))),"(none)"))</f>
        <v/>
      </c>
      <c r="C1153" s="80" t="str">
        <f t="shared" si="1"/>
        <v/>
      </c>
      <c r="D1153" s="80" t="str">
        <f t="array" ref="D1153">IF(A1153="","",IF(ISLOGICAL(INDEX('Deck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53" s="80" t="str">
        <f t="shared" si="2"/>
        <v/>
      </c>
      <c r="F1153" s="80" t="str">
        <f t="array" ref="F1153">IF(A1153="","",IF(ISNUMBER(J1153),J1153,IF(ISNUMBER(INDEX('Deck 4'!$A:$Z,ROW()-1000,'List Setup'!$F$6)),INDEX('Deck 4'!$A:$Z,ROW()-1000,'List Setup'!$F$6),0)))</f>
        <v/>
      </c>
      <c r="G1153" s="80" t="str">
        <f t="array" ref="G1153">IF(A1153="","",A1153&amp;IF(N(INDEX('Deck 4'!$A:$Z,ROW()-1000,'List Setup'!$C$6))&gt;1," (x"&amp;INDEX('Deck 4'!$A:$Z,ROW()-1000,'List Setup'!$C$6)&amp;")","")&amp;IF(COUNTIF(Binders!$J$6:$J$30,TRUE())&gt;1," ["&amp;Q1153&amp;"]",""))</f>
        <v/>
      </c>
      <c r="H1153" s="80" t="str">
        <f t="array" ref="H1153">IF(A1153="","",CHAR(10)&amp;INDEX('Deck 4'!$A:$Z,ROW()-1000,'List Setup'!$E$6)&amp;CHAR(10))</f>
        <v/>
      </c>
      <c r="I1153" s="80" t="str">
        <f t="array" ref="I1153">IF(OR(B1153="",B1153="(none)"),"",IF(ISNUMBER(SEARCH(CHAR(10)&amp;B1153&amp;CHAR(10),H1153)),B1153,IFERROR(INDEX('Set Aliases'!$A$2:$A$501,MATCH(1,('Set Aliases'!$B$2:$B$501=B1153)*ISNUMBER(SEARCH(CHAR(10)&amp;'Set Aliases'!$A$2:$A$501&amp;CHAR(10),H1153)),0)),"")))</f>
        <v/>
      </c>
      <c r="J1153" s="80" t="str">
        <f t="array" ref="J1153">IF(I1153="","",IFERROR(VALUE(TRIM(MID(SUBSTITUTE(INDEX('Deck 4'!$A:$Z,ROW()-1000,'List Setup'!$G$6),CHAR(10),REPT(" ",100)),((SEARCH(CHAR(10)&amp;I1153&amp;CHAR(10),H1153)-LEN(SUBSTITUTE(LEFT(H1153,SEARCH(CHAR(10)&amp;I1153&amp;CHAR(10),H1153)),CHAR(10),"")))-1)*100+1,100))),""))</f>
        <v/>
      </c>
      <c r="K1153" s="80" t="str">
        <f t="array" ref="K1153">IF(A1153="","",IF(ISNUMBER(SEARCH("Land",LEFT(IFERROR(INDEX('Deck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53" s="80" t="str">
        <f t="shared" si="3"/>
        <v/>
      </c>
      <c r="M1153" s="80" t="str">
        <f>IF(A1153="","",IF(AND(E1153="Y",B1153='Use at Shop'!$B$4),K1153*10000000000+(MAX(0,MIN(26,CODE(MID(UPPER(A1153)&amp;"    ",1,1))-64))*19683+MAX(0,MIN(26,CODE(MID(UPPER(A1153)&amp;"    ",2,1))-64))*729+MAX(0,MIN(26,CODE(MID(UPPER(A1153)&amp;"    ",3,1))-64))*27+MAX(0,MIN(26,CODE(MID(UPPER(A1153)&amp;"    ",4,1))-64))*1)*10000+ROW(),""))</f>
        <v/>
      </c>
      <c r="N1153" s="80" t="str">
        <f t="shared" si="8"/>
        <v/>
      </c>
      <c r="O1153" s="80" t="str">
        <f t="array" ref="O1153">IF(A1153="","",IFERROR(INDEX('Deck 4'!$A:$Z,ROW()-1000,'List Setup'!$J$6)&amp;"",""))</f>
        <v/>
      </c>
      <c r="P1153" s="2"/>
      <c r="Q1153" s="80" t="str">
        <f>IF(A1153="","",'List Setup'!$A$6)</f>
        <v/>
      </c>
      <c r="R1153" s="80" t="str">
        <f t="array" ref="R1153">IF(A1153="","",IFERROR(OR(INDEX(Binders!$J$6:$J$30,MATCH(Q1153,Binders!$I$6:$I$30,0))=TRUE(),UPPER(INDEX(Binders!$J$6:$J$30,MATCH(Q1153,Binders!$I$6:$I$30,0))&amp;"")="TRUE"),FALSE()))</f>
        <v/>
      </c>
    </row>
    <row r="1154" ht="15.75" customHeight="1">
      <c r="A1154" s="80" t="str">
        <f t="array" ref="A1154">IF(INDEX('Deck 4'!$A:$Z,ROW()-1000,'List Setup'!$D$6)="","",INDEX('Deck 4'!$A:$Z,ROW()-1000,'List Setup'!$D$6))</f>
        <v/>
      </c>
      <c r="B1154" s="80" t="str">
        <f t="array" ref="B1154">IF(A1154="","",IFERROR(INDEX('Binder Setup'!$B$2:$B$401,MIN(IF(ISNUMBER(SEARCH(CHAR(10)&amp;'Binder Setup'!$B$2:$B$401&amp;CHAR(10),$H1154)),'List Setup'!$Q$2:$Q$401,999),IF(ISNUMBER(SEARCH(CHAR(10)&amp;'Set Aliases'!$A$2:$A$501&amp;CHAR(10),$H1154)),'Set Aliases'!$C$2:$C$501,999))),"(none)"))</f>
        <v/>
      </c>
      <c r="C1154" s="80" t="str">
        <f t="shared" si="1"/>
        <v/>
      </c>
      <c r="D1154" s="80" t="str">
        <f t="array" ref="D1154">IF(A1154="","",IF(ISLOGICAL(INDEX('Deck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54" s="80" t="str">
        <f t="shared" si="2"/>
        <v/>
      </c>
      <c r="F1154" s="80" t="str">
        <f t="array" ref="F1154">IF(A1154="","",IF(ISNUMBER(J1154),J1154,IF(ISNUMBER(INDEX('Deck 4'!$A:$Z,ROW()-1000,'List Setup'!$F$6)),INDEX('Deck 4'!$A:$Z,ROW()-1000,'List Setup'!$F$6),0)))</f>
        <v/>
      </c>
      <c r="G1154" s="80" t="str">
        <f t="array" ref="G1154">IF(A1154="","",A1154&amp;IF(N(INDEX('Deck 4'!$A:$Z,ROW()-1000,'List Setup'!$C$6))&gt;1," (x"&amp;INDEX('Deck 4'!$A:$Z,ROW()-1000,'List Setup'!$C$6)&amp;")","")&amp;IF(COUNTIF(Binders!$J$6:$J$30,TRUE())&gt;1," ["&amp;Q1154&amp;"]",""))</f>
        <v/>
      </c>
      <c r="H1154" s="80" t="str">
        <f t="array" ref="H1154">IF(A1154="","",CHAR(10)&amp;INDEX('Deck 4'!$A:$Z,ROW()-1000,'List Setup'!$E$6)&amp;CHAR(10))</f>
        <v/>
      </c>
      <c r="I1154" s="80" t="str">
        <f t="array" ref="I1154">IF(OR(B1154="",B1154="(none)"),"",IF(ISNUMBER(SEARCH(CHAR(10)&amp;B1154&amp;CHAR(10),H1154)),B1154,IFERROR(INDEX('Set Aliases'!$A$2:$A$501,MATCH(1,('Set Aliases'!$B$2:$B$501=B1154)*ISNUMBER(SEARCH(CHAR(10)&amp;'Set Aliases'!$A$2:$A$501&amp;CHAR(10),H1154)),0)),"")))</f>
        <v/>
      </c>
      <c r="J1154" s="80" t="str">
        <f t="array" ref="J1154">IF(I1154="","",IFERROR(VALUE(TRIM(MID(SUBSTITUTE(INDEX('Deck 4'!$A:$Z,ROW()-1000,'List Setup'!$G$6),CHAR(10),REPT(" ",100)),((SEARCH(CHAR(10)&amp;I1154&amp;CHAR(10),H1154)-LEN(SUBSTITUTE(LEFT(H1154,SEARCH(CHAR(10)&amp;I1154&amp;CHAR(10),H1154)),CHAR(10),"")))-1)*100+1,100))),""))</f>
        <v/>
      </c>
      <c r="K1154" s="80" t="str">
        <f t="array" ref="K1154">IF(A1154="","",IF(ISNUMBER(SEARCH("Land",LEFT(IFERROR(INDEX('Deck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54" s="80" t="str">
        <f t="shared" si="3"/>
        <v/>
      </c>
      <c r="M1154" s="80" t="str">
        <f>IF(A1154="","",IF(AND(E1154="Y",B1154='Use at Shop'!$B$4),K1154*10000000000+(MAX(0,MIN(26,CODE(MID(UPPER(A1154)&amp;"    ",1,1))-64))*19683+MAX(0,MIN(26,CODE(MID(UPPER(A1154)&amp;"    ",2,1))-64))*729+MAX(0,MIN(26,CODE(MID(UPPER(A1154)&amp;"    ",3,1))-64))*27+MAX(0,MIN(26,CODE(MID(UPPER(A1154)&amp;"    ",4,1))-64))*1)*10000+ROW(),""))</f>
        <v/>
      </c>
      <c r="N1154" s="80" t="str">
        <f t="shared" si="8"/>
        <v/>
      </c>
      <c r="O1154" s="80" t="str">
        <f t="array" ref="O1154">IF(A1154="","",IFERROR(INDEX('Deck 4'!$A:$Z,ROW()-1000,'List Setup'!$J$6)&amp;"",""))</f>
        <v/>
      </c>
      <c r="P1154" s="2"/>
      <c r="Q1154" s="80" t="str">
        <f>IF(A1154="","",'List Setup'!$A$6)</f>
        <v/>
      </c>
      <c r="R1154" s="80" t="str">
        <f t="array" ref="R1154">IF(A1154="","",IFERROR(OR(INDEX(Binders!$J$6:$J$30,MATCH(Q1154,Binders!$I$6:$I$30,0))=TRUE(),UPPER(INDEX(Binders!$J$6:$J$30,MATCH(Q1154,Binders!$I$6:$I$30,0))&amp;"")="TRUE"),FALSE()))</f>
        <v/>
      </c>
    </row>
    <row r="1155" ht="15.75" customHeight="1">
      <c r="A1155" s="80" t="str">
        <f t="array" ref="A1155">IF(INDEX('Deck 4'!$A:$Z,ROW()-1000,'List Setup'!$D$6)="","",INDEX('Deck 4'!$A:$Z,ROW()-1000,'List Setup'!$D$6))</f>
        <v/>
      </c>
      <c r="B1155" s="80" t="str">
        <f t="array" ref="B1155">IF(A1155="","",IFERROR(INDEX('Binder Setup'!$B$2:$B$401,MIN(IF(ISNUMBER(SEARCH(CHAR(10)&amp;'Binder Setup'!$B$2:$B$401&amp;CHAR(10),$H1155)),'List Setup'!$Q$2:$Q$401,999),IF(ISNUMBER(SEARCH(CHAR(10)&amp;'Set Aliases'!$A$2:$A$501&amp;CHAR(10),$H1155)),'Set Aliases'!$C$2:$C$501,999))),"(none)"))</f>
        <v/>
      </c>
      <c r="C1155" s="80" t="str">
        <f t="shared" si="1"/>
        <v/>
      </c>
      <c r="D1155" s="80" t="str">
        <f t="array" ref="D1155">IF(A1155="","",IF(ISLOGICAL(INDEX('Deck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55" s="80" t="str">
        <f t="shared" si="2"/>
        <v/>
      </c>
      <c r="F1155" s="80" t="str">
        <f t="array" ref="F1155">IF(A1155="","",IF(ISNUMBER(J1155),J1155,IF(ISNUMBER(INDEX('Deck 4'!$A:$Z,ROW()-1000,'List Setup'!$F$6)),INDEX('Deck 4'!$A:$Z,ROW()-1000,'List Setup'!$F$6),0)))</f>
        <v/>
      </c>
      <c r="G1155" s="80" t="str">
        <f t="array" ref="G1155">IF(A1155="","",A1155&amp;IF(N(INDEX('Deck 4'!$A:$Z,ROW()-1000,'List Setup'!$C$6))&gt;1," (x"&amp;INDEX('Deck 4'!$A:$Z,ROW()-1000,'List Setup'!$C$6)&amp;")","")&amp;IF(COUNTIF(Binders!$J$6:$J$30,TRUE())&gt;1," ["&amp;Q1155&amp;"]",""))</f>
        <v/>
      </c>
      <c r="H1155" s="80" t="str">
        <f t="array" ref="H1155">IF(A1155="","",CHAR(10)&amp;INDEX('Deck 4'!$A:$Z,ROW()-1000,'List Setup'!$E$6)&amp;CHAR(10))</f>
        <v/>
      </c>
      <c r="I1155" s="80" t="str">
        <f t="array" ref="I1155">IF(OR(B1155="",B1155="(none)"),"",IF(ISNUMBER(SEARCH(CHAR(10)&amp;B1155&amp;CHAR(10),H1155)),B1155,IFERROR(INDEX('Set Aliases'!$A$2:$A$501,MATCH(1,('Set Aliases'!$B$2:$B$501=B1155)*ISNUMBER(SEARCH(CHAR(10)&amp;'Set Aliases'!$A$2:$A$501&amp;CHAR(10),H1155)),0)),"")))</f>
        <v/>
      </c>
      <c r="J1155" s="80" t="str">
        <f t="array" ref="J1155">IF(I1155="","",IFERROR(VALUE(TRIM(MID(SUBSTITUTE(INDEX('Deck 4'!$A:$Z,ROW()-1000,'List Setup'!$G$6),CHAR(10),REPT(" ",100)),((SEARCH(CHAR(10)&amp;I1155&amp;CHAR(10),H1155)-LEN(SUBSTITUTE(LEFT(H1155,SEARCH(CHAR(10)&amp;I1155&amp;CHAR(10),H1155)),CHAR(10),"")))-1)*100+1,100))),""))</f>
        <v/>
      </c>
      <c r="K1155" s="80" t="str">
        <f t="array" ref="K1155">IF(A1155="","",IF(ISNUMBER(SEARCH("Land",LEFT(IFERROR(INDEX('Deck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55" s="80" t="str">
        <f t="shared" si="3"/>
        <v/>
      </c>
      <c r="M1155" s="80" t="str">
        <f>IF(A1155="","",IF(AND(E1155="Y",B1155='Use at Shop'!$B$4),K1155*10000000000+(MAX(0,MIN(26,CODE(MID(UPPER(A1155)&amp;"    ",1,1))-64))*19683+MAX(0,MIN(26,CODE(MID(UPPER(A1155)&amp;"    ",2,1))-64))*729+MAX(0,MIN(26,CODE(MID(UPPER(A1155)&amp;"    ",3,1))-64))*27+MAX(0,MIN(26,CODE(MID(UPPER(A1155)&amp;"    ",4,1))-64))*1)*10000+ROW(),""))</f>
        <v/>
      </c>
      <c r="N1155" s="80" t="str">
        <f t="shared" si="8"/>
        <v/>
      </c>
      <c r="O1155" s="80" t="str">
        <f t="array" ref="O1155">IF(A1155="","",IFERROR(INDEX('Deck 4'!$A:$Z,ROW()-1000,'List Setup'!$J$6)&amp;"",""))</f>
        <v/>
      </c>
      <c r="P1155" s="2"/>
      <c r="Q1155" s="80" t="str">
        <f>IF(A1155="","",'List Setup'!$A$6)</f>
        <v/>
      </c>
      <c r="R1155" s="80" t="str">
        <f t="array" ref="R1155">IF(A1155="","",IFERROR(OR(INDEX(Binders!$J$6:$J$30,MATCH(Q1155,Binders!$I$6:$I$30,0))=TRUE(),UPPER(INDEX(Binders!$J$6:$J$30,MATCH(Q1155,Binders!$I$6:$I$30,0))&amp;"")="TRUE"),FALSE()))</f>
        <v/>
      </c>
    </row>
    <row r="1156" ht="15.75" customHeight="1">
      <c r="A1156" s="80" t="str">
        <f t="array" ref="A1156">IF(INDEX('Deck 4'!$A:$Z,ROW()-1000,'List Setup'!$D$6)="","",INDEX('Deck 4'!$A:$Z,ROW()-1000,'List Setup'!$D$6))</f>
        <v/>
      </c>
      <c r="B1156" s="80" t="str">
        <f t="array" ref="B1156">IF(A1156="","",IFERROR(INDEX('Binder Setup'!$B$2:$B$401,MIN(IF(ISNUMBER(SEARCH(CHAR(10)&amp;'Binder Setup'!$B$2:$B$401&amp;CHAR(10),$H1156)),'List Setup'!$Q$2:$Q$401,999),IF(ISNUMBER(SEARCH(CHAR(10)&amp;'Set Aliases'!$A$2:$A$501&amp;CHAR(10),$H1156)),'Set Aliases'!$C$2:$C$501,999))),"(none)"))</f>
        <v/>
      </c>
      <c r="C1156" s="80" t="str">
        <f t="shared" si="1"/>
        <v/>
      </c>
      <c r="D1156" s="80" t="str">
        <f t="array" ref="D1156">IF(A1156="","",IF(ISLOGICAL(INDEX('Deck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56" s="80" t="str">
        <f t="shared" si="2"/>
        <v/>
      </c>
      <c r="F1156" s="80" t="str">
        <f t="array" ref="F1156">IF(A1156="","",IF(ISNUMBER(J1156),J1156,IF(ISNUMBER(INDEX('Deck 4'!$A:$Z,ROW()-1000,'List Setup'!$F$6)),INDEX('Deck 4'!$A:$Z,ROW()-1000,'List Setup'!$F$6),0)))</f>
        <v/>
      </c>
      <c r="G1156" s="80" t="str">
        <f t="array" ref="G1156">IF(A1156="","",A1156&amp;IF(N(INDEX('Deck 4'!$A:$Z,ROW()-1000,'List Setup'!$C$6))&gt;1," (x"&amp;INDEX('Deck 4'!$A:$Z,ROW()-1000,'List Setup'!$C$6)&amp;")","")&amp;IF(COUNTIF(Binders!$J$6:$J$30,TRUE())&gt;1," ["&amp;Q1156&amp;"]",""))</f>
        <v/>
      </c>
      <c r="H1156" s="80" t="str">
        <f t="array" ref="H1156">IF(A1156="","",CHAR(10)&amp;INDEX('Deck 4'!$A:$Z,ROW()-1000,'List Setup'!$E$6)&amp;CHAR(10))</f>
        <v/>
      </c>
      <c r="I1156" s="80" t="str">
        <f t="array" ref="I1156">IF(OR(B1156="",B1156="(none)"),"",IF(ISNUMBER(SEARCH(CHAR(10)&amp;B1156&amp;CHAR(10),H1156)),B1156,IFERROR(INDEX('Set Aliases'!$A$2:$A$501,MATCH(1,('Set Aliases'!$B$2:$B$501=B1156)*ISNUMBER(SEARCH(CHAR(10)&amp;'Set Aliases'!$A$2:$A$501&amp;CHAR(10),H1156)),0)),"")))</f>
        <v/>
      </c>
      <c r="J1156" s="80" t="str">
        <f t="array" ref="J1156">IF(I1156="","",IFERROR(VALUE(TRIM(MID(SUBSTITUTE(INDEX('Deck 4'!$A:$Z,ROW()-1000,'List Setup'!$G$6),CHAR(10),REPT(" ",100)),((SEARCH(CHAR(10)&amp;I1156&amp;CHAR(10),H1156)-LEN(SUBSTITUTE(LEFT(H1156,SEARCH(CHAR(10)&amp;I1156&amp;CHAR(10),H1156)),CHAR(10),"")))-1)*100+1,100))),""))</f>
        <v/>
      </c>
      <c r="K1156" s="80" t="str">
        <f t="array" ref="K1156">IF(A1156="","",IF(ISNUMBER(SEARCH("Land",LEFT(IFERROR(INDEX('Deck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56" s="80" t="str">
        <f t="shared" si="3"/>
        <v/>
      </c>
      <c r="M1156" s="80" t="str">
        <f>IF(A1156="","",IF(AND(E1156="Y",B1156='Use at Shop'!$B$4),K1156*10000000000+(MAX(0,MIN(26,CODE(MID(UPPER(A1156)&amp;"    ",1,1))-64))*19683+MAX(0,MIN(26,CODE(MID(UPPER(A1156)&amp;"    ",2,1))-64))*729+MAX(0,MIN(26,CODE(MID(UPPER(A1156)&amp;"    ",3,1))-64))*27+MAX(0,MIN(26,CODE(MID(UPPER(A1156)&amp;"    ",4,1))-64))*1)*10000+ROW(),""))</f>
        <v/>
      </c>
      <c r="N1156" s="80" t="str">
        <f t="shared" si="8"/>
        <v/>
      </c>
      <c r="O1156" s="80" t="str">
        <f t="array" ref="O1156">IF(A1156="","",IFERROR(INDEX('Deck 4'!$A:$Z,ROW()-1000,'List Setup'!$J$6)&amp;"",""))</f>
        <v/>
      </c>
      <c r="P1156" s="2"/>
      <c r="Q1156" s="80" t="str">
        <f>IF(A1156="","",'List Setup'!$A$6)</f>
        <v/>
      </c>
      <c r="R1156" s="80" t="str">
        <f t="array" ref="R1156">IF(A1156="","",IFERROR(OR(INDEX(Binders!$J$6:$J$30,MATCH(Q1156,Binders!$I$6:$I$30,0))=TRUE(),UPPER(INDEX(Binders!$J$6:$J$30,MATCH(Q1156,Binders!$I$6:$I$30,0))&amp;"")="TRUE"),FALSE()))</f>
        <v/>
      </c>
    </row>
    <row r="1157" ht="15.75" customHeight="1">
      <c r="A1157" s="80" t="str">
        <f t="array" ref="A1157">IF(INDEX('Deck 4'!$A:$Z,ROW()-1000,'List Setup'!$D$6)="","",INDEX('Deck 4'!$A:$Z,ROW()-1000,'List Setup'!$D$6))</f>
        <v/>
      </c>
      <c r="B1157" s="80" t="str">
        <f t="array" ref="B1157">IF(A1157="","",IFERROR(INDEX('Binder Setup'!$B$2:$B$401,MIN(IF(ISNUMBER(SEARCH(CHAR(10)&amp;'Binder Setup'!$B$2:$B$401&amp;CHAR(10),$H1157)),'List Setup'!$Q$2:$Q$401,999),IF(ISNUMBER(SEARCH(CHAR(10)&amp;'Set Aliases'!$A$2:$A$501&amp;CHAR(10),$H1157)),'Set Aliases'!$C$2:$C$501,999))),"(none)"))</f>
        <v/>
      </c>
      <c r="C1157" s="80" t="str">
        <f t="shared" si="1"/>
        <v/>
      </c>
      <c r="D1157" s="80" t="str">
        <f t="array" ref="D1157">IF(A1157="","",IF(ISLOGICAL(INDEX('Deck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57" s="80" t="str">
        <f t="shared" si="2"/>
        <v/>
      </c>
      <c r="F1157" s="80" t="str">
        <f t="array" ref="F1157">IF(A1157="","",IF(ISNUMBER(J1157),J1157,IF(ISNUMBER(INDEX('Deck 4'!$A:$Z,ROW()-1000,'List Setup'!$F$6)),INDEX('Deck 4'!$A:$Z,ROW()-1000,'List Setup'!$F$6),0)))</f>
        <v/>
      </c>
      <c r="G1157" s="80" t="str">
        <f t="array" ref="G1157">IF(A1157="","",A1157&amp;IF(N(INDEX('Deck 4'!$A:$Z,ROW()-1000,'List Setup'!$C$6))&gt;1," (x"&amp;INDEX('Deck 4'!$A:$Z,ROW()-1000,'List Setup'!$C$6)&amp;")","")&amp;IF(COUNTIF(Binders!$J$6:$J$30,TRUE())&gt;1," ["&amp;Q1157&amp;"]",""))</f>
        <v/>
      </c>
      <c r="H1157" s="80" t="str">
        <f t="array" ref="H1157">IF(A1157="","",CHAR(10)&amp;INDEX('Deck 4'!$A:$Z,ROW()-1000,'List Setup'!$E$6)&amp;CHAR(10))</f>
        <v/>
      </c>
      <c r="I1157" s="80" t="str">
        <f t="array" ref="I1157">IF(OR(B1157="",B1157="(none)"),"",IF(ISNUMBER(SEARCH(CHAR(10)&amp;B1157&amp;CHAR(10),H1157)),B1157,IFERROR(INDEX('Set Aliases'!$A$2:$A$501,MATCH(1,('Set Aliases'!$B$2:$B$501=B1157)*ISNUMBER(SEARCH(CHAR(10)&amp;'Set Aliases'!$A$2:$A$501&amp;CHAR(10),H1157)),0)),"")))</f>
        <v/>
      </c>
      <c r="J1157" s="80" t="str">
        <f t="array" ref="J1157">IF(I1157="","",IFERROR(VALUE(TRIM(MID(SUBSTITUTE(INDEX('Deck 4'!$A:$Z,ROW()-1000,'List Setup'!$G$6),CHAR(10),REPT(" ",100)),((SEARCH(CHAR(10)&amp;I1157&amp;CHAR(10),H1157)-LEN(SUBSTITUTE(LEFT(H1157,SEARCH(CHAR(10)&amp;I1157&amp;CHAR(10),H1157)),CHAR(10),"")))-1)*100+1,100))),""))</f>
        <v/>
      </c>
      <c r="K1157" s="80" t="str">
        <f t="array" ref="K1157">IF(A1157="","",IF(ISNUMBER(SEARCH("Land",LEFT(IFERROR(INDEX('Deck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57" s="80" t="str">
        <f t="shared" si="3"/>
        <v/>
      </c>
      <c r="M1157" s="80" t="str">
        <f>IF(A1157="","",IF(AND(E1157="Y",B1157='Use at Shop'!$B$4),K1157*10000000000+(MAX(0,MIN(26,CODE(MID(UPPER(A1157)&amp;"    ",1,1))-64))*19683+MAX(0,MIN(26,CODE(MID(UPPER(A1157)&amp;"    ",2,1))-64))*729+MAX(0,MIN(26,CODE(MID(UPPER(A1157)&amp;"    ",3,1))-64))*27+MAX(0,MIN(26,CODE(MID(UPPER(A1157)&amp;"    ",4,1))-64))*1)*10000+ROW(),""))</f>
        <v/>
      </c>
      <c r="N1157" s="80" t="str">
        <f t="shared" si="8"/>
        <v/>
      </c>
      <c r="O1157" s="80" t="str">
        <f t="array" ref="O1157">IF(A1157="","",IFERROR(INDEX('Deck 4'!$A:$Z,ROW()-1000,'List Setup'!$J$6)&amp;"",""))</f>
        <v/>
      </c>
      <c r="P1157" s="2"/>
      <c r="Q1157" s="80" t="str">
        <f>IF(A1157="","",'List Setup'!$A$6)</f>
        <v/>
      </c>
      <c r="R1157" s="80" t="str">
        <f t="array" ref="R1157">IF(A1157="","",IFERROR(OR(INDEX(Binders!$J$6:$J$30,MATCH(Q1157,Binders!$I$6:$I$30,0))=TRUE(),UPPER(INDEX(Binders!$J$6:$J$30,MATCH(Q1157,Binders!$I$6:$I$30,0))&amp;"")="TRUE"),FALSE()))</f>
        <v/>
      </c>
    </row>
    <row r="1158" ht="15.75" customHeight="1">
      <c r="A1158" s="80" t="str">
        <f t="array" ref="A1158">IF(INDEX('Deck 4'!$A:$Z,ROW()-1000,'List Setup'!$D$6)="","",INDEX('Deck 4'!$A:$Z,ROW()-1000,'List Setup'!$D$6))</f>
        <v/>
      </c>
      <c r="B1158" s="80" t="str">
        <f t="array" ref="B1158">IF(A1158="","",IFERROR(INDEX('Binder Setup'!$B$2:$B$401,MIN(IF(ISNUMBER(SEARCH(CHAR(10)&amp;'Binder Setup'!$B$2:$B$401&amp;CHAR(10),$H1158)),'List Setup'!$Q$2:$Q$401,999),IF(ISNUMBER(SEARCH(CHAR(10)&amp;'Set Aliases'!$A$2:$A$501&amp;CHAR(10),$H1158)),'Set Aliases'!$C$2:$C$501,999))),"(none)"))</f>
        <v/>
      </c>
      <c r="C1158" s="80" t="str">
        <f t="shared" si="1"/>
        <v/>
      </c>
      <c r="D1158" s="80" t="str">
        <f t="array" ref="D1158">IF(A1158="","",IF(ISLOGICAL(INDEX('Deck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58" s="80" t="str">
        <f t="shared" si="2"/>
        <v/>
      </c>
      <c r="F1158" s="80" t="str">
        <f t="array" ref="F1158">IF(A1158="","",IF(ISNUMBER(J1158),J1158,IF(ISNUMBER(INDEX('Deck 4'!$A:$Z,ROW()-1000,'List Setup'!$F$6)),INDEX('Deck 4'!$A:$Z,ROW()-1000,'List Setup'!$F$6),0)))</f>
        <v/>
      </c>
      <c r="G1158" s="80" t="str">
        <f t="array" ref="G1158">IF(A1158="","",A1158&amp;IF(N(INDEX('Deck 4'!$A:$Z,ROW()-1000,'List Setup'!$C$6))&gt;1," (x"&amp;INDEX('Deck 4'!$A:$Z,ROW()-1000,'List Setup'!$C$6)&amp;")","")&amp;IF(COUNTIF(Binders!$J$6:$J$30,TRUE())&gt;1," ["&amp;Q1158&amp;"]",""))</f>
        <v/>
      </c>
      <c r="H1158" s="80" t="str">
        <f t="array" ref="H1158">IF(A1158="","",CHAR(10)&amp;INDEX('Deck 4'!$A:$Z,ROW()-1000,'List Setup'!$E$6)&amp;CHAR(10))</f>
        <v/>
      </c>
      <c r="I1158" s="80" t="str">
        <f t="array" ref="I1158">IF(OR(B1158="",B1158="(none)"),"",IF(ISNUMBER(SEARCH(CHAR(10)&amp;B1158&amp;CHAR(10),H1158)),B1158,IFERROR(INDEX('Set Aliases'!$A$2:$A$501,MATCH(1,('Set Aliases'!$B$2:$B$501=B1158)*ISNUMBER(SEARCH(CHAR(10)&amp;'Set Aliases'!$A$2:$A$501&amp;CHAR(10),H1158)),0)),"")))</f>
        <v/>
      </c>
      <c r="J1158" s="80" t="str">
        <f t="array" ref="J1158">IF(I1158="","",IFERROR(VALUE(TRIM(MID(SUBSTITUTE(INDEX('Deck 4'!$A:$Z,ROW()-1000,'List Setup'!$G$6),CHAR(10),REPT(" ",100)),((SEARCH(CHAR(10)&amp;I1158&amp;CHAR(10),H1158)-LEN(SUBSTITUTE(LEFT(H1158,SEARCH(CHAR(10)&amp;I1158&amp;CHAR(10),H1158)),CHAR(10),"")))-1)*100+1,100))),""))</f>
        <v/>
      </c>
      <c r="K1158" s="80" t="str">
        <f t="array" ref="K1158">IF(A1158="","",IF(ISNUMBER(SEARCH("Land",LEFT(IFERROR(INDEX('Deck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58" s="80" t="str">
        <f t="shared" si="3"/>
        <v/>
      </c>
      <c r="M1158" s="80" t="str">
        <f>IF(A1158="","",IF(AND(E1158="Y",B1158='Use at Shop'!$B$4),K1158*10000000000+(MAX(0,MIN(26,CODE(MID(UPPER(A1158)&amp;"    ",1,1))-64))*19683+MAX(0,MIN(26,CODE(MID(UPPER(A1158)&amp;"    ",2,1))-64))*729+MAX(0,MIN(26,CODE(MID(UPPER(A1158)&amp;"    ",3,1))-64))*27+MAX(0,MIN(26,CODE(MID(UPPER(A1158)&amp;"    ",4,1))-64))*1)*10000+ROW(),""))</f>
        <v/>
      </c>
      <c r="N1158" s="80" t="str">
        <f t="shared" si="8"/>
        <v/>
      </c>
      <c r="O1158" s="80" t="str">
        <f t="array" ref="O1158">IF(A1158="","",IFERROR(INDEX('Deck 4'!$A:$Z,ROW()-1000,'List Setup'!$J$6)&amp;"",""))</f>
        <v/>
      </c>
      <c r="P1158" s="2"/>
      <c r="Q1158" s="80" t="str">
        <f>IF(A1158="","",'List Setup'!$A$6)</f>
        <v/>
      </c>
      <c r="R1158" s="80" t="str">
        <f t="array" ref="R1158">IF(A1158="","",IFERROR(OR(INDEX(Binders!$J$6:$J$30,MATCH(Q1158,Binders!$I$6:$I$30,0))=TRUE(),UPPER(INDEX(Binders!$J$6:$J$30,MATCH(Q1158,Binders!$I$6:$I$30,0))&amp;"")="TRUE"),FALSE()))</f>
        <v/>
      </c>
    </row>
    <row r="1159" ht="15.75" customHeight="1">
      <c r="A1159" s="80" t="str">
        <f t="array" ref="A1159">IF(INDEX('Deck 4'!$A:$Z,ROW()-1000,'List Setup'!$D$6)="","",INDEX('Deck 4'!$A:$Z,ROW()-1000,'List Setup'!$D$6))</f>
        <v/>
      </c>
      <c r="B1159" s="80" t="str">
        <f t="array" ref="B1159">IF(A1159="","",IFERROR(INDEX('Binder Setup'!$B$2:$B$401,MIN(IF(ISNUMBER(SEARCH(CHAR(10)&amp;'Binder Setup'!$B$2:$B$401&amp;CHAR(10),$H1159)),'List Setup'!$Q$2:$Q$401,999),IF(ISNUMBER(SEARCH(CHAR(10)&amp;'Set Aliases'!$A$2:$A$501&amp;CHAR(10),$H1159)),'Set Aliases'!$C$2:$C$501,999))),"(none)"))</f>
        <v/>
      </c>
      <c r="C1159" s="80" t="str">
        <f t="shared" si="1"/>
        <v/>
      </c>
      <c r="D1159" s="80" t="str">
        <f t="array" ref="D1159">IF(A1159="","",IF(ISLOGICAL(INDEX('Deck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59" s="80" t="str">
        <f t="shared" si="2"/>
        <v/>
      </c>
      <c r="F1159" s="80" t="str">
        <f t="array" ref="F1159">IF(A1159="","",IF(ISNUMBER(J1159),J1159,IF(ISNUMBER(INDEX('Deck 4'!$A:$Z,ROW()-1000,'List Setup'!$F$6)),INDEX('Deck 4'!$A:$Z,ROW()-1000,'List Setup'!$F$6),0)))</f>
        <v/>
      </c>
      <c r="G1159" s="80" t="str">
        <f t="array" ref="G1159">IF(A1159="","",A1159&amp;IF(N(INDEX('Deck 4'!$A:$Z,ROW()-1000,'List Setup'!$C$6))&gt;1," (x"&amp;INDEX('Deck 4'!$A:$Z,ROW()-1000,'List Setup'!$C$6)&amp;")","")&amp;IF(COUNTIF(Binders!$J$6:$J$30,TRUE())&gt;1," ["&amp;Q1159&amp;"]",""))</f>
        <v/>
      </c>
      <c r="H1159" s="80" t="str">
        <f t="array" ref="H1159">IF(A1159="","",CHAR(10)&amp;INDEX('Deck 4'!$A:$Z,ROW()-1000,'List Setup'!$E$6)&amp;CHAR(10))</f>
        <v/>
      </c>
      <c r="I1159" s="80" t="str">
        <f t="array" ref="I1159">IF(OR(B1159="",B1159="(none)"),"",IF(ISNUMBER(SEARCH(CHAR(10)&amp;B1159&amp;CHAR(10),H1159)),B1159,IFERROR(INDEX('Set Aliases'!$A$2:$A$501,MATCH(1,('Set Aliases'!$B$2:$B$501=B1159)*ISNUMBER(SEARCH(CHAR(10)&amp;'Set Aliases'!$A$2:$A$501&amp;CHAR(10),H1159)),0)),"")))</f>
        <v/>
      </c>
      <c r="J1159" s="80" t="str">
        <f t="array" ref="J1159">IF(I1159="","",IFERROR(VALUE(TRIM(MID(SUBSTITUTE(INDEX('Deck 4'!$A:$Z,ROW()-1000,'List Setup'!$G$6),CHAR(10),REPT(" ",100)),((SEARCH(CHAR(10)&amp;I1159&amp;CHAR(10),H1159)-LEN(SUBSTITUTE(LEFT(H1159,SEARCH(CHAR(10)&amp;I1159&amp;CHAR(10),H1159)),CHAR(10),"")))-1)*100+1,100))),""))</f>
        <v/>
      </c>
      <c r="K1159" s="80" t="str">
        <f t="array" ref="K1159">IF(A1159="","",IF(ISNUMBER(SEARCH("Land",LEFT(IFERROR(INDEX('Deck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59" s="80" t="str">
        <f t="shared" si="3"/>
        <v/>
      </c>
      <c r="M1159" s="80" t="str">
        <f>IF(A1159="","",IF(AND(E1159="Y",B1159='Use at Shop'!$B$4),K1159*10000000000+(MAX(0,MIN(26,CODE(MID(UPPER(A1159)&amp;"    ",1,1))-64))*19683+MAX(0,MIN(26,CODE(MID(UPPER(A1159)&amp;"    ",2,1))-64))*729+MAX(0,MIN(26,CODE(MID(UPPER(A1159)&amp;"    ",3,1))-64))*27+MAX(0,MIN(26,CODE(MID(UPPER(A1159)&amp;"    ",4,1))-64))*1)*10000+ROW(),""))</f>
        <v/>
      </c>
      <c r="N1159" s="80" t="str">
        <f t="shared" si="8"/>
        <v/>
      </c>
      <c r="O1159" s="80" t="str">
        <f t="array" ref="O1159">IF(A1159="","",IFERROR(INDEX('Deck 4'!$A:$Z,ROW()-1000,'List Setup'!$J$6)&amp;"",""))</f>
        <v/>
      </c>
      <c r="P1159" s="2"/>
      <c r="Q1159" s="80" t="str">
        <f>IF(A1159="","",'List Setup'!$A$6)</f>
        <v/>
      </c>
      <c r="R1159" s="80" t="str">
        <f t="array" ref="R1159">IF(A1159="","",IFERROR(OR(INDEX(Binders!$J$6:$J$30,MATCH(Q1159,Binders!$I$6:$I$30,0))=TRUE(),UPPER(INDEX(Binders!$J$6:$J$30,MATCH(Q1159,Binders!$I$6:$I$30,0))&amp;"")="TRUE"),FALSE()))</f>
        <v/>
      </c>
    </row>
    <row r="1160" ht="15.75" customHeight="1">
      <c r="A1160" s="80" t="str">
        <f t="array" ref="A1160">IF(INDEX('Deck 4'!$A:$Z,ROW()-1000,'List Setup'!$D$6)="","",INDEX('Deck 4'!$A:$Z,ROW()-1000,'List Setup'!$D$6))</f>
        <v/>
      </c>
      <c r="B1160" s="80" t="str">
        <f t="array" ref="B1160">IF(A1160="","",IFERROR(INDEX('Binder Setup'!$B$2:$B$401,MIN(IF(ISNUMBER(SEARCH(CHAR(10)&amp;'Binder Setup'!$B$2:$B$401&amp;CHAR(10),$H1160)),'List Setup'!$Q$2:$Q$401,999),IF(ISNUMBER(SEARCH(CHAR(10)&amp;'Set Aliases'!$A$2:$A$501&amp;CHAR(10),$H1160)),'Set Aliases'!$C$2:$C$501,999))),"(none)"))</f>
        <v/>
      </c>
      <c r="C1160" s="80" t="str">
        <f t="shared" si="1"/>
        <v/>
      </c>
      <c r="D1160" s="80" t="str">
        <f t="array" ref="D1160">IF(A1160="","",IF(ISLOGICAL(INDEX('Deck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60" s="80" t="str">
        <f t="shared" si="2"/>
        <v/>
      </c>
      <c r="F1160" s="80" t="str">
        <f t="array" ref="F1160">IF(A1160="","",IF(ISNUMBER(J1160),J1160,IF(ISNUMBER(INDEX('Deck 4'!$A:$Z,ROW()-1000,'List Setup'!$F$6)),INDEX('Deck 4'!$A:$Z,ROW()-1000,'List Setup'!$F$6),0)))</f>
        <v/>
      </c>
      <c r="G1160" s="80" t="str">
        <f t="array" ref="G1160">IF(A1160="","",A1160&amp;IF(N(INDEX('Deck 4'!$A:$Z,ROW()-1000,'List Setup'!$C$6))&gt;1," (x"&amp;INDEX('Deck 4'!$A:$Z,ROW()-1000,'List Setup'!$C$6)&amp;")","")&amp;IF(COUNTIF(Binders!$J$6:$J$30,TRUE())&gt;1," ["&amp;Q1160&amp;"]",""))</f>
        <v/>
      </c>
      <c r="H1160" s="80" t="str">
        <f t="array" ref="H1160">IF(A1160="","",CHAR(10)&amp;INDEX('Deck 4'!$A:$Z,ROW()-1000,'List Setup'!$E$6)&amp;CHAR(10))</f>
        <v/>
      </c>
      <c r="I1160" s="80" t="str">
        <f t="array" ref="I1160">IF(OR(B1160="",B1160="(none)"),"",IF(ISNUMBER(SEARCH(CHAR(10)&amp;B1160&amp;CHAR(10),H1160)),B1160,IFERROR(INDEX('Set Aliases'!$A$2:$A$501,MATCH(1,('Set Aliases'!$B$2:$B$501=B1160)*ISNUMBER(SEARCH(CHAR(10)&amp;'Set Aliases'!$A$2:$A$501&amp;CHAR(10),H1160)),0)),"")))</f>
        <v/>
      </c>
      <c r="J1160" s="80" t="str">
        <f t="array" ref="J1160">IF(I1160="","",IFERROR(VALUE(TRIM(MID(SUBSTITUTE(INDEX('Deck 4'!$A:$Z,ROW()-1000,'List Setup'!$G$6),CHAR(10),REPT(" ",100)),((SEARCH(CHAR(10)&amp;I1160&amp;CHAR(10),H1160)-LEN(SUBSTITUTE(LEFT(H1160,SEARCH(CHAR(10)&amp;I1160&amp;CHAR(10),H1160)),CHAR(10),"")))-1)*100+1,100))),""))</f>
        <v/>
      </c>
      <c r="K1160" s="80" t="str">
        <f t="array" ref="K1160">IF(A1160="","",IF(ISNUMBER(SEARCH("Land",LEFT(IFERROR(INDEX('Deck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60" s="80" t="str">
        <f t="shared" si="3"/>
        <v/>
      </c>
      <c r="M1160" s="80" t="str">
        <f>IF(A1160="","",IF(AND(E1160="Y",B1160='Use at Shop'!$B$4),K1160*10000000000+(MAX(0,MIN(26,CODE(MID(UPPER(A1160)&amp;"    ",1,1))-64))*19683+MAX(0,MIN(26,CODE(MID(UPPER(A1160)&amp;"    ",2,1))-64))*729+MAX(0,MIN(26,CODE(MID(UPPER(A1160)&amp;"    ",3,1))-64))*27+MAX(0,MIN(26,CODE(MID(UPPER(A1160)&amp;"    ",4,1))-64))*1)*10000+ROW(),""))</f>
        <v/>
      </c>
      <c r="N1160" s="80" t="str">
        <f t="shared" si="8"/>
        <v/>
      </c>
      <c r="O1160" s="80" t="str">
        <f t="array" ref="O1160">IF(A1160="","",IFERROR(INDEX('Deck 4'!$A:$Z,ROW()-1000,'List Setup'!$J$6)&amp;"",""))</f>
        <v/>
      </c>
      <c r="P1160" s="2"/>
      <c r="Q1160" s="80" t="str">
        <f>IF(A1160="","",'List Setup'!$A$6)</f>
        <v/>
      </c>
      <c r="R1160" s="80" t="str">
        <f t="array" ref="R1160">IF(A1160="","",IFERROR(OR(INDEX(Binders!$J$6:$J$30,MATCH(Q1160,Binders!$I$6:$I$30,0))=TRUE(),UPPER(INDEX(Binders!$J$6:$J$30,MATCH(Q1160,Binders!$I$6:$I$30,0))&amp;"")="TRUE"),FALSE()))</f>
        <v/>
      </c>
    </row>
    <row r="1161" ht="15.75" customHeight="1">
      <c r="A1161" s="80" t="str">
        <f t="array" ref="A1161">IF(INDEX('Deck 4'!$A:$Z,ROW()-1000,'List Setup'!$D$6)="","",INDEX('Deck 4'!$A:$Z,ROW()-1000,'List Setup'!$D$6))</f>
        <v/>
      </c>
      <c r="B1161" s="80" t="str">
        <f t="array" ref="B1161">IF(A1161="","",IFERROR(INDEX('Binder Setup'!$B$2:$B$401,MIN(IF(ISNUMBER(SEARCH(CHAR(10)&amp;'Binder Setup'!$B$2:$B$401&amp;CHAR(10),$H1161)),'List Setup'!$Q$2:$Q$401,999),IF(ISNUMBER(SEARCH(CHAR(10)&amp;'Set Aliases'!$A$2:$A$501&amp;CHAR(10),$H1161)),'Set Aliases'!$C$2:$C$501,999))),"(none)"))</f>
        <v/>
      </c>
      <c r="C1161" s="80" t="str">
        <f t="shared" si="1"/>
        <v/>
      </c>
      <c r="D1161" s="80" t="str">
        <f t="array" ref="D1161">IF(A1161="","",IF(ISLOGICAL(INDEX('Deck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61" s="80" t="str">
        <f t="shared" si="2"/>
        <v/>
      </c>
      <c r="F1161" s="80" t="str">
        <f t="array" ref="F1161">IF(A1161="","",IF(ISNUMBER(J1161),J1161,IF(ISNUMBER(INDEX('Deck 4'!$A:$Z,ROW()-1000,'List Setup'!$F$6)),INDEX('Deck 4'!$A:$Z,ROW()-1000,'List Setup'!$F$6),0)))</f>
        <v/>
      </c>
      <c r="G1161" s="80" t="str">
        <f t="array" ref="G1161">IF(A1161="","",A1161&amp;IF(N(INDEX('Deck 4'!$A:$Z,ROW()-1000,'List Setup'!$C$6))&gt;1," (x"&amp;INDEX('Deck 4'!$A:$Z,ROW()-1000,'List Setup'!$C$6)&amp;")","")&amp;IF(COUNTIF(Binders!$J$6:$J$30,TRUE())&gt;1," ["&amp;Q1161&amp;"]",""))</f>
        <v/>
      </c>
      <c r="H1161" s="80" t="str">
        <f t="array" ref="H1161">IF(A1161="","",CHAR(10)&amp;INDEX('Deck 4'!$A:$Z,ROW()-1000,'List Setup'!$E$6)&amp;CHAR(10))</f>
        <v/>
      </c>
      <c r="I1161" s="80" t="str">
        <f t="array" ref="I1161">IF(OR(B1161="",B1161="(none)"),"",IF(ISNUMBER(SEARCH(CHAR(10)&amp;B1161&amp;CHAR(10),H1161)),B1161,IFERROR(INDEX('Set Aliases'!$A$2:$A$501,MATCH(1,('Set Aliases'!$B$2:$B$501=B1161)*ISNUMBER(SEARCH(CHAR(10)&amp;'Set Aliases'!$A$2:$A$501&amp;CHAR(10),H1161)),0)),"")))</f>
        <v/>
      </c>
      <c r="J1161" s="80" t="str">
        <f t="array" ref="J1161">IF(I1161="","",IFERROR(VALUE(TRIM(MID(SUBSTITUTE(INDEX('Deck 4'!$A:$Z,ROW()-1000,'List Setup'!$G$6),CHAR(10),REPT(" ",100)),((SEARCH(CHAR(10)&amp;I1161&amp;CHAR(10),H1161)-LEN(SUBSTITUTE(LEFT(H1161,SEARCH(CHAR(10)&amp;I1161&amp;CHAR(10),H1161)),CHAR(10),"")))-1)*100+1,100))),""))</f>
        <v/>
      </c>
      <c r="K1161" s="80" t="str">
        <f t="array" ref="K1161">IF(A1161="","",IF(ISNUMBER(SEARCH("Land",LEFT(IFERROR(INDEX('Deck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61" s="80" t="str">
        <f t="shared" si="3"/>
        <v/>
      </c>
      <c r="M1161" s="80" t="str">
        <f>IF(A1161="","",IF(AND(E1161="Y",B1161='Use at Shop'!$B$4),K1161*10000000000+(MAX(0,MIN(26,CODE(MID(UPPER(A1161)&amp;"    ",1,1))-64))*19683+MAX(0,MIN(26,CODE(MID(UPPER(A1161)&amp;"    ",2,1))-64))*729+MAX(0,MIN(26,CODE(MID(UPPER(A1161)&amp;"    ",3,1))-64))*27+MAX(0,MIN(26,CODE(MID(UPPER(A1161)&amp;"    ",4,1))-64))*1)*10000+ROW(),""))</f>
        <v/>
      </c>
      <c r="N1161" s="80" t="str">
        <f t="shared" si="8"/>
        <v/>
      </c>
      <c r="O1161" s="80" t="str">
        <f t="array" ref="O1161">IF(A1161="","",IFERROR(INDEX('Deck 4'!$A:$Z,ROW()-1000,'List Setup'!$J$6)&amp;"",""))</f>
        <v/>
      </c>
      <c r="P1161" s="2"/>
      <c r="Q1161" s="80" t="str">
        <f>IF(A1161="","",'List Setup'!$A$6)</f>
        <v/>
      </c>
      <c r="R1161" s="80" t="str">
        <f t="array" ref="R1161">IF(A1161="","",IFERROR(OR(INDEX(Binders!$J$6:$J$30,MATCH(Q1161,Binders!$I$6:$I$30,0))=TRUE(),UPPER(INDEX(Binders!$J$6:$J$30,MATCH(Q1161,Binders!$I$6:$I$30,0))&amp;"")="TRUE"),FALSE()))</f>
        <v/>
      </c>
    </row>
    <row r="1162" ht="15.75" customHeight="1">
      <c r="A1162" s="80" t="str">
        <f t="array" ref="A1162">IF(INDEX('Deck 4'!$A:$Z,ROW()-1000,'List Setup'!$D$6)="","",INDEX('Deck 4'!$A:$Z,ROW()-1000,'List Setup'!$D$6))</f>
        <v/>
      </c>
      <c r="B1162" s="80" t="str">
        <f t="array" ref="B1162">IF(A1162="","",IFERROR(INDEX('Binder Setup'!$B$2:$B$401,MIN(IF(ISNUMBER(SEARCH(CHAR(10)&amp;'Binder Setup'!$B$2:$B$401&amp;CHAR(10),$H1162)),'List Setup'!$Q$2:$Q$401,999),IF(ISNUMBER(SEARCH(CHAR(10)&amp;'Set Aliases'!$A$2:$A$501&amp;CHAR(10),$H1162)),'Set Aliases'!$C$2:$C$501,999))),"(none)"))</f>
        <v/>
      </c>
      <c r="C1162" s="80" t="str">
        <f t="shared" si="1"/>
        <v/>
      </c>
      <c r="D1162" s="80" t="str">
        <f t="array" ref="D1162">IF(A1162="","",IF(ISLOGICAL(INDEX('Deck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62" s="80" t="str">
        <f t="shared" si="2"/>
        <v/>
      </c>
      <c r="F1162" s="80" t="str">
        <f t="array" ref="F1162">IF(A1162="","",IF(ISNUMBER(J1162),J1162,IF(ISNUMBER(INDEX('Deck 4'!$A:$Z,ROW()-1000,'List Setup'!$F$6)),INDEX('Deck 4'!$A:$Z,ROW()-1000,'List Setup'!$F$6),0)))</f>
        <v/>
      </c>
      <c r="G1162" s="80" t="str">
        <f t="array" ref="G1162">IF(A1162="","",A1162&amp;IF(N(INDEX('Deck 4'!$A:$Z,ROW()-1000,'List Setup'!$C$6))&gt;1," (x"&amp;INDEX('Deck 4'!$A:$Z,ROW()-1000,'List Setup'!$C$6)&amp;")","")&amp;IF(COUNTIF(Binders!$J$6:$J$30,TRUE())&gt;1," ["&amp;Q1162&amp;"]",""))</f>
        <v/>
      </c>
      <c r="H1162" s="80" t="str">
        <f t="array" ref="H1162">IF(A1162="","",CHAR(10)&amp;INDEX('Deck 4'!$A:$Z,ROW()-1000,'List Setup'!$E$6)&amp;CHAR(10))</f>
        <v/>
      </c>
      <c r="I1162" s="80" t="str">
        <f t="array" ref="I1162">IF(OR(B1162="",B1162="(none)"),"",IF(ISNUMBER(SEARCH(CHAR(10)&amp;B1162&amp;CHAR(10),H1162)),B1162,IFERROR(INDEX('Set Aliases'!$A$2:$A$501,MATCH(1,('Set Aliases'!$B$2:$B$501=B1162)*ISNUMBER(SEARCH(CHAR(10)&amp;'Set Aliases'!$A$2:$A$501&amp;CHAR(10),H1162)),0)),"")))</f>
        <v/>
      </c>
      <c r="J1162" s="80" t="str">
        <f t="array" ref="J1162">IF(I1162="","",IFERROR(VALUE(TRIM(MID(SUBSTITUTE(INDEX('Deck 4'!$A:$Z,ROW()-1000,'List Setup'!$G$6),CHAR(10),REPT(" ",100)),((SEARCH(CHAR(10)&amp;I1162&amp;CHAR(10),H1162)-LEN(SUBSTITUTE(LEFT(H1162,SEARCH(CHAR(10)&amp;I1162&amp;CHAR(10),H1162)),CHAR(10),"")))-1)*100+1,100))),""))</f>
        <v/>
      </c>
      <c r="K1162" s="80" t="str">
        <f t="array" ref="K1162">IF(A1162="","",IF(ISNUMBER(SEARCH("Land",LEFT(IFERROR(INDEX('Deck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62" s="80" t="str">
        <f t="shared" si="3"/>
        <v/>
      </c>
      <c r="M1162" s="80" t="str">
        <f>IF(A1162="","",IF(AND(E1162="Y",B1162='Use at Shop'!$B$4),K1162*10000000000+(MAX(0,MIN(26,CODE(MID(UPPER(A1162)&amp;"    ",1,1))-64))*19683+MAX(0,MIN(26,CODE(MID(UPPER(A1162)&amp;"    ",2,1))-64))*729+MAX(0,MIN(26,CODE(MID(UPPER(A1162)&amp;"    ",3,1))-64))*27+MAX(0,MIN(26,CODE(MID(UPPER(A1162)&amp;"    ",4,1))-64))*1)*10000+ROW(),""))</f>
        <v/>
      </c>
      <c r="N1162" s="80" t="str">
        <f t="shared" si="8"/>
        <v/>
      </c>
      <c r="O1162" s="80" t="str">
        <f t="array" ref="O1162">IF(A1162="","",IFERROR(INDEX('Deck 4'!$A:$Z,ROW()-1000,'List Setup'!$J$6)&amp;"",""))</f>
        <v/>
      </c>
      <c r="P1162" s="2"/>
      <c r="Q1162" s="80" t="str">
        <f>IF(A1162="","",'List Setup'!$A$6)</f>
        <v/>
      </c>
      <c r="R1162" s="80" t="str">
        <f t="array" ref="R1162">IF(A1162="","",IFERROR(OR(INDEX(Binders!$J$6:$J$30,MATCH(Q1162,Binders!$I$6:$I$30,0))=TRUE(),UPPER(INDEX(Binders!$J$6:$J$30,MATCH(Q1162,Binders!$I$6:$I$30,0))&amp;"")="TRUE"),FALSE()))</f>
        <v/>
      </c>
    </row>
    <row r="1163" ht="15.75" customHeight="1">
      <c r="A1163" s="80" t="str">
        <f t="array" ref="A1163">IF(INDEX('Deck 4'!$A:$Z,ROW()-1000,'List Setup'!$D$6)="","",INDEX('Deck 4'!$A:$Z,ROW()-1000,'List Setup'!$D$6))</f>
        <v/>
      </c>
      <c r="B1163" s="80" t="str">
        <f t="array" ref="B1163">IF(A1163="","",IFERROR(INDEX('Binder Setup'!$B$2:$B$401,MIN(IF(ISNUMBER(SEARCH(CHAR(10)&amp;'Binder Setup'!$B$2:$B$401&amp;CHAR(10),$H1163)),'List Setup'!$Q$2:$Q$401,999),IF(ISNUMBER(SEARCH(CHAR(10)&amp;'Set Aliases'!$A$2:$A$501&amp;CHAR(10),$H1163)),'Set Aliases'!$C$2:$C$501,999))),"(none)"))</f>
        <v/>
      </c>
      <c r="C1163" s="80" t="str">
        <f t="shared" si="1"/>
        <v/>
      </c>
      <c r="D1163" s="80" t="str">
        <f t="array" ref="D1163">IF(A1163="","",IF(ISLOGICAL(INDEX('Deck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63" s="80" t="str">
        <f t="shared" si="2"/>
        <v/>
      </c>
      <c r="F1163" s="80" t="str">
        <f t="array" ref="F1163">IF(A1163="","",IF(ISNUMBER(J1163),J1163,IF(ISNUMBER(INDEX('Deck 4'!$A:$Z,ROW()-1000,'List Setup'!$F$6)),INDEX('Deck 4'!$A:$Z,ROW()-1000,'List Setup'!$F$6),0)))</f>
        <v/>
      </c>
      <c r="G1163" s="80" t="str">
        <f t="array" ref="G1163">IF(A1163="","",A1163&amp;IF(N(INDEX('Deck 4'!$A:$Z,ROW()-1000,'List Setup'!$C$6))&gt;1," (x"&amp;INDEX('Deck 4'!$A:$Z,ROW()-1000,'List Setup'!$C$6)&amp;")","")&amp;IF(COUNTIF(Binders!$J$6:$J$30,TRUE())&gt;1," ["&amp;Q1163&amp;"]",""))</f>
        <v/>
      </c>
      <c r="H1163" s="80" t="str">
        <f t="array" ref="H1163">IF(A1163="","",CHAR(10)&amp;INDEX('Deck 4'!$A:$Z,ROW()-1000,'List Setup'!$E$6)&amp;CHAR(10))</f>
        <v/>
      </c>
      <c r="I1163" s="80" t="str">
        <f t="array" ref="I1163">IF(OR(B1163="",B1163="(none)"),"",IF(ISNUMBER(SEARCH(CHAR(10)&amp;B1163&amp;CHAR(10),H1163)),B1163,IFERROR(INDEX('Set Aliases'!$A$2:$A$501,MATCH(1,('Set Aliases'!$B$2:$B$501=B1163)*ISNUMBER(SEARCH(CHAR(10)&amp;'Set Aliases'!$A$2:$A$501&amp;CHAR(10),H1163)),0)),"")))</f>
        <v/>
      </c>
      <c r="J1163" s="80" t="str">
        <f t="array" ref="J1163">IF(I1163="","",IFERROR(VALUE(TRIM(MID(SUBSTITUTE(INDEX('Deck 4'!$A:$Z,ROW()-1000,'List Setup'!$G$6),CHAR(10),REPT(" ",100)),((SEARCH(CHAR(10)&amp;I1163&amp;CHAR(10),H1163)-LEN(SUBSTITUTE(LEFT(H1163,SEARCH(CHAR(10)&amp;I1163&amp;CHAR(10),H1163)),CHAR(10),"")))-1)*100+1,100))),""))</f>
        <v/>
      </c>
      <c r="K1163" s="80" t="str">
        <f t="array" ref="K1163">IF(A1163="","",IF(ISNUMBER(SEARCH("Land",LEFT(IFERROR(INDEX('Deck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63" s="80" t="str">
        <f t="shared" si="3"/>
        <v/>
      </c>
      <c r="M1163" s="80" t="str">
        <f>IF(A1163="","",IF(AND(E1163="Y",B1163='Use at Shop'!$B$4),K1163*10000000000+(MAX(0,MIN(26,CODE(MID(UPPER(A1163)&amp;"    ",1,1))-64))*19683+MAX(0,MIN(26,CODE(MID(UPPER(A1163)&amp;"    ",2,1))-64))*729+MAX(0,MIN(26,CODE(MID(UPPER(A1163)&amp;"    ",3,1))-64))*27+MAX(0,MIN(26,CODE(MID(UPPER(A1163)&amp;"    ",4,1))-64))*1)*10000+ROW(),""))</f>
        <v/>
      </c>
      <c r="N1163" s="80" t="str">
        <f t="shared" si="8"/>
        <v/>
      </c>
      <c r="O1163" s="80" t="str">
        <f t="array" ref="O1163">IF(A1163="","",IFERROR(INDEX('Deck 4'!$A:$Z,ROW()-1000,'List Setup'!$J$6)&amp;"",""))</f>
        <v/>
      </c>
      <c r="P1163" s="2"/>
      <c r="Q1163" s="80" t="str">
        <f>IF(A1163="","",'List Setup'!$A$6)</f>
        <v/>
      </c>
      <c r="R1163" s="80" t="str">
        <f t="array" ref="R1163">IF(A1163="","",IFERROR(OR(INDEX(Binders!$J$6:$J$30,MATCH(Q1163,Binders!$I$6:$I$30,0))=TRUE(),UPPER(INDEX(Binders!$J$6:$J$30,MATCH(Q1163,Binders!$I$6:$I$30,0))&amp;"")="TRUE"),FALSE()))</f>
        <v/>
      </c>
    </row>
    <row r="1164" ht="15.75" customHeight="1">
      <c r="A1164" s="80" t="str">
        <f t="array" ref="A1164">IF(INDEX('Deck 4'!$A:$Z,ROW()-1000,'List Setup'!$D$6)="","",INDEX('Deck 4'!$A:$Z,ROW()-1000,'List Setup'!$D$6))</f>
        <v/>
      </c>
      <c r="B1164" s="80" t="str">
        <f t="array" ref="B1164">IF(A1164="","",IFERROR(INDEX('Binder Setup'!$B$2:$B$401,MIN(IF(ISNUMBER(SEARCH(CHAR(10)&amp;'Binder Setup'!$B$2:$B$401&amp;CHAR(10),$H1164)),'List Setup'!$Q$2:$Q$401,999),IF(ISNUMBER(SEARCH(CHAR(10)&amp;'Set Aliases'!$A$2:$A$501&amp;CHAR(10),$H1164)),'Set Aliases'!$C$2:$C$501,999))),"(none)"))</f>
        <v/>
      </c>
      <c r="C1164" s="80" t="str">
        <f t="shared" si="1"/>
        <v/>
      </c>
      <c r="D1164" s="80" t="str">
        <f t="array" ref="D1164">IF(A1164="","",IF(ISLOGICAL(INDEX('Deck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64" s="80" t="str">
        <f t="shared" si="2"/>
        <v/>
      </c>
      <c r="F1164" s="80" t="str">
        <f t="array" ref="F1164">IF(A1164="","",IF(ISNUMBER(J1164),J1164,IF(ISNUMBER(INDEX('Deck 4'!$A:$Z,ROW()-1000,'List Setup'!$F$6)),INDEX('Deck 4'!$A:$Z,ROW()-1000,'List Setup'!$F$6),0)))</f>
        <v/>
      </c>
      <c r="G1164" s="80" t="str">
        <f t="array" ref="G1164">IF(A1164="","",A1164&amp;IF(N(INDEX('Deck 4'!$A:$Z,ROW()-1000,'List Setup'!$C$6))&gt;1," (x"&amp;INDEX('Deck 4'!$A:$Z,ROW()-1000,'List Setup'!$C$6)&amp;")","")&amp;IF(COUNTIF(Binders!$J$6:$J$30,TRUE())&gt;1," ["&amp;Q1164&amp;"]",""))</f>
        <v/>
      </c>
      <c r="H1164" s="80" t="str">
        <f t="array" ref="H1164">IF(A1164="","",CHAR(10)&amp;INDEX('Deck 4'!$A:$Z,ROW()-1000,'List Setup'!$E$6)&amp;CHAR(10))</f>
        <v/>
      </c>
      <c r="I1164" s="80" t="str">
        <f t="array" ref="I1164">IF(OR(B1164="",B1164="(none)"),"",IF(ISNUMBER(SEARCH(CHAR(10)&amp;B1164&amp;CHAR(10),H1164)),B1164,IFERROR(INDEX('Set Aliases'!$A$2:$A$501,MATCH(1,('Set Aliases'!$B$2:$B$501=B1164)*ISNUMBER(SEARCH(CHAR(10)&amp;'Set Aliases'!$A$2:$A$501&amp;CHAR(10),H1164)),0)),"")))</f>
        <v/>
      </c>
      <c r="J1164" s="80" t="str">
        <f t="array" ref="J1164">IF(I1164="","",IFERROR(VALUE(TRIM(MID(SUBSTITUTE(INDEX('Deck 4'!$A:$Z,ROW()-1000,'List Setup'!$G$6),CHAR(10),REPT(" ",100)),((SEARCH(CHAR(10)&amp;I1164&amp;CHAR(10),H1164)-LEN(SUBSTITUTE(LEFT(H1164,SEARCH(CHAR(10)&amp;I1164&amp;CHAR(10),H1164)),CHAR(10),"")))-1)*100+1,100))),""))</f>
        <v/>
      </c>
      <c r="K1164" s="80" t="str">
        <f t="array" ref="K1164">IF(A1164="","",IF(ISNUMBER(SEARCH("Land",LEFT(IFERROR(INDEX('Deck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64" s="80" t="str">
        <f t="shared" si="3"/>
        <v/>
      </c>
      <c r="M1164" s="80" t="str">
        <f>IF(A1164="","",IF(AND(E1164="Y",B1164='Use at Shop'!$B$4),K1164*10000000000+(MAX(0,MIN(26,CODE(MID(UPPER(A1164)&amp;"    ",1,1))-64))*19683+MAX(0,MIN(26,CODE(MID(UPPER(A1164)&amp;"    ",2,1))-64))*729+MAX(0,MIN(26,CODE(MID(UPPER(A1164)&amp;"    ",3,1))-64))*27+MAX(0,MIN(26,CODE(MID(UPPER(A1164)&amp;"    ",4,1))-64))*1)*10000+ROW(),""))</f>
        <v/>
      </c>
      <c r="N1164" s="80" t="str">
        <f t="shared" si="8"/>
        <v/>
      </c>
      <c r="O1164" s="80" t="str">
        <f t="array" ref="O1164">IF(A1164="","",IFERROR(INDEX('Deck 4'!$A:$Z,ROW()-1000,'List Setup'!$J$6)&amp;"",""))</f>
        <v/>
      </c>
      <c r="P1164" s="2"/>
      <c r="Q1164" s="80" t="str">
        <f>IF(A1164="","",'List Setup'!$A$6)</f>
        <v/>
      </c>
      <c r="R1164" s="80" t="str">
        <f t="array" ref="R1164">IF(A1164="","",IFERROR(OR(INDEX(Binders!$J$6:$J$30,MATCH(Q1164,Binders!$I$6:$I$30,0))=TRUE(),UPPER(INDEX(Binders!$J$6:$J$30,MATCH(Q1164,Binders!$I$6:$I$30,0))&amp;"")="TRUE"),FALSE()))</f>
        <v/>
      </c>
    </row>
    <row r="1165" ht="15.75" customHeight="1">
      <c r="A1165" s="80" t="str">
        <f t="array" ref="A1165">IF(INDEX('Deck 4'!$A:$Z,ROW()-1000,'List Setup'!$D$6)="","",INDEX('Deck 4'!$A:$Z,ROW()-1000,'List Setup'!$D$6))</f>
        <v/>
      </c>
      <c r="B1165" s="80" t="str">
        <f t="array" ref="B1165">IF(A1165="","",IFERROR(INDEX('Binder Setup'!$B$2:$B$401,MIN(IF(ISNUMBER(SEARCH(CHAR(10)&amp;'Binder Setup'!$B$2:$B$401&amp;CHAR(10),$H1165)),'List Setup'!$Q$2:$Q$401,999),IF(ISNUMBER(SEARCH(CHAR(10)&amp;'Set Aliases'!$A$2:$A$501&amp;CHAR(10),$H1165)),'Set Aliases'!$C$2:$C$501,999))),"(none)"))</f>
        <v/>
      </c>
      <c r="C1165" s="80" t="str">
        <f t="shared" si="1"/>
        <v/>
      </c>
      <c r="D1165" s="80" t="str">
        <f t="array" ref="D1165">IF(A1165="","",IF(ISLOGICAL(INDEX('Deck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65" s="80" t="str">
        <f t="shared" si="2"/>
        <v/>
      </c>
      <c r="F1165" s="80" t="str">
        <f t="array" ref="F1165">IF(A1165="","",IF(ISNUMBER(J1165),J1165,IF(ISNUMBER(INDEX('Deck 4'!$A:$Z,ROW()-1000,'List Setup'!$F$6)),INDEX('Deck 4'!$A:$Z,ROW()-1000,'List Setup'!$F$6),0)))</f>
        <v/>
      </c>
      <c r="G1165" s="80" t="str">
        <f t="array" ref="G1165">IF(A1165="","",A1165&amp;IF(N(INDEX('Deck 4'!$A:$Z,ROW()-1000,'List Setup'!$C$6))&gt;1," (x"&amp;INDEX('Deck 4'!$A:$Z,ROW()-1000,'List Setup'!$C$6)&amp;")","")&amp;IF(COUNTIF(Binders!$J$6:$J$30,TRUE())&gt;1," ["&amp;Q1165&amp;"]",""))</f>
        <v/>
      </c>
      <c r="H1165" s="80" t="str">
        <f t="array" ref="H1165">IF(A1165="","",CHAR(10)&amp;INDEX('Deck 4'!$A:$Z,ROW()-1000,'List Setup'!$E$6)&amp;CHAR(10))</f>
        <v/>
      </c>
      <c r="I1165" s="80" t="str">
        <f t="array" ref="I1165">IF(OR(B1165="",B1165="(none)"),"",IF(ISNUMBER(SEARCH(CHAR(10)&amp;B1165&amp;CHAR(10),H1165)),B1165,IFERROR(INDEX('Set Aliases'!$A$2:$A$501,MATCH(1,('Set Aliases'!$B$2:$B$501=B1165)*ISNUMBER(SEARCH(CHAR(10)&amp;'Set Aliases'!$A$2:$A$501&amp;CHAR(10),H1165)),0)),"")))</f>
        <v/>
      </c>
      <c r="J1165" s="80" t="str">
        <f t="array" ref="J1165">IF(I1165="","",IFERROR(VALUE(TRIM(MID(SUBSTITUTE(INDEX('Deck 4'!$A:$Z,ROW()-1000,'List Setup'!$G$6),CHAR(10),REPT(" ",100)),((SEARCH(CHAR(10)&amp;I1165&amp;CHAR(10),H1165)-LEN(SUBSTITUTE(LEFT(H1165,SEARCH(CHAR(10)&amp;I1165&amp;CHAR(10),H1165)),CHAR(10),"")))-1)*100+1,100))),""))</f>
        <v/>
      </c>
      <c r="K1165" s="80" t="str">
        <f t="array" ref="K1165">IF(A1165="","",IF(ISNUMBER(SEARCH("Land",LEFT(IFERROR(INDEX('Deck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65" s="80" t="str">
        <f t="shared" si="3"/>
        <v/>
      </c>
      <c r="M1165" s="80" t="str">
        <f>IF(A1165="","",IF(AND(E1165="Y",B1165='Use at Shop'!$B$4),K1165*10000000000+(MAX(0,MIN(26,CODE(MID(UPPER(A1165)&amp;"    ",1,1))-64))*19683+MAX(0,MIN(26,CODE(MID(UPPER(A1165)&amp;"    ",2,1))-64))*729+MAX(0,MIN(26,CODE(MID(UPPER(A1165)&amp;"    ",3,1))-64))*27+MAX(0,MIN(26,CODE(MID(UPPER(A1165)&amp;"    ",4,1))-64))*1)*10000+ROW(),""))</f>
        <v/>
      </c>
      <c r="N1165" s="80" t="str">
        <f t="shared" si="8"/>
        <v/>
      </c>
      <c r="O1165" s="80" t="str">
        <f t="array" ref="O1165">IF(A1165="","",IFERROR(INDEX('Deck 4'!$A:$Z,ROW()-1000,'List Setup'!$J$6)&amp;"",""))</f>
        <v/>
      </c>
      <c r="P1165" s="2"/>
      <c r="Q1165" s="80" t="str">
        <f>IF(A1165="","",'List Setup'!$A$6)</f>
        <v/>
      </c>
      <c r="R1165" s="80" t="str">
        <f t="array" ref="R1165">IF(A1165="","",IFERROR(OR(INDEX(Binders!$J$6:$J$30,MATCH(Q1165,Binders!$I$6:$I$30,0))=TRUE(),UPPER(INDEX(Binders!$J$6:$J$30,MATCH(Q1165,Binders!$I$6:$I$30,0))&amp;"")="TRUE"),FALSE()))</f>
        <v/>
      </c>
    </row>
    <row r="1166" ht="15.75" customHeight="1">
      <c r="A1166" s="80" t="str">
        <f t="array" ref="A1166">IF(INDEX('Deck 4'!$A:$Z,ROW()-1000,'List Setup'!$D$6)="","",INDEX('Deck 4'!$A:$Z,ROW()-1000,'List Setup'!$D$6))</f>
        <v/>
      </c>
      <c r="B1166" s="80" t="str">
        <f t="array" ref="B1166">IF(A1166="","",IFERROR(INDEX('Binder Setup'!$B$2:$B$401,MIN(IF(ISNUMBER(SEARCH(CHAR(10)&amp;'Binder Setup'!$B$2:$B$401&amp;CHAR(10),$H1166)),'List Setup'!$Q$2:$Q$401,999),IF(ISNUMBER(SEARCH(CHAR(10)&amp;'Set Aliases'!$A$2:$A$501&amp;CHAR(10),$H1166)),'Set Aliases'!$C$2:$C$501,999))),"(none)"))</f>
        <v/>
      </c>
      <c r="C1166" s="80" t="str">
        <f t="shared" si="1"/>
        <v/>
      </c>
      <c r="D1166" s="80" t="str">
        <f t="array" ref="D1166">IF(A1166="","",IF(ISLOGICAL(INDEX('Deck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66" s="80" t="str">
        <f t="shared" si="2"/>
        <v/>
      </c>
      <c r="F1166" s="80" t="str">
        <f t="array" ref="F1166">IF(A1166="","",IF(ISNUMBER(J1166),J1166,IF(ISNUMBER(INDEX('Deck 4'!$A:$Z,ROW()-1000,'List Setup'!$F$6)),INDEX('Deck 4'!$A:$Z,ROW()-1000,'List Setup'!$F$6),0)))</f>
        <v/>
      </c>
      <c r="G1166" s="80" t="str">
        <f t="array" ref="G1166">IF(A1166="","",A1166&amp;IF(N(INDEX('Deck 4'!$A:$Z,ROW()-1000,'List Setup'!$C$6))&gt;1," (x"&amp;INDEX('Deck 4'!$A:$Z,ROW()-1000,'List Setup'!$C$6)&amp;")","")&amp;IF(COUNTIF(Binders!$J$6:$J$30,TRUE())&gt;1," ["&amp;Q1166&amp;"]",""))</f>
        <v/>
      </c>
      <c r="H1166" s="80" t="str">
        <f t="array" ref="H1166">IF(A1166="","",CHAR(10)&amp;INDEX('Deck 4'!$A:$Z,ROW()-1000,'List Setup'!$E$6)&amp;CHAR(10))</f>
        <v/>
      </c>
      <c r="I1166" s="80" t="str">
        <f t="array" ref="I1166">IF(OR(B1166="",B1166="(none)"),"",IF(ISNUMBER(SEARCH(CHAR(10)&amp;B1166&amp;CHAR(10),H1166)),B1166,IFERROR(INDEX('Set Aliases'!$A$2:$A$501,MATCH(1,('Set Aliases'!$B$2:$B$501=B1166)*ISNUMBER(SEARCH(CHAR(10)&amp;'Set Aliases'!$A$2:$A$501&amp;CHAR(10),H1166)),0)),"")))</f>
        <v/>
      </c>
      <c r="J1166" s="80" t="str">
        <f t="array" ref="J1166">IF(I1166="","",IFERROR(VALUE(TRIM(MID(SUBSTITUTE(INDEX('Deck 4'!$A:$Z,ROW()-1000,'List Setup'!$G$6),CHAR(10),REPT(" ",100)),((SEARCH(CHAR(10)&amp;I1166&amp;CHAR(10),H1166)-LEN(SUBSTITUTE(LEFT(H1166,SEARCH(CHAR(10)&amp;I1166&amp;CHAR(10),H1166)),CHAR(10),"")))-1)*100+1,100))),""))</f>
        <v/>
      </c>
      <c r="K1166" s="80" t="str">
        <f t="array" ref="K1166">IF(A1166="","",IF(ISNUMBER(SEARCH("Land",LEFT(IFERROR(INDEX('Deck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66" s="80" t="str">
        <f t="shared" si="3"/>
        <v/>
      </c>
      <c r="M1166" s="80" t="str">
        <f>IF(A1166="","",IF(AND(E1166="Y",B1166='Use at Shop'!$B$4),K1166*10000000000+(MAX(0,MIN(26,CODE(MID(UPPER(A1166)&amp;"    ",1,1))-64))*19683+MAX(0,MIN(26,CODE(MID(UPPER(A1166)&amp;"    ",2,1))-64))*729+MAX(0,MIN(26,CODE(MID(UPPER(A1166)&amp;"    ",3,1))-64))*27+MAX(0,MIN(26,CODE(MID(UPPER(A1166)&amp;"    ",4,1))-64))*1)*10000+ROW(),""))</f>
        <v/>
      </c>
      <c r="N1166" s="80" t="str">
        <f t="shared" si="8"/>
        <v/>
      </c>
      <c r="O1166" s="80" t="str">
        <f t="array" ref="O1166">IF(A1166="","",IFERROR(INDEX('Deck 4'!$A:$Z,ROW()-1000,'List Setup'!$J$6)&amp;"",""))</f>
        <v/>
      </c>
      <c r="P1166" s="2"/>
      <c r="Q1166" s="80" t="str">
        <f>IF(A1166="","",'List Setup'!$A$6)</f>
        <v/>
      </c>
      <c r="R1166" s="80" t="str">
        <f t="array" ref="R1166">IF(A1166="","",IFERROR(OR(INDEX(Binders!$J$6:$J$30,MATCH(Q1166,Binders!$I$6:$I$30,0))=TRUE(),UPPER(INDEX(Binders!$J$6:$J$30,MATCH(Q1166,Binders!$I$6:$I$30,0))&amp;"")="TRUE"),FALSE()))</f>
        <v/>
      </c>
    </row>
    <row r="1167" ht="15.75" customHeight="1">
      <c r="A1167" s="80" t="str">
        <f t="array" ref="A1167">IF(INDEX('Deck 4'!$A:$Z,ROW()-1000,'List Setup'!$D$6)="","",INDEX('Deck 4'!$A:$Z,ROW()-1000,'List Setup'!$D$6))</f>
        <v/>
      </c>
      <c r="B1167" s="80" t="str">
        <f t="array" ref="B1167">IF(A1167="","",IFERROR(INDEX('Binder Setup'!$B$2:$B$401,MIN(IF(ISNUMBER(SEARCH(CHAR(10)&amp;'Binder Setup'!$B$2:$B$401&amp;CHAR(10),$H1167)),'List Setup'!$Q$2:$Q$401,999),IF(ISNUMBER(SEARCH(CHAR(10)&amp;'Set Aliases'!$A$2:$A$501&amp;CHAR(10),$H1167)),'Set Aliases'!$C$2:$C$501,999))),"(none)"))</f>
        <v/>
      </c>
      <c r="C1167" s="80" t="str">
        <f t="shared" si="1"/>
        <v/>
      </c>
      <c r="D1167" s="80" t="str">
        <f t="array" ref="D1167">IF(A1167="","",IF(ISLOGICAL(INDEX('Deck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67" s="80" t="str">
        <f t="shared" si="2"/>
        <v/>
      </c>
      <c r="F1167" s="80" t="str">
        <f t="array" ref="F1167">IF(A1167="","",IF(ISNUMBER(J1167),J1167,IF(ISNUMBER(INDEX('Deck 4'!$A:$Z,ROW()-1000,'List Setup'!$F$6)),INDEX('Deck 4'!$A:$Z,ROW()-1000,'List Setup'!$F$6),0)))</f>
        <v/>
      </c>
      <c r="G1167" s="80" t="str">
        <f t="array" ref="G1167">IF(A1167="","",A1167&amp;IF(N(INDEX('Deck 4'!$A:$Z,ROW()-1000,'List Setup'!$C$6))&gt;1," (x"&amp;INDEX('Deck 4'!$A:$Z,ROW()-1000,'List Setup'!$C$6)&amp;")","")&amp;IF(COUNTIF(Binders!$J$6:$J$30,TRUE())&gt;1," ["&amp;Q1167&amp;"]",""))</f>
        <v/>
      </c>
      <c r="H1167" s="80" t="str">
        <f t="array" ref="H1167">IF(A1167="","",CHAR(10)&amp;INDEX('Deck 4'!$A:$Z,ROW()-1000,'List Setup'!$E$6)&amp;CHAR(10))</f>
        <v/>
      </c>
      <c r="I1167" s="80" t="str">
        <f t="array" ref="I1167">IF(OR(B1167="",B1167="(none)"),"",IF(ISNUMBER(SEARCH(CHAR(10)&amp;B1167&amp;CHAR(10),H1167)),B1167,IFERROR(INDEX('Set Aliases'!$A$2:$A$501,MATCH(1,('Set Aliases'!$B$2:$B$501=B1167)*ISNUMBER(SEARCH(CHAR(10)&amp;'Set Aliases'!$A$2:$A$501&amp;CHAR(10),H1167)),0)),"")))</f>
        <v/>
      </c>
      <c r="J1167" s="80" t="str">
        <f t="array" ref="J1167">IF(I1167="","",IFERROR(VALUE(TRIM(MID(SUBSTITUTE(INDEX('Deck 4'!$A:$Z,ROW()-1000,'List Setup'!$G$6),CHAR(10),REPT(" ",100)),((SEARCH(CHAR(10)&amp;I1167&amp;CHAR(10),H1167)-LEN(SUBSTITUTE(LEFT(H1167,SEARCH(CHAR(10)&amp;I1167&amp;CHAR(10),H1167)),CHAR(10),"")))-1)*100+1,100))),""))</f>
        <v/>
      </c>
      <c r="K1167" s="80" t="str">
        <f t="array" ref="K1167">IF(A1167="","",IF(ISNUMBER(SEARCH("Land",LEFT(IFERROR(INDEX('Deck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67" s="80" t="str">
        <f t="shared" si="3"/>
        <v/>
      </c>
      <c r="M1167" s="80" t="str">
        <f>IF(A1167="","",IF(AND(E1167="Y",B1167='Use at Shop'!$B$4),K1167*10000000000+(MAX(0,MIN(26,CODE(MID(UPPER(A1167)&amp;"    ",1,1))-64))*19683+MAX(0,MIN(26,CODE(MID(UPPER(A1167)&amp;"    ",2,1))-64))*729+MAX(0,MIN(26,CODE(MID(UPPER(A1167)&amp;"    ",3,1))-64))*27+MAX(0,MIN(26,CODE(MID(UPPER(A1167)&amp;"    ",4,1))-64))*1)*10000+ROW(),""))</f>
        <v/>
      </c>
      <c r="N1167" s="80" t="str">
        <f t="shared" si="8"/>
        <v/>
      </c>
      <c r="O1167" s="80" t="str">
        <f t="array" ref="O1167">IF(A1167="","",IFERROR(INDEX('Deck 4'!$A:$Z,ROW()-1000,'List Setup'!$J$6)&amp;"",""))</f>
        <v/>
      </c>
      <c r="P1167" s="2"/>
      <c r="Q1167" s="80" t="str">
        <f>IF(A1167="","",'List Setup'!$A$6)</f>
        <v/>
      </c>
      <c r="R1167" s="80" t="str">
        <f t="array" ref="R1167">IF(A1167="","",IFERROR(OR(INDEX(Binders!$J$6:$J$30,MATCH(Q1167,Binders!$I$6:$I$30,0))=TRUE(),UPPER(INDEX(Binders!$J$6:$J$30,MATCH(Q1167,Binders!$I$6:$I$30,0))&amp;"")="TRUE"),FALSE()))</f>
        <v/>
      </c>
    </row>
    <row r="1168" ht="15.75" customHeight="1">
      <c r="A1168" s="80" t="str">
        <f t="array" ref="A1168">IF(INDEX('Deck 4'!$A:$Z,ROW()-1000,'List Setup'!$D$6)="","",INDEX('Deck 4'!$A:$Z,ROW()-1000,'List Setup'!$D$6))</f>
        <v/>
      </c>
      <c r="B1168" s="80" t="str">
        <f t="array" ref="B1168">IF(A1168="","",IFERROR(INDEX('Binder Setup'!$B$2:$B$401,MIN(IF(ISNUMBER(SEARCH(CHAR(10)&amp;'Binder Setup'!$B$2:$B$401&amp;CHAR(10),$H1168)),'List Setup'!$Q$2:$Q$401,999),IF(ISNUMBER(SEARCH(CHAR(10)&amp;'Set Aliases'!$A$2:$A$501&amp;CHAR(10),$H1168)),'Set Aliases'!$C$2:$C$501,999))),"(none)"))</f>
        <v/>
      </c>
      <c r="C1168" s="80" t="str">
        <f t="shared" si="1"/>
        <v/>
      </c>
      <c r="D1168" s="80" t="str">
        <f t="array" ref="D1168">IF(A1168="","",IF(ISLOGICAL(INDEX('Deck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68" s="80" t="str">
        <f t="shared" si="2"/>
        <v/>
      </c>
      <c r="F1168" s="80" t="str">
        <f t="array" ref="F1168">IF(A1168="","",IF(ISNUMBER(J1168),J1168,IF(ISNUMBER(INDEX('Deck 4'!$A:$Z,ROW()-1000,'List Setup'!$F$6)),INDEX('Deck 4'!$A:$Z,ROW()-1000,'List Setup'!$F$6),0)))</f>
        <v/>
      </c>
      <c r="G1168" s="80" t="str">
        <f t="array" ref="G1168">IF(A1168="","",A1168&amp;IF(N(INDEX('Deck 4'!$A:$Z,ROW()-1000,'List Setup'!$C$6))&gt;1," (x"&amp;INDEX('Deck 4'!$A:$Z,ROW()-1000,'List Setup'!$C$6)&amp;")","")&amp;IF(COUNTIF(Binders!$J$6:$J$30,TRUE())&gt;1," ["&amp;Q1168&amp;"]",""))</f>
        <v/>
      </c>
      <c r="H1168" s="80" t="str">
        <f t="array" ref="H1168">IF(A1168="","",CHAR(10)&amp;INDEX('Deck 4'!$A:$Z,ROW()-1000,'List Setup'!$E$6)&amp;CHAR(10))</f>
        <v/>
      </c>
      <c r="I1168" s="80" t="str">
        <f t="array" ref="I1168">IF(OR(B1168="",B1168="(none)"),"",IF(ISNUMBER(SEARCH(CHAR(10)&amp;B1168&amp;CHAR(10),H1168)),B1168,IFERROR(INDEX('Set Aliases'!$A$2:$A$501,MATCH(1,('Set Aliases'!$B$2:$B$501=B1168)*ISNUMBER(SEARCH(CHAR(10)&amp;'Set Aliases'!$A$2:$A$501&amp;CHAR(10),H1168)),0)),"")))</f>
        <v/>
      </c>
      <c r="J1168" s="80" t="str">
        <f t="array" ref="J1168">IF(I1168="","",IFERROR(VALUE(TRIM(MID(SUBSTITUTE(INDEX('Deck 4'!$A:$Z,ROW()-1000,'List Setup'!$G$6),CHAR(10),REPT(" ",100)),((SEARCH(CHAR(10)&amp;I1168&amp;CHAR(10),H1168)-LEN(SUBSTITUTE(LEFT(H1168,SEARCH(CHAR(10)&amp;I1168&amp;CHAR(10),H1168)),CHAR(10),"")))-1)*100+1,100))),""))</f>
        <v/>
      </c>
      <c r="K1168" s="80" t="str">
        <f t="array" ref="K1168">IF(A1168="","",IF(ISNUMBER(SEARCH("Land",LEFT(IFERROR(INDEX('Deck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68" s="80" t="str">
        <f t="shared" si="3"/>
        <v/>
      </c>
      <c r="M1168" s="80" t="str">
        <f>IF(A1168="","",IF(AND(E1168="Y",B1168='Use at Shop'!$B$4),K1168*10000000000+(MAX(0,MIN(26,CODE(MID(UPPER(A1168)&amp;"    ",1,1))-64))*19683+MAX(0,MIN(26,CODE(MID(UPPER(A1168)&amp;"    ",2,1))-64))*729+MAX(0,MIN(26,CODE(MID(UPPER(A1168)&amp;"    ",3,1))-64))*27+MAX(0,MIN(26,CODE(MID(UPPER(A1168)&amp;"    ",4,1))-64))*1)*10000+ROW(),""))</f>
        <v/>
      </c>
      <c r="N1168" s="80" t="str">
        <f t="shared" si="8"/>
        <v/>
      </c>
      <c r="O1168" s="80" t="str">
        <f t="array" ref="O1168">IF(A1168="","",IFERROR(INDEX('Deck 4'!$A:$Z,ROW()-1000,'List Setup'!$J$6)&amp;"",""))</f>
        <v/>
      </c>
      <c r="P1168" s="2"/>
      <c r="Q1168" s="80" t="str">
        <f>IF(A1168="","",'List Setup'!$A$6)</f>
        <v/>
      </c>
      <c r="R1168" s="80" t="str">
        <f t="array" ref="R1168">IF(A1168="","",IFERROR(OR(INDEX(Binders!$J$6:$J$30,MATCH(Q1168,Binders!$I$6:$I$30,0))=TRUE(),UPPER(INDEX(Binders!$J$6:$J$30,MATCH(Q1168,Binders!$I$6:$I$30,0))&amp;"")="TRUE"),FALSE()))</f>
        <v/>
      </c>
    </row>
    <row r="1169" ht="15.75" customHeight="1">
      <c r="A1169" s="80" t="str">
        <f t="array" ref="A1169">IF(INDEX('Deck 4'!$A:$Z,ROW()-1000,'List Setup'!$D$6)="","",INDEX('Deck 4'!$A:$Z,ROW()-1000,'List Setup'!$D$6))</f>
        <v/>
      </c>
      <c r="B1169" s="80" t="str">
        <f t="array" ref="B1169">IF(A1169="","",IFERROR(INDEX('Binder Setup'!$B$2:$B$401,MIN(IF(ISNUMBER(SEARCH(CHAR(10)&amp;'Binder Setup'!$B$2:$B$401&amp;CHAR(10),$H1169)),'List Setup'!$Q$2:$Q$401,999),IF(ISNUMBER(SEARCH(CHAR(10)&amp;'Set Aliases'!$A$2:$A$501&amp;CHAR(10),$H1169)),'Set Aliases'!$C$2:$C$501,999))),"(none)"))</f>
        <v/>
      </c>
      <c r="C1169" s="80" t="str">
        <f t="shared" si="1"/>
        <v/>
      </c>
      <c r="D1169" s="80" t="str">
        <f t="array" ref="D1169">IF(A1169="","",IF(ISLOGICAL(INDEX('Deck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69" s="80" t="str">
        <f t="shared" si="2"/>
        <v/>
      </c>
      <c r="F1169" s="80" t="str">
        <f t="array" ref="F1169">IF(A1169="","",IF(ISNUMBER(J1169),J1169,IF(ISNUMBER(INDEX('Deck 4'!$A:$Z,ROW()-1000,'List Setup'!$F$6)),INDEX('Deck 4'!$A:$Z,ROW()-1000,'List Setup'!$F$6),0)))</f>
        <v/>
      </c>
      <c r="G1169" s="80" t="str">
        <f t="array" ref="G1169">IF(A1169="","",A1169&amp;IF(N(INDEX('Deck 4'!$A:$Z,ROW()-1000,'List Setup'!$C$6))&gt;1," (x"&amp;INDEX('Deck 4'!$A:$Z,ROW()-1000,'List Setup'!$C$6)&amp;")","")&amp;IF(COUNTIF(Binders!$J$6:$J$30,TRUE())&gt;1," ["&amp;Q1169&amp;"]",""))</f>
        <v/>
      </c>
      <c r="H1169" s="80" t="str">
        <f t="array" ref="H1169">IF(A1169="","",CHAR(10)&amp;INDEX('Deck 4'!$A:$Z,ROW()-1000,'List Setup'!$E$6)&amp;CHAR(10))</f>
        <v/>
      </c>
      <c r="I1169" s="80" t="str">
        <f t="array" ref="I1169">IF(OR(B1169="",B1169="(none)"),"",IF(ISNUMBER(SEARCH(CHAR(10)&amp;B1169&amp;CHAR(10),H1169)),B1169,IFERROR(INDEX('Set Aliases'!$A$2:$A$501,MATCH(1,('Set Aliases'!$B$2:$B$501=B1169)*ISNUMBER(SEARCH(CHAR(10)&amp;'Set Aliases'!$A$2:$A$501&amp;CHAR(10),H1169)),0)),"")))</f>
        <v/>
      </c>
      <c r="J1169" s="80" t="str">
        <f t="array" ref="J1169">IF(I1169="","",IFERROR(VALUE(TRIM(MID(SUBSTITUTE(INDEX('Deck 4'!$A:$Z,ROW()-1000,'List Setup'!$G$6),CHAR(10),REPT(" ",100)),((SEARCH(CHAR(10)&amp;I1169&amp;CHAR(10),H1169)-LEN(SUBSTITUTE(LEFT(H1169,SEARCH(CHAR(10)&amp;I1169&amp;CHAR(10),H1169)),CHAR(10),"")))-1)*100+1,100))),""))</f>
        <v/>
      </c>
      <c r="K1169" s="80" t="str">
        <f t="array" ref="K1169">IF(A1169="","",IF(ISNUMBER(SEARCH("Land",LEFT(IFERROR(INDEX('Deck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69" s="80" t="str">
        <f t="shared" si="3"/>
        <v/>
      </c>
      <c r="M1169" s="80" t="str">
        <f>IF(A1169="","",IF(AND(E1169="Y",B1169='Use at Shop'!$B$4),K1169*10000000000+(MAX(0,MIN(26,CODE(MID(UPPER(A1169)&amp;"    ",1,1))-64))*19683+MAX(0,MIN(26,CODE(MID(UPPER(A1169)&amp;"    ",2,1))-64))*729+MAX(0,MIN(26,CODE(MID(UPPER(A1169)&amp;"    ",3,1))-64))*27+MAX(0,MIN(26,CODE(MID(UPPER(A1169)&amp;"    ",4,1))-64))*1)*10000+ROW(),""))</f>
        <v/>
      </c>
      <c r="N1169" s="80" t="str">
        <f t="shared" si="8"/>
        <v/>
      </c>
      <c r="O1169" s="80" t="str">
        <f t="array" ref="O1169">IF(A1169="","",IFERROR(INDEX('Deck 4'!$A:$Z,ROW()-1000,'List Setup'!$J$6)&amp;"",""))</f>
        <v/>
      </c>
      <c r="P1169" s="2"/>
      <c r="Q1169" s="80" t="str">
        <f>IF(A1169="","",'List Setup'!$A$6)</f>
        <v/>
      </c>
      <c r="R1169" s="80" t="str">
        <f t="array" ref="R1169">IF(A1169="","",IFERROR(OR(INDEX(Binders!$J$6:$J$30,MATCH(Q1169,Binders!$I$6:$I$30,0))=TRUE(),UPPER(INDEX(Binders!$J$6:$J$30,MATCH(Q1169,Binders!$I$6:$I$30,0))&amp;"")="TRUE"),FALSE()))</f>
        <v/>
      </c>
    </row>
    <row r="1170" ht="15.75" customHeight="1">
      <c r="A1170" s="80" t="str">
        <f t="array" ref="A1170">IF(INDEX('Deck 4'!$A:$Z,ROW()-1000,'List Setup'!$D$6)="","",INDEX('Deck 4'!$A:$Z,ROW()-1000,'List Setup'!$D$6))</f>
        <v/>
      </c>
      <c r="B1170" s="80" t="str">
        <f t="array" ref="B1170">IF(A1170="","",IFERROR(INDEX('Binder Setup'!$B$2:$B$401,MIN(IF(ISNUMBER(SEARCH(CHAR(10)&amp;'Binder Setup'!$B$2:$B$401&amp;CHAR(10),$H1170)),'List Setup'!$Q$2:$Q$401,999),IF(ISNUMBER(SEARCH(CHAR(10)&amp;'Set Aliases'!$A$2:$A$501&amp;CHAR(10),$H1170)),'Set Aliases'!$C$2:$C$501,999))),"(none)"))</f>
        <v/>
      </c>
      <c r="C1170" s="80" t="str">
        <f t="shared" si="1"/>
        <v/>
      </c>
      <c r="D1170" s="80" t="str">
        <f t="array" ref="D1170">IF(A1170="","",IF(ISLOGICAL(INDEX('Deck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70" s="80" t="str">
        <f t="shared" si="2"/>
        <v/>
      </c>
      <c r="F1170" s="80" t="str">
        <f t="array" ref="F1170">IF(A1170="","",IF(ISNUMBER(J1170),J1170,IF(ISNUMBER(INDEX('Deck 4'!$A:$Z,ROW()-1000,'List Setup'!$F$6)),INDEX('Deck 4'!$A:$Z,ROW()-1000,'List Setup'!$F$6),0)))</f>
        <v/>
      </c>
      <c r="G1170" s="80" t="str">
        <f t="array" ref="G1170">IF(A1170="","",A1170&amp;IF(N(INDEX('Deck 4'!$A:$Z,ROW()-1000,'List Setup'!$C$6))&gt;1," (x"&amp;INDEX('Deck 4'!$A:$Z,ROW()-1000,'List Setup'!$C$6)&amp;")","")&amp;IF(COUNTIF(Binders!$J$6:$J$30,TRUE())&gt;1," ["&amp;Q1170&amp;"]",""))</f>
        <v/>
      </c>
      <c r="H1170" s="80" t="str">
        <f t="array" ref="H1170">IF(A1170="","",CHAR(10)&amp;INDEX('Deck 4'!$A:$Z,ROW()-1000,'List Setup'!$E$6)&amp;CHAR(10))</f>
        <v/>
      </c>
      <c r="I1170" s="80" t="str">
        <f t="array" ref="I1170">IF(OR(B1170="",B1170="(none)"),"",IF(ISNUMBER(SEARCH(CHAR(10)&amp;B1170&amp;CHAR(10),H1170)),B1170,IFERROR(INDEX('Set Aliases'!$A$2:$A$501,MATCH(1,('Set Aliases'!$B$2:$B$501=B1170)*ISNUMBER(SEARCH(CHAR(10)&amp;'Set Aliases'!$A$2:$A$501&amp;CHAR(10),H1170)),0)),"")))</f>
        <v/>
      </c>
      <c r="J1170" s="80" t="str">
        <f t="array" ref="J1170">IF(I1170="","",IFERROR(VALUE(TRIM(MID(SUBSTITUTE(INDEX('Deck 4'!$A:$Z,ROW()-1000,'List Setup'!$G$6),CHAR(10),REPT(" ",100)),((SEARCH(CHAR(10)&amp;I1170&amp;CHAR(10),H1170)-LEN(SUBSTITUTE(LEFT(H1170,SEARCH(CHAR(10)&amp;I1170&amp;CHAR(10),H1170)),CHAR(10),"")))-1)*100+1,100))),""))</f>
        <v/>
      </c>
      <c r="K1170" s="80" t="str">
        <f t="array" ref="K1170">IF(A1170="","",IF(ISNUMBER(SEARCH("Land",LEFT(IFERROR(INDEX('Deck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70" s="80" t="str">
        <f t="shared" si="3"/>
        <v/>
      </c>
      <c r="M1170" s="80" t="str">
        <f>IF(A1170="","",IF(AND(E1170="Y",B1170='Use at Shop'!$B$4),K1170*10000000000+(MAX(0,MIN(26,CODE(MID(UPPER(A1170)&amp;"    ",1,1))-64))*19683+MAX(0,MIN(26,CODE(MID(UPPER(A1170)&amp;"    ",2,1))-64))*729+MAX(0,MIN(26,CODE(MID(UPPER(A1170)&amp;"    ",3,1))-64))*27+MAX(0,MIN(26,CODE(MID(UPPER(A1170)&amp;"    ",4,1))-64))*1)*10000+ROW(),""))</f>
        <v/>
      </c>
      <c r="N1170" s="80" t="str">
        <f t="shared" si="8"/>
        <v/>
      </c>
      <c r="O1170" s="80" t="str">
        <f t="array" ref="O1170">IF(A1170="","",IFERROR(INDEX('Deck 4'!$A:$Z,ROW()-1000,'List Setup'!$J$6)&amp;"",""))</f>
        <v/>
      </c>
      <c r="P1170" s="2"/>
      <c r="Q1170" s="80" t="str">
        <f>IF(A1170="","",'List Setup'!$A$6)</f>
        <v/>
      </c>
      <c r="R1170" s="80" t="str">
        <f t="array" ref="R1170">IF(A1170="","",IFERROR(OR(INDEX(Binders!$J$6:$J$30,MATCH(Q1170,Binders!$I$6:$I$30,0))=TRUE(),UPPER(INDEX(Binders!$J$6:$J$30,MATCH(Q1170,Binders!$I$6:$I$30,0))&amp;"")="TRUE"),FALSE()))</f>
        <v/>
      </c>
    </row>
    <row r="1171" ht="15.75" customHeight="1">
      <c r="A1171" s="80" t="str">
        <f t="array" ref="A1171">IF(INDEX('Deck 4'!$A:$Z,ROW()-1000,'List Setup'!$D$6)="","",INDEX('Deck 4'!$A:$Z,ROW()-1000,'List Setup'!$D$6))</f>
        <v/>
      </c>
      <c r="B1171" s="80" t="str">
        <f t="array" ref="B1171">IF(A1171="","",IFERROR(INDEX('Binder Setup'!$B$2:$B$401,MIN(IF(ISNUMBER(SEARCH(CHAR(10)&amp;'Binder Setup'!$B$2:$B$401&amp;CHAR(10),$H1171)),'List Setup'!$Q$2:$Q$401,999),IF(ISNUMBER(SEARCH(CHAR(10)&amp;'Set Aliases'!$A$2:$A$501&amp;CHAR(10),$H1171)),'Set Aliases'!$C$2:$C$501,999))),"(none)"))</f>
        <v/>
      </c>
      <c r="C1171" s="80" t="str">
        <f t="shared" si="1"/>
        <v/>
      </c>
      <c r="D1171" s="80" t="str">
        <f t="array" ref="D1171">IF(A1171="","",IF(ISLOGICAL(INDEX('Deck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71" s="80" t="str">
        <f t="shared" si="2"/>
        <v/>
      </c>
      <c r="F1171" s="80" t="str">
        <f t="array" ref="F1171">IF(A1171="","",IF(ISNUMBER(J1171),J1171,IF(ISNUMBER(INDEX('Deck 4'!$A:$Z,ROW()-1000,'List Setup'!$F$6)),INDEX('Deck 4'!$A:$Z,ROW()-1000,'List Setup'!$F$6),0)))</f>
        <v/>
      </c>
      <c r="G1171" s="80" t="str">
        <f t="array" ref="G1171">IF(A1171="","",A1171&amp;IF(N(INDEX('Deck 4'!$A:$Z,ROW()-1000,'List Setup'!$C$6))&gt;1," (x"&amp;INDEX('Deck 4'!$A:$Z,ROW()-1000,'List Setup'!$C$6)&amp;")","")&amp;IF(COUNTIF(Binders!$J$6:$J$30,TRUE())&gt;1," ["&amp;Q1171&amp;"]",""))</f>
        <v/>
      </c>
      <c r="H1171" s="80" t="str">
        <f t="array" ref="H1171">IF(A1171="","",CHAR(10)&amp;INDEX('Deck 4'!$A:$Z,ROW()-1000,'List Setup'!$E$6)&amp;CHAR(10))</f>
        <v/>
      </c>
      <c r="I1171" s="80" t="str">
        <f t="array" ref="I1171">IF(OR(B1171="",B1171="(none)"),"",IF(ISNUMBER(SEARCH(CHAR(10)&amp;B1171&amp;CHAR(10),H1171)),B1171,IFERROR(INDEX('Set Aliases'!$A$2:$A$501,MATCH(1,('Set Aliases'!$B$2:$B$501=B1171)*ISNUMBER(SEARCH(CHAR(10)&amp;'Set Aliases'!$A$2:$A$501&amp;CHAR(10),H1171)),0)),"")))</f>
        <v/>
      </c>
      <c r="J1171" s="80" t="str">
        <f t="array" ref="J1171">IF(I1171="","",IFERROR(VALUE(TRIM(MID(SUBSTITUTE(INDEX('Deck 4'!$A:$Z,ROW()-1000,'List Setup'!$G$6),CHAR(10),REPT(" ",100)),((SEARCH(CHAR(10)&amp;I1171&amp;CHAR(10),H1171)-LEN(SUBSTITUTE(LEFT(H1171,SEARCH(CHAR(10)&amp;I1171&amp;CHAR(10),H1171)),CHAR(10),"")))-1)*100+1,100))),""))</f>
        <v/>
      </c>
      <c r="K1171" s="80" t="str">
        <f t="array" ref="K1171">IF(A1171="","",IF(ISNUMBER(SEARCH("Land",LEFT(IFERROR(INDEX('Deck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71" s="80" t="str">
        <f t="shared" si="3"/>
        <v/>
      </c>
      <c r="M1171" s="80" t="str">
        <f>IF(A1171="","",IF(AND(E1171="Y",B1171='Use at Shop'!$B$4),K1171*10000000000+(MAX(0,MIN(26,CODE(MID(UPPER(A1171)&amp;"    ",1,1))-64))*19683+MAX(0,MIN(26,CODE(MID(UPPER(A1171)&amp;"    ",2,1))-64))*729+MAX(0,MIN(26,CODE(MID(UPPER(A1171)&amp;"    ",3,1))-64))*27+MAX(0,MIN(26,CODE(MID(UPPER(A1171)&amp;"    ",4,1))-64))*1)*10000+ROW(),""))</f>
        <v/>
      </c>
      <c r="N1171" s="80" t="str">
        <f t="shared" si="8"/>
        <v/>
      </c>
      <c r="O1171" s="80" t="str">
        <f t="array" ref="O1171">IF(A1171="","",IFERROR(INDEX('Deck 4'!$A:$Z,ROW()-1000,'List Setup'!$J$6)&amp;"",""))</f>
        <v/>
      </c>
      <c r="P1171" s="2"/>
      <c r="Q1171" s="80" t="str">
        <f>IF(A1171="","",'List Setup'!$A$6)</f>
        <v/>
      </c>
      <c r="R1171" s="80" t="str">
        <f t="array" ref="R1171">IF(A1171="","",IFERROR(OR(INDEX(Binders!$J$6:$J$30,MATCH(Q1171,Binders!$I$6:$I$30,0))=TRUE(),UPPER(INDEX(Binders!$J$6:$J$30,MATCH(Q1171,Binders!$I$6:$I$30,0))&amp;"")="TRUE"),FALSE()))</f>
        <v/>
      </c>
    </row>
    <row r="1172" ht="15.75" customHeight="1">
      <c r="A1172" s="80" t="str">
        <f t="array" ref="A1172">IF(INDEX('Deck 4'!$A:$Z,ROW()-1000,'List Setup'!$D$6)="","",INDEX('Deck 4'!$A:$Z,ROW()-1000,'List Setup'!$D$6))</f>
        <v/>
      </c>
      <c r="B1172" s="80" t="str">
        <f t="array" ref="B1172">IF(A1172="","",IFERROR(INDEX('Binder Setup'!$B$2:$B$401,MIN(IF(ISNUMBER(SEARCH(CHAR(10)&amp;'Binder Setup'!$B$2:$B$401&amp;CHAR(10),$H1172)),'List Setup'!$Q$2:$Q$401,999),IF(ISNUMBER(SEARCH(CHAR(10)&amp;'Set Aliases'!$A$2:$A$501&amp;CHAR(10),$H1172)),'Set Aliases'!$C$2:$C$501,999))),"(none)"))</f>
        <v/>
      </c>
      <c r="C1172" s="80" t="str">
        <f t="shared" si="1"/>
        <v/>
      </c>
      <c r="D1172" s="80" t="str">
        <f t="array" ref="D1172">IF(A1172="","",IF(ISLOGICAL(INDEX('Deck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72" s="80" t="str">
        <f t="shared" si="2"/>
        <v/>
      </c>
      <c r="F1172" s="80" t="str">
        <f t="array" ref="F1172">IF(A1172="","",IF(ISNUMBER(J1172),J1172,IF(ISNUMBER(INDEX('Deck 4'!$A:$Z,ROW()-1000,'List Setup'!$F$6)),INDEX('Deck 4'!$A:$Z,ROW()-1000,'List Setup'!$F$6),0)))</f>
        <v/>
      </c>
      <c r="G1172" s="80" t="str">
        <f t="array" ref="G1172">IF(A1172="","",A1172&amp;IF(N(INDEX('Deck 4'!$A:$Z,ROW()-1000,'List Setup'!$C$6))&gt;1," (x"&amp;INDEX('Deck 4'!$A:$Z,ROW()-1000,'List Setup'!$C$6)&amp;")","")&amp;IF(COUNTIF(Binders!$J$6:$J$30,TRUE())&gt;1," ["&amp;Q1172&amp;"]",""))</f>
        <v/>
      </c>
      <c r="H1172" s="80" t="str">
        <f t="array" ref="H1172">IF(A1172="","",CHAR(10)&amp;INDEX('Deck 4'!$A:$Z,ROW()-1000,'List Setup'!$E$6)&amp;CHAR(10))</f>
        <v/>
      </c>
      <c r="I1172" s="80" t="str">
        <f t="array" ref="I1172">IF(OR(B1172="",B1172="(none)"),"",IF(ISNUMBER(SEARCH(CHAR(10)&amp;B1172&amp;CHAR(10),H1172)),B1172,IFERROR(INDEX('Set Aliases'!$A$2:$A$501,MATCH(1,('Set Aliases'!$B$2:$B$501=B1172)*ISNUMBER(SEARCH(CHAR(10)&amp;'Set Aliases'!$A$2:$A$501&amp;CHAR(10),H1172)),0)),"")))</f>
        <v/>
      </c>
      <c r="J1172" s="80" t="str">
        <f t="array" ref="J1172">IF(I1172="","",IFERROR(VALUE(TRIM(MID(SUBSTITUTE(INDEX('Deck 4'!$A:$Z,ROW()-1000,'List Setup'!$G$6),CHAR(10),REPT(" ",100)),((SEARCH(CHAR(10)&amp;I1172&amp;CHAR(10),H1172)-LEN(SUBSTITUTE(LEFT(H1172,SEARCH(CHAR(10)&amp;I1172&amp;CHAR(10),H1172)),CHAR(10),"")))-1)*100+1,100))),""))</f>
        <v/>
      </c>
      <c r="K1172" s="80" t="str">
        <f t="array" ref="K1172">IF(A1172="","",IF(ISNUMBER(SEARCH("Land",LEFT(IFERROR(INDEX('Deck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72" s="80" t="str">
        <f t="shared" si="3"/>
        <v/>
      </c>
      <c r="M1172" s="80" t="str">
        <f>IF(A1172="","",IF(AND(E1172="Y",B1172='Use at Shop'!$B$4),K1172*10000000000+(MAX(0,MIN(26,CODE(MID(UPPER(A1172)&amp;"    ",1,1))-64))*19683+MAX(0,MIN(26,CODE(MID(UPPER(A1172)&amp;"    ",2,1))-64))*729+MAX(0,MIN(26,CODE(MID(UPPER(A1172)&amp;"    ",3,1))-64))*27+MAX(0,MIN(26,CODE(MID(UPPER(A1172)&amp;"    ",4,1))-64))*1)*10000+ROW(),""))</f>
        <v/>
      </c>
      <c r="N1172" s="80" t="str">
        <f t="shared" si="8"/>
        <v/>
      </c>
      <c r="O1172" s="80" t="str">
        <f t="array" ref="O1172">IF(A1172="","",IFERROR(INDEX('Deck 4'!$A:$Z,ROW()-1000,'List Setup'!$J$6)&amp;"",""))</f>
        <v/>
      </c>
      <c r="P1172" s="2"/>
      <c r="Q1172" s="80" t="str">
        <f>IF(A1172="","",'List Setup'!$A$6)</f>
        <v/>
      </c>
      <c r="R1172" s="80" t="str">
        <f t="array" ref="R1172">IF(A1172="","",IFERROR(OR(INDEX(Binders!$J$6:$J$30,MATCH(Q1172,Binders!$I$6:$I$30,0))=TRUE(),UPPER(INDEX(Binders!$J$6:$J$30,MATCH(Q1172,Binders!$I$6:$I$30,0))&amp;"")="TRUE"),FALSE()))</f>
        <v/>
      </c>
    </row>
    <row r="1173" ht="15.75" customHeight="1">
      <c r="A1173" s="80" t="str">
        <f t="array" ref="A1173">IF(INDEX('Deck 4'!$A:$Z,ROW()-1000,'List Setup'!$D$6)="","",INDEX('Deck 4'!$A:$Z,ROW()-1000,'List Setup'!$D$6))</f>
        <v/>
      </c>
      <c r="B1173" s="80" t="str">
        <f t="array" ref="B1173">IF(A1173="","",IFERROR(INDEX('Binder Setup'!$B$2:$B$401,MIN(IF(ISNUMBER(SEARCH(CHAR(10)&amp;'Binder Setup'!$B$2:$B$401&amp;CHAR(10),$H1173)),'List Setup'!$Q$2:$Q$401,999),IF(ISNUMBER(SEARCH(CHAR(10)&amp;'Set Aliases'!$A$2:$A$501&amp;CHAR(10),$H1173)),'Set Aliases'!$C$2:$C$501,999))),"(none)"))</f>
        <v/>
      </c>
      <c r="C1173" s="80" t="str">
        <f t="shared" si="1"/>
        <v/>
      </c>
      <c r="D1173" s="80" t="str">
        <f t="array" ref="D1173">IF(A1173="","",IF(ISLOGICAL(INDEX('Deck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73" s="80" t="str">
        <f t="shared" si="2"/>
        <v/>
      </c>
      <c r="F1173" s="80" t="str">
        <f t="array" ref="F1173">IF(A1173="","",IF(ISNUMBER(J1173),J1173,IF(ISNUMBER(INDEX('Deck 4'!$A:$Z,ROW()-1000,'List Setup'!$F$6)),INDEX('Deck 4'!$A:$Z,ROW()-1000,'List Setup'!$F$6),0)))</f>
        <v/>
      </c>
      <c r="G1173" s="80" t="str">
        <f t="array" ref="G1173">IF(A1173="","",A1173&amp;IF(N(INDEX('Deck 4'!$A:$Z,ROW()-1000,'List Setup'!$C$6))&gt;1," (x"&amp;INDEX('Deck 4'!$A:$Z,ROW()-1000,'List Setup'!$C$6)&amp;")","")&amp;IF(COUNTIF(Binders!$J$6:$J$30,TRUE())&gt;1," ["&amp;Q1173&amp;"]",""))</f>
        <v/>
      </c>
      <c r="H1173" s="80" t="str">
        <f t="array" ref="H1173">IF(A1173="","",CHAR(10)&amp;INDEX('Deck 4'!$A:$Z,ROW()-1000,'List Setup'!$E$6)&amp;CHAR(10))</f>
        <v/>
      </c>
      <c r="I1173" s="80" t="str">
        <f t="array" ref="I1173">IF(OR(B1173="",B1173="(none)"),"",IF(ISNUMBER(SEARCH(CHAR(10)&amp;B1173&amp;CHAR(10),H1173)),B1173,IFERROR(INDEX('Set Aliases'!$A$2:$A$501,MATCH(1,('Set Aliases'!$B$2:$B$501=B1173)*ISNUMBER(SEARCH(CHAR(10)&amp;'Set Aliases'!$A$2:$A$501&amp;CHAR(10),H1173)),0)),"")))</f>
        <v/>
      </c>
      <c r="J1173" s="80" t="str">
        <f t="array" ref="J1173">IF(I1173="","",IFERROR(VALUE(TRIM(MID(SUBSTITUTE(INDEX('Deck 4'!$A:$Z,ROW()-1000,'List Setup'!$G$6),CHAR(10),REPT(" ",100)),((SEARCH(CHAR(10)&amp;I1173&amp;CHAR(10),H1173)-LEN(SUBSTITUTE(LEFT(H1173,SEARCH(CHAR(10)&amp;I1173&amp;CHAR(10),H1173)),CHAR(10),"")))-1)*100+1,100))),""))</f>
        <v/>
      </c>
      <c r="K1173" s="80" t="str">
        <f t="array" ref="K1173">IF(A1173="","",IF(ISNUMBER(SEARCH("Land",LEFT(IFERROR(INDEX('Deck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73" s="80" t="str">
        <f t="shared" si="3"/>
        <v/>
      </c>
      <c r="M1173" s="80" t="str">
        <f>IF(A1173="","",IF(AND(E1173="Y",B1173='Use at Shop'!$B$4),K1173*10000000000+(MAX(0,MIN(26,CODE(MID(UPPER(A1173)&amp;"    ",1,1))-64))*19683+MAX(0,MIN(26,CODE(MID(UPPER(A1173)&amp;"    ",2,1))-64))*729+MAX(0,MIN(26,CODE(MID(UPPER(A1173)&amp;"    ",3,1))-64))*27+MAX(0,MIN(26,CODE(MID(UPPER(A1173)&amp;"    ",4,1))-64))*1)*10000+ROW(),""))</f>
        <v/>
      </c>
      <c r="N1173" s="80" t="str">
        <f t="shared" si="8"/>
        <v/>
      </c>
      <c r="O1173" s="80" t="str">
        <f t="array" ref="O1173">IF(A1173="","",IFERROR(INDEX('Deck 4'!$A:$Z,ROW()-1000,'List Setup'!$J$6)&amp;"",""))</f>
        <v/>
      </c>
      <c r="P1173" s="2"/>
      <c r="Q1173" s="80" t="str">
        <f>IF(A1173="","",'List Setup'!$A$6)</f>
        <v/>
      </c>
      <c r="R1173" s="80" t="str">
        <f t="array" ref="R1173">IF(A1173="","",IFERROR(OR(INDEX(Binders!$J$6:$J$30,MATCH(Q1173,Binders!$I$6:$I$30,0))=TRUE(),UPPER(INDEX(Binders!$J$6:$J$30,MATCH(Q1173,Binders!$I$6:$I$30,0))&amp;"")="TRUE"),FALSE()))</f>
        <v/>
      </c>
    </row>
    <row r="1174" ht="15.75" customHeight="1">
      <c r="A1174" s="80" t="str">
        <f t="array" ref="A1174">IF(INDEX('Deck 4'!$A:$Z,ROW()-1000,'List Setup'!$D$6)="","",INDEX('Deck 4'!$A:$Z,ROW()-1000,'List Setup'!$D$6))</f>
        <v/>
      </c>
      <c r="B1174" s="80" t="str">
        <f t="array" ref="B1174">IF(A1174="","",IFERROR(INDEX('Binder Setup'!$B$2:$B$401,MIN(IF(ISNUMBER(SEARCH(CHAR(10)&amp;'Binder Setup'!$B$2:$B$401&amp;CHAR(10),$H1174)),'List Setup'!$Q$2:$Q$401,999),IF(ISNUMBER(SEARCH(CHAR(10)&amp;'Set Aliases'!$A$2:$A$501&amp;CHAR(10),$H1174)),'Set Aliases'!$C$2:$C$501,999))),"(none)"))</f>
        <v/>
      </c>
      <c r="C1174" s="80" t="str">
        <f t="shared" si="1"/>
        <v/>
      </c>
      <c r="D1174" s="80" t="str">
        <f t="array" ref="D1174">IF(A1174="","",IF(ISLOGICAL(INDEX('Deck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74" s="80" t="str">
        <f t="shared" si="2"/>
        <v/>
      </c>
      <c r="F1174" s="80" t="str">
        <f t="array" ref="F1174">IF(A1174="","",IF(ISNUMBER(J1174),J1174,IF(ISNUMBER(INDEX('Deck 4'!$A:$Z,ROW()-1000,'List Setup'!$F$6)),INDEX('Deck 4'!$A:$Z,ROW()-1000,'List Setup'!$F$6),0)))</f>
        <v/>
      </c>
      <c r="G1174" s="80" t="str">
        <f t="array" ref="G1174">IF(A1174="","",A1174&amp;IF(N(INDEX('Deck 4'!$A:$Z,ROW()-1000,'List Setup'!$C$6))&gt;1," (x"&amp;INDEX('Deck 4'!$A:$Z,ROW()-1000,'List Setup'!$C$6)&amp;")","")&amp;IF(COUNTIF(Binders!$J$6:$J$30,TRUE())&gt;1," ["&amp;Q1174&amp;"]",""))</f>
        <v/>
      </c>
      <c r="H1174" s="80" t="str">
        <f t="array" ref="H1174">IF(A1174="","",CHAR(10)&amp;INDEX('Deck 4'!$A:$Z,ROW()-1000,'List Setup'!$E$6)&amp;CHAR(10))</f>
        <v/>
      </c>
      <c r="I1174" s="80" t="str">
        <f t="array" ref="I1174">IF(OR(B1174="",B1174="(none)"),"",IF(ISNUMBER(SEARCH(CHAR(10)&amp;B1174&amp;CHAR(10),H1174)),B1174,IFERROR(INDEX('Set Aliases'!$A$2:$A$501,MATCH(1,('Set Aliases'!$B$2:$B$501=B1174)*ISNUMBER(SEARCH(CHAR(10)&amp;'Set Aliases'!$A$2:$A$501&amp;CHAR(10),H1174)),0)),"")))</f>
        <v/>
      </c>
      <c r="J1174" s="80" t="str">
        <f t="array" ref="J1174">IF(I1174="","",IFERROR(VALUE(TRIM(MID(SUBSTITUTE(INDEX('Deck 4'!$A:$Z,ROW()-1000,'List Setup'!$G$6),CHAR(10),REPT(" ",100)),((SEARCH(CHAR(10)&amp;I1174&amp;CHAR(10),H1174)-LEN(SUBSTITUTE(LEFT(H1174,SEARCH(CHAR(10)&amp;I1174&amp;CHAR(10),H1174)),CHAR(10),"")))-1)*100+1,100))),""))</f>
        <v/>
      </c>
      <c r="K1174" s="80" t="str">
        <f t="array" ref="K1174">IF(A1174="","",IF(ISNUMBER(SEARCH("Land",LEFT(IFERROR(INDEX('Deck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74" s="80" t="str">
        <f t="shared" si="3"/>
        <v/>
      </c>
      <c r="M1174" s="80" t="str">
        <f>IF(A1174="","",IF(AND(E1174="Y",B1174='Use at Shop'!$B$4),K1174*10000000000+(MAX(0,MIN(26,CODE(MID(UPPER(A1174)&amp;"    ",1,1))-64))*19683+MAX(0,MIN(26,CODE(MID(UPPER(A1174)&amp;"    ",2,1))-64))*729+MAX(0,MIN(26,CODE(MID(UPPER(A1174)&amp;"    ",3,1))-64))*27+MAX(0,MIN(26,CODE(MID(UPPER(A1174)&amp;"    ",4,1))-64))*1)*10000+ROW(),""))</f>
        <v/>
      </c>
      <c r="N1174" s="80" t="str">
        <f t="shared" si="8"/>
        <v/>
      </c>
      <c r="O1174" s="80" t="str">
        <f t="array" ref="O1174">IF(A1174="","",IFERROR(INDEX('Deck 4'!$A:$Z,ROW()-1000,'List Setup'!$J$6)&amp;"",""))</f>
        <v/>
      </c>
      <c r="P1174" s="2"/>
      <c r="Q1174" s="80" t="str">
        <f>IF(A1174="","",'List Setup'!$A$6)</f>
        <v/>
      </c>
      <c r="R1174" s="80" t="str">
        <f t="array" ref="R1174">IF(A1174="","",IFERROR(OR(INDEX(Binders!$J$6:$J$30,MATCH(Q1174,Binders!$I$6:$I$30,0))=TRUE(),UPPER(INDEX(Binders!$J$6:$J$30,MATCH(Q1174,Binders!$I$6:$I$30,0))&amp;"")="TRUE"),FALSE()))</f>
        <v/>
      </c>
    </row>
    <row r="1175" ht="15.75" customHeight="1">
      <c r="A1175" s="80" t="str">
        <f t="array" ref="A1175">IF(INDEX('Deck 4'!$A:$Z,ROW()-1000,'List Setup'!$D$6)="","",INDEX('Deck 4'!$A:$Z,ROW()-1000,'List Setup'!$D$6))</f>
        <v/>
      </c>
      <c r="B1175" s="80" t="str">
        <f t="array" ref="B1175">IF(A1175="","",IFERROR(INDEX('Binder Setup'!$B$2:$B$401,MIN(IF(ISNUMBER(SEARCH(CHAR(10)&amp;'Binder Setup'!$B$2:$B$401&amp;CHAR(10),$H1175)),'List Setup'!$Q$2:$Q$401,999),IF(ISNUMBER(SEARCH(CHAR(10)&amp;'Set Aliases'!$A$2:$A$501&amp;CHAR(10),$H1175)),'Set Aliases'!$C$2:$C$501,999))),"(none)"))</f>
        <v/>
      </c>
      <c r="C1175" s="80" t="str">
        <f t="shared" si="1"/>
        <v/>
      </c>
      <c r="D1175" s="80" t="str">
        <f t="array" ref="D1175">IF(A1175="","",IF(ISLOGICAL(INDEX('Deck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75" s="80" t="str">
        <f t="shared" si="2"/>
        <v/>
      </c>
      <c r="F1175" s="80" t="str">
        <f t="array" ref="F1175">IF(A1175="","",IF(ISNUMBER(J1175),J1175,IF(ISNUMBER(INDEX('Deck 4'!$A:$Z,ROW()-1000,'List Setup'!$F$6)),INDEX('Deck 4'!$A:$Z,ROW()-1000,'List Setup'!$F$6),0)))</f>
        <v/>
      </c>
      <c r="G1175" s="80" t="str">
        <f t="array" ref="G1175">IF(A1175="","",A1175&amp;IF(N(INDEX('Deck 4'!$A:$Z,ROW()-1000,'List Setup'!$C$6))&gt;1," (x"&amp;INDEX('Deck 4'!$A:$Z,ROW()-1000,'List Setup'!$C$6)&amp;")","")&amp;IF(COUNTIF(Binders!$J$6:$J$30,TRUE())&gt;1," ["&amp;Q1175&amp;"]",""))</f>
        <v/>
      </c>
      <c r="H1175" s="80" t="str">
        <f t="array" ref="H1175">IF(A1175="","",CHAR(10)&amp;INDEX('Deck 4'!$A:$Z,ROW()-1000,'List Setup'!$E$6)&amp;CHAR(10))</f>
        <v/>
      </c>
      <c r="I1175" s="80" t="str">
        <f t="array" ref="I1175">IF(OR(B1175="",B1175="(none)"),"",IF(ISNUMBER(SEARCH(CHAR(10)&amp;B1175&amp;CHAR(10),H1175)),B1175,IFERROR(INDEX('Set Aliases'!$A$2:$A$501,MATCH(1,('Set Aliases'!$B$2:$B$501=B1175)*ISNUMBER(SEARCH(CHAR(10)&amp;'Set Aliases'!$A$2:$A$501&amp;CHAR(10),H1175)),0)),"")))</f>
        <v/>
      </c>
      <c r="J1175" s="80" t="str">
        <f t="array" ref="J1175">IF(I1175="","",IFERROR(VALUE(TRIM(MID(SUBSTITUTE(INDEX('Deck 4'!$A:$Z,ROW()-1000,'List Setup'!$G$6),CHAR(10),REPT(" ",100)),((SEARCH(CHAR(10)&amp;I1175&amp;CHAR(10),H1175)-LEN(SUBSTITUTE(LEFT(H1175,SEARCH(CHAR(10)&amp;I1175&amp;CHAR(10),H1175)),CHAR(10),"")))-1)*100+1,100))),""))</f>
        <v/>
      </c>
      <c r="K1175" s="80" t="str">
        <f t="array" ref="K1175">IF(A1175="","",IF(ISNUMBER(SEARCH("Land",LEFT(IFERROR(INDEX('Deck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75" s="80" t="str">
        <f t="shared" si="3"/>
        <v/>
      </c>
      <c r="M1175" s="80" t="str">
        <f>IF(A1175="","",IF(AND(E1175="Y",B1175='Use at Shop'!$B$4),K1175*10000000000+(MAX(0,MIN(26,CODE(MID(UPPER(A1175)&amp;"    ",1,1))-64))*19683+MAX(0,MIN(26,CODE(MID(UPPER(A1175)&amp;"    ",2,1))-64))*729+MAX(0,MIN(26,CODE(MID(UPPER(A1175)&amp;"    ",3,1))-64))*27+MAX(0,MIN(26,CODE(MID(UPPER(A1175)&amp;"    ",4,1))-64))*1)*10000+ROW(),""))</f>
        <v/>
      </c>
      <c r="N1175" s="80" t="str">
        <f t="shared" si="8"/>
        <v/>
      </c>
      <c r="O1175" s="80" t="str">
        <f t="array" ref="O1175">IF(A1175="","",IFERROR(INDEX('Deck 4'!$A:$Z,ROW()-1000,'List Setup'!$J$6)&amp;"",""))</f>
        <v/>
      </c>
      <c r="P1175" s="2"/>
      <c r="Q1175" s="80" t="str">
        <f>IF(A1175="","",'List Setup'!$A$6)</f>
        <v/>
      </c>
      <c r="R1175" s="80" t="str">
        <f t="array" ref="R1175">IF(A1175="","",IFERROR(OR(INDEX(Binders!$J$6:$J$30,MATCH(Q1175,Binders!$I$6:$I$30,0))=TRUE(),UPPER(INDEX(Binders!$J$6:$J$30,MATCH(Q1175,Binders!$I$6:$I$30,0))&amp;"")="TRUE"),FALSE()))</f>
        <v/>
      </c>
    </row>
    <row r="1176" ht="15.75" customHeight="1">
      <c r="A1176" s="80" t="str">
        <f t="array" ref="A1176">IF(INDEX('Deck 4'!$A:$Z,ROW()-1000,'List Setup'!$D$6)="","",INDEX('Deck 4'!$A:$Z,ROW()-1000,'List Setup'!$D$6))</f>
        <v/>
      </c>
      <c r="B1176" s="80" t="str">
        <f t="array" ref="B1176">IF(A1176="","",IFERROR(INDEX('Binder Setup'!$B$2:$B$401,MIN(IF(ISNUMBER(SEARCH(CHAR(10)&amp;'Binder Setup'!$B$2:$B$401&amp;CHAR(10),$H1176)),'List Setup'!$Q$2:$Q$401,999),IF(ISNUMBER(SEARCH(CHAR(10)&amp;'Set Aliases'!$A$2:$A$501&amp;CHAR(10),$H1176)),'Set Aliases'!$C$2:$C$501,999))),"(none)"))</f>
        <v/>
      </c>
      <c r="C1176" s="80" t="str">
        <f t="shared" si="1"/>
        <v/>
      </c>
      <c r="D1176" s="80" t="str">
        <f t="array" ref="D1176">IF(A1176="","",IF(ISLOGICAL(INDEX('Deck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76" s="80" t="str">
        <f t="shared" si="2"/>
        <v/>
      </c>
      <c r="F1176" s="80" t="str">
        <f t="array" ref="F1176">IF(A1176="","",IF(ISNUMBER(J1176),J1176,IF(ISNUMBER(INDEX('Deck 4'!$A:$Z,ROW()-1000,'List Setup'!$F$6)),INDEX('Deck 4'!$A:$Z,ROW()-1000,'List Setup'!$F$6),0)))</f>
        <v/>
      </c>
      <c r="G1176" s="80" t="str">
        <f t="array" ref="G1176">IF(A1176="","",A1176&amp;IF(N(INDEX('Deck 4'!$A:$Z,ROW()-1000,'List Setup'!$C$6))&gt;1," (x"&amp;INDEX('Deck 4'!$A:$Z,ROW()-1000,'List Setup'!$C$6)&amp;")","")&amp;IF(COUNTIF(Binders!$J$6:$J$30,TRUE())&gt;1," ["&amp;Q1176&amp;"]",""))</f>
        <v/>
      </c>
      <c r="H1176" s="80" t="str">
        <f t="array" ref="H1176">IF(A1176="","",CHAR(10)&amp;INDEX('Deck 4'!$A:$Z,ROW()-1000,'List Setup'!$E$6)&amp;CHAR(10))</f>
        <v/>
      </c>
      <c r="I1176" s="80" t="str">
        <f t="array" ref="I1176">IF(OR(B1176="",B1176="(none)"),"",IF(ISNUMBER(SEARCH(CHAR(10)&amp;B1176&amp;CHAR(10),H1176)),B1176,IFERROR(INDEX('Set Aliases'!$A$2:$A$501,MATCH(1,('Set Aliases'!$B$2:$B$501=B1176)*ISNUMBER(SEARCH(CHAR(10)&amp;'Set Aliases'!$A$2:$A$501&amp;CHAR(10),H1176)),0)),"")))</f>
        <v/>
      </c>
      <c r="J1176" s="80" t="str">
        <f t="array" ref="J1176">IF(I1176="","",IFERROR(VALUE(TRIM(MID(SUBSTITUTE(INDEX('Deck 4'!$A:$Z,ROW()-1000,'List Setup'!$G$6),CHAR(10),REPT(" ",100)),((SEARCH(CHAR(10)&amp;I1176&amp;CHAR(10),H1176)-LEN(SUBSTITUTE(LEFT(H1176,SEARCH(CHAR(10)&amp;I1176&amp;CHAR(10),H1176)),CHAR(10),"")))-1)*100+1,100))),""))</f>
        <v/>
      </c>
      <c r="K1176" s="80" t="str">
        <f t="array" ref="K1176">IF(A1176="","",IF(ISNUMBER(SEARCH("Land",LEFT(IFERROR(INDEX('Deck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76" s="80" t="str">
        <f t="shared" si="3"/>
        <v/>
      </c>
      <c r="M1176" s="80" t="str">
        <f>IF(A1176="","",IF(AND(E1176="Y",B1176='Use at Shop'!$B$4),K1176*10000000000+(MAX(0,MIN(26,CODE(MID(UPPER(A1176)&amp;"    ",1,1))-64))*19683+MAX(0,MIN(26,CODE(MID(UPPER(A1176)&amp;"    ",2,1))-64))*729+MAX(0,MIN(26,CODE(MID(UPPER(A1176)&amp;"    ",3,1))-64))*27+MAX(0,MIN(26,CODE(MID(UPPER(A1176)&amp;"    ",4,1))-64))*1)*10000+ROW(),""))</f>
        <v/>
      </c>
      <c r="N1176" s="80" t="str">
        <f t="shared" si="8"/>
        <v/>
      </c>
      <c r="O1176" s="80" t="str">
        <f t="array" ref="O1176">IF(A1176="","",IFERROR(INDEX('Deck 4'!$A:$Z,ROW()-1000,'List Setup'!$J$6)&amp;"",""))</f>
        <v/>
      </c>
      <c r="P1176" s="2"/>
      <c r="Q1176" s="80" t="str">
        <f>IF(A1176="","",'List Setup'!$A$6)</f>
        <v/>
      </c>
      <c r="R1176" s="80" t="str">
        <f t="array" ref="R1176">IF(A1176="","",IFERROR(OR(INDEX(Binders!$J$6:$J$30,MATCH(Q1176,Binders!$I$6:$I$30,0))=TRUE(),UPPER(INDEX(Binders!$J$6:$J$30,MATCH(Q1176,Binders!$I$6:$I$30,0))&amp;"")="TRUE"),FALSE()))</f>
        <v/>
      </c>
    </row>
    <row r="1177" ht="15.75" customHeight="1">
      <c r="A1177" s="80" t="str">
        <f t="array" ref="A1177">IF(INDEX('Deck 4'!$A:$Z,ROW()-1000,'List Setup'!$D$6)="","",INDEX('Deck 4'!$A:$Z,ROW()-1000,'List Setup'!$D$6))</f>
        <v/>
      </c>
      <c r="B1177" s="80" t="str">
        <f t="array" ref="B1177">IF(A1177="","",IFERROR(INDEX('Binder Setup'!$B$2:$B$401,MIN(IF(ISNUMBER(SEARCH(CHAR(10)&amp;'Binder Setup'!$B$2:$B$401&amp;CHAR(10),$H1177)),'List Setup'!$Q$2:$Q$401,999),IF(ISNUMBER(SEARCH(CHAR(10)&amp;'Set Aliases'!$A$2:$A$501&amp;CHAR(10),$H1177)),'Set Aliases'!$C$2:$C$501,999))),"(none)"))</f>
        <v/>
      </c>
      <c r="C1177" s="80" t="str">
        <f t="shared" si="1"/>
        <v/>
      </c>
      <c r="D1177" s="80" t="str">
        <f t="array" ref="D1177">IF(A1177="","",IF(ISLOGICAL(INDEX('Deck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77" s="80" t="str">
        <f t="shared" si="2"/>
        <v/>
      </c>
      <c r="F1177" s="80" t="str">
        <f t="array" ref="F1177">IF(A1177="","",IF(ISNUMBER(J1177),J1177,IF(ISNUMBER(INDEX('Deck 4'!$A:$Z,ROW()-1000,'List Setup'!$F$6)),INDEX('Deck 4'!$A:$Z,ROW()-1000,'List Setup'!$F$6),0)))</f>
        <v/>
      </c>
      <c r="G1177" s="80" t="str">
        <f t="array" ref="G1177">IF(A1177="","",A1177&amp;IF(N(INDEX('Deck 4'!$A:$Z,ROW()-1000,'List Setup'!$C$6))&gt;1," (x"&amp;INDEX('Deck 4'!$A:$Z,ROW()-1000,'List Setup'!$C$6)&amp;")","")&amp;IF(COUNTIF(Binders!$J$6:$J$30,TRUE())&gt;1," ["&amp;Q1177&amp;"]",""))</f>
        <v/>
      </c>
      <c r="H1177" s="80" t="str">
        <f t="array" ref="H1177">IF(A1177="","",CHAR(10)&amp;INDEX('Deck 4'!$A:$Z,ROW()-1000,'List Setup'!$E$6)&amp;CHAR(10))</f>
        <v/>
      </c>
      <c r="I1177" s="80" t="str">
        <f t="array" ref="I1177">IF(OR(B1177="",B1177="(none)"),"",IF(ISNUMBER(SEARCH(CHAR(10)&amp;B1177&amp;CHAR(10),H1177)),B1177,IFERROR(INDEX('Set Aliases'!$A$2:$A$501,MATCH(1,('Set Aliases'!$B$2:$B$501=B1177)*ISNUMBER(SEARCH(CHAR(10)&amp;'Set Aliases'!$A$2:$A$501&amp;CHAR(10),H1177)),0)),"")))</f>
        <v/>
      </c>
      <c r="J1177" s="80" t="str">
        <f t="array" ref="J1177">IF(I1177="","",IFERROR(VALUE(TRIM(MID(SUBSTITUTE(INDEX('Deck 4'!$A:$Z,ROW()-1000,'List Setup'!$G$6),CHAR(10),REPT(" ",100)),((SEARCH(CHAR(10)&amp;I1177&amp;CHAR(10),H1177)-LEN(SUBSTITUTE(LEFT(H1177,SEARCH(CHAR(10)&amp;I1177&amp;CHAR(10),H1177)),CHAR(10),"")))-1)*100+1,100))),""))</f>
        <v/>
      </c>
      <c r="K1177" s="80" t="str">
        <f t="array" ref="K1177">IF(A1177="","",IF(ISNUMBER(SEARCH("Land",LEFT(IFERROR(INDEX('Deck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77" s="80" t="str">
        <f t="shared" si="3"/>
        <v/>
      </c>
      <c r="M1177" s="80" t="str">
        <f>IF(A1177="","",IF(AND(E1177="Y",B1177='Use at Shop'!$B$4),K1177*10000000000+(MAX(0,MIN(26,CODE(MID(UPPER(A1177)&amp;"    ",1,1))-64))*19683+MAX(0,MIN(26,CODE(MID(UPPER(A1177)&amp;"    ",2,1))-64))*729+MAX(0,MIN(26,CODE(MID(UPPER(A1177)&amp;"    ",3,1))-64))*27+MAX(0,MIN(26,CODE(MID(UPPER(A1177)&amp;"    ",4,1))-64))*1)*10000+ROW(),""))</f>
        <v/>
      </c>
      <c r="N1177" s="80" t="str">
        <f t="shared" si="8"/>
        <v/>
      </c>
      <c r="O1177" s="80" t="str">
        <f t="array" ref="O1177">IF(A1177="","",IFERROR(INDEX('Deck 4'!$A:$Z,ROW()-1000,'List Setup'!$J$6)&amp;"",""))</f>
        <v/>
      </c>
      <c r="P1177" s="2"/>
      <c r="Q1177" s="80" t="str">
        <f>IF(A1177="","",'List Setup'!$A$6)</f>
        <v/>
      </c>
      <c r="R1177" s="80" t="str">
        <f t="array" ref="R1177">IF(A1177="","",IFERROR(OR(INDEX(Binders!$J$6:$J$30,MATCH(Q1177,Binders!$I$6:$I$30,0))=TRUE(),UPPER(INDEX(Binders!$J$6:$J$30,MATCH(Q1177,Binders!$I$6:$I$30,0))&amp;"")="TRUE"),FALSE()))</f>
        <v/>
      </c>
    </row>
    <row r="1178" ht="15.75" customHeight="1">
      <c r="A1178" s="80" t="str">
        <f t="array" ref="A1178">IF(INDEX('Deck 4'!$A:$Z,ROW()-1000,'List Setup'!$D$6)="","",INDEX('Deck 4'!$A:$Z,ROW()-1000,'List Setup'!$D$6))</f>
        <v/>
      </c>
      <c r="B1178" s="80" t="str">
        <f t="array" ref="B1178">IF(A1178="","",IFERROR(INDEX('Binder Setup'!$B$2:$B$401,MIN(IF(ISNUMBER(SEARCH(CHAR(10)&amp;'Binder Setup'!$B$2:$B$401&amp;CHAR(10),$H1178)),'List Setup'!$Q$2:$Q$401,999),IF(ISNUMBER(SEARCH(CHAR(10)&amp;'Set Aliases'!$A$2:$A$501&amp;CHAR(10),$H1178)),'Set Aliases'!$C$2:$C$501,999))),"(none)"))</f>
        <v/>
      </c>
      <c r="C1178" s="80" t="str">
        <f t="shared" si="1"/>
        <v/>
      </c>
      <c r="D1178" s="80" t="str">
        <f t="array" ref="D1178">IF(A1178="","",IF(ISLOGICAL(INDEX('Deck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78" s="80" t="str">
        <f t="shared" si="2"/>
        <v/>
      </c>
      <c r="F1178" s="80" t="str">
        <f t="array" ref="F1178">IF(A1178="","",IF(ISNUMBER(J1178),J1178,IF(ISNUMBER(INDEX('Deck 4'!$A:$Z,ROW()-1000,'List Setup'!$F$6)),INDEX('Deck 4'!$A:$Z,ROW()-1000,'List Setup'!$F$6),0)))</f>
        <v/>
      </c>
      <c r="G1178" s="80" t="str">
        <f t="array" ref="G1178">IF(A1178="","",A1178&amp;IF(N(INDEX('Deck 4'!$A:$Z,ROW()-1000,'List Setup'!$C$6))&gt;1," (x"&amp;INDEX('Deck 4'!$A:$Z,ROW()-1000,'List Setup'!$C$6)&amp;")","")&amp;IF(COUNTIF(Binders!$J$6:$J$30,TRUE())&gt;1," ["&amp;Q1178&amp;"]",""))</f>
        <v/>
      </c>
      <c r="H1178" s="80" t="str">
        <f t="array" ref="H1178">IF(A1178="","",CHAR(10)&amp;INDEX('Deck 4'!$A:$Z,ROW()-1000,'List Setup'!$E$6)&amp;CHAR(10))</f>
        <v/>
      </c>
      <c r="I1178" s="80" t="str">
        <f t="array" ref="I1178">IF(OR(B1178="",B1178="(none)"),"",IF(ISNUMBER(SEARCH(CHAR(10)&amp;B1178&amp;CHAR(10),H1178)),B1178,IFERROR(INDEX('Set Aliases'!$A$2:$A$501,MATCH(1,('Set Aliases'!$B$2:$B$501=B1178)*ISNUMBER(SEARCH(CHAR(10)&amp;'Set Aliases'!$A$2:$A$501&amp;CHAR(10),H1178)),0)),"")))</f>
        <v/>
      </c>
      <c r="J1178" s="80" t="str">
        <f t="array" ref="J1178">IF(I1178="","",IFERROR(VALUE(TRIM(MID(SUBSTITUTE(INDEX('Deck 4'!$A:$Z,ROW()-1000,'List Setup'!$G$6),CHAR(10),REPT(" ",100)),((SEARCH(CHAR(10)&amp;I1178&amp;CHAR(10),H1178)-LEN(SUBSTITUTE(LEFT(H1178,SEARCH(CHAR(10)&amp;I1178&amp;CHAR(10),H1178)),CHAR(10),"")))-1)*100+1,100))),""))</f>
        <v/>
      </c>
      <c r="K1178" s="80" t="str">
        <f t="array" ref="K1178">IF(A1178="","",IF(ISNUMBER(SEARCH("Land",LEFT(IFERROR(INDEX('Deck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78" s="80" t="str">
        <f t="shared" si="3"/>
        <v/>
      </c>
      <c r="M1178" s="80" t="str">
        <f>IF(A1178="","",IF(AND(E1178="Y",B1178='Use at Shop'!$B$4),K1178*10000000000+(MAX(0,MIN(26,CODE(MID(UPPER(A1178)&amp;"    ",1,1))-64))*19683+MAX(0,MIN(26,CODE(MID(UPPER(A1178)&amp;"    ",2,1))-64))*729+MAX(0,MIN(26,CODE(MID(UPPER(A1178)&amp;"    ",3,1))-64))*27+MAX(0,MIN(26,CODE(MID(UPPER(A1178)&amp;"    ",4,1))-64))*1)*10000+ROW(),""))</f>
        <v/>
      </c>
      <c r="N1178" s="80" t="str">
        <f t="shared" si="8"/>
        <v/>
      </c>
      <c r="O1178" s="80" t="str">
        <f t="array" ref="O1178">IF(A1178="","",IFERROR(INDEX('Deck 4'!$A:$Z,ROW()-1000,'List Setup'!$J$6)&amp;"",""))</f>
        <v/>
      </c>
      <c r="P1178" s="2"/>
      <c r="Q1178" s="80" t="str">
        <f>IF(A1178="","",'List Setup'!$A$6)</f>
        <v/>
      </c>
      <c r="R1178" s="80" t="str">
        <f t="array" ref="R1178">IF(A1178="","",IFERROR(OR(INDEX(Binders!$J$6:$J$30,MATCH(Q1178,Binders!$I$6:$I$30,0))=TRUE(),UPPER(INDEX(Binders!$J$6:$J$30,MATCH(Q1178,Binders!$I$6:$I$30,0))&amp;"")="TRUE"),FALSE()))</f>
        <v/>
      </c>
    </row>
    <row r="1179" ht="15.75" customHeight="1">
      <c r="A1179" s="80" t="str">
        <f t="array" ref="A1179">IF(INDEX('Deck 4'!$A:$Z,ROW()-1000,'List Setup'!$D$6)="","",INDEX('Deck 4'!$A:$Z,ROW()-1000,'List Setup'!$D$6))</f>
        <v/>
      </c>
      <c r="B1179" s="80" t="str">
        <f t="array" ref="B1179">IF(A1179="","",IFERROR(INDEX('Binder Setup'!$B$2:$B$401,MIN(IF(ISNUMBER(SEARCH(CHAR(10)&amp;'Binder Setup'!$B$2:$B$401&amp;CHAR(10),$H1179)),'List Setup'!$Q$2:$Q$401,999),IF(ISNUMBER(SEARCH(CHAR(10)&amp;'Set Aliases'!$A$2:$A$501&amp;CHAR(10),$H1179)),'Set Aliases'!$C$2:$C$501,999))),"(none)"))</f>
        <v/>
      </c>
      <c r="C1179" s="80" t="str">
        <f t="shared" si="1"/>
        <v/>
      </c>
      <c r="D1179" s="80" t="str">
        <f t="array" ref="D1179">IF(A1179="","",IF(ISLOGICAL(INDEX('Deck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79" s="80" t="str">
        <f t="shared" si="2"/>
        <v/>
      </c>
      <c r="F1179" s="80" t="str">
        <f t="array" ref="F1179">IF(A1179="","",IF(ISNUMBER(J1179),J1179,IF(ISNUMBER(INDEX('Deck 4'!$A:$Z,ROW()-1000,'List Setup'!$F$6)),INDEX('Deck 4'!$A:$Z,ROW()-1000,'List Setup'!$F$6),0)))</f>
        <v/>
      </c>
      <c r="G1179" s="80" t="str">
        <f t="array" ref="G1179">IF(A1179="","",A1179&amp;IF(N(INDEX('Deck 4'!$A:$Z,ROW()-1000,'List Setup'!$C$6))&gt;1," (x"&amp;INDEX('Deck 4'!$A:$Z,ROW()-1000,'List Setup'!$C$6)&amp;")","")&amp;IF(COUNTIF(Binders!$J$6:$J$30,TRUE())&gt;1," ["&amp;Q1179&amp;"]",""))</f>
        <v/>
      </c>
      <c r="H1179" s="80" t="str">
        <f t="array" ref="H1179">IF(A1179="","",CHAR(10)&amp;INDEX('Deck 4'!$A:$Z,ROW()-1000,'List Setup'!$E$6)&amp;CHAR(10))</f>
        <v/>
      </c>
      <c r="I1179" s="80" t="str">
        <f t="array" ref="I1179">IF(OR(B1179="",B1179="(none)"),"",IF(ISNUMBER(SEARCH(CHAR(10)&amp;B1179&amp;CHAR(10),H1179)),B1179,IFERROR(INDEX('Set Aliases'!$A$2:$A$501,MATCH(1,('Set Aliases'!$B$2:$B$501=B1179)*ISNUMBER(SEARCH(CHAR(10)&amp;'Set Aliases'!$A$2:$A$501&amp;CHAR(10),H1179)),0)),"")))</f>
        <v/>
      </c>
      <c r="J1179" s="80" t="str">
        <f t="array" ref="J1179">IF(I1179="","",IFERROR(VALUE(TRIM(MID(SUBSTITUTE(INDEX('Deck 4'!$A:$Z,ROW()-1000,'List Setup'!$G$6),CHAR(10),REPT(" ",100)),((SEARCH(CHAR(10)&amp;I1179&amp;CHAR(10),H1179)-LEN(SUBSTITUTE(LEFT(H1179,SEARCH(CHAR(10)&amp;I1179&amp;CHAR(10),H1179)),CHAR(10),"")))-1)*100+1,100))),""))</f>
        <v/>
      </c>
      <c r="K1179" s="80" t="str">
        <f t="array" ref="K1179">IF(A1179="","",IF(ISNUMBER(SEARCH("Land",LEFT(IFERROR(INDEX('Deck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79" s="80" t="str">
        <f t="shared" si="3"/>
        <v/>
      </c>
      <c r="M1179" s="80" t="str">
        <f>IF(A1179="","",IF(AND(E1179="Y",B1179='Use at Shop'!$B$4),K1179*10000000000+(MAX(0,MIN(26,CODE(MID(UPPER(A1179)&amp;"    ",1,1))-64))*19683+MAX(0,MIN(26,CODE(MID(UPPER(A1179)&amp;"    ",2,1))-64))*729+MAX(0,MIN(26,CODE(MID(UPPER(A1179)&amp;"    ",3,1))-64))*27+MAX(0,MIN(26,CODE(MID(UPPER(A1179)&amp;"    ",4,1))-64))*1)*10000+ROW(),""))</f>
        <v/>
      </c>
      <c r="N1179" s="80" t="str">
        <f t="shared" si="8"/>
        <v/>
      </c>
      <c r="O1179" s="80" t="str">
        <f t="array" ref="O1179">IF(A1179="","",IFERROR(INDEX('Deck 4'!$A:$Z,ROW()-1000,'List Setup'!$J$6)&amp;"",""))</f>
        <v/>
      </c>
      <c r="P1179" s="2"/>
      <c r="Q1179" s="80" t="str">
        <f>IF(A1179="","",'List Setup'!$A$6)</f>
        <v/>
      </c>
      <c r="R1179" s="80" t="str">
        <f t="array" ref="R1179">IF(A1179="","",IFERROR(OR(INDEX(Binders!$J$6:$J$30,MATCH(Q1179,Binders!$I$6:$I$30,0))=TRUE(),UPPER(INDEX(Binders!$J$6:$J$30,MATCH(Q1179,Binders!$I$6:$I$30,0))&amp;"")="TRUE"),FALSE()))</f>
        <v/>
      </c>
    </row>
    <row r="1180" ht="15.75" customHeight="1">
      <c r="A1180" s="80" t="str">
        <f t="array" ref="A1180">IF(INDEX('Deck 4'!$A:$Z,ROW()-1000,'List Setup'!$D$6)="","",INDEX('Deck 4'!$A:$Z,ROW()-1000,'List Setup'!$D$6))</f>
        <v/>
      </c>
      <c r="B1180" s="80" t="str">
        <f t="array" ref="B1180">IF(A1180="","",IFERROR(INDEX('Binder Setup'!$B$2:$B$401,MIN(IF(ISNUMBER(SEARCH(CHAR(10)&amp;'Binder Setup'!$B$2:$B$401&amp;CHAR(10),$H1180)),'List Setup'!$Q$2:$Q$401,999),IF(ISNUMBER(SEARCH(CHAR(10)&amp;'Set Aliases'!$A$2:$A$501&amp;CHAR(10),$H1180)),'Set Aliases'!$C$2:$C$501,999))),"(none)"))</f>
        <v/>
      </c>
      <c r="C1180" s="80" t="str">
        <f t="shared" si="1"/>
        <v/>
      </c>
      <c r="D1180" s="80" t="str">
        <f t="array" ref="D1180">IF(A1180="","",IF(ISLOGICAL(INDEX('Deck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80" s="80" t="str">
        <f t="shared" si="2"/>
        <v/>
      </c>
      <c r="F1180" s="80" t="str">
        <f t="array" ref="F1180">IF(A1180="","",IF(ISNUMBER(J1180),J1180,IF(ISNUMBER(INDEX('Deck 4'!$A:$Z,ROW()-1000,'List Setup'!$F$6)),INDEX('Deck 4'!$A:$Z,ROW()-1000,'List Setup'!$F$6),0)))</f>
        <v/>
      </c>
      <c r="G1180" s="80" t="str">
        <f t="array" ref="G1180">IF(A1180="","",A1180&amp;IF(N(INDEX('Deck 4'!$A:$Z,ROW()-1000,'List Setup'!$C$6))&gt;1," (x"&amp;INDEX('Deck 4'!$A:$Z,ROW()-1000,'List Setup'!$C$6)&amp;")","")&amp;IF(COUNTIF(Binders!$J$6:$J$30,TRUE())&gt;1," ["&amp;Q1180&amp;"]",""))</f>
        <v/>
      </c>
      <c r="H1180" s="80" t="str">
        <f t="array" ref="H1180">IF(A1180="","",CHAR(10)&amp;INDEX('Deck 4'!$A:$Z,ROW()-1000,'List Setup'!$E$6)&amp;CHAR(10))</f>
        <v/>
      </c>
      <c r="I1180" s="80" t="str">
        <f t="array" ref="I1180">IF(OR(B1180="",B1180="(none)"),"",IF(ISNUMBER(SEARCH(CHAR(10)&amp;B1180&amp;CHAR(10),H1180)),B1180,IFERROR(INDEX('Set Aliases'!$A$2:$A$501,MATCH(1,('Set Aliases'!$B$2:$B$501=B1180)*ISNUMBER(SEARCH(CHAR(10)&amp;'Set Aliases'!$A$2:$A$501&amp;CHAR(10),H1180)),0)),"")))</f>
        <v/>
      </c>
      <c r="J1180" s="80" t="str">
        <f t="array" ref="J1180">IF(I1180="","",IFERROR(VALUE(TRIM(MID(SUBSTITUTE(INDEX('Deck 4'!$A:$Z,ROW()-1000,'List Setup'!$G$6),CHAR(10),REPT(" ",100)),((SEARCH(CHAR(10)&amp;I1180&amp;CHAR(10),H1180)-LEN(SUBSTITUTE(LEFT(H1180,SEARCH(CHAR(10)&amp;I1180&amp;CHAR(10),H1180)),CHAR(10),"")))-1)*100+1,100))),""))</f>
        <v/>
      </c>
      <c r="K1180" s="80" t="str">
        <f t="array" ref="K1180">IF(A1180="","",IF(ISNUMBER(SEARCH("Land",LEFT(IFERROR(INDEX('Deck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80" s="80" t="str">
        <f t="shared" si="3"/>
        <v/>
      </c>
      <c r="M1180" s="80" t="str">
        <f>IF(A1180="","",IF(AND(E1180="Y",B1180='Use at Shop'!$B$4),K1180*10000000000+(MAX(0,MIN(26,CODE(MID(UPPER(A1180)&amp;"    ",1,1))-64))*19683+MAX(0,MIN(26,CODE(MID(UPPER(A1180)&amp;"    ",2,1))-64))*729+MAX(0,MIN(26,CODE(MID(UPPER(A1180)&amp;"    ",3,1))-64))*27+MAX(0,MIN(26,CODE(MID(UPPER(A1180)&amp;"    ",4,1))-64))*1)*10000+ROW(),""))</f>
        <v/>
      </c>
      <c r="N1180" s="80" t="str">
        <f t="shared" si="8"/>
        <v/>
      </c>
      <c r="O1180" s="80" t="str">
        <f t="array" ref="O1180">IF(A1180="","",IFERROR(INDEX('Deck 4'!$A:$Z,ROW()-1000,'List Setup'!$J$6)&amp;"",""))</f>
        <v/>
      </c>
      <c r="P1180" s="2"/>
      <c r="Q1180" s="80" t="str">
        <f>IF(A1180="","",'List Setup'!$A$6)</f>
        <v/>
      </c>
      <c r="R1180" s="80" t="str">
        <f t="array" ref="R1180">IF(A1180="","",IFERROR(OR(INDEX(Binders!$J$6:$J$30,MATCH(Q1180,Binders!$I$6:$I$30,0))=TRUE(),UPPER(INDEX(Binders!$J$6:$J$30,MATCH(Q1180,Binders!$I$6:$I$30,0))&amp;"")="TRUE"),FALSE()))</f>
        <v/>
      </c>
    </row>
    <row r="1181" ht="15.75" customHeight="1">
      <c r="A1181" s="80" t="str">
        <f t="array" ref="A1181">IF(INDEX('Deck 4'!$A:$Z,ROW()-1000,'List Setup'!$D$6)="","",INDEX('Deck 4'!$A:$Z,ROW()-1000,'List Setup'!$D$6))</f>
        <v/>
      </c>
      <c r="B1181" s="80" t="str">
        <f t="array" ref="B1181">IF(A1181="","",IFERROR(INDEX('Binder Setup'!$B$2:$B$401,MIN(IF(ISNUMBER(SEARCH(CHAR(10)&amp;'Binder Setup'!$B$2:$B$401&amp;CHAR(10),$H1181)),'List Setup'!$Q$2:$Q$401,999),IF(ISNUMBER(SEARCH(CHAR(10)&amp;'Set Aliases'!$A$2:$A$501&amp;CHAR(10),$H1181)),'Set Aliases'!$C$2:$C$501,999))),"(none)"))</f>
        <v/>
      </c>
      <c r="C1181" s="80" t="str">
        <f t="shared" si="1"/>
        <v/>
      </c>
      <c r="D1181" s="80" t="str">
        <f t="array" ref="D1181">IF(A1181="","",IF(ISLOGICAL(INDEX('Deck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81" s="80" t="str">
        <f t="shared" si="2"/>
        <v/>
      </c>
      <c r="F1181" s="80" t="str">
        <f t="array" ref="F1181">IF(A1181="","",IF(ISNUMBER(J1181),J1181,IF(ISNUMBER(INDEX('Deck 4'!$A:$Z,ROW()-1000,'List Setup'!$F$6)),INDEX('Deck 4'!$A:$Z,ROW()-1000,'List Setup'!$F$6),0)))</f>
        <v/>
      </c>
      <c r="G1181" s="80" t="str">
        <f t="array" ref="G1181">IF(A1181="","",A1181&amp;IF(N(INDEX('Deck 4'!$A:$Z,ROW()-1000,'List Setup'!$C$6))&gt;1," (x"&amp;INDEX('Deck 4'!$A:$Z,ROW()-1000,'List Setup'!$C$6)&amp;")","")&amp;IF(COUNTIF(Binders!$J$6:$J$30,TRUE())&gt;1," ["&amp;Q1181&amp;"]",""))</f>
        <v/>
      </c>
      <c r="H1181" s="80" t="str">
        <f t="array" ref="H1181">IF(A1181="","",CHAR(10)&amp;INDEX('Deck 4'!$A:$Z,ROW()-1000,'List Setup'!$E$6)&amp;CHAR(10))</f>
        <v/>
      </c>
      <c r="I1181" s="80" t="str">
        <f t="array" ref="I1181">IF(OR(B1181="",B1181="(none)"),"",IF(ISNUMBER(SEARCH(CHAR(10)&amp;B1181&amp;CHAR(10),H1181)),B1181,IFERROR(INDEX('Set Aliases'!$A$2:$A$501,MATCH(1,('Set Aliases'!$B$2:$B$501=B1181)*ISNUMBER(SEARCH(CHAR(10)&amp;'Set Aliases'!$A$2:$A$501&amp;CHAR(10),H1181)),0)),"")))</f>
        <v/>
      </c>
      <c r="J1181" s="80" t="str">
        <f t="array" ref="J1181">IF(I1181="","",IFERROR(VALUE(TRIM(MID(SUBSTITUTE(INDEX('Deck 4'!$A:$Z,ROW()-1000,'List Setup'!$G$6),CHAR(10),REPT(" ",100)),((SEARCH(CHAR(10)&amp;I1181&amp;CHAR(10),H1181)-LEN(SUBSTITUTE(LEFT(H1181,SEARCH(CHAR(10)&amp;I1181&amp;CHAR(10),H1181)),CHAR(10),"")))-1)*100+1,100))),""))</f>
        <v/>
      </c>
      <c r="K1181" s="80" t="str">
        <f t="array" ref="K1181">IF(A1181="","",IF(ISNUMBER(SEARCH("Land",LEFT(IFERROR(INDEX('Deck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81" s="80" t="str">
        <f t="shared" si="3"/>
        <v/>
      </c>
      <c r="M1181" s="80" t="str">
        <f>IF(A1181="","",IF(AND(E1181="Y",B1181='Use at Shop'!$B$4),K1181*10000000000+(MAX(0,MIN(26,CODE(MID(UPPER(A1181)&amp;"    ",1,1))-64))*19683+MAX(0,MIN(26,CODE(MID(UPPER(A1181)&amp;"    ",2,1))-64))*729+MAX(0,MIN(26,CODE(MID(UPPER(A1181)&amp;"    ",3,1))-64))*27+MAX(0,MIN(26,CODE(MID(UPPER(A1181)&amp;"    ",4,1))-64))*1)*10000+ROW(),""))</f>
        <v/>
      </c>
      <c r="N1181" s="80" t="str">
        <f t="shared" si="8"/>
        <v/>
      </c>
      <c r="O1181" s="80" t="str">
        <f t="array" ref="O1181">IF(A1181="","",IFERROR(INDEX('Deck 4'!$A:$Z,ROW()-1000,'List Setup'!$J$6)&amp;"",""))</f>
        <v/>
      </c>
      <c r="P1181" s="2"/>
      <c r="Q1181" s="80" t="str">
        <f>IF(A1181="","",'List Setup'!$A$6)</f>
        <v/>
      </c>
      <c r="R1181" s="80" t="str">
        <f t="array" ref="R1181">IF(A1181="","",IFERROR(OR(INDEX(Binders!$J$6:$J$30,MATCH(Q1181,Binders!$I$6:$I$30,0))=TRUE(),UPPER(INDEX(Binders!$J$6:$J$30,MATCH(Q1181,Binders!$I$6:$I$30,0))&amp;"")="TRUE"),FALSE()))</f>
        <v/>
      </c>
    </row>
    <row r="1182" ht="15.75" customHeight="1">
      <c r="A1182" s="80" t="str">
        <f t="array" ref="A1182">IF(INDEX('Deck 4'!$A:$Z,ROW()-1000,'List Setup'!$D$6)="","",INDEX('Deck 4'!$A:$Z,ROW()-1000,'List Setup'!$D$6))</f>
        <v/>
      </c>
      <c r="B1182" s="80" t="str">
        <f t="array" ref="B1182">IF(A1182="","",IFERROR(INDEX('Binder Setup'!$B$2:$B$401,MIN(IF(ISNUMBER(SEARCH(CHAR(10)&amp;'Binder Setup'!$B$2:$B$401&amp;CHAR(10),$H1182)),'List Setup'!$Q$2:$Q$401,999),IF(ISNUMBER(SEARCH(CHAR(10)&amp;'Set Aliases'!$A$2:$A$501&amp;CHAR(10),$H1182)),'Set Aliases'!$C$2:$C$501,999))),"(none)"))</f>
        <v/>
      </c>
      <c r="C1182" s="80" t="str">
        <f t="shared" si="1"/>
        <v/>
      </c>
      <c r="D1182" s="80" t="str">
        <f t="array" ref="D1182">IF(A1182="","",IF(ISLOGICAL(INDEX('Deck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82" s="80" t="str">
        <f t="shared" si="2"/>
        <v/>
      </c>
      <c r="F1182" s="80" t="str">
        <f t="array" ref="F1182">IF(A1182="","",IF(ISNUMBER(J1182),J1182,IF(ISNUMBER(INDEX('Deck 4'!$A:$Z,ROW()-1000,'List Setup'!$F$6)),INDEX('Deck 4'!$A:$Z,ROW()-1000,'List Setup'!$F$6),0)))</f>
        <v/>
      </c>
      <c r="G1182" s="80" t="str">
        <f t="array" ref="G1182">IF(A1182="","",A1182&amp;IF(N(INDEX('Deck 4'!$A:$Z,ROW()-1000,'List Setup'!$C$6))&gt;1," (x"&amp;INDEX('Deck 4'!$A:$Z,ROW()-1000,'List Setup'!$C$6)&amp;")","")&amp;IF(COUNTIF(Binders!$J$6:$J$30,TRUE())&gt;1," ["&amp;Q1182&amp;"]",""))</f>
        <v/>
      </c>
      <c r="H1182" s="80" t="str">
        <f t="array" ref="H1182">IF(A1182="","",CHAR(10)&amp;INDEX('Deck 4'!$A:$Z,ROW()-1000,'List Setup'!$E$6)&amp;CHAR(10))</f>
        <v/>
      </c>
      <c r="I1182" s="80" t="str">
        <f t="array" ref="I1182">IF(OR(B1182="",B1182="(none)"),"",IF(ISNUMBER(SEARCH(CHAR(10)&amp;B1182&amp;CHAR(10),H1182)),B1182,IFERROR(INDEX('Set Aliases'!$A$2:$A$501,MATCH(1,('Set Aliases'!$B$2:$B$501=B1182)*ISNUMBER(SEARCH(CHAR(10)&amp;'Set Aliases'!$A$2:$A$501&amp;CHAR(10),H1182)),0)),"")))</f>
        <v/>
      </c>
      <c r="J1182" s="80" t="str">
        <f t="array" ref="J1182">IF(I1182="","",IFERROR(VALUE(TRIM(MID(SUBSTITUTE(INDEX('Deck 4'!$A:$Z,ROW()-1000,'List Setup'!$G$6),CHAR(10),REPT(" ",100)),((SEARCH(CHAR(10)&amp;I1182&amp;CHAR(10),H1182)-LEN(SUBSTITUTE(LEFT(H1182,SEARCH(CHAR(10)&amp;I1182&amp;CHAR(10),H1182)),CHAR(10),"")))-1)*100+1,100))),""))</f>
        <v/>
      </c>
      <c r="K1182" s="80" t="str">
        <f t="array" ref="K1182">IF(A1182="","",IF(ISNUMBER(SEARCH("Land",LEFT(IFERROR(INDEX('Deck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82" s="80" t="str">
        <f t="shared" si="3"/>
        <v/>
      </c>
      <c r="M1182" s="80" t="str">
        <f>IF(A1182="","",IF(AND(E1182="Y",B1182='Use at Shop'!$B$4),K1182*10000000000+(MAX(0,MIN(26,CODE(MID(UPPER(A1182)&amp;"    ",1,1))-64))*19683+MAX(0,MIN(26,CODE(MID(UPPER(A1182)&amp;"    ",2,1))-64))*729+MAX(0,MIN(26,CODE(MID(UPPER(A1182)&amp;"    ",3,1))-64))*27+MAX(0,MIN(26,CODE(MID(UPPER(A1182)&amp;"    ",4,1))-64))*1)*10000+ROW(),""))</f>
        <v/>
      </c>
      <c r="N1182" s="80" t="str">
        <f t="shared" si="8"/>
        <v/>
      </c>
      <c r="O1182" s="80" t="str">
        <f t="array" ref="O1182">IF(A1182="","",IFERROR(INDEX('Deck 4'!$A:$Z,ROW()-1000,'List Setup'!$J$6)&amp;"",""))</f>
        <v/>
      </c>
      <c r="P1182" s="2"/>
      <c r="Q1182" s="80" t="str">
        <f>IF(A1182="","",'List Setup'!$A$6)</f>
        <v/>
      </c>
      <c r="R1182" s="80" t="str">
        <f t="array" ref="R1182">IF(A1182="","",IFERROR(OR(INDEX(Binders!$J$6:$J$30,MATCH(Q1182,Binders!$I$6:$I$30,0))=TRUE(),UPPER(INDEX(Binders!$J$6:$J$30,MATCH(Q1182,Binders!$I$6:$I$30,0))&amp;"")="TRUE"),FALSE()))</f>
        <v/>
      </c>
    </row>
    <row r="1183" ht="15.75" customHeight="1">
      <c r="A1183" s="80" t="str">
        <f t="array" ref="A1183">IF(INDEX('Deck 4'!$A:$Z,ROW()-1000,'List Setup'!$D$6)="","",INDEX('Deck 4'!$A:$Z,ROW()-1000,'List Setup'!$D$6))</f>
        <v/>
      </c>
      <c r="B1183" s="80" t="str">
        <f t="array" ref="B1183">IF(A1183="","",IFERROR(INDEX('Binder Setup'!$B$2:$B$401,MIN(IF(ISNUMBER(SEARCH(CHAR(10)&amp;'Binder Setup'!$B$2:$B$401&amp;CHAR(10),$H1183)),'List Setup'!$Q$2:$Q$401,999),IF(ISNUMBER(SEARCH(CHAR(10)&amp;'Set Aliases'!$A$2:$A$501&amp;CHAR(10),$H1183)),'Set Aliases'!$C$2:$C$501,999))),"(none)"))</f>
        <v/>
      </c>
      <c r="C1183" s="80" t="str">
        <f t="shared" si="1"/>
        <v/>
      </c>
      <c r="D1183" s="80" t="str">
        <f t="array" ref="D1183">IF(A1183="","",IF(ISLOGICAL(INDEX('Deck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83" s="80" t="str">
        <f t="shared" si="2"/>
        <v/>
      </c>
      <c r="F1183" s="80" t="str">
        <f t="array" ref="F1183">IF(A1183="","",IF(ISNUMBER(J1183),J1183,IF(ISNUMBER(INDEX('Deck 4'!$A:$Z,ROW()-1000,'List Setup'!$F$6)),INDEX('Deck 4'!$A:$Z,ROW()-1000,'List Setup'!$F$6),0)))</f>
        <v/>
      </c>
      <c r="G1183" s="80" t="str">
        <f t="array" ref="G1183">IF(A1183="","",A1183&amp;IF(N(INDEX('Deck 4'!$A:$Z,ROW()-1000,'List Setup'!$C$6))&gt;1," (x"&amp;INDEX('Deck 4'!$A:$Z,ROW()-1000,'List Setup'!$C$6)&amp;")","")&amp;IF(COUNTIF(Binders!$J$6:$J$30,TRUE())&gt;1," ["&amp;Q1183&amp;"]",""))</f>
        <v/>
      </c>
      <c r="H1183" s="80" t="str">
        <f t="array" ref="H1183">IF(A1183="","",CHAR(10)&amp;INDEX('Deck 4'!$A:$Z,ROW()-1000,'List Setup'!$E$6)&amp;CHAR(10))</f>
        <v/>
      </c>
      <c r="I1183" s="80" t="str">
        <f t="array" ref="I1183">IF(OR(B1183="",B1183="(none)"),"",IF(ISNUMBER(SEARCH(CHAR(10)&amp;B1183&amp;CHAR(10),H1183)),B1183,IFERROR(INDEX('Set Aliases'!$A$2:$A$501,MATCH(1,('Set Aliases'!$B$2:$B$501=B1183)*ISNUMBER(SEARCH(CHAR(10)&amp;'Set Aliases'!$A$2:$A$501&amp;CHAR(10),H1183)),0)),"")))</f>
        <v/>
      </c>
      <c r="J1183" s="80" t="str">
        <f t="array" ref="J1183">IF(I1183="","",IFERROR(VALUE(TRIM(MID(SUBSTITUTE(INDEX('Deck 4'!$A:$Z,ROW()-1000,'List Setup'!$G$6),CHAR(10),REPT(" ",100)),((SEARCH(CHAR(10)&amp;I1183&amp;CHAR(10),H1183)-LEN(SUBSTITUTE(LEFT(H1183,SEARCH(CHAR(10)&amp;I1183&amp;CHAR(10),H1183)),CHAR(10),"")))-1)*100+1,100))),""))</f>
        <v/>
      </c>
      <c r="K1183" s="80" t="str">
        <f t="array" ref="K1183">IF(A1183="","",IF(ISNUMBER(SEARCH("Land",LEFT(IFERROR(INDEX('Deck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83" s="80" t="str">
        <f t="shared" si="3"/>
        <v/>
      </c>
      <c r="M1183" s="80" t="str">
        <f>IF(A1183="","",IF(AND(E1183="Y",B1183='Use at Shop'!$B$4),K1183*10000000000+(MAX(0,MIN(26,CODE(MID(UPPER(A1183)&amp;"    ",1,1))-64))*19683+MAX(0,MIN(26,CODE(MID(UPPER(A1183)&amp;"    ",2,1))-64))*729+MAX(0,MIN(26,CODE(MID(UPPER(A1183)&amp;"    ",3,1))-64))*27+MAX(0,MIN(26,CODE(MID(UPPER(A1183)&amp;"    ",4,1))-64))*1)*10000+ROW(),""))</f>
        <v/>
      </c>
      <c r="N1183" s="80" t="str">
        <f t="shared" si="8"/>
        <v/>
      </c>
      <c r="O1183" s="80" t="str">
        <f t="array" ref="O1183">IF(A1183="","",IFERROR(INDEX('Deck 4'!$A:$Z,ROW()-1000,'List Setup'!$J$6)&amp;"",""))</f>
        <v/>
      </c>
      <c r="P1183" s="2"/>
      <c r="Q1183" s="80" t="str">
        <f>IF(A1183="","",'List Setup'!$A$6)</f>
        <v/>
      </c>
      <c r="R1183" s="80" t="str">
        <f t="array" ref="R1183">IF(A1183="","",IFERROR(OR(INDEX(Binders!$J$6:$J$30,MATCH(Q1183,Binders!$I$6:$I$30,0))=TRUE(),UPPER(INDEX(Binders!$J$6:$J$30,MATCH(Q1183,Binders!$I$6:$I$30,0))&amp;"")="TRUE"),FALSE()))</f>
        <v/>
      </c>
    </row>
    <row r="1184" ht="15.75" customHeight="1">
      <c r="A1184" s="80" t="str">
        <f t="array" ref="A1184">IF(INDEX('Deck 4'!$A:$Z,ROW()-1000,'List Setup'!$D$6)="","",INDEX('Deck 4'!$A:$Z,ROW()-1000,'List Setup'!$D$6))</f>
        <v/>
      </c>
      <c r="B1184" s="80" t="str">
        <f t="array" ref="B1184">IF(A1184="","",IFERROR(INDEX('Binder Setup'!$B$2:$B$401,MIN(IF(ISNUMBER(SEARCH(CHAR(10)&amp;'Binder Setup'!$B$2:$B$401&amp;CHAR(10),$H1184)),'List Setup'!$Q$2:$Q$401,999),IF(ISNUMBER(SEARCH(CHAR(10)&amp;'Set Aliases'!$A$2:$A$501&amp;CHAR(10),$H1184)),'Set Aliases'!$C$2:$C$501,999))),"(none)"))</f>
        <v/>
      </c>
      <c r="C1184" s="80" t="str">
        <f t="shared" si="1"/>
        <v/>
      </c>
      <c r="D1184" s="80" t="str">
        <f t="array" ref="D1184">IF(A1184="","",IF(ISLOGICAL(INDEX('Deck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84" s="80" t="str">
        <f t="shared" si="2"/>
        <v/>
      </c>
      <c r="F1184" s="80" t="str">
        <f t="array" ref="F1184">IF(A1184="","",IF(ISNUMBER(J1184),J1184,IF(ISNUMBER(INDEX('Deck 4'!$A:$Z,ROW()-1000,'List Setup'!$F$6)),INDEX('Deck 4'!$A:$Z,ROW()-1000,'List Setup'!$F$6),0)))</f>
        <v/>
      </c>
      <c r="G1184" s="80" t="str">
        <f t="array" ref="G1184">IF(A1184="","",A1184&amp;IF(N(INDEX('Deck 4'!$A:$Z,ROW()-1000,'List Setup'!$C$6))&gt;1," (x"&amp;INDEX('Deck 4'!$A:$Z,ROW()-1000,'List Setup'!$C$6)&amp;")","")&amp;IF(COUNTIF(Binders!$J$6:$J$30,TRUE())&gt;1," ["&amp;Q1184&amp;"]",""))</f>
        <v/>
      </c>
      <c r="H1184" s="80" t="str">
        <f t="array" ref="H1184">IF(A1184="","",CHAR(10)&amp;INDEX('Deck 4'!$A:$Z,ROW()-1000,'List Setup'!$E$6)&amp;CHAR(10))</f>
        <v/>
      </c>
      <c r="I1184" s="80" t="str">
        <f t="array" ref="I1184">IF(OR(B1184="",B1184="(none)"),"",IF(ISNUMBER(SEARCH(CHAR(10)&amp;B1184&amp;CHAR(10),H1184)),B1184,IFERROR(INDEX('Set Aliases'!$A$2:$A$501,MATCH(1,('Set Aliases'!$B$2:$B$501=B1184)*ISNUMBER(SEARCH(CHAR(10)&amp;'Set Aliases'!$A$2:$A$501&amp;CHAR(10),H1184)),0)),"")))</f>
        <v/>
      </c>
      <c r="J1184" s="80" t="str">
        <f t="array" ref="J1184">IF(I1184="","",IFERROR(VALUE(TRIM(MID(SUBSTITUTE(INDEX('Deck 4'!$A:$Z,ROW()-1000,'List Setup'!$G$6),CHAR(10),REPT(" ",100)),((SEARCH(CHAR(10)&amp;I1184&amp;CHAR(10),H1184)-LEN(SUBSTITUTE(LEFT(H1184,SEARCH(CHAR(10)&amp;I1184&amp;CHAR(10),H1184)),CHAR(10),"")))-1)*100+1,100))),""))</f>
        <v/>
      </c>
      <c r="K1184" s="80" t="str">
        <f t="array" ref="K1184">IF(A1184="","",IF(ISNUMBER(SEARCH("Land",LEFT(IFERROR(INDEX('Deck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84" s="80" t="str">
        <f t="shared" si="3"/>
        <v/>
      </c>
      <c r="M1184" s="80" t="str">
        <f>IF(A1184="","",IF(AND(E1184="Y",B1184='Use at Shop'!$B$4),K1184*10000000000+(MAX(0,MIN(26,CODE(MID(UPPER(A1184)&amp;"    ",1,1))-64))*19683+MAX(0,MIN(26,CODE(MID(UPPER(A1184)&amp;"    ",2,1))-64))*729+MAX(0,MIN(26,CODE(MID(UPPER(A1184)&amp;"    ",3,1))-64))*27+MAX(0,MIN(26,CODE(MID(UPPER(A1184)&amp;"    ",4,1))-64))*1)*10000+ROW(),""))</f>
        <v/>
      </c>
      <c r="N1184" s="80" t="str">
        <f t="shared" si="8"/>
        <v/>
      </c>
      <c r="O1184" s="80" t="str">
        <f t="array" ref="O1184">IF(A1184="","",IFERROR(INDEX('Deck 4'!$A:$Z,ROW()-1000,'List Setup'!$J$6)&amp;"",""))</f>
        <v/>
      </c>
      <c r="P1184" s="2"/>
      <c r="Q1184" s="80" t="str">
        <f>IF(A1184="","",'List Setup'!$A$6)</f>
        <v/>
      </c>
      <c r="R1184" s="80" t="str">
        <f t="array" ref="R1184">IF(A1184="","",IFERROR(OR(INDEX(Binders!$J$6:$J$30,MATCH(Q1184,Binders!$I$6:$I$30,0))=TRUE(),UPPER(INDEX(Binders!$J$6:$J$30,MATCH(Q1184,Binders!$I$6:$I$30,0))&amp;"")="TRUE"),FALSE()))</f>
        <v/>
      </c>
    </row>
    <row r="1185" ht="15.75" customHeight="1">
      <c r="A1185" s="80" t="str">
        <f t="array" ref="A1185">IF(INDEX('Deck 4'!$A:$Z,ROW()-1000,'List Setup'!$D$6)="","",INDEX('Deck 4'!$A:$Z,ROW()-1000,'List Setup'!$D$6))</f>
        <v/>
      </c>
      <c r="B1185" s="80" t="str">
        <f t="array" ref="B1185">IF(A1185="","",IFERROR(INDEX('Binder Setup'!$B$2:$B$401,MIN(IF(ISNUMBER(SEARCH(CHAR(10)&amp;'Binder Setup'!$B$2:$B$401&amp;CHAR(10),$H1185)),'List Setup'!$Q$2:$Q$401,999),IF(ISNUMBER(SEARCH(CHAR(10)&amp;'Set Aliases'!$A$2:$A$501&amp;CHAR(10),$H1185)),'Set Aliases'!$C$2:$C$501,999))),"(none)"))</f>
        <v/>
      </c>
      <c r="C1185" s="80" t="str">
        <f t="shared" si="1"/>
        <v/>
      </c>
      <c r="D1185" s="80" t="str">
        <f t="array" ref="D1185">IF(A1185="","",IF(ISLOGICAL(INDEX('Deck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85" s="80" t="str">
        <f t="shared" si="2"/>
        <v/>
      </c>
      <c r="F1185" s="80" t="str">
        <f t="array" ref="F1185">IF(A1185="","",IF(ISNUMBER(J1185),J1185,IF(ISNUMBER(INDEX('Deck 4'!$A:$Z,ROW()-1000,'List Setup'!$F$6)),INDEX('Deck 4'!$A:$Z,ROW()-1000,'List Setup'!$F$6),0)))</f>
        <v/>
      </c>
      <c r="G1185" s="80" t="str">
        <f t="array" ref="G1185">IF(A1185="","",A1185&amp;IF(N(INDEX('Deck 4'!$A:$Z,ROW()-1000,'List Setup'!$C$6))&gt;1," (x"&amp;INDEX('Deck 4'!$A:$Z,ROW()-1000,'List Setup'!$C$6)&amp;")","")&amp;IF(COUNTIF(Binders!$J$6:$J$30,TRUE())&gt;1," ["&amp;Q1185&amp;"]",""))</f>
        <v/>
      </c>
      <c r="H1185" s="80" t="str">
        <f t="array" ref="H1185">IF(A1185="","",CHAR(10)&amp;INDEX('Deck 4'!$A:$Z,ROW()-1000,'List Setup'!$E$6)&amp;CHAR(10))</f>
        <v/>
      </c>
      <c r="I1185" s="80" t="str">
        <f t="array" ref="I1185">IF(OR(B1185="",B1185="(none)"),"",IF(ISNUMBER(SEARCH(CHAR(10)&amp;B1185&amp;CHAR(10),H1185)),B1185,IFERROR(INDEX('Set Aliases'!$A$2:$A$501,MATCH(1,('Set Aliases'!$B$2:$B$501=B1185)*ISNUMBER(SEARCH(CHAR(10)&amp;'Set Aliases'!$A$2:$A$501&amp;CHAR(10),H1185)),0)),"")))</f>
        <v/>
      </c>
      <c r="J1185" s="80" t="str">
        <f t="array" ref="J1185">IF(I1185="","",IFERROR(VALUE(TRIM(MID(SUBSTITUTE(INDEX('Deck 4'!$A:$Z,ROW()-1000,'List Setup'!$G$6),CHAR(10),REPT(" ",100)),((SEARCH(CHAR(10)&amp;I1185&amp;CHAR(10),H1185)-LEN(SUBSTITUTE(LEFT(H1185,SEARCH(CHAR(10)&amp;I1185&amp;CHAR(10),H1185)),CHAR(10),"")))-1)*100+1,100))),""))</f>
        <v/>
      </c>
      <c r="K1185" s="80" t="str">
        <f t="array" ref="K1185">IF(A1185="","",IF(ISNUMBER(SEARCH("Land",LEFT(IFERROR(INDEX('Deck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85" s="80" t="str">
        <f t="shared" si="3"/>
        <v/>
      </c>
      <c r="M1185" s="80" t="str">
        <f>IF(A1185="","",IF(AND(E1185="Y",B1185='Use at Shop'!$B$4),K1185*10000000000+(MAX(0,MIN(26,CODE(MID(UPPER(A1185)&amp;"    ",1,1))-64))*19683+MAX(0,MIN(26,CODE(MID(UPPER(A1185)&amp;"    ",2,1))-64))*729+MAX(0,MIN(26,CODE(MID(UPPER(A1185)&amp;"    ",3,1))-64))*27+MAX(0,MIN(26,CODE(MID(UPPER(A1185)&amp;"    ",4,1))-64))*1)*10000+ROW(),""))</f>
        <v/>
      </c>
      <c r="N1185" s="80" t="str">
        <f t="shared" si="8"/>
        <v/>
      </c>
      <c r="O1185" s="80" t="str">
        <f t="array" ref="O1185">IF(A1185="","",IFERROR(INDEX('Deck 4'!$A:$Z,ROW()-1000,'List Setup'!$J$6)&amp;"",""))</f>
        <v/>
      </c>
      <c r="P1185" s="2"/>
      <c r="Q1185" s="80" t="str">
        <f>IF(A1185="","",'List Setup'!$A$6)</f>
        <v/>
      </c>
      <c r="R1185" s="80" t="str">
        <f t="array" ref="R1185">IF(A1185="","",IFERROR(OR(INDEX(Binders!$J$6:$J$30,MATCH(Q1185,Binders!$I$6:$I$30,0))=TRUE(),UPPER(INDEX(Binders!$J$6:$J$30,MATCH(Q1185,Binders!$I$6:$I$30,0))&amp;"")="TRUE"),FALSE()))</f>
        <v/>
      </c>
    </row>
    <row r="1186" ht="15.75" customHeight="1">
      <c r="A1186" s="80" t="str">
        <f t="array" ref="A1186">IF(INDEX('Deck 4'!$A:$Z,ROW()-1000,'List Setup'!$D$6)="","",INDEX('Deck 4'!$A:$Z,ROW()-1000,'List Setup'!$D$6))</f>
        <v/>
      </c>
      <c r="B1186" s="80" t="str">
        <f t="array" ref="B1186">IF(A1186="","",IFERROR(INDEX('Binder Setup'!$B$2:$B$401,MIN(IF(ISNUMBER(SEARCH(CHAR(10)&amp;'Binder Setup'!$B$2:$B$401&amp;CHAR(10),$H1186)),'List Setup'!$Q$2:$Q$401,999),IF(ISNUMBER(SEARCH(CHAR(10)&amp;'Set Aliases'!$A$2:$A$501&amp;CHAR(10),$H1186)),'Set Aliases'!$C$2:$C$501,999))),"(none)"))</f>
        <v/>
      </c>
      <c r="C1186" s="80" t="str">
        <f t="shared" si="1"/>
        <v/>
      </c>
      <c r="D1186" s="80" t="str">
        <f t="array" ref="D1186">IF(A1186="","",IF(ISLOGICAL(INDEX('Deck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86" s="80" t="str">
        <f t="shared" si="2"/>
        <v/>
      </c>
      <c r="F1186" s="80" t="str">
        <f t="array" ref="F1186">IF(A1186="","",IF(ISNUMBER(J1186),J1186,IF(ISNUMBER(INDEX('Deck 4'!$A:$Z,ROW()-1000,'List Setup'!$F$6)),INDEX('Deck 4'!$A:$Z,ROW()-1000,'List Setup'!$F$6),0)))</f>
        <v/>
      </c>
      <c r="G1186" s="80" t="str">
        <f t="array" ref="G1186">IF(A1186="","",A1186&amp;IF(N(INDEX('Deck 4'!$A:$Z,ROW()-1000,'List Setup'!$C$6))&gt;1," (x"&amp;INDEX('Deck 4'!$A:$Z,ROW()-1000,'List Setup'!$C$6)&amp;")","")&amp;IF(COUNTIF(Binders!$J$6:$J$30,TRUE())&gt;1," ["&amp;Q1186&amp;"]",""))</f>
        <v/>
      </c>
      <c r="H1186" s="80" t="str">
        <f t="array" ref="H1186">IF(A1186="","",CHAR(10)&amp;INDEX('Deck 4'!$A:$Z,ROW()-1000,'List Setup'!$E$6)&amp;CHAR(10))</f>
        <v/>
      </c>
      <c r="I1186" s="80" t="str">
        <f t="array" ref="I1186">IF(OR(B1186="",B1186="(none)"),"",IF(ISNUMBER(SEARCH(CHAR(10)&amp;B1186&amp;CHAR(10),H1186)),B1186,IFERROR(INDEX('Set Aliases'!$A$2:$A$501,MATCH(1,('Set Aliases'!$B$2:$B$501=B1186)*ISNUMBER(SEARCH(CHAR(10)&amp;'Set Aliases'!$A$2:$A$501&amp;CHAR(10),H1186)),0)),"")))</f>
        <v/>
      </c>
      <c r="J1186" s="80" t="str">
        <f t="array" ref="J1186">IF(I1186="","",IFERROR(VALUE(TRIM(MID(SUBSTITUTE(INDEX('Deck 4'!$A:$Z,ROW()-1000,'List Setup'!$G$6),CHAR(10),REPT(" ",100)),((SEARCH(CHAR(10)&amp;I1186&amp;CHAR(10),H1186)-LEN(SUBSTITUTE(LEFT(H1186,SEARCH(CHAR(10)&amp;I1186&amp;CHAR(10),H1186)),CHAR(10),"")))-1)*100+1,100))),""))</f>
        <v/>
      </c>
      <c r="K1186" s="80" t="str">
        <f t="array" ref="K1186">IF(A1186="","",IF(ISNUMBER(SEARCH("Land",LEFT(IFERROR(INDEX('Deck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86" s="80" t="str">
        <f t="shared" si="3"/>
        <v/>
      </c>
      <c r="M1186" s="80" t="str">
        <f>IF(A1186="","",IF(AND(E1186="Y",B1186='Use at Shop'!$B$4),K1186*10000000000+(MAX(0,MIN(26,CODE(MID(UPPER(A1186)&amp;"    ",1,1))-64))*19683+MAX(0,MIN(26,CODE(MID(UPPER(A1186)&amp;"    ",2,1))-64))*729+MAX(0,MIN(26,CODE(MID(UPPER(A1186)&amp;"    ",3,1))-64))*27+MAX(0,MIN(26,CODE(MID(UPPER(A1186)&amp;"    ",4,1))-64))*1)*10000+ROW(),""))</f>
        <v/>
      </c>
      <c r="N1186" s="80" t="str">
        <f t="shared" si="8"/>
        <v/>
      </c>
      <c r="O1186" s="80" t="str">
        <f t="array" ref="O1186">IF(A1186="","",IFERROR(INDEX('Deck 4'!$A:$Z,ROW()-1000,'List Setup'!$J$6)&amp;"",""))</f>
        <v/>
      </c>
      <c r="P1186" s="2"/>
      <c r="Q1186" s="80" t="str">
        <f>IF(A1186="","",'List Setup'!$A$6)</f>
        <v/>
      </c>
      <c r="R1186" s="80" t="str">
        <f t="array" ref="R1186">IF(A1186="","",IFERROR(OR(INDEX(Binders!$J$6:$J$30,MATCH(Q1186,Binders!$I$6:$I$30,0))=TRUE(),UPPER(INDEX(Binders!$J$6:$J$30,MATCH(Q1186,Binders!$I$6:$I$30,0))&amp;"")="TRUE"),FALSE()))</f>
        <v/>
      </c>
    </row>
    <row r="1187" ht="15.75" customHeight="1">
      <c r="A1187" s="80" t="str">
        <f t="array" ref="A1187">IF(INDEX('Deck 4'!$A:$Z,ROW()-1000,'List Setup'!$D$6)="","",INDEX('Deck 4'!$A:$Z,ROW()-1000,'List Setup'!$D$6))</f>
        <v/>
      </c>
      <c r="B1187" s="80" t="str">
        <f t="array" ref="B1187">IF(A1187="","",IFERROR(INDEX('Binder Setup'!$B$2:$B$401,MIN(IF(ISNUMBER(SEARCH(CHAR(10)&amp;'Binder Setup'!$B$2:$B$401&amp;CHAR(10),$H1187)),'List Setup'!$Q$2:$Q$401,999),IF(ISNUMBER(SEARCH(CHAR(10)&amp;'Set Aliases'!$A$2:$A$501&amp;CHAR(10),$H1187)),'Set Aliases'!$C$2:$C$501,999))),"(none)"))</f>
        <v/>
      </c>
      <c r="C1187" s="80" t="str">
        <f t="shared" si="1"/>
        <v/>
      </c>
      <c r="D1187" s="80" t="str">
        <f t="array" ref="D1187">IF(A1187="","",IF(ISLOGICAL(INDEX('Deck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87" s="80" t="str">
        <f t="shared" si="2"/>
        <v/>
      </c>
      <c r="F1187" s="80" t="str">
        <f t="array" ref="F1187">IF(A1187="","",IF(ISNUMBER(J1187),J1187,IF(ISNUMBER(INDEX('Deck 4'!$A:$Z,ROW()-1000,'List Setup'!$F$6)),INDEX('Deck 4'!$A:$Z,ROW()-1000,'List Setup'!$F$6),0)))</f>
        <v/>
      </c>
      <c r="G1187" s="80" t="str">
        <f t="array" ref="G1187">IF(A1187="","",A1187&amp;IF(N(INDEX('Deck 4'!$A:$Z,ROW()-1000,'List Setup'!$C$6))&gt;1," (x"&amp;INDEX('Deck 4'!$A:$Z,ROW()-1000,'List Setup'!$C$6)&amp;")","")&amp;IF(COUNTIF(Binders!$J$6:$J$30,TRUE())&gt;1," ["&amp;Q1187&amp;"]",""))</f>
        <v/>
      </c>
      <c r="H1187" s="80" t="str">
        <f t="array" ref="H1187">IF(A1187="","",CHAR(10)&amp;INDEX('Deck 4'!$A:$Z,ROW()-1000,'List Setup'!$E$6)&amp;CHAR(10))</f>
        <v/>
      </c>
      <c r="I1187" s="80" t="str">
        <f t="array" ref="I1187">IF(OR(B1187="",B1187="(none)"),"",IF(ISNUMBER(SEARCH(CHAR(10)&amp;B1187&amp;CHAR(10),H1187)),B1187,IFERROR(INDEX('Set Aliases'!$A$2:$A$501,MATCH(1,('Set Aliases'!$B$2:$B$501=B1187)*ISNUMBER(SEARCH(CHAR(10)&amp;'Set Aliases'!$A$2:$A$501&amp;CHAR(10),H1187)),0)),"")))</f>
        <v/>
      </c>
      <c r="J1187" s="80" t="str">
        <f t="array" ref="J1187">IF(I1187="","",IFERROR(VALUE(TRIM(MID(SUBSTITUTE(INDEX('Deck 4'!$A:$Z,ROW()-1000,'List Setup'!$G$6),CHAR(10),REPT(" ",100)),((SEARCH(CHAR(10)&amp;I1187&amp;CHAR(10),H1187)-LEN(SUBSTITUTE(LEFT(H1187,SEARCH(CHAR(10)&amp;I1187&amp;CHAR(10),H1187)),CHAR(10),"")))-1)*100+1,100))),""))</f>
        <v/>
      </c>
      <c r="K1187" s="80" t="str">
        <f t="array" ref="K1187">IF(A1187="","",IF(ISNUMBER(SEARCH("Land",LEFT(IFERROR(INDEX('Deck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87" s="80" t="str">
        <f t="shared" si="3"/>
        <v/>
      </c>
      <c r="M1187" s="80" t="str">
        <f>IF(A1187="","",IF(AND(E1187="Y",B1187='Use at Shop'!$B$4),K1187*10000000000+(MAX(0,MIN(26,CODE(MID(UPPER(A1187)&amp;"    ",1,1))-64))*19683+MAX(0,MIN(26,CODE(MID(UPPER(A1187)&amp;"    ",2,1))-64))*729+MAX(0,MIN(26,CODE(MID(UPPER(A1187)&amp;"    ",3,1))-64))*27+MAX(0,MIN(26,CODE(MID(UPPER(A1187)&amp;"    ",4,1))-64))*1)*10000+ROW(),""))</f>
        <v/>
      </c>
      <c r="N1187" s="80" t="str">
        <f t="shared" si="8"/>
        <v/>
      </c>
      <c r="O1187" s="80" t="str">
        <f t="array" ref="O1187">IF(A1187="","",IFERROR(INDEX('Deck 4'!$A:$Z,ROW()-1000,'List Setup'!$J$6)&amp;"",""))</f>
        <v/>
      </c>
      <c r="P1187" s="2"/>
      <c r="Q1187" s="80" t="str">
        <f>IF(A1187="","",'List Setup'!$A$6)</f>
        <v/>
      </c>
      <c r="R1187" s="80" t="str">
        <f t="array" ref="R1187">IF(A1187="","",IFERROR(OR(INDEX(Binders!$J$6:$J$30,MATCH(Q1187,Binders!$I$6:$I$30,0))=TRUE(),UPPER(INDEX(Binders!$J$6:$J$30,MATCH(Q1187,Binders!$I$6:$I$30,0))&amp;"")="TRUE"),FALSE()))</f>
        <v/>
      </c>
    </row>
    <row r="1188" ht="15.75" customHeight="1">
      <c r="A1188" s="80" t="str">
        <f t="array" ref="A1188">IF(INDEX('Deck 4'!$A:$Z,ROW()-1000,'List Setup'!$D$6)="","",INDEX('Deck 4'!$A:$Z,ROW()-1000,'List Setup'!$D$6))</f>
        <v/>
      </c>
      <c r="B1188" s="80" t="str">
        <f t="array" ref="B1188">IF(A1188="","",IFERROR(INDEX('Binder Setup'!$B$2:$B$401,MIN(IF(ISNUMBER(SEARCH(CHAR(10)&amp;'Binder Setup'!$B$2:$B$401&amp;CHAR(10),$H1188)),'List Setup'!$Q$2:$Q$401,999),IF(ISNUMBER(SEARCH(CHAR(10)&amp;'Set Aliases'!$A$2:$A$501&amp;CHAR(10),$H1188)),'Set Aliases'!$C$2:$C$501,999))),"(none)"))</f>
        <v/>
      </c>
      <c r="C1188" s="80" t="str">
        <f t="shared" si="1"/>
        <v/>
      </c>
      <c r="D1188" s="80" t="str">
        <f t="array" ref="D1188">IF(A1188="","",IF(ISLOGICAL(INDEX('Deck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88" s="80" t="str">
        <f t="shared" si="2"/>
        <v/>
      </c>
      <c r="F1188" s="80" t="str">
        <f t="array" ref="F1188">IF(A1188="","",IF(ISNUMBER(J1188),J1188,IF(ISNUMBER(INDEX('Deck 4'!$A:$Z,ROW()-1000,'List Setup'!$F$6)),INDEX('Deck 4'!$A:$Z,ROW()-1000,'List Setup'!$F$6),0)))</f>
        <v/>
      </c>
      <c r="G1188" s="80" t="str">
        <f t="array" ref="G1188">IF(A1188="","",A1188&amp;IF(N(INDEX('Deck 4'!$A:$Z,ROW()-1000,'List Setup'!$C$6))&gt;1," (x"&amp;INDEX('Deck 4'!$A:$Z,ROW()-1000,'List Setup'!$C$6)&amp;")","")&amp;IF(COUNTIF(Binders!$J$6:$J$30,TRUE())&gt;1," ["&amp;Q1188&amp;"]",""))</f>
        <v/>
      </c>
      <c r="H1188" s="80" t="str">
        <f t="array" ref="H1188">IF(A1188="","",CHAR(10)&amp;INDEX('Deck 4'!$A:$Z,ROW()-1000,'List Setup'!$E$6)&amp;CHAR(10))</f>
        <v/>
      </c>
      <c r="I1188" s="80" t="str">
        <f t="array" ref="I1188">IF(OR(B1188="",B1188="(none)"),"",IF(ISNUMBER(SEARCH(CHAR(10)&amp;B1188&amp;CHAR(10),H1188)),B1188,IFERROR(INDEX('Set Aliases'!$A$2:$A$501,MATCH(1,('Set Aliases'!$B$2:$B$501=B1188)*ISNUMBER(SEARCH(CHAR(10)&amp;'Set Aliases'!$A$2:$A$501&amp;CHAR(10),H1188)),0)),"")))</f>
        <v/>
      </c>
      <c r="J1188" s="80" t="str">
        <f t="array" ref="J1188">IF(I1188="","",IFERROR(VALUE(TRIM(MID(SUBSTITUTE(INDEX('Deck 4'!$A:$Z,ROW()-1000,'List Setup'!$G$6),CHAR(10),REPT(" ",100)),((SEARCH(CHAR(10)&amp;I1188&amp;CHAR(10),H1188)-LEN(SUBSTITUTE(LEFT(H1188,SEARCH(CHAR(10)&amp;I1188&amp;CHAR(10),H1188)),CHAR(10),"")))-1)*100+1,100))),""))</f>
        <v/>
      </c>
      <c r="K1188" s="80" t="str">
        <f t="array" ref="K1188">IF(A1188="","",IF(ISNUMBER(SEARCH("Land",LEFT(IFERROR(INDEX('Deck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88" s="80" t="str">
        <f t="shared" si="3"/>
        <v/>
      </c>
      <c r="M1188" s="80" t="str">
        <f>IF(A1188="","",IF(AND(E1188="Y",B1188='Use at Shop'!$B$4),K1188*10000000000+(MAX(0,MIN(26,CODE(MID(UPPER(A1188)&amp;"    ",1,1))-64))*19683+MAX(0,MIN(26,CODE(MID(UPPER(A1188)&amp;"    ",2,1))-64))*729+MAX(0,MIN(26,CODE(MID(UPPER(A1188)&amp;"    ",3,1))-64))*27+MAX(0,MIN(26,CODE(MID(UPPER(A1188)&amp;"    ",4,1))-64))*1)*10000+ROW(),""))</f>
        <v/>
      </c>
      <c r="N1188" s="80" t="str">
        <f t="shared" si="8"/>
        <v/>
      </c>
      <c r="O1188" s="80" t="str">
        <f t="array" ref="O1188">IF(A1188="","",IFERROR(INDEX('Deck 4'!$A:$Z,ROW()-1000,'List Setup'!$J$6)&amp;"",""))</f>
        <v/>
      </c>
      <c r="P1188" s="2"/>
      <c r="Q1188" s="80" t="str">
        <f>IF(A1188="","",'List Setup'!$A$6)</f>
        <v/>
      </c>
      <c r="R1188" s="80" t="str">
        <f t="array" ref="R1188">IF(A1188="","",IFERROR(OR(INDEX(Binders!$J$6:$J$30,MATCH(Q1188,Binders!$I$6:$I$30,0))=TRUE(),UPPER(INDEX(Binders!$J$6:$J$30,MATCH(Q1188,Binders!$I$6:$I$30,0))&amp;"")="TRUE"),FALSE()))</f>
        <v/>
      </c>
    </row>
    <row r="1189" ht="15.75" customHeight="1">
      <c r="A1189" s="80" t="str">
        <f t="array" ref="A1189">IF(INDEX('Deck 4'!$A:$Z,ROW()-1000,'List Setup'!$D$6)="","",INDEX('Deck 4'!$A:$Z,ROW()-1000,'List Setup'!$D$6))</f>
        <v/>
      </c>
      <c r="B1189" s="80" t="str">
        <f t="array" ref="B1189">IF(A1189="","",IFERROR(INDEX('Binder Setup'!$B$2:$B$401,MIN(IF(ISNUMBER(SEARCH(CHAR(10)&amp;'Binder Setup'!$B$2:$B$401&amp;CHAR(10),$H1189)),'List Setup'!$Q$2:$Q$401,999),IF(ISNUMBER(SEARCH(CHAR(10)&amp;'Set Aliases'!$A$2:$A$501&amp;CHAR(10),$H1189)),'Set Aliases'!$C$2:$C$501,999))),"(none)"))</f>
        <v/>
      </c>
      <c r="C1189" s="80" t="str">
        <f t="shared" si="1"/>
        <v/>
      </c>
      <c r="D1189" s="80" t="str">
        <f t="array" ref="D1189">IF(A1189="","",IF(ISLOGICAL(INDEX('Deck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89" s="80" t="str">
        <f t="shared" si="2"/>
        <v/>
      </c>
      <c r="F1189" s="80" t="str">
        <f t="array" ref="F1189">IF(A1189="","",IF(ISNUMBER(J1189),J1189,IF(ISNUMBER(INDEX('Deck 4'!$A:$Z,ROW()-1000,'List Setup'!$F$6)),INDEX('Deck 4'!$A:$Z,ROW()-1000,'List Setup'!$F$6),0)))</f>
        <v/>
      </c>
      <c r="G1189" s="80" t="str">
        <f t="array" ref="G1189">IF(A1189="","",A1189&amp;IF(N(INDEX('Deck 4'!$A:$Z,ROW()-1000,'List Setup'!$C$6))&gt;1," (x"&amp;INDEX('Deck 4'!$A:$Z,ROW()-1000,'List Setup'!$C$6)&amp;")","")&amp;IF(COUNTIF(Binders!$J$6:$J$30,TRUE())&gt;1," ["&amp;Q1189&amp;"]",""))</f>
        <v/>
      </c>
      <c r="H1189" s="80" t="str">
        <f t="array" ref="H1189">IF(A1189="","",CHAR(10)&amp;INDEX('Deck 4'!$A:$Z,ROW()-1000,'List Setup'!$E$6)&amp;CHAR(10))</f>
        <v/>
      </c>
      <c r="I1189" s="80" t="str">
        <f t="array" ref="I1189">IF(OR(B1189="",B1189="(none)"),"",IF(ISNUMBER(SEARCH(CHAR(10)&amp;B1189&amp;CHAR(10),H1189)),B1189,IFERROR(INDEX('Set Aliases'!$A$2:$A$501,MATCH(1,('Set Aliases'!$B$2:$B$501=B1189)*ISNUMBER(SEARCH(CHAR(10)&amp;'Set Aliases'!$A$2:$A$501&amp;CHAR(10),H1189)),0)),"")))</f>
        <v/>
      </c>
      <c r="J1189" s="80" t="str">
        <f t="array" ref="J1189">IF(I1189="","",IFERROR(VALUE(TRIM(MID(SUBSTITUTE(INDEX('Deck 4'!$A:$Z,ROW()-1000,'List Setup'!$G$6),CHAR(10),REPT(" ",100)),((SEARCH(CHAR(10)&amp;I1189&amp;CHAR(10),H1189)-LEN(SUBSTITUTE(LEFT(H1189,SEARCH(CHAR(10)&amp;I1189&amp;CHAR(10),H1189)),CHAR(10),"")))-1)*100+1,100))),""))</f>
        <v/>
      </c>
      <c r="K1189" s="80" t="str">
        <f t="array" ref="K1189">IF(A1189="","",IF(ISNUMBER(SEARCH("Land",LEFT(IFERROR(INDEX('Deck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89" s="80" t="str">
        <f t="shared" si="3"/>
        <v/>
      </c>
      <c r="M1189" s="80" t="str">
        <f>IF(A1189="","",IF(AND(E1189="Y",B1189='Use at Shop'!$B$4),K1189*10000000000+(MAX(0,MIN(26,CODE(MID(UPPER(A1189)&amp;"    ",1,1))-64))*19683+MAX(0,MIN(26,CODE(MID(UPPER(A1189)&amp;"    ",2,1))-64))*729+MAX(0,MIN(26,CODE(MID(UPPER(A1189)&amp;"    ",3,1))-64))*27+MAX(0,MIN(26,CODE(MID(UPPER(A1189)&amp;"    ",4,1))-64))*1)*10000+ROW(),""))</f>
        <v/>
      </c>
      <c r="N1189" s="80" t="str">
        <f t="shared" si="8"/>
        <v/>
      </c>
      <c r="O1189" s="80" t="str">
        <f t="array" ref="O1189">IF(A1189="","",IFERROR(INDEX('Deck 4'!$A:$Z,ROW()-1000,'List Setup'!$J$6)&amp;"",""))</f>
        <v/>
      </c>
      <c r="P1189" s="2"/>
      <c r="Q1189" s="80" t="str">
        <f>IF(A1189="","",'List Setup'!$A$6)</f>
        <v/>
      </c>
      <c r="R1189" s="80" t="str">
        <f t="array" ref="R1189">IF(A1189="","",IFERROR(OR(INDEX(Binders!$J$6:$J$30,MATCH(Q1189,Binders!$I$6:$I$30,0))=TRUE(),UPPER(INDEX(Binders!$J$6:$J$30,MATCH(Q1189,Binders!$I$6:$I$30,0))&amp;"")="TRUE"),FALSE()))</f>
        <v/>
      </c>
    </row>
    <row r="1190" ht="15.75" customHeight="1">
      <c r="A1190" s="80" t="str">
        <f t="array" ref="A1190">IF(INDEX('Deck 4'!$A:$Z,ROW()-1000,'List Setup'!$D$6)="","",INDEX('Deck 4'!$A:$Z,ROW()-1000,'List Setup'!$D$6))</f>
        <v/>
      </c>
      <c r="B1190" s="80" t="str">
        <f t="array" ref="B1190">IF(A1190="","",IFERROR(INDEX('Binder Setup'!$B$2:$B$401,MIN(IF(ISNUMBER(SEARCH(CHAR(10)&amp;'Binder Setup'!$B$2:$B$401&amp;CHAR(10),$H1190)),'List Setup'!$Q$2:$Q$401,999),IF(ISNUMBER(SEARCH(CHAR(10)&amp;'Set Aliases'!$A$2:$A$501&amp;CHAR(10),$H1190)),'Set Aliases'!$C$2:$C$501,999))),"(none)"))</f>
        <v/>
      </c>
      <c r="C1190" s="80" t="str">
        <f t="shared" si="1"/>
        <v/>
      </c>
      <c r="D1190" s="80" t="str">
        <f t="array" ref="D1190">IF(A1190="","",IF(ISLOGICAL(INDEX('Deck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90" s="80" t="str">
        <f t="shared" si="2"/>
        <v/>
      </c>
      <c r="F1190" s="80" t="str">
        <f t="array" ref="F1190">IF(A1190="","",IF(ISNUMBER(J1190),J1190,IF(ISNUMBER(INDEX('Deck 4'!$A:$Z,ROW()-1000,'List Setup'!$F$6)),INDEX('Deck 4'!$A:$Z,ROW()-1000,'List Setup'!$F$6),0)))</f>
        <v/>
      </c>
      <c r="G1190" s="80" t="str">
        <f t="array" ref="G1190">IF(A1190="","",A1190&amp;IF(N(INDEX('Deck 4'!$A:$Z,ROW()-1000,'List Setup'!$C$6))&gt;1," (x"&amp;INDEX('Deck 4'!$A:$Z,ROW()-1000,'List Setup'!$C$6)&amp;")","")&amp;IF(COUNTIF(Binders!$J$6:$J$30,TRUE())&gt;1," ["&amp;Q1190&amp;"]",""))</f>
        <v/>
      </c>
      <c r="H1190" s="80" t="str">
        <f t="array" ref="H1190">IF(A1190="","",CHAR(10)&amp;INDEX('Deck 4'!$A:$Z,ROW()-1000,'List Setup'!$E$6)&amp;CHAR(10))</f>
        <v/>
      </c>
      <c r="I1190" s="80" t="str">
        <f t="array" ref="I1190">IF(OR(B1190="",B1190="(none)"),"",IF(ISNUMBER(SEARCH(CHAR(10)&amp;B1190&amp;CHAR(10),H1190)),B1190,IFERROR(INDEX('Set Aliases'!$A$2:$A$501,MATCH(1,('Set Aliases'!$B$2:$B$501=B1190)*ISNUMBER(SEARCH(CHAR(10)&amp;'Set Aliases'!$A$2:$A$501&amp;CHAR(10),H1190)),0)),"")))</f>
        <v/>
      </c>
      <c r="J1190" s="80" t="str">
        <f t="array" ref="J1190">IF(I1190="","",IFERROR(VALUE(TRIM(MID(SUBSTITUTE(INDEX('Deck 4'!$A:$Z,ROW()-1000,'List Setup'!$G$6),CHAR(10),REPT(" ",100)),((SEARCH(CHAR(10)&amp;I1190&amp;CHAR(10),H1190)-LEN(SUBSTITUTE(LEFT(H1190,SEARCH(CHAR(10)&amp;I1190&amp;CHAR(10),H1190)),CHAR(10),"")))-1)*100+1,100))),""))</f>
        <v/>
      </c>
      <c r="K1190" s="80" t="str">
        <f t="array" ref="K1190">IF(A1190="","",IF(ISNUMBER(SEARCH("Land",LEFT(IFERROR(INDEX('Deck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90" s="80" t="str">
        <f t="shared" si="3"/>
        <v/>
      </c>
      <c r="M1190" s="80" t="str">
        <f>IF(A1190="","",IF(AND(E1190="Y",B1190='Use at Shop'!$B$4),K1190*10000000000+(MAX(0,MIN(26,CODE(MID(UPPER(A1190)&amp;"    ",1,1))-64))*19683+MAX(0,MIN(26,CODE(MID(UPPER(A1190)&amp;"    ",2,1))-64))*729+MAX(0,MIN(26,CODE(MID(UPPER(A1190)&amp;"    ",3,1))-64))*27+MAX(0,MIN(26,CODE(MID(UPPER(A1190)&amp;"    ",4,1))-64))*1)*10000+ROW(),""))</f>
        <v/>
      </c>
      <c r="N1190" s="80" t="str">
        <f t="shared" si="8"/>
        <v/>
      </c>
      <c r="O1190" s="80" t="str">
        <f t="array" ref="O1190">IF(A1190="","",IFERROR(INDEX('Deck 4'!$A:$Z,ROW()-1000,'List Setup'!$J$6)&amp;"",""))</f>
        <v/>
      </c>
      <c r="P1190" s="2"/>
      <c r="Q1190" s="80" t="str">
        <f>IF(A1190="","",'List Setup'!$A$6)</f>
        <v/>
      </c>
      <c r="R1190" s="80" t="str">
        <f t="array" ref="R1190">IF(A1190="","",IFERROR(OR(INDEX(Binders!$J$6:$J$30,MATCH(Q1190,Binders!$I$6:$I$30,0))=TRUE(),UPPER(INDEX(Binders!$J$6:$J$30,MATCH(Q1190,Binders!$I$6:$I$30,0))&amp;"")="TRUE"),FALSE()))</f>
        <v/>
      </c>
    </row>
    <row r="1191" ht="15.75" customHeight="1">
      <c r="A1191" s="80" t="str">
        <f t="array" ref="A1191">IF(INDEX('Deck 4'!$A:$Z,ROW()-1000,'List Setup'!$D$6)="","",INDEX('Deck 4'!$A:$Z,ROW()-1000,'List Setup'!$D$6))</f>
        <v/>
      </c>
      <c r="B1191" s="80" t="str">
        <f t="array" ref="B1191">IF(A1191="","",IFERROR(INDEX('Binder Setup'!$B$2:$B$401,MIN(IF(ISNUMBER(SEARCH(CHAR(10)&amp;'Binder Setup'!$B$2:$B$401&amp;CHAR(10),$H1191)),'List Setup'!$Q$2:$Q$401,999),IF(ISNUMBER(SEARCH(CHAR(10)&amp;'Set Aliases'!$A$2:$A$501&amp;CHAR(10),$H1191)),'Set Aliases'!$C$2:$C$501,999))),"(none)"))</f>
        <v/>
      </c>
      <c r="C1191" s="80" t="str">
        <f t="shared" si="1"/>
        <v/>
      </c>
      <c r="D1191" s="80" t="str">
        <f t="array" ref="D1191">IF(A1191="","",IF(ISLOGICAL(INDEX('Deck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91" s="80" t="str">
        <f t="shared" si="2"/>
        <v/>
      </c>
      <c r="F1191" s="80" t="str">
        <f t="array" ref="F1191">IF(A1191="","",IF(ISNUMBER(J1191),J1191,IF(ISNUMBER(INDEX('Deck 4'!$A:$Z,ROW()-1000,'List Setup'!$F$6)),INDEX('Deck 4'!$A:$Z,ROW()-1000,'List Setup'!$F$6),0)))</f>
        <v/>
      </c>
      <c r="G1191" s="80" t="str">
        <f t="array" ref="G1191">IF(A1191="","",A1191&amp;IF(N(INDEX('Deck 4'!$A:$Z,ROW()-1000,'List Setup'!$C$6))&gt;1," (x"&amp;INDEX('Deck 4'!$A:$Z,ROW()-1000,'List Setup'!$C$6)&amp;")","")&amp;IF(COUNTIF(Binders!$J$6:$J$30,TRUE())&gt;1," ["&amp;Q1191&amp;"]",""))</f>
        <v/>
      </c>
      <c r="H1191" s="80" t="str">
        <f t="array" ref="H1191">IF(A1191="","",CHAR(10)&amp;INDEX('Deck 4'!$A:$Z,ROW()-1000,'List Setup'!$E$6)&amp;CHAR(10))</f>
        <v/>
      </c>
      <c r="I1191" s="80" t="str">
        <f t="array" ref="I1191">IF(OR(B1191="",B1191="(none)"),"",IF(ISNUMBER(SEARCH(CHAR(10)&amp;B1191&amp;CHAR(10),H1191)),B1191,IFERROR(INDEX('Set Aliases'!$A$2:$A$501,MATCH(1,('Set Aliases'!$B$2:$B$501=B1191)*ISNUMBER(SEARCH(CHAR(10)&amp;'Set Aliases'!$A$2:$A$501&amp;CHAR(10),H1191)),0)),"")))</f>
        <v/>
      </c>
      <c r="J1191" s="80" t="str">
        <f t="array" ref="J1191">IF(I1191="","",IFERROR(VALUE(TRIM(MID(SUBSTITUTE(INDEX('Deck 4'!$A:$Z,ROW()-1000,'List Setup'!$G$6),CHAR(10),REPT(" ",100)),((SEARCH(CHAR(10)&amp;I1191&amp;CHAR(10),H1191)-LEN(SUBSTITUTE(LEFT(H1191,SEARCH(CHAR(10)&amp;I1191&amp;CHAR(10),H1191)),CHAR(10),"")))-1)*100+1,100))),""))</f>
        <v/>
      </c>
      <c r="K1191" s="80" t="str">
        <f t="array" ref="K1191">IF(A1191="","",IF(ISNUMBER(SEARCH("Land",LEFT(IFERROR(INDEX('Deck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91" s="80" t="str">
        <f t="shared" si="3"/>
        <v/>
      </c>
      <c r="M1191" s="80" t="str">
        <f>IF(A1191="","",IF(AND(E1191="Y",B1191='Use at Shop'!$B$4),K1191*10000000000+(MAX(0,MIN(26,CODE(MID(UPPER(A1191)&amp;"    ",1,1))-64))*19683+MAX(0,MIN(26,CODE(MID(UPPER(A1191)&amp;"    ",2,1))-64))*729+MAX(0,MIN(26,CODE(MID(UPPER(A1191)&amp;"    ",3,1))-64))*27+MAX(0,MIN(26,CODE(MID(UPPER(A1191)&amp;"    ",4,1))-64))*1)*10000+ROW(),""))</f>
        <v/>
      </c>
      <c r="N1191" s="80" t="str">
        <f t="shared" si="8"/>
        <v/>
      </c>
      <c r="O1191" s="80" t="str">
        <f t="array" ref="O1191">IF(A1191="","",IFERROR(INDEX('Deck 4'!$A:$Z,ROW()-1000,'List Setup'!$J$6)&amp;"",""))</f>
        <v/>
      </c>
      <c r="P1191" s="2"/>
      <c r="Q1191" s="80" t="str">
        <f>IF(A1191="","",'List Setup'!$A$6)</f>
        <v/>
      </c>
      <c r="R1191" s="80" t="str">
        <f t="array" ref="R1191">IF(A1191="","",IFERROR(OR(INDEX(Binders!$J$6:$J$30,MATCH(Q1191,Binders!$I$6:$I$30,0))=TRUE(),UPPER(INDEX(Binders!$J$6:$J$30,MATCH(Q1191,Binders!$I$6:$I$30,0))&amp;"")="TRUE"),FALSE()))</f>
        <v/>
      </c>
    </row>
    <row r="1192" ht="15.75" customHeight="1">
      <c r="A1192" s="80" t="str">
        <f t="array" ref="A1192">IF(INDEX('Deck 4'!$A:$Z,ROW()-1000,'List Setup'!$D$6)="","",INDEX('Deck 4'!$A:$Z,ROW()-1000,'List Setup'!$D$6))</f>
        <v/>
      </c>
      <c r="B1192" s="80" t="str">
        <f t="array" ref="B1192">IF(A1192="","",IFERROR(INDEX('Binder Setup'!$B$2:$B$401,MIN(IF(ISNUMBER(SEARCH(CHAR(10)&amp;'Binder Setup'!$B$2:$B$401&amp;CHAR(10),$H1192)),'List Setup'!$Q$2:$Q$401,999),IF(ISNUMBER(SEARCH(CHAR(10)&amp;'Set Aliases'!$A$2:$A$501&amp;CHAR(10),$H1192)),'Set Aliases'!$C$2:$C$501,999))),"(none)"))</f>
        <v/>
      </c>
      <c r="C1192" s="80" t="str">
        <f t="shared" si="1"/>
        <v/>
      </c>
      <c r="D1192" s="80" t="str">
        <f t="array" ref="D1192">IF(A1192="","",IF(ISLOGICAL(INDEX('Deck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92" s="80" t="str">
        <f t="shared" si="2"/>
        <v/>
      </c>
      <c r="F1192" s="80" t="str">
        <f t="array" ref="F1192">IF(A1192="","",IF(ISNUMBER(J1192),J1192,IF(ISNUMBER(INDEX('Deck 4'!$A:$Z,ROW()-1000,'List Setup'!$F$6)),INDEX('Deck 4'!$A:$Z,ROW()-1000,'List Setup'!$F$6),0)))</f>
        <v/>
      </c>
      <c r="G1192" s="80" t="str">
        <f t="array" ref="G1192">IF(A1192="","",A1192&amp;IF(N(INDEX('Deck 4'!$A:$Z,ROW()-1000,'List Setup'!$C$6))&gt;1," (x"&amp;INDEX('Deck 4'!$A:$Z,ROW()-1000,'List Setup'!$C$6)&amp;")","")&amp;IF(COUNTIF(Binders!$J$6:$J$30,TRUE())&gt;1," ["&amp;Q1192&amp;"]",""))</f>
        <v/>
      </c>
      <c r="H1192" s="80" t="str">
        <f t="array" ref="H1192">IF(A1192="","",CHAR(10)&amp;INDEX('Deck 4'!$A:$Z,ROW()-1000,'List Setup'!$E$6)&amp;CHAR(10))</f>
        <v/>
      </c>
      <c r="I1192" s="80" t="str">
        <f t="array" ref="I1192">IF(OR(B1192="",B1192="(none)"),"",IF(ISNUMBER(SEARCH(CHAR(10)&amp;B1192&amp;CHAR(10),H1192)),B1192,IFERROR(INDEX('Set Aliases'!$A$2:$A$501,MATCH(1,('Set Aliases'!$B$2:$B$501=B1192)*ISNUMBER(SEARCH(CHAR(10)&amp;'Set Aliases'!$A$2:$A$501&amp;CHAR(10),H1192)),0)),"")))</f>
        <v/>
      </c>
      <c r="J1192" s="80" t="str">
        <f t="array" ref="J1192">IF(I1192="","",IFERROR(VALUE(TRIM(MID(SUBSTITUTE(INDEX('Deck 4'!$A:$Z,ROW()-1000,'List Setup'!$G$6),CHAR(10),REPT(" ",100)),((SEARCH(CHAR(10)&amp;I1192&amp;CHAR(10),H1192)-LEN(SUBSTITUTE(LEFT(H1192,SEARCH(CHAR(10)&amp;I1192&amp;CHAR(10),H1192)),CHAR(10),"")))-1)*100+1,100))),""))</f>
        <v/>
      </c>
      <c r="K1192" s="80" t="str">
        <f t="array" ref="K1192">IF(A1192="","",IF(ISNUMBER(SEARCH("Land",LEFT(IFERROR(INDEX('Deck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92" s="80" t="str">
        <f t="shared" si="3"/>
        <v/>
      </c>
      <c r="M1192" s="80" t="str">
        <f>IF(A1192="","",IF(AND(E1192="Y",B1192='Use at Shop'!$B$4),K1192*10000000000+(MAX(0,MIN(26,CODE(MID(UPPER(A1192)&amp;"    ",1,1))-64))*19683+MAX(0,MIN(26,CODE(MID(UPPER(A1192)&amp;"    ",2,1))-64))*729+MAX(0,MIN(26,CODE(MID(UPPER(A1192)&amp;"    ",3,1))-64))*27+MAX(0,MIN(26,CODE(MID(UPPER(A1192)&amp;"    ",4,1))-64))*1)*10000+ROW(),""))</f>
        <v/>
      </c>
      <c r="N1192" s="80" t="str">
        <f t="shared" si="8"/>
        <v/>
      </c>
      <c r="O1192" s="80" t="str">
        <f t="array" ref="O1192">IF(A1192="","",IFERROR(INDEX('Deck 4'!$A:$Z,ROW()-1000,'List Setup'!$J$6)&amp;"",""))</f>
        <v/>
      </c>
      <c r="P1192" s="2"/>
      <c r="Q1192" s="80" t="str">
        <f>IF(A1192="","",'List Setup'!$A$6)</f>
        <v/>
      </c>
      <c r="R1192" s="80" t="str">
        <f t="array" ref="R1192">IF(A1192="","",IFERROR(OR(INDEX(Binders!$J$6:$J$30,MATCH(Q1192,Binders!$I$6:$I$30,0))=TRUE(),UPPER(INDEX(Binders!$J$6:$J$30,MATCH(Q1192,Binders!$I$6:$I$30,0))&amp;"")="TRUE"),FALSE()))</f>
        <v/>
      </c>
    </row>
    <row r="1193" ht="15.75" customHeight="1">
      <c r="A1193" s="80" t="str">
        <f t="array" ref="A1193">IF(INDEX('Deck 4'!$A:$Z,ROW()-1000,'List Setup'!$D$6)="","",INDEX('Deck 4'!$A:$Z,ROW()-1000,'List Setup'!$D$6))</f>
        <v/>
      </c>
      <c r="B1193" s="80" t="str">
        <f t="array" ref="B1193">IF(A1193="","",IFERROR(INDEX('Binder Setup'!$B$2:$B$401,MIN(IF(ISNUMBER(SEARCH(CHAR(10)&amp;'Binder Setup'!$B$2:$B$401&amp;CHAR(10),$H1193)),'List Setup'!$Q$2:$Q$401,999),IF(ISNUMBER(SEARCH(CHAR(10)&amp;'Set Aliases'!$A$2:$A$501&amp;CHAR(10),$H1193)),'Set Aliases'!$C$2:$C$501,999))),"(none)"))</f>
        <v/>
      </c>
      <c r="C1193" s="80" t="str">
        <f t="shared" si="1"/>
        <v/>
      </c>
      <c r="D1193" s="80" t="str">
        <f t="array" ref="D1193">IF(A1193="","",IF(ISLOGICAL(INDEX('Deck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93" s="80" t="str">
        <f t="shared" si="2"/>
        <v/>
      </c>
      <c r="F1193" s="80" t="str">
        <f t="array" ref="F1193">IF(A1193="","",IF(ISNUMBER(J1193),J1193,IF(ISNUMBER(INDEX('Deck 4'!$A:$Z,ROW()-1000,'List Setup'!$F$6)),INDEX('Deck 4'!$A:$Z,ROW()-1000,'List Setup'!$F$6),0)))</f>
        <v/>
      </c>
      <c r="G1193" s="80" t="str">
        <f t="array" ref="G1193">IF(A1193="","",A1193&amp;IF(N(INDEX('Deck 4'!$A:$Z,ROW()-1000,'List Setup'!$C$6))&gt;1," (x"&amp;INDEX('Deck 4'!$A:$Z,ROW()-1000,'List Setup'!$C$6)&amp;")","")&amp;IF(COUNTIF(Binders!$J$6:$J$30,TRUE())&gt;1," ["&amp;Q1193&amp;"]",""))</f>
        <v/>
      </c>
      <c r="H1193" s="80" t="str">
        <f t="array" ref="H1193">IF(A1193="","",CHAR(10)&amp;INDEX('Deck 4'!$A:$Z,ROW()-1000,'List Setup'!$E$6)&amp;CHAR(10))</f>
        <v/>
      </c>
      <c r="I1193" s="80" t="str">
        <f t="array" ref="I1193">IF(OR(B1193="",B1193="(none)"),"",IF(ISNUMBER(SEARCH(CHAR(10)&amp;B1193&amp;CHAR(10),H1193)),B1193,IFERROR(INDEX('Set Aliases'!$A$2:$A$501,MATCH(1,('Set Aliases'!$B$2:$B$501=B1193)*ISNUMBER(SEARCH(CHAR(10)&amp;'Set Aliases'!$A$2:$A$501&amp;CHAR(10),H1193)),0)),"")))</f>
        <v/>
      </c>
      <c r="J1193" s="80" t="str">
        <f t="array" ref="J1193">IF(I1193="","",IFERROR(VALUE(TRIM(MID(SUBSTITUTE(INDEX('Deck 4'!$A:$Z,ROW()-1000,'List Setup'!$G$6),CHAR(10),REPT(" ",100)),((SEARCH(CHAR(10)&amp;I1193&amp;CHAR(10),H1193)-LEN(SUBSTITUTE(LEFT(H1193,SEARCH(CHAR(10)&amp;I1193&amp;CHAR(10),H1193)),CHAR(10),"")))-1)*100+1,100))),""))</f>
        <v/>
      </c>
      <c r="K1193" s="80" t="str">
        <f t="array" ref="K1193">IF(A1193="","",IF(ISNUMBER(SEARCH("Land",LEFT(IFERROR(INDEX('Deck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93" s="80" t="str">
        <f t="shared" si="3"/>
        <v/>
      </c>
      <c r="M1193" s="80" t="str">
        <f>IF(A1193="","",IF(AND(E1193="Y",B1193='Use at Shop'!$B$4),K1193*10000000000+(MAX(0,MIN(26,CODE(MID(UPPER(A1193)&amp;"    ",1,1))-64))*19683+MAX(0,MIN(26,CODE(MID(UPPER(A1193)&amp;"    ",2,1))-64))*729+MAX(0,MIN(26,CODE(MID(UPPER(A1193)&amp;"    ",3,1))-64))*27+MAX(0,MIN(26,CODE(MID(UPPER(A1193)&amp;"    ",4,1))-64))*1)*10000+ROW(),""))</f>
        <v/>
      </c>
      <c r="N1193" s="80" t="str">
        <f t="shared" si="8"/>
        <v/>
      </c>
      <c r="O1193" s="80" t="str">
        <f t="array" ref="O1193">IF(A1193="","",IFERROR(INDEX('Deck 4'!$A:$Z,ROW()-1000,'List Setup'!$J$6)&amp;"",""))</f>
        <v/>
      </c>
      <c r="P1193" s="2"/>
      <c r="Q1193" s="80" t="str">
        <f>IF(A1193="","",'List Setup'!$A$6)</f>
        <v/>
      </c>
      <c r="R1193" s="80" t="str">
        <f t="array" ref="R1193">IF(A1193="","",IFERROR(OR(INDEX(Binders!$J$6:$J$30,MATCH(Q1193,Binders!$I$6:$I$30,0))=TRUE(),UPPER(INDEX(Binders!$J$6:$J$30,MATCH(Q1193,Binders!$I$6:$I$30,0))&amp;"")="TRUE"),FALSE()))</f>
        <v/>
      </c>
    </row>
    <row r="1194" ht="15.75" customHeight="1">
      <c r="A1194" s="80" t="str">
        <f t="array" ref="A1194">IF(INDEX('Deck 4'!$A:$Z,ROW()-1000,'List Setup'!$D$6)="","",INDEX('Deck 4'!$A:$Z,ROW()-1000,'List Setup'!$D$6))</f>
        <v/>
      </c>
      <c r="B1194" s="80" t="str">
        <f t="array" ref="B1194">IF(A1194="","",IFERROR(INDEX('Binder Setup'!$B$2:$B$401,MIN(IF(ISNUMBER(SEARCH(CHAR(10)&amp;'Binder Setup'!$B$2:$B$401&amp;CHAR(10),$H1194)),'List Setup'!$Q$2:$Q$401,999),IF(ISNUMBER(SEARCH(CHAR(10)&amp;'Set Aliases'!$A$2:$A$501&amp;CHAR(10),$H1194)),'Set Aliases'!$C$2:$C$501,999))),"(none)"))</f>
        <v/>
      </c>
      <c r="C1194" s="80" t="str">
        <f t="shared" si="1"/>
        <v/>
      </c>
      <c r="D1194" s="80" t="str">
        <f t="array" ref="D1194">IF(A1194="","",IF(ISLOGICAL(INDEX('Deck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94" s="80" t="str">
        <f t="shared" si="2"/>
        <v/>
      </c>
      <c r="F1194" s="80" t="str">
        <f t="array" ref="F1194">IF(A1194="","",IF(ISNUMBER(J1194),J1194,IF(ISNUMBER(INDEX('Deck 4'!$A:$Z,ROW()-1000,'List Setup'!$F$6)),INDEX('Deck 4'!$A:$Z,ROW()-1000,'List Setup'!$F$6),0)))</f>
        <v/>
      </c>
      <c r="G1194" s="80" t="str">
        <f t="array" ref="G1194">IF(A1194="","",A1194&amp;IF(N(INDEX('Deck 4'!$A:$Z,ROW()-1000,'List Setup'!$C$6))&gt;1," (x"&amp;INDEX('Deck 4'!$A:$Z,ROW()-1000,'List Setup'!$C$6)&amp;")","")&amp;IF(COUNTIF(Binders!$J$6:$J$30,TRUE())&gt;1," ["&amp;Q1194&amp;"]",""))</f>
        <v/>
      </c>
      <c r="H1194" s="80" t="str">
        <f t="array" ref="H1194">IF(A1194="","",CHAR(10)&amp;INDEX('Deck 4'!$A:$Z,ROW()-1000,'List Setup'!$E$6)&amp;CHAR(10))</f>
        <v/>
      </c>
      <c r="I1194" s="80" t="str">
        <f t="array" ref="I1194">IF(OR(B1194="",B1194="(none)"),"",IF(ISNUMBER(SEARCH(CHAR(10)&amp;B1194&amp;CHAR(10),H1194)),B1194,IFERROR(INDEX('Set Aliases'!$A$2:$A$501,MATCH(1,('Set Aliases'!$B$2:$B$501=B1194)*ISNUMBER(SEARCH(CHAR(10)&amp;'Set Aliases'!$A$2:$A$501&amp;CHAR(10),H1194)),0)),"")))</f>
        <v/>
      </c>
      <c r="J1194" s="80" t="str">
        <f t="array" ref="J1194">IF(I1194="","",IFERROR(VALUE(TRIM(MID(SUBSTITUTE(INDEX('Deck 4'!$A:$Z,ROW()-1000,'List Setup'!$G$6),CHAR(10),REPT(" ",100)),((SEARCH(CHAR(10)&amp;I1194&amp;CHAR(10),H1194)-LEN(SUBSTITUTE(LEFT(H1194,SEARCH(CHAR(10)&amp;I1194&amp;CHAR(10),H1194)),CHAR(10),"")))-1)*100+1,100))),""))</f>
        <v/>
      </c>
      <c r="K1194" s="80" t="str">
        <f t="array" ref="K1194">IF(A1194="","",IF(ISNUMBER(SEARCH("Land",LEFT(IFERROR(INDEX('Deck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94" s="80" t="str">
        <f t="shared" si="3"/>
        <v/>
      </c>
      <c r="M1194" s="80" t="str">
        <f>IF(A1194="","",IF(AND(E1194="Y",B1194='Use at Shop'!$B$4),K1194*10000000000+(MAX(0,MIN(26,CODE(MID(UPPER(A1194)&amp;"    ",1,1))-64))*19683+MAX(0,MIN(26,CODE(MID(UPPER(A1194)&amp;"    ",2,1))-64))*729+MAX(0,MIN(26,CODE(MID(UPPER(A1194)&amp;"    ",3,1))-64))*27+MAX(0,MIN(26,CODE(MID(UPPER(A1194)&amp;"    ",4,1))-64))*1)*10000+ROW(),""))</f>
        <v/>
      </c>
      <c r="N1194" s="80" t="str">
        <f t="shared" si="8"/>
        <v/>
      </c>
      <c r="O1194" s="80" t="str">
        <f t="array" ref="O1194">IF(A1194="","",IFERROR(INDEX('Deck 4'!$A:$Z,ROW()-1000,'List Setup'!$J$6)&amp;"",""))</f>
        <v/>
      </c>
      <c r="P1194" s="2"/>
      <c r="Q1194" s="80" t="str">
        <f>IF(A1194="","",'List Setup'!$A$6)</f>
        <v/>
      </c>
      <c r="R1194" s="80" t="str">
        <f t="array" ref="R1194">IF(A1194="","",IFERROR(OR(INDEX(Binders!$J$6:$J$30,MATCH(Q1194,Binders!$I$6:$I$30,0))=TRUE(),UPPER(INDEX(Binders!$J$6:$J$30,MATCH(Q1194,Binders!$I$6:$I$30,0))&amp;"")="TRUE"),FALSE()))</f>
        <v/>
      </c>
    </row>
    <row r="1195" ht="15.75" customHeight="1">
      <c r="A1195" s="80" t="str">
        <f t="array" ref="A1195">IF(INDEX('Deck 4'!$A:$Z,ROW()-1000,'List Setup'!$D$6)="","",INDEX('Deck 4'!$A:$Z,ROW()-1000,'List Setup'!$D$6))</f>
        <v/>
      </c>
      <c r="B1195" s="80" t="str">
        <f t="array" ref="B1195">IF(A1195="","",IFERROR(INDEX('Binder Setup'!$B$2:$B$401,MIN(IF(ISNUMBER(SEARCH(CHAR(10)&amp;'Binder Setup'!$B$2:$B$401&amp;CHAR(10),$H1195)),'List Setup'!$Q$2:$Q$401,999),IF(ISNUMBER(SEARCH(CHAR(10)&amp;'Set Aliases'!$A$2:$A$501&amp;CHAR(10),$H1195)),'Set Aliases'!$C$2:$C$501,999))),"(none)"))</f>
        <v/>
      </c>
      <c r="C1195" s="80" t="str">
        <f t="shared" si="1"/>
        <v/>
      </c>
      <c r="D1195" s="80" t="str">
        <f t="array" ref="D1195">IF(A1195="","",IF(ISLOGICAL(INDEX('Deck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95" s="80" t="str">
        <f t="shared" si="2"/>
        <v/>
      </c>
      <c r="F1195" s="80" t="str">
        <f t="array" ref="F1195">IF(A1195="","",IF(ISNUMBER(J1195),J1195,IF(ISNUMBER(INDEX('Deck 4'!$A:$Z,ROW()-1000,'List Setup'!$F$6)),INDEX('Deck 4'!$A:$Z,ROW()-1000,'List Setup'!$F$6),0)))</f>
        <v/>
      </c>
      <c r="G1195" s="80" t="str">
        <f t="array" ref="G1195">IF(A1195="","",A1195&amp;IF(N(INDEX('Deck 4'!$A:$Z,ROW()-1000,'List Setup'!$C$6))&gt;1," (x"&amp;INDEX('Deck 4'!$A:$Z,ROW()-1000,'List Setup'!$C$6)&amp;")","")&amp;IF(COUNTIF(Binders!$J$6:$J$30,TRUE())&gt;1," ["&amp;Q1195&amp;"]",""))</f>
        <v/>
      </c>
      <c r="H1195" s="80" t="str">
        <f t="array" ref="H1195">IF(A1195="","",CHAR(10)&amp;INDEX('Deck 4'!$A:$Z,ROW()-1000,'List Setup'!$E$6)&amp;CHAR(10))</f>
        <v/>
      </c>
      <c r="I1195" s="80" t="str">
        <f t="array" ref="I1195">IF(OR(B1195="",B1195="(none)"),"",IF(ISNUMBER(SEARCH(CHAR(10)&amp;B1195&amp;CHAR(10),H1195)),B1195,IFERROR(INDEX('Set Aliases'!$A$2:$A$501,MATCH(1,('Set Aliases'!$B$2:$B$501=B1195)*ISNUMBER(SEARCH(CHAR(10)&amp;'Set Aliases'!$A$2:$A$501&amp;CHAR(10),H1195)),0)),"")))</f>
        <v/>
      </c>
      <c r="J1195" s="80" t="str">
        <f t="array" ref="J1195">IF(I1195="","",IFERROR(VALUE(TRIM(MID(SUBSTITUTE(INDEX('Deck 4'!$A:$Z,ROW()-1000,'List Setup'!$G$6),CHAR(10),REPT(" ",100)),((SEARCH(CHAR(10)&amp;I1195&amp;CHAR(10),H1195)-LEN(SUBSTITUTE(LEFT(H1195,SEARCH(CHAR(10)&amp;I1195&amp;CHAR(10),H1195)),CHAR(10),"")))-1)*100+1,100))),""))</f>
        <v/>
      </c>
      <c r="K1195" s="80" t="str">
        <f t="array" ref="K1195">IF(A1195="","",IF(ISNUMBER(SEARCH("Land",LEFT(IFERROR(INDEX('Deck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95" s="80" t="str">
        <f t="shared" si="3"/>
        <v/>
      </c>
      <c r="M1195" s="80" t="str">
        <f>IF(A1195="","",IF(AND(E1195="Y",B1195='Use at Shop'!$B$4),K1195*10000000000+(MAX(0,MIN(26,CODE(MID(UPPER(A1195)&amp;"    ",1,1))-64))*19683+MAX(0,MIN(26,CODE(MID(UPPER(A1195)&amp;"    ",2,1))-64))*729+MAX(0,MIN(26,CODE(MID(UPPER(A1195)&amp;"    ",3,1))-64))*27+MAX(0,MIN(26,CODE(MID(UPPER(A1195)&amp;"    ",4,1))-64))*1)*10000+ROW(),""))</f>
        <v/>
      </c>
      <c r="N1195" s="80" t="str">
        <f t="shared" si="8"/>
        <v/>
      </c>
      <c r="O1195" s="80" t="str">
        <f t="array" ref="O1195">IF(A1195="","",IFERROR(INDEX('Deck 4'!$A:$Z,ROW()-1000,'List Setup'!$J$6)&amp;"",""))</f>
        <v/>
      </c>
      <c r="P1195" s="2"/>
      <c r="Q1195" s="80" t="str">
        <f>IF(A1195="","",'List Setup'!$A$6)</f>
        <v/>
      </c>
      <c r="R1195" s="80" t="str">
        <f t="array" ref="R1195">IF(A1195="","",IFERROR(OR(INDEX(Binders!$J$6:$J$30,MATCH(Q1195,Binders!$I$6:$I$30,0))=TRUE(),UPPER(INDEX(Binders!$J$6:$J$30,MATCH(Q1195,Binders!$I$6:$I$30,0))&amp;"")="TRUE"),FALSE()))</f>
        <v/>
      </c>
    </row>
    <row r="1196" ht="15.75" customHeight="1">
      <c r="A1196" s="80" t="str">
        <f t="array" ref="A1196">IF(INDEX('Deck 4'!$A:$Z,ROW()-1000,'List Setup'!$D$6)="","",INDEX('Deck 4'!$A:$Z,ROW()-1000,'List Setup'!$D$6))</f>
        <v/>
      </c>
      <c r="B1196" s="80" t="str">
        <f t="array" ref="B1196">IF(A1196="","",IFERROR(INDEX('Binder Setup'!$B$2:$B$401,MIN(IF(ISNUMBER(SEARCH(CHAR(10)&amp;'Binder Setup'!$B$2:$B$401&amp;CHAR(10),$H1196)),'List Setup'!$Q$2:$Q$401,999),IF(ISNUMBER(SEARCH(CHAR(10)&amp;'Set Aliases'!$A$2:$A$501&amp;CHAR(10),$H1196)),'Set Aliases'!$C$2:$C$501,999))),"(none)"))</f>
        <v/>
      </c>
      <c r="C1196" s="80" t="str">
        <f t="shared" si="1"/>
        <v/>
      </c>
      <c r="D1196" s="80" t="str">
        <f t="array" ref="D1196">IF(A1196="","",IF(ISLOGICAL(INDEX('Deck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96" s="80" t="str">
        <f t="shared" si="2"/>
        <v/>
      </c>
      <c r="F1196" s="80" t="str">
        <f t="array" ref="F1196">IF(A1196="","",IF(ISNUMBER(J1196),J1196,IF(ISNUMBER(INDEX('Deck 4'!$A:$Z,ROW()-1000,'List Setup'!$F$6)),INDEX('Deck 4'!$A:$Z,ROW()-1000,'List Setup'!$F$6),0)))</f>
        <v/>
      </c>
      <c r="G1196" s="80" t="str">
        <f t="array" ref="G1196">IF(A1196="","",A1196&amp;IF(N(INDEX('Deck 4'!$A:$Z,ROW()-1000,'List Setup'!$C$6))&gt;1," (x"&amp;INDEX('Deck 4'!$A:$Z,ROW()-1000,'List Setup'!$C$6)&amp;")","")&amp;IF(COUNTIF(Binders!$J$6:$J$30,TRUE())&gt;1," ["&amp;Q1196&amp;"]",""))</f>
        <v/>
      </c>
      <c r="H1196" s="80" t="str">
        <f t="array" ref="H1196">IF(A1196="","",CHAR(10)&amp;INDEX('Deck 4'!$A:$Z,ROW()-1000,'List Setup'!$E$6)&amp;CHAR(10))</f>
        <v/>
      </c>
      <c r="I1196" s="80" t="str">
        <f t="array" ref="I1196">IF(OR(B1196="",B1196="(none)"),"",IF(ISNUMBER(SEARCH(CHAR(10)&amp;B1196&amp;CHAR(10),H1196)),B1196,IFERROR(INDEX('Set Aliases'!$A$2:$A$501,MATCH(1,('Set Aliases'!$B$2:$B$501=B1196)*ISNUMBER(SEARCH(CHAR(10)&amp;'Set Aliases'!$A$2:$A$501&amp;CHAR(10),H1196)),0)),"")))</f>
        <v/>
      </c>
      <c r="J1196" s="80" t="str">
        <f t="array" ref="J1196">IF(I1196="","",IFERROR(VALUE(TRIM(MID(SUBSTITUTE(INDEX('Deck 4'!$A:$Z,ROW()-1000,'List Setup'!$G$6),CHAR(10),REPT(" ",100)),((SEARCH(CHAR(10)&amp;I1196&amp;CHAR(10),H1196)-LEN(SUBSTITUTE(LEFT(H1196,SEARCH(CHAR(10)&amp;I1196&amp;CHAR(10),H1196)),CHAR(10),"")))-1)*100+1,100))),""))</f>
        <v/>
      </c>
      <c r="K1196" s="80" t="str">
        <f t="array" ref="K1196">IF(A1196="","",IF(ISNUMBER(SEARCH("Land",LEFT(IFERROR(INDEX('Deck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96" s="80" t="str">
        <f t="shared" si="3"/>
        <v/>
      </c>
      <c r="M1196" s="80" t="str">
        <f>IF(A1196="","",IF(AND(E1196="Y",B1196='Use at Shop'!$B$4),K1196*10000000000+(MAX(0,MIN(26,CODE(MID(UPPER(A1196)&amp;"    ",1,1))-64))*19683+MAX(0,MIN(26,CODE(MID(UPPER(A1196)&amp;"    ",2,1))-64))*729+MAX(0,MIN(26,CODE(MID(UPPER(A1196)&amp;"    ",3,1))-64))*27+MAX(0,MIN(26,CODE(MID(UPPER(A1196)&amp;"    ",4,1))-64))*1)*10000+ROW(),""))</f>
        <v/>
      </c>
      <c r="N1196" s="80" t="str">
        <f t="shared" si="8"/>
        <v/>
      </c>
      <c r="O1196" s="80" t="str">
        <f t="array" ref="O1196">IF(A1196="","",IFERROR(INDEX('Deck 4'!$A:$Z,ROW()-1000,'List Setup'!$J$6)&amp;"",""))</f>
        <v/>
      </c>
      <c r="P1196" s="2"/>
      <c r="Q1196" s="80" t="str">
        <f>IF(A1196="","",'List Setup'!$A$6)</f>
        <v/>
      </c>
      <c r="R1196" s="80" t="str">
        <f t="array" ref="R1196">IF(A1196="","",IFERROR(OR(INDEX(Binders!$J$6:$J$30,MATCH(Q1196,Binders!$I$6:$I$30,0))=TRUE(),UPPER(INDEX(Binders!$J$6:$J$30,MATCH(Q1196,Binders!$I$6:$I$30,0))&amp;"")="TRUE"),FALSE()))</f>
        <v/>
      </c>
    </row>
    <row r="1197" ht="15.75" customHeight="1">
      <c r="A1197" s="80" t="str">
        <f t="array" ref="A1197">IF(INDEX('Deck 4'!$A:$Z,ROW()-1000,'List Setup'!$D$6)="","",INDEX('Deck 4'!$A:$Z,ROW()-1000,'List Setup'!$D$6))</f>
        <v/>
      </c>
      <c r="B1197" s="80" t="str">
        <f t="array" ref="B1197">IF(A1197="","",IFERROR(INDEX('Binder Setup'!$B$2:$B$401,MIN(IF(ISNUMBER(SEARCH(CHAR(10)&amp;'Binder Setup'!$B$2:$B$401&amp;CHAR(10),$H1197)),'List Setup'!$Q$2:$Q$401,999),IF(ISNUMBER(SEARCH(CHAR(10)&amp;'Set Aliases'!$A$2:$A$501&amp;CHAR(10),$H1197)),'Set Aliases'!$C$2:$C$501,999))),"(none)"))</f>
        <v/>
      </c>
      <c r="C1197" s="80" t="str">
        <f t="shared" si="1"/>
        <v/>
      </c>
      <c r="D1197" s="80" t="str">
        <f t="array" ref="D1197">IF(A1197="","",IF(ISLOGICAL(INDEX('Deck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97" s="80" t="str">
        <f t="shared" si="2"/>
        <v/>
      </c>
      <c r="F1197" s="80" t="str">
        <f t="array" ref="F1197">IF(A1197="","",IF(ISNUMBER(J1197),J1197,IF(ISNUMBER(INDEX('Deck 4'!$A:$Z,ROW()-1000,'List Setup'!$F$6)),INDEX('Deck 4'!$A:$Z,ROW()-1000,'List Setup'!$F$6),0)))</f>
        <v/>
      </c>
      <c r="G1197" s="80" t="str">
        <f t="array" ref="G1197">IF(A1197="","",A1197&amp;IF(N(INDEX('Deck 4'!$A:$Z,ROW()-1000,'List Setup'!$C$6))&gt;1," (x"&amp;INDEX('Deck 4'!$A:$Z,ROW()-1000,'List Setup'!$C$6)&amp;")","")&amp;IF(COUNTIF(Binders!$J$6:$J$30,TRUE())&gt;1," ["&amp;Q1197&amp;"]",""))</f>
        <v/>
      </c>
      <c r="H1197" s="80" t="str">
        <f t="array" ref="H1197">IF(A1197="","",CHAR(10)&amp;INDEX('Deck 4'!$A:$Z,ROW()-1000,'List Setup'!$E$6)&amp;CHAR(10))</f>
        <v/>
      </c>
      <c r="I1197" s="80" t="str">
        <f t="array" ref="I1197">IF(OR(B1197="",B1197="(none)"),"",IF(ISNUMBER(SEARCH(CHAR(10)&amp;B1197&amp;CHAR(10),H1197)),B1197,IFERROR(INDEX('Set Aliases'!$A$2:$A$501,MATCH(1,('Set Aliases'!$B$2:$B$501=B1197)*ISNUMBER(SEARCH(CHAR(10)&amp;'Set Aliases'!$A$2:$A$501&amp;CHAR(10),H1197)),0)),"")))</f>
        <v/>
      </c>
      <c r="J1197" s="80" t="str">
        <f t="array" ref="J1197">IF(I1197="","",IFERROR(VALUE(TRIM(MID(SUBSTITUTE(INDEX('Deck 4'!$A:$Z,ROW()-1000,'List Setup'!$G$6),CHAR(10),REPT(" ",100)),((SEARCH(CHAR(10)&amp;I1197&amp;CHAR(10),H1197)-LEN(SUBSTITUTE(LEFT(H1197,SEARCH(CHAR(10)&amp;I1197&amp;CHAR(10),H1197)),CHAR(10),"")))-1)*100+1,100))),""))</f>
        <v/>
      </c>
      <c r="K1197" s="80" t="str">
        <f t="array" ref="K1197">IF(A1197="","",IF(ISNUMBER(SEARCH("Land",LEFT(IFERROR(INDEX('Deck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97" s="80" t="str">
        <f t="shared" si="3"/>
        <v/>
      </c>
      <c r="M1197" s="80" t="str">
        <f>IF(A1197="","",IF(AND(E1197="Y",B1197='Use at Shop'!$B$4),K1197*10000000000+(MAX(0,MIN(26,CODE(MID(UPPER(A1197)&amp;"    ",1,1))-64))*19683+MAX(0,MIN(26,CODE(MID(UPPER(A1197)&amp;"    ",2,1))-64))*729+MAX(0,MIN(26,CODE(MID(UPPER(A1197)&amp;"    ",3,1))-64))*27+MAX(0,MIN(26,CODE(MID(UPPER(A1197)&amp;"    ",4,1))-64))*1)*10000+ROW(),""))</f>
        <v/>
      </c>
      <c r="N1197" s="80" t="str">
        <f t="shared" si="8"/>
        <v/>
      </c>
      <c r="O1197" s="80" t="str">
        <f t="array" ref="O1197">IF(A1197="","",IFERROR(INDEX('Deck 4'!$A:$Z,ROW()-1000,'List Setup'!$J$6)&amp;"",""))</f>
        <v/>
      </c>
      <c r="P1197" s="2"/>
      <c r="Q1197" s="80" t="str">
        <f>IF(A1197="","",'List Setup'!$A$6)</f>
        <v/>
      </c>
      <c r="R1197" s="80" t="str">
        <f t="array" ref="R1197">IF(A1197="","",IFERROR(OR(INDEX(Binders!$J$6:$J$30,MATCH(Q1197,Binders!$I$6:$I$30,0))=TRUE(),UPPER(INDEX(Binders!$J$6:$J$30,MATCH(Q1197,Binders!$I$6:$I$30,0))&amp;"")="TRUE"),FALSE()))</f>
        <v/>
      </c>
    </row>
    <row r="1198" ht="15.75" customHeight="1">
      <c r="A1198" s="80" t="str">
        <f t="array" ref="A1198">IF(INDEX('Deck 4'!$A:$Z,ROW()-1000,'List Setup'!$D$6)="","",INDEX('Deck 4'!$A:$Z,ROW()-1000,'List Setup'!$D$6))</f>
        <v/>
      </c>
      <c r="B1198" s="80" t="str">
        <f t="array" ref="B1198">IF(A1198="","",IFERROR(INDEX('Binder Setup'!$B$2:$B$401,MIN(IF(ISNUMBER(SEARCH(CHAR(10)&amp;'Binder Setup'!$B$2:$B$401&amp;CHAR(10),$H1198)),'List Setup'!$Q$2:$Q$401,999),IF(ISNUMBER(SEARCH(CHAR(10)&amp;'Set Aliases'!$A$2:$A$501&amp;CHAR(10),$H1198)),'Set Aliases'!$C$2:$C$501,999))),"(none)"))</f>
        <v/>
      </c>
      <c r="C1198" s="80" t="str">
        <f t="shared" si="1"/>
        <v/>
      </c>
      <c r="D1198" s="80" t="str">
        <f t="array" ref="D1198">IF(A1198="","",IF(ISLOGICAL(INDEX('Deck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98" s="80" t="str">
        <f t="shared" si="2"/>
        <v/>
      </c>
      <c r="F1198" s="80" t="str">
        <f t="array" ref="F1198">IF(A1198="","",IF(ISNUMBER(J1198),J1198,IF(ISNUMBER(INDEX('Deck 4'!$A:$Z,ROW()-1000,'List Setup'!$F$6)),INDEX('Deck 4'!$A:$Z,ROW()-1000,'List Setup'!$F$6),0)))</f>
        <v/>
      </c>
      <c r="G1198" s="80" t="str">
        <f t="array" ref="G1198">IF(A1198="","",A1198&amp;IF(N(INDEX('Deck 4'!$A:$Z,ROW()-1000,'List Setup'!$C$6))&gt;1," (x"&amp;INDEX('Deck 4'!$A:$Z,ROW()-1000,'List Setup'!$C$6)&amp;")","")&amp;IF(COUNTIF(Binders!$J$6:$J$30,TRUE())&gt;1," ["&amp;Q1198&amp;"]",""))</f>
        <v/>
      </c>
      <c r="H1198" s="80" t="str">
        <f t="array" ref="H1198">IF(A1198="","",CHAR(10)&amp;INDEX('Deck 4'!$A:$Z,ROW()-1000,'List Setup'!$E$6)&amp;CHAR(10))</f>
        <v/>
      </c>
      <c r="I1198" s="80" t="str">
        <f t="array" ref="I1198">IF(OR(B1198="",B1198="(none)"),"",IF(ISNUMBER(SEARCH(CHAR(10)&amp;B1198&amp;CHAR(10),H1198)),B1198,IFERROR(INDEX('Set Aliases'!$A$2:$A$501,MATCH(1,('Set Aliases'!$B$2:$B$501=B1198)*ISNUMBER(SEARCH(CHAR(10)&amp;'Set Aliases'!$A$2:$A$501&amp;CHAR(10),H1198)),0)),"")))</f>
        <v/>
      </c>
      <c r="J1198" s="80" t="str">
        <f t="array" ref="J1198">IF(I1198="","",IFERROR(VALUE(TRIM(MID(SUBSTITUTE(INDEX('Deck 4'!$A:$Z,ROW()-1000,'List Setup'!$G$6),CHAR(10),REPT(" ",100)),((SEARCH(CHAR(10)&amp;I1198&amp;CHAR(10),H1198)-LEN(SUBSTITUTE(LEFT(H1198,SEARCH(CHAR(10)&amp;I1198&amp;CHAR(10),H1198)),CHAR(10),"")))-1)*100+1,100))),""))</f>
        <v/>
      </c>
      <c r="K1198" s="80" t="str">
        <f t="array" ref="K1198">IF(A1198="","",IF(ISNUMBER(SEARCH("Land",LEFT(IFERROR(INDEX('Deck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98" s="80" t="str">
        <f t="shared" si="3"/>
        <v/>
      </c>
      <c r="M1198" s="80" t="str">
        <f>IF(A1198="","",IF(AND(E1198="Y",B1198='Use at Shop'!$B$4),K1198*10000000000+(MAX(0,MIN(26,CODE(MID(UPPER(A1198)&amp;"    ",1,1))-64))*19683+MAX(0,MIN(26,CODE(MID(UPPER(A1198)&amp;"    ",2,1))-64))*729+MAX(0,MIN(26,CODE(MID(UPPER(A1198)&amp;"    ",3,1))-64))*27+MAX(0,MIN(26,CODE(MID(UPPER(A1198)&amp;"    ",4,1))-64))*1)*10000+ROW(),""))</f>
        <v/>
      </c>
      <c r="N1198" s="80" t="str">
        <f t="shared" si="8"/>
        <v/>
      </c>
      <c r="O1198" s="80" t="str">
        <f t="array" ref="O1198">IF(A1198="","",IFERROR(INDEX('Deck 4'!$A:$Z,ROW()-1000,'List Setup'!$J$6)&amp;"",""))</f>
        <v/>
      </c>
      <c r="P1198" s="2"/>
      <c r="Q1198" s="80" t="str">
        <f>IF(A1198="","",'List Setup'!$A$6)</f>
        <v/>
      </c>
      <c r="R1198" s="80" t="str">
        <f t="array" ref="R1198">IF(A1198="","",IFERROR(OR(INDEX(Binders!$J$6:$J$30,MATCH(Q1198,Binders!$I$6:$I$30,0))=TRUE(),UPPER(INDEX(Binders!$J$6:$J$30,MATCH(Q1198,Binders!$I$6:$I$30,0))&amp;"")="TRUE"),FALSE()))</f>
        <v/>
      </c>
    </row>
    <row r="1199" ht="15.75" customHeight="1">
      <c r="A1199" s="80" t="str">
        <f t="array" ref="A1199">IF(INDEX('Deck 4'!$A:$Z,ROW()-1000,'List Setup'!$D$6)="","",INDEX('Deck 4'!$A:$Z,ROW()-1000,'List Setup'!$D$6))</f>
        <v/>
      </c>
      <c r="B1199" s="80" t="str">
        <f t="array" ref="B1199">IF(A1199="","",IFERROR(INDEX('Binder Setup'!$B$2:$B$401,MIN(IF(ISNUMBER(SEARCH(CHAR(10)&amp;'Binder Setup'!$B$2:$B$401&amp;CHAR(10),$H1199)),'List Setup'!$Q$2:$Q$401,999),IF(ISNUMBER(SEARCH(CHAR(10)&amp;'Set Aliases'!$A$2:$A$501&amp;CHAR(10),$H1199)),'Set Aliases'!$C$2:$C$501,999))),"(none)"))</f>
        <v/>
      </c>
      <c r="C1199" s="80" t="str">
        <f t="shared" si="1"/>
        <v/>
      </c>
      <c r="D1199" s="80" t="str">
        <f t="array" ref="D1199">IF(A1199="","",IF(ISLOGICAL(INDEX('Deck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199" s="80" t="str">
        <f t="shared" si="2"/>
        <v/>
      </c>
      <c r="F1199" s="80" t="str">
        <f t="array" ref="F1199">IF(A1199="","",IF(ISNUMBER(J1199),J1199,IF(ISNUMBER(INDEX('Deck 4'!$A:$Z,ROW()-1000,'List Setup'!$F$6)),INDEX('Deck 4'!$A:$Z,ROW()-1000,'List Setup'!$F$6),0)))</f>
        <v/>
      </c>
      <c r="G1199" s="80" t="str">
        <f t="array" ref="G1199">IF(A1199="","",A1199&amp;IF(N(INDEX('Deck 4'!$A:$Z,ROW()-1000,'List Setup'!$C$6))&gt;1," (x"&amp;INDEX('Deck 4'!$A:$Z,ROW()-1000,'List Setup'!$C$6)&amp;")","")&amp;IF(COUNTIF(Binders!$J$6:$J$30,TRUE())&gt;1," ["&amp;Q1199&amp;"]",""))</f>
        <v/>
      </c>
      <c r="H1199" s="80" t="str">
        <f t="array" ref="H1199">IF(A1199="","",CHAR(10)&amp;INDEX('Deck 4'!$A:$Z,ROW()-1000,'List Setup'!$E$6)&amp;CHAR(10))</f>
        <v/>
      </c>
      <c r="I1199" s="80" t="str">
        <f t="array" ref="I1199">IF(OR(B1199="",B1199="(none)"),"",IF(ISNUMBER(SEARCH(CHAR(10)&amp;B1199&amp;CHAR(10),H1199)),B1199,IFERROR(INDEX('Set Aliases'!$A$2:$A$501,MATCH(1,('Set Aliases'!$B$2:$B$501=B1199)*ISNUMBER(SEARCH(CHAR(10)&amp;'Set Aliases'!$A$2:$A$501&amp;CHAR(10),H1199)),0)),"")))</f>
        <v/>
      </c>
      <c r="J1199" s="80" t="str">
        <f t="array" ref="J1199">IF(I1199="","",IFERROR(VALUE(TRIM(MID(SUBSTITUTE(INDEX('Deck 4'!$A:$Z,ROW()-1000,'List Setup'!$G$6),CHAR(10),REPT(" ",100)),((SEARCH(CHAR(10)&amp;I1199&amp;CHAR(10),H1199)-LEN(SUBSTITUTE(LEFT(H1199,SEARCH(CHAR(10)&amp;I1199&amp;CHAR(10),H1199)),CHAR(10),"")))-1)*100+1,100))),""))</f>
        <v/>
      </c>
      <c r="K1199" s="80" t="str">
        <f t="array" ref="K1199">IF(A1199="","",IF(ISNUMBER(SEARCH("Land",LEFT(IFERROR(INDEX('Deck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199" s="80" t="str">
        <f t="shared" si="3"/>
        <v/>
      </c>
      <c r="M1199" s="80" t="str">
        <f>IF(A1199="","",IF(AND(E1199="Y",B1199='Use at Shop'!$B$4),K1199*10000000000+(MAX(0,MIN(26,CODE(MID(UPPER(A1199)&amp;"    ",1,1))-64))*19683+MAX(0,MIN(26,CODE(MID(UPPER(A1199)&amp;"    ",2,1))-64))*729+MAX(0,MIN(26,CODE(MID(UPPER(A1199)&amp;"    ",3,1))-64))*27+MAX(0,MIN(26,CODE(MID(UPPER(A1199)&amp;"    ",4,1))-64))*1)*10000+ROW(),""))</f>
        <v/>
      </c>
      <c r="N1199" s="80" t="str">
        <f t="shared" si="8"/>
        <v/>
      </c>
      <c r="O1199" s="80" t="str">
        <f t="array" ref="O1199">IF(A1199="","",IFERROR(INDEX('Deck 4'!$A:$Z,ROW()-1000,'List Setup'!$J$6)&amp;"",""))</f>
        <v/>
      </c>
      <c r="P1199" s="2"/>
      <c r="Q1199" s="80" t="str">
        <f>IF(A1199="","",'List Setup'!$A$6)</f>
        <v/>
      </c>
      <c r="R1199" s="80" t="str">
        <f t="array" ref="R1199">IF(A1199="","",IFERROR(OR(INDEX(Binders!$J$6:$J$30,MATCH(Q1199,Binders!$I$6:$I$30,0))=TRUE(),UPPER(INDEX(Binders!$J$6:$J$30,MATCH(Q1199,Binders!$I$6:$I$30,0))&amp;"")="TRUE"),FALSE()))</f>
        <v/>
      </c>
    </row>
    <row r="1200" ht="15.75" customHeight="1">
      <c r="A1200" s="80" t="str">
        <f t="array" ref="A1200">IF(INDEX('Deck 4'!$A:$Z,ROW()-1000,'List Setup'!$D$6)="","",INDEX('Deck 4'!$A:$Z,ROW()-1000,'List Setup'!$D$6))</f>
        <v/>
      </c>
      <c r="B1200" s="80" t="str">
        <f t="array" ref="B1200">IF(A1200="","",IFERROR(INDEX('Binder Setup'!$B$2:$B$401,MIN(IF(ISNUMBER(SEARCH(CHAR(10)&amp;'Binder Setup'!$B$2:$B$401&amp;CHAR(10),$H1200)),'List Setup'!$Q$2:$Q$401,999),IF(ISNUMBER(SEARCH(CHAR(10)&amp;'Set Aliases'!$A$2:$A$501&amp;CHAR(10),$H1200)),'Set Aliases'!$C$2:$C$501,999))),"(none)"))</f>
        <v/>
      </c>
      <c r="C1200" s="80" t="str">
        <f t="shared" si="1"/>
        <v/>
      </c>
      <c r="D1200" s="80" t="str">
        <f t="array" ref="D1200">IF(A1200="","",IF(ISLOGICAL(INDEX('Deck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00" s="80" t="str">
        <f t="shared" si="2"/>
        <v/>
      </c>
      <c r="F1200" s="80" t="str">
        <f t="array" ref="F1200">IF(A1200="","",IF(ISNUMBER(J1200),J1200,IF(ISNUMBER(INDEX('Deck 4'!$A:$Z,ROW()-1000,'List Setup'!$F$6)),INDEX('Deck 4'!$A:$Z,ROW()-1000,'List Setup'!$F$6),0)))</f>
        <v/>
      </c>
      <c r="G1200" s="80" t="str">
        <f t="array" ref="G1200">IF(A1200="","",A1200&amp;IF(N(INDEX('Deck 4'!$A:$Z,ROW()-1000,'List Setup'!$C$6))&gt;1," (x"&amp;INDEX('Deck 4'!$A:$Z,ROW()-1000,'List Setup'!$C$6)&amp;")","")&amp;IF(COUNTIF(Binders!$J$6:$J$30,TRUE())&gt;1," ["&amp;Q1200&amp;"]",""))</f>
        <v/>
      </c>
      <c r="H1200" s="80" t="str">
        <f t="array" ref="H1200">IF(A1200="","",CHAR(10)&amp;INDEX('Deck 4'!$A:$Z,ROW()-1000,'List Setup'!$E$6)&amp;CHAR(10))</f>
        <v/>
      </c>
      <c r="I1200" s="80" t="str">
        <f t="array" ref="I1200">IF(OR(B1200="",B1200="(none)"),"",IF(ISNUMBER(SEARCH(CHAR(10)&amp;B1200&amp;CHAR(10),H1200)),B1200,IFERROR(INDEX('Set Aliases'!$A$2:$A$501,MATCH(1,('Set Aliases'!$B$2:$B$501=B1200)*ISNUMBER(SEARCH(CHAR(10)&amp;'Set Aliases'!$A$2:$A$501&amp;CHAR(10),H1200)),0)),"")))</f>
        <v/>
      </c>
      <c r="J1200" s="80" t="str">
        <f t="array" ref="J1200">IF(I1200="","",IFERROR(VALUE(TRIM(MID(SUBSTITUTE(INDEX('Deck 4'!$A:$Z,ROW()-1000,'List Setup'!$G$6),CHAR(10),REPT(" ",100)),((SEARCH(CHAR(10)&amp;I1200&amp;CHAR(10),H1200)-LEN(SUBSTITUTE(LEFT(H1200,SEARCH(CHAR(10)&amp;I1200&amp;CHAR(10),H1200)),CHAR(10),"")))-1)*100+1,100))),""))</f>
        <v/>
      </c>
      <c r="K1200" s="80" t="str">
        <f t="array" ref="K1200">IF(A1200="","",IF(ISNUMBER(SEARCH("Land",LEFT(IFERROR(INDEX('Deck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00" s="80" t="str">
        <f t="shared" si="3"/>
        <v/>
      </c>
      <c r="M1200" s="80" t="str">
        <f>IF(A1200="","",IF(AND(E1200="Y",B1200='Use at Shop'!$B$4),K1200*10000000000+(MAX(0,MIN(26,CODE(MID(UPPER(A1200)&amp;"    ",1,1))-64))*19683+MAX(0,MIN(26,CODE(MID(UPPER(A1200)&amp;"    ",2,1))-64))*729+MAX(0,MIN(26,CODE(MID(UPPER(A1200)&amp;"    ",3,1))-64))*27+MAX(0,MIN(26,CODE(MID(UPPER(A1200)&amp;"    ",4,1))-64))*1)*10000+ROW(),""))</f>
        <v/>
      </c>
      <c r="N1200" s="80" t="str">
        <f t="shared" si="8"/>
        <v/>
      </c>
      <c r="O1200" s="80" t="str">
        <f t="array" ref="O1200">IF(A1200="","",IFERROR(INDEX('Deck 4'!$A:$Z,ROW()-1000,'List Setup'!$J$6)&amp;"",""))</f>
        <v/>
      </c>
      <c r="P1200" s="2"/>
      <c r="Q1200" s="80" t="str">
        <f>IF(A1200="","",'List Setup'!$A$6)</f>
        <v/>
      </c>
      <c r="R1200" s="80" t="str">
        <f t="array" ref="R1200">IF(A1200="","",IFERROR(OR(INDEX(Binders!$J$6:$J$30,MATCH(Q1200,Binders!$I$6:$I$30,0))=TRUE(),UPPER(INDEX(Binders!$J$6:$J$30,MATCH(Q1200,Binders!$I$6:$I$30,0))&amp;"")="TRUE"),FALSE()))</f>
        <v/>
      </c>
    </row>
    <row r="1201" ht="15.75" customHeight="1">
      <c r="A1201" s="80" t="str">
        <f t="array" ref="A1201">IF(INDEX('Deck 4'!$A:$Z,ROW()-1000,'List Setup'!$D$6)="","",INDEX('Deck 4'!$A:$Z,ROW()-1000,'List Setup'!$D$6))</f>
        <v/>
      </c>
      <c r="B1201" s="80" t="str">
        <f t="array" ref="B1201">IF(A1201="","",IFERROR(INDEX('Binder Setup'!$B$2:$B$401,MIN(IF(ISNUMBER(SEARCH(CHAR(10)&amp;'Binder Setup'!$B$2:$B$401&amp;CHAR(10),$H1201)),'List Setup'!$Q$2:$Q$401,999),IF(ISNUMBER(SEARCH(CHAR(10)&amp;'Set Aliases'!$A$2:$A$501&amp;CHAR(10),$H1201)),'Set Aliases'!$C$2:$C$501,999))),"(none)"))</f>
        <v/>
      </c>
      <c r="C1201" s="80" t="str">
        <f t="shared" si="1"/>
        <v/>
      </c>
      <c r="D1201" s="80" t="str">
        <f t="array" ref="D1201">IF(A1201="","",IF(ISLOGICAL(INDEX('Deck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01" s="80" t="str">
        <f t="shared" si="2"/>
        <v/>
      </c>
      <c r="F1201" s="80" t="str">
        <f t="array" ref="F1201">IF(A1201="","",IF(ISNUMBER(J1201),J1201,IF(ISNUMBER(INDEX('Deck 4'!$A:$Z,ROW()-1000,'List Setup'!$F$6)),INDEX('Deck 4'!$A:$Z,ROW()-1000,'List Setup'!$F$6),0)))</f>
        <v/>
      </c>
      <c r="G1201" s="80" t="str">
        <f t="array" ref="G1201">IF(A1201="","",A1201&amp;IF(N(INDEX('Deck 4'!$A:$Z,ROW()-1000,'List Setup'!$C$6))&gt;1," (x"&amp;INDEX('Deck 4'!$A:$Z,ROW()-1000,'List Setup'!$C$6)&amp;")","")&amp;IF(COUNTIF(Binders!$J$6:$J$30,TRUE())&gt;1," ["&amp;Q1201&amp;"]",""))</f>
        <v/>
      </c>
      <c r="H1201" s="80" t="str">
        <f t="array" ref="H1201">IF(A1201="","",CHAR(10)&amp;INDEX('Deck 4'!$A:$Z,ROW()-1000,'List Setup'!$E$6)&amp;CHAR(10))</f>
        <v/>
      </c>
      <c r="I1201" s="80" t="str">
        <f t="array" ref="I1201">IF(OR(B1201="",B1201="(none)"),"",IF(ISNUMBER(SEARCH(CHAR(10)&amp;B1201&amp;CHAR(10),H1201)),B1201,IFERROR(INDEX('Set Aliases'!$A$2:$A$501,MATCH(1,('Set Aliases'!$B$2:$B$501=B1201)*ISNUMBER(SEARCH(CHAR(10)&amp;'Set Aliases'!$A$2:$A$501&amp;CHAR(10),H1201)),0)),"")))</f>
        <v/>
      </c>
      <c r="J1201" s="80" t="str">
        <f t="array" ref="J1201">IF(I1201="","",IFERROR(VALUE(TRIM(MID(SUBSTITUTE(INDEX('Deck 4'!$A:$Z,ROW()-1000,'List Setup'!$G$6),CHAR(10),REPT(" ",100)),((SEARCH(CHAR(10)&amp;I1201&amp;CHAR(10),H1201)-LEN(SUBSTITUTE(LEFT(H1201,SEARCH(CHAR(10)&amp;I1201&amp;CHAR(10),H1201)),CHAR(10),"")))-1)*100+1,100))),""))</f>
        <v/>
      </c>
      <c r="K1201" s="80" t="str">
        <f t="array" ref="K1201">IF(A1201="","",IF(ISNUMBER(SEARCH("Land",LEFT(IFERROR(INDEX('Deck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01" s="80" t="str">
        <f t="shared" si="3"/>
        <v/>
      </c>
      <c r="M1201" s="80" t="str">
        <f>IF(A1201="","",IF(AND(E1201="Y",B1201='Use at Shop'!$B$4),K1201*10000000000+(MAX(0,MIN(26,CODE(MID(UPPER(A1201)&amp;"    ",1,1))-64))*19683+MAX(0,MIN(26,CODE(MID(UPPER(A1201)&amp;"    ",2,1))-64))*729+MAX(0,MIN(26,CODE(MID(UPPER(A1201)&amp;"    ",3,1))-64))*27+MAX(0,MIN(26,CODE(MID(UPPER(A1201)&amp;"    ",4,1))-64))*1)*10000+ROW(),""))</f>
        <v/>
      </c>
      <c r="N1201" s="80" t="str">
        <f t="shared" si="8"/>
        <v/>
      </c>
      <c r="O1201" s="80" t="str">
        <f t="array" ref="O1201">IF(A1201="","",IFERROR(INDEX('Deck 4'!$A:$Z,ROW()-1000,'List Setup'!$J$6)&amp;"",""))</f>
        <v/>
      </c>
      <c r="P1201" s="2"/>
      <c r="Q1201" s="80" t="str">
        <f>IF(A1201="","",'List Setup'!$A$6)</f>
        <v/>
      </c>
      <c r="R1201" s="80" t="str">
        <f t="array" ref="R1201">IF(A1201="","",IFERROR(OR(INDEX(Binders!$J$6:$J$30,MATCH(Q1201,Binders!$I$6:$I$30,0))=TRUE(),UPPER(INDEX(Binders!$J$6:$J$30,MATCH(Q1201,Binders!$I$6:$I$30,0))&amp;"")="TRUE"),FALSE()))</f>
        <v/>
      </c>
    </row>
    <row r="1202" ht="15.75" customHeight="1">
      <c r="A1202" s="80" t="str">
        <f t="array" ref="A1202">IF(INDEX('Deck 4'!$A:$Z,ROW()-1000,'List Setup'!$D$6)="","",INDEX('Deck 4'!$A:$Z,ROW()-1000,'List Setup'!$D$6))</f>
        <v/>
      </c>
      <c r="B1202" s="80" t="str">
        <f t="array" ref="B1202">IF(A1202="","",IFERROR(INDEX('Binder Setup'!$B$2:$B$401,MIN(IF(ISNUMBER(SEARCH(CHAR(10)&amp;'Binder Setup'!$B$2:$B$401&amp;CHAR(10),$H1202)),'List Setup'!$Q$2:$Q$401,999),IF(ISNUMBER(SEARCH(CHAR(10)&amp;'Set Aliases'!$A$2:$A$501&amp;CHAR(10),$H1202)),'Set Aliases'!$C$2:$C$501,999))),"(none)"))</f>
        <v/>
      </c>
      <c r="C1202" s="80" t="str">
        <f t="shared" si="1"/>
        <v/>
      </c>
      <c r="D1202" s="80" t="str">
        <f t="array" ref="D1202">IF(A1202="","",IF(ISLOGICAL(INDEX('Deck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02" s="80" t="str">
        <f t="shared" si="2"/>
        <v/>
      </c>
      <c r="F1202" s="80" t="str">
        <f t="array" ref="F1202">IF(A1202="","",IF(ISNUMBER(J1202),J1202,IF(ISNUMBER(INDEX('Deck 4'!$A:$Z,ROW()-1000,'List Setup'!$F$6)),INDEX('Deck 4'!$A:$Z,ROW()-1000,'List Setup'!$F$6),0)))</f>
        <v/>
      </c>
      <c r="G1202" s="80" t="str">
        <f t="array" ref="G1202">IF(A1202="","",A1202&amp;IF(N(INDEX('Deck 4'!$A:$Z,ROW()-1000,'List Setup'!$C$6))&gt;1," (x"&amp;INDEX('Deck 4'!$A:$Z,ROW()-1000,'List Setup'!$C$6)&amp;")","")&amp;IF(COUNTIF(Binders!$J$6:$J$30,TRUE())&gt;1," ["&amp;Q1202&amp;"]",""))</f>
        <v/>
      </c>
      <c r="H1202" s="80" t="str">
        <f t="array" ref="H1202">IF(A1202="","",CHAR(10)&amp;INDEX('Deck 4'!$A:$Z,ROW()-1000,'List Setup'!$E$6)&amp;CHAR(10))</f>
        <v/>
      </c>
      <c r="I1202" s="80" t="str">
        <f t="array" ref="I1202">IF(OR(B1202="",B1202="(none)"),"",IF(ISNUMBER(SEARCH(CHAR(10)&amp;B1202&amp;CHAR(10),H1202)),B1202,IFERROR(INDEX('Set Aliases'!$A$2:$A$501,MATCH(1,('Set Aliases'!$B$2:$B$501=B1202)*ISNUMBER(SEARCH(CHAR(10)&amp;'Set Aliases'!$A$2:$A$501&amp;CHAR(10),H1202)),0)),"")))</f>
        <v/>
      </c>
      <c r="J1202" s="80" t="str">
        <f t="array" ref="J1202">IF(I1202="","",IFERROR(VALUE(TRIM(MID(SUBSTITUTE(INDEX('Deck 4'!$A:$Z,ROW()-1000,'List Setup'!$G$6),CHAR(10),REPT(" ",100)),((SEARCH(CHAR(10)&amp;I1202&amp;CHAR(10),H1202)-LEN(SUBSTITUTE(LEFT(H1202,SEARCH(CHAR(10)&amp;I1202&amp;CHAR(10),H1202)),CHAR(10),"")))-1)*100+1,100))),""))</f>
        <v/>
      </c>
      <c r="K1202" s="80" t="str">
        <f t="array" ref="K1202">IF(A1202="","",IF(ISNUMBER(SEARCH("Land",LEFT(IFERROR(INDEX('Deck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02" s="80" t="str">
        <f t="shared" si="3"/>
        <v/>
      </c>
      <c r="M1202" s="80" t="str">
        <f>IF(A1202="","",IF(AND(E1202="Y",B1202='Use at Shop'!$B$4),K1202*10000000000+(MAX(0,MIN(26,CODE(MID(UPPER(A1202)&amp;"    ",1,1))-64))*19683+MAX(0,MIN(26,CODE(MID(UPPER(A1202)&amp;"    ",2,1))-64))*729+MAX(0,MIN(26,CODE(MID(UPPER(A1202)&amp;"    ",3,1))-64))*27+MAX(0,MIN(26,CODE(MID(UPPER(A1202)&amp;"    ",4,1))-64))*1)*10000+ROW(),""))</f>
        <v/>
      </c>
      <c r="N1202" s="80" t="str">
        <f t="shared" si="8"/>
        <v/>
      </c>
      <c r="O1202" s="80" t="str">
        <f t="array" ref="O1202">IF(A1202="","",IFERROR(INDEX('Deck 4'!$A:$Z,ROW()-1000,'List Setup'!$J$6)&amp;"",""))</f>
        <v/>
      </c>
      <c r="P1202" s="2"/>
      <c r="Q1202" s="80" t="str">
        <f>IF(A1202="","",'List Setup'!$A$6)</f>
        <v/>
      </c>
      <c r="R1202" s="80" t="str">
        <f t="array" ref="R1202">IF(A1202="","",IFERROR(OR(INDEX(Binders!$J$6:$J$30,MATCH(Q1202,Binders!$I$6:$I$30,0))=TRUE(),UPPER(INDEX(Binders!$J$6:$J$30,MATCH(Q1202,Binders!$I$6:$I$30,0))&amp;"")="TRUE"),FALSE()))</f>
        <v/>
      </c>
    </row>
    <row r="1203" ht="15.75" customHeight="1">
      <c r="A1203" s="80" t="str">
        <f t="array" ref="A1203">IF(INDEX('Deck 4'!$A:$Z,ROW()-1000,'List Setup'!$D$6)="","",INDEX('Deck 4'!$A:$Z,ROW()-1000,'List Setup'!$D$6))</f>
        <v/>
      </c>
      <c r="B1203" s="80" t="str">
        <f t="array" ref="B1203">IF(A1203="","",IFERROR(INDEX('Binder Setup'!$B$2:$B$401,MIN(IF(ISNUMBER(SEARCH(CHAR(10)&amp;'Binder Setup'!$B$2:$B$401&amp;CHAR(10),$H1203)),'List Setup'!$Q$2:$Q$401,999),IF(ISNUMBER(SEARCH(CHAR(10)&amp;'Set Aliases'!$A$2:$A$501&amp;CHAR(10),$H1203)),'Set Aliases'!$C$2:$C$501,999))),"(none)"))</f>
        <v/>
      </c>
      <c r="C1203" s="80" t="str">
        <f t="shared" si="1"/>
        <v/>
      </c>
      <c r="D1203" s="80" t="str">
        <f t="array" ref="D1203">IF(A1203="","",IF(ISLOGICAL(INDEX('Deck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03" s="80" t="str">
        <f t="shared" si="2"/>
        <v/>
      </c>
      <c r="F1203" s="80" t="str">
        <f t="array" ref="F1203">IF(A1203="","",IF(ISNUMBER(J1203),J1203,IF(ISNUMBER(INDEX('Deck 4'!$A:$Z,ROW()-1000,'List Setup'!$F$6)),INDEX('Deck 4'!$A:$Z,ROW()-1000,'List Setup'!$F$6),0)))</f>
        <v/>
      </c>
      <c r="G1203" s="80" t="str">
        <f t="array" ref="G1203">IF(A1203="","",A1203&amp;IF(N(INDEX('Deck 4'!$A:$Z,ROW()-1000,'List Setup'!$C$6))&gt;1," (x"&amp;INDEX('Deck 4'!$A:$Z,ROW()-1000,'List Setup'!$C$6)&amp;")","")&amp;IF(COUNTIF(Binders!$J$6:$J$30,TRUE())&gt;1," ["&amp;Q1203&amp;"]",""))</f>
        <v/>
      </c>
      <c r="H1203" s="80" t="str">
        <f t="array" ref="H1203">IF(A1203="","",CHAR(10)&amp;INDEX('Deck 4'!$A:$Z,ROW()-1000,'List Setup'!$E$6)&amp;CHAR(10))</f>
        <v/>
      </c>
      <c r="I1203" s="80" t="str">
        <f t="array" ref="I1203">IF(OR(B1203="",B1203="(none)"),"",IF(ISNUMBER(SEARCH(CHAR(10)&amp;B1203&amp;CHAR(10),H1203)),B1203,IFERROR(INDEX('Set Aliases'!$A$2:$A$501,MATCH(1,('Set Aliases'!$B$2:$B$501=B1203)*ISNUMBER(SEARCH(CHAR(10)&amp;'Set Aliases'!$A$2:$A$501&amp;CHAR(10),H1203)),0)),"")))</f>
        <v/>
      </c>
      <c r="J1203" s="80" t="str">
        <f t="array" ref="J1203">IF(I1203="","",IFERROR(VALUE(TRIM(MID(SUBSTITUTE(INDEX('Deck 4'!$A:$Z,ROW()-1000,'List Setup'!$G$6),CHAR(10),REPT(" ",100)),((SEARCH(CHAR(10)&amp;I1203&amp;CHAR(10),H1203)-LEN(SUBSTITUTE(LEFT(H1203,SEARCH(CHAR(10)&amp;I1203&amp;CHAR(10),H1203)),CHAR(10),"")))-1)*100+1,100))),""))</f>
        <v/>
      </c>
      <c r="K1203" s="80" t="str">
        <f t="array" ref="K1203">IF(A1203="","",IF(ISNUMBER(SEARCH("Land",LEFT(IFERROR(INDEX('Deck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03" s="80" t="str">
        <f t="shared" si="3"/>
        <v/>
      </c>
      <c r="M1203" s="80" t="str">
        <f>IF(A1203="","",IF(AND(E1203="Y",B1203='Use at Shop'!$B$4),K1203*10000000000+(MAX(0,MIN(26,CODE(MID(UPPER(A1203)&amp;"    ",1,1))-64))*19683+MAX(0,MIN(26,CODE(MID(UPPER(A1203)&amp;"    ",2,1))-64))*729+MAX(0,MIN(26,CODE(MID(UPPER(A1203)&amp;"    ",3,1))-64))*27+MAX(0,MIN(26,CODE(MID(UPPER(A1203)&amp;"    ",4,1))-64))*1)*10000+ROW(),""))</f>
        <v/>
      </c>
      <c r="N1203" s="80" t="str">
        <f t="shared" si="8"/>
        <v/>
      </c>
      <c r="O1203" s="80" t="str">
        <f t="array" ref="O1203">IF(A1203="","",IFERROR(INDEX('Deck 4'!$A:$Z,ROW()-1000,'List Setup'!$J$6)&amp;"",""))</f>
        <v/>
      </c>
      <c r="P1203" s="2"/>
      <c r="Q1203" s="80" t="str">
        <f>IF(A1203="","",'List Setup'!$A$6)</f>
        <v/>
      </c>
      <c r="R1203" s="80" t="str">
        <f t="array" ref="R1203">IF(A1203="","",IFERROR(OR(INDEX(Binders!$J$6:$J$30,MATCH(Q1203,Binders!$I$6:$I$30,0))=TRUE(),UPPER(INDEX(Binders!$J$6:$J$30,MATCH(Q1203,Binders!$I$6:$I$30,0))&amp;"")="TRUE"),FALSE()))</f>
        <v/>
      </c>
    </row>
    <row r="1204" ht="15.75" customHeight="1">
      <c r="A1204" s="80" t="str">
        <f t="array" ref="A1204">IF(INDEX('Deck 4'!$A:$Z,ROW()-1000,'List Setup'!$D$6)="","",INDEX('Deck 4'!$A:$Z,ROW()-1000,'List Setup'!$D$6))</f>
        <v/>
      </c>
      <c r="B1204" s="80" t="str">
        <f t="array" ref="B1204">IF(A1204="","",IFERROR(INDEX('Binder Setup'!$B$2:$B$401,MIN(IF(ISNUMBER(SEARCH(CHAR(10)&amp;'Binder Setup'!$B$2:$B$401&amp;CHAR(10),$H1204)),'List Setup'!$Q$2:$Q$401,999),IF(ISNUMBER(SEARCH(CHAR(10)&amp;'Set Aliases'!$A$2:$A$501&amp;CHAR(10),$H1204)),'Set Aliases'!$C$2:$C$501,999))),"(none)"))</f>
        <v/>
      </c>
      <c r="C1204" s="80" t="str">
        <f t="shared" si="1"/>
        <v/>
      </c>
      <c r="D1204" s="80" t="str">
        <f t="array" ref="D1204">IF(A1204="","",IF(ISLOGICAL(INDEX('Deck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04" s="80" t="str">
        <f t="shared" si="2"/>
        <v/>
      </c>
      <c r="F1204" s="80" t="str">
        <f t="array" ref="F1204">IF(A1204="","",IF(ISNUMBER(J1204),J1204,IF(ISNUMBER(INDEX('Deck 4'!$A:$Z,ROW()-1000,'List Setup'!$F$6)),INDEX('Deck 4'!$A:$Z,ROW()-1000,'List Setup'!$F$6),0)))</f>
        <v/>
      </c>
      <c r="G1204" s="80" t="str">
        <f t="array" ref="G1204">IF(A1204="","",A1204&amp;IF(N(INDEX('Deck 4'!$A:$Z,ROW()-1000,'List Setup'!$C$6))&gt;1," (x"&amp;INDEX('Deck 4'!$A:$Z,ROW()-1000,'List Setup'!$C$6)&amp;")","")&amp;IF(COUNTIF(Binders!$J$6:$J$30,TRUE())&gt;1," ["&amp;Q1204&amp;"]",""))</f>
        <v/>
      </c>
      <c r="H1204" s="80" t="str">
        <f t="array" ref="H1204">IF(A1204="","",CHAR(10)&amp;INDEX('Deck 4'!$A:$Z,ROW()-1000,'List Setup'!$E$6)&amp;CHAR(10))</f>
        <v/>
      </c>
      <c r="I1204" s="80" t="str">
        <f t="array" ref="I1204">IF(OR(B1204="",B1204="(none)"),"",IF(ISNUMBER(SEARCH(CHAR(10)&amp;B1204&amp;CHAR(10),H1204)),B1204,IFERROR(INDEX('Set Aliases'!$A$2:$A$501,MATCH(1,('Set Aliases'!$B$2:$B$501=B1204)*ISNUMBER(SEARCH(CHAR(10)&amp;'Set Aliases'!$A$2:$A$501&amp;CHAR(10),H1204)),0)),"")))</f>
        <v/>
      </c>
      <c r="J1204" s="80" t="str">
        <f t="array" ref="J1204">IF(I1204="","",IFERROR(VALUE(TRIM(MID(SUBSTITUTE(INDEX('Deck 4'!$A:$Z,ROW()-1000,'List Setup'!$G$6),CHAR(10),REPT(" ",100)),((SEARCH(CHAR(10)&amp;I1204&amp;CHAR(10),H1204)-LEN(SUBSTITUTE(LEFT(H1204,SEARCH(CHAR(10)&amp;I1204&amp;CHAR(10),H1204)),CHAR(10),"")))-1)*100+1,100))),""))</f>
        <v/>
      </c>
      <c r="K1204" s="80" t="str">
        <f t="array" ref="K1204">IF(A1204="","",IF(ISNUMBER(SEARCH("Land",LEFT(IFERROR(INDEX('Deck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04" s="80" t="str">
        <f t="shared" si="3"/>
        <v/>
      </c>
      <c r="M1204" s="80" t="str">
        <f>IF(A1204="","",IF(AND(E1204="Y",B1204='Use at Shop'!$B$4),K1204*10000000000+(MAX(0,MIN(26,CODE(MID(UPPER(A1204)&amp;"    ",1,1))-64))*19683+MAX(0,MIN(26,CODE(MID(UPPER(A1204)&amp;"    ",2,1))-64))*729+MAX(0,MIN(26,CODE(MID(UPPER(A1204)&amp;"    ",3,1))-64))*27+MAX(0,MIN(26,CODE(MID(UPPER(A1204)&amp;"    ",4,1))-64))*1)*10000+ROW(),""))</f>
        <v/>
      </c>
      <c r="N1204" s="80" t="str">
        <f t="shared" si="8"/>
        <v/>
      </c>
      <c r="O1204" s="80" t="str">
        <f t="array" ref="O1204">IF(A1204="","",IFERROR(INDEX('Deck 4'!$A:$Z,ROW()-1000,'List Setup'!$J$6)&amp;"",""))</f>
        <v/>
      </c>
      <c r="P1204" s="2"/>
      <c r="Q1204" s="80" t="str">
        <f>IF(A1204="","",'List Setup'!$A$6)</f>
        <v/>
      </c>
      <c r="R1204" s="80" t="str">
        <f t="array" ref="R1204">IF(A1204="","",IFERROR(OR(INDEX(Binders!$J$6:$J$30,MATCH(Q1204,Binders!$I$6:$I$30,0))=TRUE(),UPPER(INDEX(Binders!$J$6:$J$30,MATCH(Q1204,Binders!$I$6:$I$30,0))&amp;"")="TRUE"),FALSE()))</f>
        <v/>
      </c>
    </row>
    <row r="1205" ht="15.75" customHeight="1">
      <c r="A1205" s="80" t="str">
        <f t="array" ref="A1205">IF(INDEX('Deck 4'!$A:$Z,ROW()-1000,'List Setup'!$D$6)="","",INDEX('Deck 4'!$A:$Z,ROW()-1000,'List Setup'!$D$6))</f>
        <v/>
      </c>
      <c r="B1205" s="80" t="str">
        <f t="array" ref="B1205">IF(A1205="","",IFERROR(INDEX('Binder Setup'!$B$2:$B$401,MIN(IF(ISNUMBER(SEARCH(CHAR(10)&amp;'Binder Setup'!$B$2:$B$401&amp;CHAR(10),$H1205)),'List Setup'!$Q$2:$Q$401,999),IF(ISNUMBER(SEARCH(CHAR(10)&amp;'Set Aliases'!$A$2:$A$501&amp;CHAR(10),$H1205)),'Set Aliases'!$C$2:$C$501,999))),"(none)"))</f>
        <v/>
      </c>
      <c r="C1205" s="80" t="str">
        <f t="shared" si="1"/>
        <v/>
      </c>
      <c r="D1205" s="80" t="str">
        <f t="array" ref="D1205">IF(A1205="","",IF(ISLOGICAL(INDEX('Deck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05" s="80" t="str">
        <f t="shared" si="2"/>
        <v/>
      </c>
      <c r="F1205" s="80" t="str">
        <f t="array" ref="F1205">IF(A1205="","",IF(ISNUMBER(J1205),J1205,IF(ISNUMBER(INDEX('Deck 4'!$A:$Z,ROW()-1000,'List Setup'!$F$6)),INDEX('Deck 4'!$A:$Z,ROW()-1000,'List Setup'!$F$6),0)))</f>
        <v/>
      </c>
      <c r="G1205" s="80" t="str">
        <f t="array" ref="G1205">IF(A1205="","",A1205&amp;IF(N(INDEX('Deck 4'!$A:$Z,ROW()-1000,'List Setup'!$C$6))&gt;1," (x"&amp;INDEX('Deck 4'!$A:$Z,ROW()-1000,'List Setup'!$C$6)&amp;")","")&amp;IF(COUNTIF(Binders!$J$6:$J$30,TRUE())&gt;1," ["&amp;Q1205&amp;"]",""))</f>
        <v/>
      </c>
      <c r="H1205" s="80" t="str">
        <f t="array" ref="H1205">IF(A1205="","",CHAR(10)&amp;INDEX('Deck 4'!$A:$Z,ROW()-1000,'List Setup'!$E$6)&amp;CHAR(10))</f>
        <v/>
      </c>
      <c r="I1205" s="80" t="str">
        <f t="array" ref="I1205">IF(OR(B1205="",B1205="(none)"),"",IF(ISNUMBER(SEARCH(CHAR(10)&amp;B1205&amp;CHAR(10),H1205)),B1205,IFERROR(INDEX('Set Aliases'!$A$2:$A$501,MATCH(1,('Set Aliases'!$B$2:$B$501=B1205)*ISNUMBER(SEARCH(CHAR(10)&amp;'Set Aliases'!$A$2:$A$501&amp;CHAR(10),H1205)),0)),"")))</f>
        <v/>
      </c>
      <c r="J1205" s="80" t="str">
        <f t="array" ref="J1205">IF(I1205="","",IFERROR(VALUE(TRIM(MID(SUBSTITUTE(INDEX('Deck 4'!$A:$Z,ROW()-1000,'List Setup'!$G$6),CHAR(10),REPT(" ",100)),((SEARCH(CHAR(10)&amp;I1205&amp;CHAR(10),H1205)-LEN(SUBSTITUTE(LEFT(H1205,SEARCH(CHAR(10)&amp;I1205&amp;CHAR(10),H1205)),CHAR(10),"")))-1)*100+1,100))),""))</f>
        <v/>
      </c>
      <c r="K1205" s="80" t="str">
        <f t="array" ref="K1205">IF(A1205="","",IF(ISNUMBER(SEARCH("Land",LEFT(IFERROR(INDEX('Deck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05" s="80" t="str">
        <f t="shared" si="3"/>
        <v/>
      </c>
      <c r="M1205" s="80" t="str">
        <f>IF(A1205="","",IF(AND(E1205="Y",B1205='Use at Shop'!$B$4),K1205*10000000000+(MAX(0,MIN(26,CODE(MID(UPPER(A1205)&amp;"    ",1,1))-64))*19683+MAX(0,MIN(26,CODE(MID(UPPER(A1205)&amp;"    ",2,1))-64))*729+MAX(0,MIN(26,CODE(MID(UPPER(A1205)&amp;"    ",3,1))-64))*27+MAX(0,MIN(26,CODE(MID(UPPER(A1205)&amp;"    ",4,1))-64))*1)*10000+ROW(),""))</f>
        <v/>
      </c>
      <c r="N1205" s="80" t="str">
        <f t="shared" si="8"/>
        <v/>
      </c>
      <c r="O1205" s="80" t="str">
        <f t="array" ref="O1205">IF(A1205="","",IFERROR(INDEX('Deck 4'!$A:$Z,ROW()-1000,'List Setup'!$J$6)&amp;"",""))</f>
        <v/>
      </c>
      <c r="P1205" s="2"/>
      <c r="Q1205" s="80" t="str">
        <f>IF(A1205="","",'List Setup'!$A$6)</f>
        <v/>
      </c>
      <c r="R1205" s="80" t="str">
        <f t="array" ref="R1205">IF(A1205="","",IFERROR(OR(INDEX(Binders!$J$6:$J$30,MATCH(Q1205,Binders!$I$6:$I$30,0))=TRUE(),UPPER(INDEX(Binders!$J$6:$J$30,MATCH(Q1205,Binders!$I$6:$I$30,0))&amp;"")="TRUE"),FALSE()))</f>
        <v/>
      </c>
    </row>
    <row r="1206" ht="15.75" customHeight="1">
      <c r="A1206" s="80" t="str">
        <f t="array" ref="A1206">IF(INDEX('Deck 4'!$A:$Z,ROW()-1000,'List Setup'!$D$6)="","",INDEX('Deck 4'!$A:$Z,ROW()-1000,'List Setup'!$D$6))</f>
        <v/>
      </c>
      <c r="B1206" s="80" t="str">
        <f t="array" ref="B1206">IF(A1206="","",IFERROR(INDEX('Binder Setup'!$B$2:$B$401,MIN(IF(ISNUMBER(SEARCH(CHAR(10)&amp;'Binder Setup'!$B$2:$B$401&amp;CHAR(10),$H1206)),'List Setup'!$Q$2:$Q$401,999),IF(ISNUMBER(SEARCH(CHAR(10)&amp;'Set Aliases'!$A$2:$A$501&amp;CHAR(10),$H1206)),'Set Aliases'!$C$2:$C$501,999))),"(none)"))</f>
        <v/>
      </c>
      <c r="C1206" s="80" t="str">
        <f t="shared" si="1"/>
        <v/>
      </c>
      <c r="D1206" s="80" t="str">
        <f t="array" ref="D1206">IF(A1206="","",IF(ISLOGICAL(INDEX('Deck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06" s="80" t="str">
        <f t="shared" si="2"/>
        <v/>
      </c>
      <c r="F1206" s="80" t="str">
        <f t="array" ref="F1206">IF(A1206="","",IF(ISNUMBER(J1206),J1206,IF(ISNUMBER(INDEX('Deck 4'!$A:$Z,ROW()-1000,'List Setup'!$F$6)),INDEX('Deck 4'!$A:$Z,ROW()-1000,'List Setup'!$F$6),0)))</f>
        <v/>
      </c>
      <c r="G1206" s="80" t="str">
        <f t="array" ref="G1206">IF(A1206="","",A1206&amp;IF(N(INDEX('Deck 4'!$A:$Z,ROW()-1000,'List Setup'!$C$6))&gt;1," (x"&amp;INDEX('Deck 4'!$A:$Z,ROW()-1000,'List Setup'!$C$6)&amp;")","")&amp;IF(COUNTIF(Binders!$J$6:$J$30,TRUE())&gt;1," ["&amp;Q1206&amp;"]",""))</f>
        <v/>
      </c>
      <c r="H1206" s="80" t="str">
        <f t="array" ref="H1206">IF(A1206="","",CHAR(10)&amp;INDEX('Deck 4'!$A:$Z,ROW()-1000,'List Setup'!$E$6)&amp;CHAR(10))</f>
        <v/>
      </c>
      <c r="I1206" s="80" t="str">
        <f t="array" ref="I1206">IF(OR(B1206="",B1206="(none)"),"",IF(ISNUMBER(SEARCH(CHAR(10)&amp;B1206&amp;CHAR(10),H1206)),B1206,IFERROR(INDEX('Set Aliases'!$A$2:$A$501,MATCH(1,('Set Aliases'!$B$2:$B$501=B1206)*ISNUMBER(SEARCH(CHAR(10)&amp;'Set Aliases'!$A$2:$A$501&amp;CHAR(10),H1206)),0)),"")))</f>
        <v/>
      </c>
      <c r="J1206" s="80" t="str">
        <f t="array" ref="J1206">IF(I1206="","",IFERROR(VALUE(TRIM(MID(SUBSTITUTE(INDEX('Deck 4'!$A:$Z,ROW()-1000,'List Setup'!$G$6),CHAR(10),REPT(" ",100)),((SEARCH(CHAR(10)&amp;I1206&amp;CHAR(10),H1206)-LEN(SUBSTITUTE(LEFT(H1206,SEARCH(CHAR(10)&amp;I1206&amp;CHAR(10),H1206)),CHAR(10),"")))-1)*100+1,100))),""))</f>
        <v/>
      </c>
      <c r="K1206" s="80" t="str">
        <f t="array" ref="K1206">IF(A1206="","",IF(ISNUMBER(SEARCH("Land",LEFT(IFERROR(INDEX('Deck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06" s="80" t="str">
        <f t="shared" si="3"/>
        <v/>
      </c>
      <c r="M1206" s="80" t="str">
        <f>IF(A1206="","",IF(AND(E1206="Y",B1206='Use at Shop'!$B$4),K1206*10000000000+(MAX(0,MIN(26,CODE(MID(UPPER(A1206)&amp;"    ",1,1))-64))*19683+MAX(0,MIN(26,CODE(MID(UPPER(A1206)&amp;"    ",2,1))-64))*729+MAX(0,MIN(26,CODE(MID(UPPER(A1206)&amp;"    ",3,1))-64))*27+MAX(0,MIN(26,CODE(MID(UPPER(A1206)&amp;"    ",4,1))-64))*1)*10000+ROW(),""))</f>
        <v/>
      </c>
      <c r="N1206" s="80" t="str">
        <f t="shared" si="8"/>
        <v/>
      </c>
      <c r="O1206" s="80" t="str">
        <f t="array" ref="O1206">IF(A1206="","",IFERROR(INDEX('Deck 4'!$A:$Z,ROW()-1000,'List Setup'!$J$6)&amp;"",""))</f>
        <v/>
      </c>
      <c r="P1206" s="2"/>
      <c r="Q1206" s="80" t="str">
        <f>IF(A1206="","",'List Setup'!$A$6)</f>
        <v/>
      </c>
      <c r="R1206" s="80" t="str">
        <f t="array" ref="R1206">IF(A1206="","",IFERROR(OR(INDEX(Binders!$J$6:$J$30,MATCH(Q1206,Binders!$I$6:$I$30,0))=TRUE(),UPPER(INDEX(Binders!$J$6:$J$30,MATCH(Q1206,Binders!$I$6:$I$30,0))&amp;"")="TRUE"),FALSE()))</f>
        <v/>
      </c>
    </row>
    <row r="1207" ht="15.75" customHeight="1">
      <c r="A1207" s="80" t="str">
        <f t="array" ref="A1207">IF(INDEX('Deck 4'!$A:$Z,ROW()-1000,'List Setup'!$D$6)="","",INDEX('Deck 4'!$A:$Z,ROW()-1000,'List Setup'!$D$6))</f>
        <v/>
      </c>
      <c r="B1207" s="80" t="str">
        <f t="array" ref="B1207">IF(A1207="","",IFERROR(INDEX('Binder Setup'!$B$2:$B$401,MIN(IF(ISNUMBER(SEARCH(CHAR(10)&amp;'Binder Setup'!$B$2:$B$401&amp;CHAR(10),$H1207)),'List Setup'!$Q$2:$Q$401,999),IF(ISNUMBER(SEARCH(CHAR(10)&amp;'Set Aliases'!$A$2:$A$501&amp;CHAR(10),$H1207)),'Set Aliases'!$C$2:$C$501,999))),"(none)"))</f>
        <v/>
      </c>
      <c r="C1207" s="80" t="str">
        <f t="shared" si="1"/>
        <v/>
      </c>
      <c r="D1207" s="80" t="str">
        <f t="array" ref="D1207">IF(A1207="","",IF(ISLOGICAL(INDEX('Deck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07" s="80" t="str">
        <f t="shared" si="2"/>
        <v/>
      </c>
      <c r="F1207" s="80" t="str">
        <f t="array" ref="F1207">IF(A1207="","",IF(ISNUMBER(J1207),J1207,IF(ISNUMBER(INDEX('Deck 4'!$A:$Z,ROW()-1000,'List Setup'!$F$6)),INDEX('Deck 4'!$A:$Z,ROW()-1000,'List Setup'!$F$6),0)))</f>
        <v/>
      </c>
      <c r="G1207" s="80" t="str">
        <f t="array" ref="G1207">IF(A1207="","",A1207&amp;IF(N(INDEX('Deck 4'!$A:$Z,ROW()-1000,'List Setup'!$C$6))&gt;1," (x"&amp;INDEX('Deck 4'!$A:$Z,ROW()-1000,'List Setup'!$C$6)&amp;")","")&amp;IF(COUNTIF(Binders!$J$6:$J$30,TRUE())&gt;1," ["&amp;Q1207&amp;"]",""))</f>
        <v/>
      </c>
      <c r="H1207" s="80" t="str">
        <f t="array" ref="H1207">IF(A1207="","",CHAR(10)&amp;INDEX('Deck 4'!$A:$Z,ROW()-1000,'List Setup'!$E$6)&amp;CHAR(10))</f>
        <v/>
      </c>
      <c r="I1207" s="80" t="str">
        <f t="array" ref="I1207">IF(OR(B1207="",B1207="(none)"),"",IF(ISNUMBER(SEARCH(CHAR(10)&amp;B1207&amp;CHAR(10),H1207)),B1207,IFERROR(INDEX('Set Aliases'!$A$2:$A$501,MATCH(1,('Set Aliases'!$B$2:$B$501=B1207)*ISNUMBER(SEARCH(CHAR(10)&amp;'Set Aliases'!$A$2:$A$501&amp;CHAR(10),H1207)),0)),"")))</f>
        <v/>
      </c>
      <c r="J1207" s="80" t="str">
        <f t="array" ref="J1207">IF(I1207="","",IFERROR(VALUE(TRIM(MID(SUBSTITUTE(INDEX('Deck 4'!$A:$Z,ROW()-1000,'List Setup'!$G$6),CHAR(10),REPT(" ",100)),((SEARCH(CHAR(10)&amp;I1207&amp;CHAR(10),H1207)-LEN(SUBSTITUTE(LEFT(H1207,SEARCH(CHAR(10)&amp;I1207&amp;CHAR(10),H1207)),CHAR(10),"")))-1)*100+1,100))),""))</f>
        <v/>
      </c>
      <c r="K1207" s="80" t="str">
        <f t="array" ref="K1207">IF(A1207="","",IF(ISNUMBER(SEARCH("Land",LEFT(IFERROR(INDEX('Deck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07" s="80" t="str">
        <f t="shared" si="3"/>
        <v/>
      </c>
      <c r="M1207" s="80" t="str">
        <f>IF(A1207="","",IF(AND(E1207="Y",B1207='Use at Shop'!$B$4),K1207*10000000000+(MAX(0,MIN(26,CODE(MID(UPPER(A1207)&amp;"    ",1,1))-64))*19683+MAX(0,MIN(26,CODE(MID(UPPER(A1207)&amp;"    ",2,1))-64))*729+MAX(0,MIN(26,CODE(MID(UPPER(A1207)&amp;"    ",3,1))-64))*27+MAX(0,MIN(26,CODE(MID(UPPER(A1207)&amp;"    ",4,1))-64))*1)*10000+ROW(),""))</f>
        <v/>
      </c>
      <c r="N1207" s="80" t="str">
        <f t="shared" si="8"/>
        <v/>
      </c>
      <c r="O1207" s="80" t="str">
        <f t="array" ref="O1207">IF(A1207="","",IFERROR(INDEX('Deck 4'!$A:$Z,ROW()-1000,'List Setup'!$J$6)&amp;"",""))</f>
        <v/>
      </c>
      <c r="P1207" s="2"/>
      <c r="Q1207" s="80" t="str">
        <f>IF(A1207="","",'List Setup'!$A$6)</f>
        <v/>
      </c>
      <c r="R1207" s="80" t="str">
        <f t="array" ref="R1207">IF(A1207="","",IFERROR(OR(INDEX(Binders!$J$6:$J$30,MATCH(Q1207,Binders!$I$6:$I$30,0))=TRUE(),UPPER(INDEX(Binders!$J$6:$J$30,MATCH(Q1207,Binders!$I$6:$I$30,0))&amp;"")="TRUE"),FALSE()))</f>
        <v/>
      </c>
    </row>
    <row r="1208" ht="15.75" customHeight="1">
      <c r="A1208" s="80" t="str">
        <f t="array" ref="A1208">IF(INDEX('Deck 4'!$A:$Z,ROW()-1000,'List Setup'!$D$6)="","",INDEX('Deck 4'!$A:$Z,ROW()-1000,'List Setup'!$D$6))</f>
        <v/>
      </c>
      <c r="B1208" s="80" t="str">
        <f t="array" ref="B1208">IF(A1208="","",IFERROR(INDEX('Binder Setup'!$B$2:$B$401,MIN(IF(ISNUMBER(SEARCH(CHAR(10)&amp;'Binder Setup'!$B$2:$B$401&amp;CHAR(10),$H1208)),'List Setup'!$Q$2:$Q$401,999),IF(ISNUMBER(SEARCH(CHAR(10)&amp;'Set Aliases'!$A$2:$A$501&amp;CHAR(10),$H1208)),'Set Aliases'!$C$2:$C$501,999))),"(none)"))</f>
        <v/>
      </c>
      <c r="C1208" s="80" t="str">
        <f t="shared" si="1"/>
        <v/>
      </c>
      <c r="D1208" s="80" t="str">
        <f t="array" ref="D1208">IF(A1208="","",IF(ISLOGICAL(INDEX('Deck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08" s="80" t="str">
        <f t="shared" si="2"/>
        <v/>
      </c>
      <c r="F1208" s="80" t="str">
        <f t="array" ref="F1208">IF(A1208="","",IF(ISNUMBER(J1208),J1208,IF(ISNUMBER(INDEX('Deck 4'!$A:$Z,ROW()-1000,'List Setup'!$F$6)),INDEX('Deck 4'!$A:$Z,ROW()-1000,'List Setup'!$F$6),0)))</f>
        <v/>
      </c>
      <c r="G1208" s="80" t="str">
        <f t="array" ref="G1208">IF(A1208="","",A1208&amp;IF(N(INDEX('Deck 4'!$A:$Z,ROW()-1000,'List Setup'!$C$6))&gt;1," (x"&amp;INDEX('Deck 4'!$A:$Z,ROW()-1000,'List Setup'!$C$6)&amp;")","")&amp;IF(COUNTIF(Binders!$J$6:$J$30,TRUE())&gt;1," ["&amp;Q1208&amp;"]",""))</f>
        <v/>
      </c>
      <c r="H1208" s="80" t="str">
        <f t="array" ref="H1208">IF(A1208="","",CHAR(10)&amp;INDEX('Deck 4'!$A:$Z,ROW()-1000,'List Setup'!$E$6)&amp;CHAR(10))</f>
        <v/>
      </c>
      <c r="I1208" s="80" t="str">
        <f t="array" ref="I1208">IF(OR(B1208="",B1208="(none)"),"",IF(ISNUMBER(SEARCH(CHAR(10)&amp;B1208&amp;CHAR(10),H1208)),B1208,IFERROR(INDEX('Set Aliases'!$A$2:$A$501,MATCH(1,('Set Aliases'!$B$2:$B$501=B1208)*ISNUMBER(SEARCH(CHAR(10)&amp;'Set Aliases'!$A$2:$A$501&amp;CHAR(10),H1208)),0)),"")))</f>
        <v/>
      </c>
      <c r="J1208" s="80" t="str">
        <f t="array" ref="J1208">IF(I1208="","",IFERROR(VALUE(TRIM(MID(SUBSTITUTE(INDEX('Deck 4'!$A:$Z,ROW()-1000,'List Setup'!$G$6),CHAR(10),REPT(" ",100)),((SEARCH(CHAR(10)&amp;I1208&amp;CHAR(10),H1208)-LEN(SUBSTITUTE(LEFT(H1208,SEARCH(CHAR(10)&amp;I1208&amp;CHAR(10),H1208)),CHAR(10),"")))-1)*100+1,100))),""))</f>
        <v/>
      </c>
      <c r="K1208" s="80" t="str">
        <f t="array" ref="K1208">IF(A1208="","",IF(ISNUMBER(SEARCH("Land",LEFT(IFERROR(INDEX('Deck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08" s="80" t="str">
        <f t="shared" si="3"/>
        <v/>
      </c>
      <c r="M1208" s="80" t="str">
        <f>IF(A1208="","",IF(AND(E1208="Y",B1208='Use at Shop'!$B$4),K1208*10000000000+(MAX(0,MIN(26,CODE(MID(UPPER(A1208)&amp;"    ",1,1))-64))*19683+MAX(0,MIN(26,CODE(MID(UPPER(A1208)&amp;"    ",2,1))-64))*729+MAX(0,MIN(26,CODE(MID(UPPER(A1208)&amp;"    ",3,1))-64))*27+MAX(0,MIN(26,CODE(MID(UPPER(A1208)&amp;"    ",4,1))-64))*1)*10000+ROW(),""))</f>
        <v/>
      </c>
      <c r="N1208" s="80" t="str">
        <f t="shared" si="8"/>
        <v/>
      </c>
      <c r="O1208" s="80" t="str">
        <f t="array" ref="O1208">IF(A1208="","",IFERROR(INDEX('Deck 4'!$A:$Z,ROW()-1000,'List Setup'!$J$6)&amp;"",""))</f>
        <v/>
      </c>
      <c r="P1208" s="2"/>
      <c r="Q1208" s="80" t="str">
        <f>IF(A1208="","",'List Setup'!$A$6)</f>
        <v/>
      </c>
      <c r="R1208" s="80" t="str">
        <f t="array" ref="R1208">IF(A1208="","",IFERROR(OR(INDEX(Binders!$J$6:$J$30,MATCH(Q1208,Binders!$I$6:$I$30,0))=TRUE(),UPPER(INDEX(Binders!$J$6:$J$30,MATCH(Q1208,Binders!$I$6:$I$30,0))&amp;"")="TRUE"),FALSE()))</f>
        <v/>
      </c>
    </row>
    <row r="1209" ht="15.75" customHeight="1">
      <c r="A1209" s="80" t="str">
        <f t="array" ref="A1209">IF(INDEX('Deck 4'!$A:$Z,ROW()-1000,'List Setup'!$D$6)="","",INDEX('Deck 4'!$A:$Z,ROW()-1000,'List Setup'!$D$6))</f>
        <v/>
      </c>
      <c r="B1209" s="80" t="str">
        <f t="array" ref="B1209">IF(A1209="","",IFERROR(INDEX('Binder Setup'!$B$2:$B$401,MIN(IF(ISNUMBER(SEARCH(CHAR(10)&amp;'Binder Setup'!$B$2:$B$401&amp;CHAR(10),$H1209)),'List Setup'!$Q$2:$Q$401,999),IF(ISNUMBER(SEARCH(CHAR(10)&amp;'Set Aliases'!$A$2:$A$501&amp;CHAR(10),$H1209)),'Set Aliases'!$C$2:$C$501,999))),"(none)"))</f>
        <v/>
      </c>
      <c r="C1209" s="80" t="str">
        <f t="shared" si="1"/>
        <v/>
      </c>
      <c r="D1209" s="80" t="str">
        <f t="array" ref="D1209">IF(A1209="","",IF(ISLOGICAL(INDEX('Deck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09" s="80" t="str">
        <f t="shared" si="2"/>
        <v/>
      </c>
      <c r="F1209" s="80" t="str">
        <f t="array" ref="F1209">IF(A1209="","",IF(ISNUMBER(J1209),J1209,IF(ISNUMBER(INDEX('Deck 4'!$A:$Z,ROW()-1000,'List Setup'!$F$6)),INDEX('Deck 4'!$A:$Z,ROW()-1000,'List Setup'!$F$6),0)))</f>
        <v/>
      </c>
      <c r="G1209" s="80" t="str">
        <f t="array" ref="G1209">IF(A1209="","",A1209&amp;IF(N(INDEX('Deck 4'!$A:$Z,ROW()-1000,'List Setup'!$C$6))&gt;1," (x"&amp;INDEX('Deck 4'!$A:$Z,ROW()-1000,'List Setup'!$C$6)&amp;")","")&amp;IF(COUNTIF(Binders!$J$6:$J$30,TRUE())&gt;1," ["&amp;Q1209&amp;"]",""))</f>
        <v/>
      </c>
      <c r="H1209" s="80" t="str">
        <f t="array" ref="H1209">IF(A1209="","",CHAR(10)&amp;INDEX('Deck 4'!$A:$Z,ROW()-1000,'List Setup'!$E$6)&amp;CHAR(10))</f>
        <v/>
      </c>
      <c r="I1209" s="80" t="str">
        <f t="array" ref="I1209">IF(OR(B1209="",B1209="(none)"),"",IF(ISNUMBER(SEARCH(CHAR(10)&amp;B1209&amp;CHAR(10),H1209)),B1209,IFERROR(INDEX('Set Aliases'!$A$2:$A$501,MATCH(1,('Set Aliases'!$B$2:$B$501=B1209)*ISNUMBER(SEARCH(CHAR(10)&amp;'Set Aliases'!$A$2:$A$501&amp;CHAR(10),H1209)),0)),"")))</f>
        <v/>
      </c>
      <c r="J1209" s="80" t="str">
        <f t="array" ref="J1209">IF(I1209="","",IFERROR(VALUE(TRIM(MID(SUBSTITUTE(INDEX('Deck 4'!$A:$Z,ROW()-1000,'List Setup'!$G$6),CHAR(10),REPT(" ",100)),((SEARCH(CHAR(10)&amp;I1209&amp;CHAR(10),H1209)-LEN(SUBSTITUTE(LEFT(H1209,SEARCH(CHAR(10)&amp;I1209&amp;CHAR(10),H1209)),CHAR(10),"")))-1)*100+1,100))),""))</f>
        <v/>
      </c>
      <c r="K1209" s="80" t="str">
        <f t="array" ref="K1209">IF(A1209="","",IF(ISNUMBER(SEARCH("Land",LEFT(IFERROR(INDEX('Deck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09" s="80" t="str">
        <f t="shared" si="3"/>
        <v/>
      </c>
      <c r="M1209" s="80" t="str">
        <f>IF(A1209="","",IF(AND(E1209="Y",B1209='Use at Shop'!$B$4),K1209*10000000000+(MAX(0,MIN(26,CODE(MID(UPPER(A1209)&amp;"    ",1,1))-64))*19683+MAX(0,MIN(26,CODE(MID(UPPER(A1209)&amp;"    ",2,1))-64))*729+MAX(0,MIN(26,CODE(MID(UPPER(A1209)&amp;"    ",3,1))-64))*27+MAX(0,MIN(26,CODE(MID(UPPER(A1209)&amp;"    ",4,1))-64))*1)*10000+ROW(),""))</f>
        <v/>
      </c>
      <c r="N1209" s="80" t="str">
        <f t="shared" si="8"/>
        <v/>
      </c>
      <c r="O1209" s="80" t="str">
        <f t="array" ref="O1209">IF(A1209="","",IFERROR(INDEX('Deck 4'!$A:$Z,ROW()-1000,'List Setup'!$J$6)&amp;"",""))</f>
        <v/>
      </c>
      <c r="P1209" s="2"/>
      <c r="Q1209" s="80" t="str">
        <f>IF(A1209="","",'List Setup'!$A$6)</f>
        <v/>
      </c>
      <c r="R1209" s="80" t="str">
        <f t="array" ref="R1209">IF(A1209="","",IFERROR(OR(INDEX(Binders!$J$6:$J$30,MATCH(Q1209,Binders!$I$6:$I$30,0))=TRUE(),UPPER(INDEX(Binders!$J$6:$J$30,MATCH(Q1209,Binders!$I$6:$I$30,0))&amp;"")="TRUE"),FALSE()))</f>
        <v/>
      </c>
    </row>
    <row r="1210" ht="15.75" customHeight="1">
      <c r="A1210" s="80" t="str">
        <f t="array" ref="A1210">IF(INDEX('Deck 4'!$A:$Z,ROW()-1000,'List Setup'!$D$6)="","",INDEX('Deck 4'!$A:$Z,ROW()-1000,'List Setup'!$D$6))</f>
        <v/>
      </c>
      <c r="B1210" s="80" t="str">
        <f t="array" ref="B1210">IF(A1210="","",IFERROR(INDEX('Binder Setup'!$B$2:$B$401,MIN(IF(ISNUMBER(SEARCH(CHAR(10)&amp;'Binder Setup'!$B$2:$B$401&amp;CHAR(10),$H1210)),'List Setup'!$Q$2:$Q$401,999),IF(ISNUMBER(SEARCH(CHAR(10)&amp;'Set Aliases'!$A$2:$A$501&amp;CHAR(10),$H1210)),'Set Aliases'!$C$2:$C$501,999))),"(none)"))</f>
        <v/>
      </c>
      <c r="C1210" s="80" t="str">
        <f t="shared" si="1"/>
        <v/>
      </c>
      <c r="D1210" s="80" t="str">
        <f t="array" ref="D1210">IF(A1210="","",IF(ISLOGICAL(INDEX('Deck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10" s="80" t="str">
        <f t="shared" si="2"/>
        <v/>
      </c>
      <c r="F1210" s="80" t="str">
        <f t="array" ref="F1210">IF(A1210="","",IF(ISNUMBER(J1210),J1210,IF(ISNUMBER(INDEX('Deck 4'!$A:$Z,ROW()-1000,'List Setup'!$F$6)),INDEX('Deck 4'!$A:$Z,ROW()-1000,'List Setup'!$F$6),0)))</f>
        <v/>
      </c>
      <c r="G1210" s="80" t="str">
        <f t="array" ref="G1210">IF(A1210="","",A1210&amp;IF(N(INDEX('Deck 4'!$A:$Z,ROW()-1000,'List Setup'!$C$6))&gt;1," (x"&amp;INDEX('Deck 4'!$A:$Z,ROW()-1000,'List Setup'!$C$6)&amp;")","")&amp;IF(COUNTIF(Binders!$J$6:$J$30,TRUE())&gt;1," ["&amp;Q1210&amp;"]",""))</f>
        <v/>
      </c>
      <c r="H1210" s="80" t="str">
        <f t="array" ref="H1210">IF(A1210="","",CHAR(10)&amp;INDEX('Deck 4'!$A:$Z,ROW()-1000,'List Setup'!$E$6)&amp;CHAR(10))</f>
        <v/>
      </c>
      <c r="I1210" s="80" t="str">
        <f t="array" ref="I1210">IF(OR(B1210="",B1210="(none)"),"",IF(ISNUMBER(SEARCH(CHAR(10)&amp;B1210&amp;CHAR(10),H1210)),B1210,IFERROR(INDEX('Set Aliases'!$A$2:$A$501,MATCH(1,('Set Aliases'!$B$2:$B$501=B1210)*ISNUMBER(SEARCH(CHAR(10)&amp;'Set Aliases'!$A$2:$A$501&amp;CHAR(10),H1210)),0)),"")))</f>
        <v/>
      </c>
      <c r="J1210" s="80" t="str">
        <f t="array" ref="J1210">IF(I1210="","",IFERROR(VALUE(TRIM(MID(SUBSTITUTE(INDEX('Deck 4'!$A:$Z,ROW()-1000,'List Setup'!$G$6),CHAR(10),REPT(" ",100)),((SEARCH(CHAR(10)&amp;I1210&amp;CHAR(10),H1210)-LEN(SUBSTITUTE(LEFT(H1210,SEARCH(CHAR(10)&amp;I1210&amp;CHAR(10),H1210)),CHAR(10),"")))-1)*100+1,100))),""))</f>
        <v/>
      </c>
      <c r="K1210" s="80" t="str">
        <f t="array" ref="K1210">IF(A1210="","",IF(ISNUMBER(SEARCH("Land",LEFT(IFERROR(INDEX('Deck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10" s="80" t="str">
        <f t="shared" si="3"/>
        <v/>
      </c>
      <c r="M1210" s="80" t="str">
        <f>IF(A1210="","",IF(AND(E1210="Y",B1210='Use at Shop'!$B$4),K1210*10000000000+(MAX(0,MIN(26,CODE(MID(UPPER(A1210)&amp;"    ",1,1))-64))*19683+MAX(0,MIN(26,CODE(MID(UPPER(A1210)&amp;"    ",2,1))-64))*729+MAX(0,MIN(26,CODE(MID(UPPER(A1210)&amp;"    ",3,1))-64))*27+MAX(0,MIN(26,CODE(MID(UPPER(A1210)&amp;"    ",4,1))-64))*1)*10000+ROW(),""))</f>
        <v/>
      </c>
      <c r="N1210" s="80" t="str">
        <f t="shared" si="8"/>
        <v/>
      </c>
      <c r="O1210" s="80" t="str">
        <f t="array" ref="O1210">IF(A1210="","",IFERROR(INDEX('Deck 4'!$A:$Z,ROW()-1000,'List Setup'!$J$6)&amp;"",""))</f>
        <v/>
      </c>
      <c r="P1210" s="2"/>
      <c r="Q1210" s="80" t="str">
        <f>IF(A1210="","",'List Setup'!$A$6)</f>
        <v/>
      </c>
      <c r="R1210" s="80" t="str">
        <f t="array" ref="R1210">IF(A1210="","",IFERROR(OR(INDEX(Binders!$J$6:$J$30,MATCH(Q1210,Binders!$I$6:$I$30,0))=TRUE(),UPPER(INDEX(Binders!$J$6:$J$30,MATCH(Q1210,Binders!$I$6:$I$30,0))&amp;"")="TRUE"),FALSE()))</f>
        <v/>
      </c>
    </row>
    <row r="1211" ht="15.75" customHeight="1">
      <c r="A1211" s="80" t="str">
        <f t="array" ref="A1211">IF(INDEX('Deck 4'!$A:$Z,ROW()-1000,'List Setup'!$D$6)="","",INDEX('Deck 4'!$A:$Z,ROW()-1000,'List Setup'!$D$6))</f>
        <v/>
      </c>
      <c r="B1211" s="80" t="str">
        <f t="array" ref="B1211">IF(A1211="","",IFERROR(INDEX('Binder Setup'!$B$2:$B$401,MIN(IF(ISNUMBER(SEARCH(CHAR(10)&amp;'Binder Setup'!$B$2:$B$401&amp;CHAR(10),$H1211)),'List Setup'!$Q$2:$Q$401,999),IF(ISNUMBER(SEARCH(CHAR(10)&amp;'Set Aliases'!$A$2:$A$501&amp;CHAR(10),$H1211)),'Set Aliases'!$C$2:$C$501,999))),"(none)"))</f>
        <v/>
      </c>
      <c r="C1211" s="80" t="str">
        <f t="shared" si="1"/>
        <v/>
      </c>
      <c r="D1211" s="80" t="str">
        <f t="array" ref="D1211">IF(A1211="","",IF(ISLOGICAL(INDEX('Deck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11" s="80" t="str">
        <f t="shared" si="2"/>
        <v/>
      </c>
      <c r="F1211" s="80" t="str">
        <f t="array" ref="F1211">IF(A1211="","",IF(ISNUMBER(J1211),J1211,IF(ISNUMBER(INDEX('Deck 4'!$A:$Z,ROW()-1000,'List Setup'!$F$6)),INDEX('Deck 4'!$A:$Z,ROW()-1000,'List Setup'!$F$6),0)))</f>
        <v/>
      </c>
      <c r="G1211" s="80" t="str">
        <f t="array" ref="G1211">IF(A1211="","",A1211&amp;IF(N(INDEX('Deck 4'!$A:$Z,ROW()-1000,'List Setup'!$C$6))&gt;1," (x"&amp;INDEX('Deck 4'!$A:$Z,ROW()-1000,'List Setup'!$C$6)&amp;")","")&amp;IF(COUNTIF(Binders!$J$6:$J$30,TRUE())&gt;1," ["&amp;Q1211&amp;"]",""))</f>
        <v/>
      </c>
      <c r="H1211" s="80" t="str">
        <f t="array" ref="H1211">IF(A1211="","",CHAR(10)&amp;INDEX('Deck 4'!$A:$Z,ROW()-1000,'List Setup'!$E$6)&amp;CHAR(10))</f>
        <v/>
      </c>
      <c r="I1211" s="80" t="str">
        <f t="array" ref="I1211">IF(OR(B1211="",B1211="(none)"),"",IF(ISNUMBER(SEARCH(CHAR(10)&amp;B1211&amp;CHAR(10),H1211)),B1211,IFERROR(INDEX('Set Aliases'!$A$2:$A$501,MATCH(1,('Set Aliases'!$B$2:$B$501=B1211)*ISNUMBER(SEARCH(CHAR(10)&amp;'Set Aliases'!$A$2:$A$501&amp;CHAR(10),H1211)),0)),"")))</f>
        <v/>
      </c>
      <c r="J1211" s="80" t="str">
        <f t="array" ref="J1211">IF(I1211="","",IFERROR(VALUE(TRIM(MID(SUBSTITUTE(INDEX('Deck 4'!$A:$Z,ROW()-1000,'List Setup'!$G$6),CHAR(10),REPT(" ",100)),((SEARCH(CHAR(10)&amp;I1211&amp;CHAR(10),H1211)-LEN(SUBSTITUTE(LEFT(H1211,SEARCH(CHAR(10)&amp;I1211&amp;CHAR(10),H1211)),CHAR(10),"")))-1)*100+1,100))),""))</f>
        <v/>
      </c>
      <c r="K1211" s="80" t="str">
        <f t="array" ref="K1211">IF(A1211="","",IF(ISNUMBER(SEARCH("Land",LEFT(IFERROR(INDEX('Deck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11" s="80" t="str">
        <f t="shared" si="3"/>
        <v/>
      </c>
      <c r="M1211" s="80" t="str">
        <f>IF(A1211="","",IF(AND(E1211="Y",B1211='Use at Shop'!$B$4),K1211*10000000000+(MAX(0,MIN(26,CODE(MID(UPPER(A1211)&amp;"    ",1,1))-64))*19683+MAX(0,MIN(26,CODE(MID(UPPER(A1211)&amp;"    ",2,1))-64))*729+MAX(0,MIN(26,CODE(MID(UPPER(A1211)&amp;"    ",3,1))-64))*27+MAX(0,MIN(26,CODE(MID(UPPER(A1211)&amp;"    ",4,1))-64))*1)*10000+ROW(),""))</f>
        <v/>
      </c>
      <c r="N1211" s="80" t="str">
        <f t="shared" si="8"/>
        <v/>
      </c>
      <c r="O1211" s="80" t="str">
        <f t="array" ref="O1211">IF(A1211="","",IFERROR(INDEX('Deck 4'!$A:$Z,ROW()-1000,'List Setup'!$J$6)&amp;"",""))</f>
        <v/>
      </c>
      <c r="P1211" s="2"/>
      <c r="Q1211" s="80" t="str">
        <f>IF(A1211="","",'List Setup'!$A$6)</f>
        <v/>
      </c>
      <c r="R1211" s="80" t="str">
        <f t="array" ref="R1211">IF(A1211="","",IFERROR(OR(INDEX(Binders!$J$6:$J$30,MATCH(Q1211,Binders!$I$6:$I$30,0))=TRUE(),UPPER(INDEX(Binders!$J$6:$J$30,MATCH(Q1211,Binders!$I$6:$I$30,0))&amp;"")="TRUE"),FALSE()))</f>
        <v/>
      </c>
    </row>
    <row r="1212" ht="15.75" customHeight="1">
      <c r="A1212" s="80" t="str">
        <f t="array" ref="A1212">IF(INDEX('Deck 4'!$A:$Z,ROW()-1000,'List Setup'!$D$6)="","",INDEX('Deck 4'!$A:$Z,ROW()-1000,'List Setup'!$D$6))</f>
        <v/>
      </c>
      <c r="B1212" s="80" t="str">
        <f t="array" ref="B1212">IF(A1212="","",IFERROR(INDEX('Binder Setup'!$B$2:$B$401,MIN(IF(ISNUMBER(SEARCH(CHAR(10)&amp;'Binder Setup'!$B$2:$B$401&amp;CHAR(10),$H1212)),'List Setup'!$Q$2:$Q$401,999),IF(ISNUMBER(SEARCH(CHAR(10)&amp;'Set Aliases'!$A$2:$A$501&amp;CHAR(10),$H1212)),'Set Aliases'!$C$2:$C$501,999))),"(none)"))</f>
        <v/>
      </c>
      <c r="C1212" s="80" t="str">
        <f t="shared" si="1"/>
        <v/>
      </c>
      <c r="D1212" s="80" t="str">
        <f t="array" ref="D1212">IF(A1212="","",IF(ISLOGICAL(INDEX('Deck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12" s="80" t="str">
        <f t="shared" si="2"/>
        <v/>
      </c>
      <c r="F1212" s="80" t="str">
        <f t="array" ref="F1212">IF(A1212="","",IF(ISNUMBER(J1212),J1212,IF(ISNUMBER(INDEX('Deck 4'!$A:$Z,ROW()-1000,'List Setup'!$F$6)),INDEX('Deck 4'!$A:$Z,ROW()-1000,'List Setup'!$F$6),0)))</f>
        <v/>
      </c>
      <c r="G1212" s="80" t="str">
        <f t="array" ref="G1212">IF(A1212="","",A1212&amp;IF(N(INDEX('Deck 4'!$A:$Z,ROW()-1000,'List Setup'!$C$6))&gt;1," (x"&amp;INDEX('Deck 4'!$A:$Z,ROW()-1000,'List Setup'!$C$6)&amp;")","")&amp;IF(COUNTIF(Binders!$J$6:$J$30,TRUE())&gt;1," ["&amp;Q1212&amp;"]",""))</f>
        <v/>
      </c>
      <c r="H1212" s="80" t="str">
        <f t="array" ref="H1212">IF(A1212="","",CHAR(10)&amp;INDEX('Deck 4'!$A:$Z,ROW()-1000,'List Setup'!$E$6)&amp;CHAR(10))</f>
        <v/>
      </c>
      <c r="I1212" s="80" t="str">
        <f t="array" ref="I1212">IF(OR(B1212="",B1212="(none)"),"",IF(ISNUMBER(SEARCH(CHAR(10)&amp;B1212&amp;CHAR(10),H1212)),B1212,IFERROR(INDEX('Set Aliases'!$A$2:$A$501,MATCH(1,('Set Aliases'!$B$2:$B$501=B1212)*ISNUMBER(SEARCH(CHAR(10)&amp;'Set Aliases'!$A$2:$A$501&amp;CHAR(10),H1212)),0)),"")))</f>
        <v/>
      </c>
      <c r="J1212" s="80" t="str">
        <f t="array" ref="J1212">IF(I1212="","",IFERROR(VALUE(TRIM(MID(SUBSTITUTE(INDEX('Deck 4'!$A:$Z,ROW()-1000,'List Setup'!$G$6),CHAR(10),REPT(" ",100)),((SEARCH(CHAR(10)&amp;I1212&amp;CHAR(10),H1212)-LEN(SUBSTITUTE(LEFT(H1212,SEARCH(CHAR(10)&amp;I1212&amp;CHAR(10),H1212)),CHAR(10),"")))-1)*100+1,100))),""))</f>
        <v/>
      </c>
      <c r="K1212" s="80" t="str">
        <f t="array" ref="K1212">IF(A1212="","",IF(ISNUMBER(SEARCH("Land",LEFT(IFERROR(INDEX('Deck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12" s="80" t="str">
        <f t="shared" si="3"/>
        <v/>
      </c>
      <c r="M1212" s="80" t="str">
        <f>IF(A1212="","",IF(AND(E1212="Y",B1212='Use at Shop'!$B$4),K1212*10000000000+(MAX(0,MIN(26,CODE(MID(UPPER(A1212)&amp;"    ",1,1))-64))*19683+MAX(0,MIN(26,CODE(MID(UPPER(A1212)&amp;"    ",2,1))-64))*729+MAX(0,MIN(26,CODE(MID(UPPER(A1212)&amp;"    ",3,1))-64))*27+MAX(0,MIN(26,CODE(MID(UPPER(A1212)&amp;"    ",4,1))-64))*1)*10000+ROW(),""))</f>
        <v/>
      </c>
      <c r="N1212" s="80" t="str">
        <f t="shared" si="8"/>
        <v/>
      </c>
      <c r="O1212" s="80" t="str">
        <f t="array" ref="O1212">IF(A1212="","",IFERROR(INDEX('Deck 4'!$A:$Z,ROW()-1000,'List Setup'!$J$6)&amp;"",""))</f>
        <v/>
      </c>
      <c r="P1212" s="2"/>
      <c r="Q1212" s="80" t="str">
        <f>IF(A1212="","",'List Setup'!$A$6)</f>
        <v/>
      </c>
      <c r="R1212" s="80" t="str">
        <f t="array" ref="R1212">IF(A1212="","",IFERROR(OR(INDEX(Binders!$J$6:$J$30,MATCH(Q1212,Binders!$I$6:$I$30,0))=TRUE(),UPPER(INDEX(Binders!$J$6:$J$30,MATCH(Q1212,Binders!$I$6:$I$30,0))&amp;"")="TRUE"),FALSE()))</f>
        <v/>
      </c>
    </row>
    <row r="1213" ht="15.75" customHeight="1">
      <c r="A1213" s="80" t="str">
        <f t="array" ref="A1213">IF(INDEX('Deck 4'!$A:$Z,ROW()-1000,'List Setup'!$D$6)="","",INDEX('Deck 4'!$A:$Z,ROW()-1000,'List Setup'!$D$6))</f>
        <v/>
      </c>
      <c r="B1213" s="80" t="str">
        <f t="array" ref="B1213">IF(A1213="","",IFERROR(INDEX('Binder Setup'!$B$2:$B$401,MIN(IF(ISNUMBER(SEARCH(CHAR(10)&amp;'Binder Setup'!$B$2:$B$401&amp;CHAR(10),$H1213)),'List Setup'!$Q$2:$Q$401,999),IF(ISNUMBER(SEARCH(CHAR(10)&amp;'Set Aliases'!$A$2:$A$501&amp;CHAR(10),$H1213)),'Set Aliases'!$C$2:$C$501,999))),"(none)"))</f>
        <v/>
      </c>
      <c r="C1213" s="80" t="str">
        <f t="shared" si="1"/>
        <v/>
      </c>
      <c r="D1213" s="80" t="str">
        <f t="array" ref="D1213">IF(A1213="","",IF(ISLOGICAL(INDEX('Deck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13" s="80" t="str">
        <f t="shared" si="2"/>
        <v/>
      </c>
      <c r="F1213" s="80" t="str">
        <f t="array" ref="F1213">IF(A1213="","",IF(ISNUMBER(J1213),J1213,IF(ISNUMBER(INDEX('Deck 4'!$A:$Z,ROW()-1000,'List Setup'!$F$6)),INDEX('Deck 4'!$A:$Z,ROW()-1000,'List Setup'!$F$6),0)))</f>
        <v/>
      </c>
      <c r="G1213" s="80" t="str">
        <f t="array" ref="G1213">IF(A1213="","",A1213&amp;IF(N(INDEX('Deck 4'!$A:$Z,ROW()-1000,'List Setup'!$C$6))&gt;1," (x"&amp;INDEX('Deck 4'!$A:$Z,ROW()-1000,'List Setup'!$C$6)&amp;")","")&amp;IF(COUNTIF(Binders!$J$6:$J$30,TRUE())&gt;1," ["&amp;Q1213&amp;"]",""))</f>
        <v/>
      </c>
      <c r="H1213" s="80" t="str">
        <f t="array" ref="H1213">IF(A1213="","",CHAR(10)&amp;INDEX('Deck 4'!$A:$Z,ROW()-1000,'List Setup'!$E$6)&amp;CHAR(10))</f>
        <v/>
      </c>
      <c r="I1213" s="80" t="str">
        <f t="array" ref="I1213">IF(OR(B1213="",B1213="(none)"),"",IF(ISNUMBER(SEARCH(CHAR(10)&amp;B1213&amp;CHAR(10),H1213)),B1213,IFERROR(INDEX('Set Aliases'!$A$2:$A$501,MATCH(1,('Set Aliases'!$B$2:$B$501=B1213)*ISNUMBER(SEARCH(CHAR(10)&amp;'Set Aliases'!$A$2:$A$501&amp;CHAR(10),H1213)),0)),"")))</f>
        <v/>
      </c>
      <c r="J1213" s="80" t="str">
        <f t="array" ref="J1213">IF(I1213="","",IFERROR(VALUE(TRIM(MID(SUBSTITUTE(INDEX('Deck 4'!$A:$Z,ROW()-1000,'List Setup'!$G$6),CHAR(10),REPT(" ",100)),((SEARCH(CHAR(10)&amp;I1213&amp;CHAR(10),H1213)-LEN(SUBSTITUTE(LEFT(H1213,SEARCH(CHAR(10)&amp;I1213&amp;CHAR(10),H1213)),CHAR(10),"")))-1)*100+1,100))),""))</f>
        <v/>
      </c>
      <c r="K1213" s="80" t="str">
        <f t="array" ref="K1213">IF(A1213="","",IF(ISNUMBER(SEARCH("Land",LEFT(IFERROR(INDEX('Deck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13" s="80" t="str">
        <f t="shared" si="3"/>
        <v/>
      </c>
      <c r="M1213" s="80" t="str">
        <f>IF(A1213="","",IF(AND(E1213="Y",B1213='Use at Shop'!$B$4),K1213*10000000000+(MAX(0,MIN(26,CODE(MID(UPPER(A1213)&amp;"    ",1,1))-64))*19683+MAX(0,MIN(26,CODE(MID(UPPER(A1213)&amp;"    ",2,1))-64))*729+MAX(0,MIN(26,CODE(MID(UPPER(A1213)&amp;"    ",3,1))-64))*27+MAX(0,MIN(26,CODE(MID(UPPER(A1213)&amp;"    ",4,1))-64))*1)*10000+ROW(),""))</f>
        <v/>
      </c>
      <c r="N1213" s="80" t="str">
        <f t="shared" si="8"/>
        <v/>
      </c>
      <c r="O1213" s="80" t="str">
        <f t="array" ref="O1213">IF(A1213="","",IFERROR(INDEX('Deck 4'!$A:$Z,ROW()-1000,'List Setup'!$J$6)&amp;"",""))</f>
        <v/>
      </c>
      <c r="P1213" s="2"/>
      <c r="Q1213" s="80" t="str">
        <f>IF(A1213="","",'List Setup'!$A$6)</f>
        <v/>
      </c>
      <c r="R1213" s="80" t="str">
        <f t="array" ref="R1213">IF(A1213="","",IFERROR(OR(INDEX(Binders!$J$6:$J$30,MATCH(Q1213,Binders!$I$6:$I$30,0))=TRUE(),UPPER(INDEX(Binders!$J$6:$J$30,MATCH(Q1213,Binders!$I$6:$I$30,0))&amp;"")="TRUE"),FALSE()))</f>
        <v/>
      </c>
    </row>
    <row r="1214" ht="15.75" customHeight="1">
      <c r="A1214" s="80" t="str">
        <f t="array" ref="A1214">IF(INDEX('Deck 4'!$A:$Z,ROW()-1000,'List Setup'!$D$6)="","",INDEX('Deck 4'!$A:$Z,ROW()-1000,'List Setup'!$D$6))</f>
        <v/>
      </c>
      <c r="B1214" s="80" t="str">
        <f t="array" ref="B1214">IF(A1214="","",IFERROR(INDEX('Binder Setup'!$B$2:$B$401,MIN(IF(ISNUMBER(SEARCH(CHAR(10)&amp;'Binder Setup'!$B$2:$B$401&amp;CHAR(10),$H1214)),'List Setup'!$Q$2:$Q$401,999),IF(ISNUMBER(SEARCH(CHAR(10)&amp;'Set Aliases'!$A$2:$A$501&amp;CHAR(10),$H1214)),'Set Aliases'!$C$2:$C$501,999))),"(none)"))</f>
        <v/>
      </c>
      <c r="C1214" s="80" t="str">
        <f t="shared" si="1"/>
        <v/>
      </c>
      <c r="D1214" s="80" t="str">
        <f t="array" ref="D1214">IF(A1214="","",IF(ISLOGICAL(INDEX('Deck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14" s="80" t="str">
        <f t="shared" si="2"/>
        <v/>
      </c>
      <c r="F1214" s="80" t="str">
        <f t="array" ref="F1214">IF(A1214="","",IF(ISNUMBER(J1214),J1214,IF(ISNUMBER(INDEX('Deck 4'!$A:$Z,ROW()-1000,'List Setup'!$F$6)),INDEX('Deck 4'!$A:$Z,ROW()-1000,'List Setup'!$F$6),0)))</f>
        <v/>
      </c>
      <c r="G1214" s="80" t="str">
        <f t="array" ref="G1214">IF(A1214="","",A1214&amp;IF(N(INDEX('Deck 4'!$A:$Z,ROW()-1000,'List Setup'!$C$6))&gt;1," (x"&amp;INDEX('Deck 4'!$A:$Z,ROW()-1000,'List Setup'!$C$6)&amp;")","")&amp;IF(COUNTIF(Binders!$J$6:$J$30,TRUE())&gt;1," ["&amp;Q1214&amp;"]",""))</f>
        <v/>
      </c>
      <c r="H1214" s="80" t="str">
        <f t="array" ref="H1214">IF(A1214="","",CHAR(10)&amp;INDEX('Deck 4'!$A:$Z,ROW()-1000,'List Setup'!$E$6)&amp;CHAR(10))</f>
        <v/>
      </c>
      <c r="I1214" s="80" t="str">
        <f t="array" ref="I1214">IF(OR(B1214="",B1214="(none)"),"",IF(ISNUMBER(SEARCH(CHAR(10)&amp;B1214&amp;CHAR(10),H1214)),B1214,IFERROR(INDEX('Set Aliases'!$A$2:$A$501,MATCH(1,('Set Aliases'!$B$2:$B$501=B1214)*ISNUMBER(SEARCH(CHAR(10)&amp;'Set Aliases'!$A$2:$A$501&amp;CHAR(10),H1214)),0)),"")))</f>
        <v/>
      </c>
      <c r="J1214" s="80" t="str">
        <f t="array" ref="J1214">IF(I1214="","",IFERROR(VALUE(TRIM(MID(SUBSTITUTE(INDEX('Deck 4'!$A:$Z,ROW()-1000,'List Setup'!$G$6),CHAR(10),REPT(" ",100)),((SEARCH(CHAR(10)&amp;I1214&amp;CHAR(10),H1214)-LEN(SUBSTITUTE(LEFT(H1214,SEARCH(CHAR(10)&amp;I1214&amp;CHAR(10),H1214)),CHAR(10),"")))-1)*100+1,100))),""))</f>
        <v/>
      </c>
      <c r="K1214" s="80" t="str">
        <f t="array" ref="K1214">IF(A1214="","",IF(ISNUMBER(SEARCH("Land",LEFT(IFERROR(INDEX('Deck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14" s="80" t="str">
        <f t="shared" si="3"/>
        <v/>
      </c>
      <c r="M1214" s="80" t="str">
        <f>IF(A1214="","",IF(AND(E1214="Y",B1214='Use at Shop'!$B$4),K1214*10000000000+(MAX(0,MIN(26,CODE(MID(UPPER(A1214)&amp;"    ",1,1))-64))*19683+MAX(0,MIN(26,CODE(MID(UPPER(A1214)&amp;"    ",2,1))-64))*729+MAX(0,MIN(26,CODE(MID(UPPER(A1214)&amp;"    ",3,1))-64))*27+MAX(0,MIN(26,CODE(MID(UPPER(A1214)&amp;"    ",4,1))-64))*1)*10000+ROW(),""))</f>
        <v/>
      </c>
      <c r="N1214" s="80" t="str">
        <f t="shared" si="8"/>
        <v/>
      </c>
      <c r="O1214" s="80" t="str">
        <f t="array" ref="O1214">IF(A1214="","",IFERROR(INDEX('Deck 4'!$A:$Z,ROW()-1000,'List Setup'!$J$6)&amp;"",""))</f>
        <v/>
      </c>
      <c r="P1214" s="2"/>
      <c r="Q1214" s="80" t="str">
        <f>IF(A1214="","",'List Setup'!$A$6)</f>
        <v/>
      </c>
      <c r="R1214" s="80" t="str">
        <f t="array" ref="R1214">IF(A1214="","",IFERROR(OR(INDEX(Binders!$J$6:$J$30,MATCH(Q1214,Binders!$I$6:$I$30,0))=TRUE(),UPPER(INDEX(Binders!$J$6:$J$30,MATCH(Q1214,Binders!$I$6:$I$30,0))&amp;"")="TRUE"),FALSE()))</f>
        <v/>
      </c>
    </row>
    <row r="1215" ht="15.75" customHeight="1">
      <c r="A1215" s="80" t="str">
        <f t="array" ref="A1215">IF(INDEX('Deck 4'!$A:$Z,ROW()-1000,'List Setup'!$D$6)="","",INDEX('Deck 4'!$A:$Z,ROW()-1000,'List Setup'!$D$6))</f>
        <v/>
      </c>
      <c r="B1215" s="80" t="str">
        <f t="array" ref="B1215">IF(A1215="","",IFERROR(INDEX('Binder Setup'!$B$2:$B$401,MIN(IF(ISNUMBER(SEARCH(CHAR(10)&amp;'Binder Setup'!$B$2:$B$401&amp;CHAR(10),$H1215)),'List Setup'!$Q$2:$Q$401,999),IF(ISNUMBER(SEARCH(CHAR(10)&amp;'Set Aliases'!$A$2:$A$501&amp;CHAR(10),$H1215)),'Set Aliases'!$C$2:$C$501,999))),"(none)"))</f>
        <v/>
      </c>
      <c r="C1215" s="80" t="str">
        <f t="shared" si="1"/>
        <v/>
      </c>
      <c r="D1215" s="80" t="str">
        <f t="array" ref="D1215">IF(A1215="","",IF(ISLOGICAL(INDEX('Deck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15" s="80" t="str">
        <f t="shared" si="2"/>
        <v/>
      </c>
      <c r="F1215" s="80" t="str">
        <f t="array" ref="F1215">IF(A1215="","",IF(ISNUMBER(J1215),J1215,IF(ISNUMBER(INDEX('Deck 4'!$A:$Z,ROW()-1000,'List Setup'!$F$6)),INDEX('Deck 4'!$A:$Z,ROW()-1000,'List Setup'!$F$6),0)))</f>
        <v/>
      </c>
      <c r="G1215" s="80" t="str">
        <f t="array" ref="G1215">IF(A1215="","",A1215&amp;IF(N(INDEX('Deck 4'!$A:$Z,ROW()-1000,'List Setup'!$C$6))&gt;1," (x"&amp;INDEX('Deck 4'!$A:$Z,ROW()-1000,'List Setup'!$C$6)&amp;")","")&amp;IF(COUNTIF(Binders!$J$6:$J$30,TRUE())&gt;1," ["&amp;Q1215&amp;"]",""))</f>
        <v/>
      </c>
      <c r="H1215" s="80" t="str">
        <f t="array" ref="H1215">IF(A1215="","",CHAR(10)&amp;INDEX('Deck 4'!$A:$Z,ROW()-1000,'List Setup'!$E$6)&amp;CHAR(10))</f>
        <v/>
      </c>
      <c r="I1215" s="80" t="str">
        <f t="array" ref="I1215">IF(OR(B1215="",B1215="(none)"),"",IF(ISNUMBER(SEARCH(CHAR(10)&amp;B1215&amp;CHAR(10),H1215)),B1215,IFERROR(INDEX('Set Aliases'!$A$2:$A$501,MATCH(1,('Set Aliases'!$B$2:$B$501=B1215)*ISNUMBER(SEARCH(CHAR(10)&amp;'Set Aliases'!$A$2:$A$501&amp;CHAR(10),H1215)),0)),"")))</f>
        <v/>
      </c>
      <c r="J1215" s="80" t="str">
        <f t="array" ref="J1215">IF(I1215="","",IFERROR(VALUE(TRIM(MID(SUBSTITUTE(INDEX('Deck 4'!$A:$Z,ROW()-1000,'List Setup'!$G$6),CHAR(10),REPT(" ",100)),((SEARCH(CHAR(10)&amp;I1215&amp;CHAR(10),H1215)-LEN(SUBSTITUTE(LEFT(H1215,SEARCH(CHAR(10)&amp;I1215&amp;CHAR(10),H1215)),CHAR(10),"")))-1)*100+1,100))),""))</f>
        <v/>
      </c>
      <c r="K1215" s="80" t="str">
        <f t="array" ref="K1215">IF(A1215="","",IF(ISNUMBER(SEARCH("Land",LEFT(IFERROR(INDEX('Deck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15" s="80" t="str">
        <f t="shared" si="3"/>
        <v/>
      </c>
      <c r="M1215" s="80" t="str">
        <f>IF(A1215="","",IF(AND(E1215="Y",B1215='Use at Shop'!$B$4),K1215*10000000000+(MAX(0,MIN(26,CODE(MID(UPPER(A1215)&amp;"    ",1,1))-64))*19683+MAX(0,MIN(26,CODE(MID(UPPER(A1215)&amp;"    ",2,1))-64))*729+MAX(0,MIN(26,CODE(MID(UPPER(A1215)&amp;"    ",3,1))-64))*27+MAX(0,MIN(26,CODE(MID(UPPER(A1215)&amp;"    ",4,1))-64))*1)*10000+ROW(),""))</f>
        <v/>
      </c>
      <c r="N1215" s="80" t="str">
        <f t="shared" si="8"/>
        <v/>
      </c>
      <c r="O1215" s="80" t="str">
        <f t="array" ref="O1215">IF(A1215="","",IFERROR(INDEX('Deck 4'!$A:$Z,ROW()-1000,'List Setup'!$J$6)&amp;"",""))</f>
        <v/>
      </c>
      <c r="P1215" s="2"/>
      <c r="Q1215" s="80" t="str">
        <f>IF(A1215="","",'List Setup'!$A$6)</f>
        <v/>
      </c>
      <c r="R1215" s="80" t="str">
        <f t="array" ref="R1215">IF(A1215="","",IFERROR(OR(INDEX(Binders!$J$6:$J$30,MATCH(Q1215,Binders!$I$6:$I$30,0))=TRUE(),UPPER(INDEX(Binders!$J$6:$J$30,MATCH(Q1215,Binders!$I$6:$I$30,0))&amp;"")="TRUE"),FALSE()))</f>
        <v/>
      </c>
    </row>
    <row r="1216" ht="15.75" customHeight="1">
      <c r="A1216" s="80" t="str">
        <f t="array" ref="A1216">IF(INDEX('Deck 4'!$A:$Z,ROW()-1000,'List Setup'!$D$6)="","",INDEX('Deck 4'!$A:$Z,ROW()-1000,'List Setup'!$D$6))</f>
        <v/>
      </c>
      <c r="B1216" s="80" t="str">
        <f t="array" ref="B1216">IF(A1216="","",IFERROR(INDEX('Binder Setup'!$B$2:$B$401,MIN(IF(ISNUMBER(SEARCH(CHAR(10)&amp;'Binder Setup'!$B$2:$B$401&amp;CHAR(10),$H1216)),'List Setup'!$Q$2:$Q$401,999),IF(ISNUMBER(SEARCH(CHAR(10)&amp;'Set Aliases'!$A$2:$A$501&amp;CHAR(10),$H1216)),'Set Aliases'!$C$2:$C$501,999))),"(none)"))</f>
        <v/>
      </c>
      <c r="C1216" s="80" t="str">
        <f t="shared" si="1"/>
        <v/>
      </c>
      <c r="D1216" s="80" t="str">
        <f t="array" ref="D1216">IF(A1216="","",IF(ISLOGICAL(INDEX('Deck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16" s="80" t="str">
        <f t="shared" si="2"/>
        <v/>
      </c>
      <c r="F1216" s="80" t="str">
        <f t="array" ref="F1216">IF(A1216="","",IF(ISNUMBER(J1216),J1216,IF(ISNUMBER(INDEX('Deck 4'!$A:$Z,ROW()-1000,'List Setup'!$F$6)),INDEX('Deck 4'!$A:$Z,ROW()-1000,'List Setup'!$F$6),0)))</f>
        <v/>
      </c>
      <c r="G1216" s="80" t="str">
        <f t="array" ref="G1216">IF(A1216="","",A1216&amp;IF(N(INDEX('Deck 4'!$A:$Z,ROW()-1000,'List Setup'!$C$6))&gt;1," (x"&amp;INDEX('Deck 4'!$A:$Z,ROW()-1000,'List Setup'!$C$6)&amp;")","")&amp;IF(COUNTIF(Binders!$J$6:$J$30,TRUE())&gt;1," ["&amp;Q1216&amp;"]",""))</f>
        <v/>
      </c>
      <c r="H1216" s="80" t="str">
        <f t="array" ref="H1216">IF(A1216="","",CHAR(10)&amp;INDEX('Deck 4'!$A:$Z,ROW()-1000,'List Setup'!$E$6)&amp;CHAR(10))</f>
        <v/>
      </c>
      <c r="I1216" s="80" t="str">
        <f t="array" ref="I1216">IF(OR(B1216="",B1216="(none)"),"",IF(ISNUMBER(SEARCH(CHAR(10)&amp;B1216&amp;CHAR(10),H1216)),B1216,IFERROR(INDEX('Set Aliases'!$A$2:$A$501,MATCH(1,('Set Aliases'!$B$2:$B$501=B1216)*ISNUMBER(SEARCH(CHAR(10)&amp;'Set Aliases'!$A$2:$A$501&amp;CHAR(10),H1216)),0)),"")))</f>
        <v/>
      </c>
      <c r="J1216" s="80" t="str">
        <f t="array" ref="J1216">IF(I1216="","",IFERROR(VALUE(TRIM(MID(SUBSTITUTE(INDEX('Deck 4'!$A:$Z,ROW()-1000,'List Setup'!$G$6),CHAR(10),REPT(" ",100)),((SEARCH(CHAR(10)&amp;I1216&amp;CHAR(10),H1216)-LEN(SUBSTITUTE(LEFT(H1216,SEARCH(CHAR(10)&amp;I1216&amp;CHAR(10),H1216)),CHAR(10),"")))-1)*100+1,100))),""))</f>
        <v/>
      </c>
      <c r="K1216" s="80" t="str">
        <f t="array" ref="K1216">IF(A1216="","",IF(ISNUMBER(SEARCH("Land",LEFT(IFERROR(INDEX('Deck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16" s="80" t="str">
        <f t="shared" si="3"/>
        <v/>
      </c>
      <c r="M1216" s="80" t="str">
        <f>IF(A1216="","",IF(AND(E1216="Y",B1216='Use at Shop'!$B$4),K1216*10000000000+(MAX(0,MIN(26,CODE(MID(UPPER(A1216)&amp;"    ",1,1))-64))*19683+MAX(0,MIN(26,CODE(MID(UPPER(A1216)&amp;"    ",2,1))-64))*729+MAX(0,MIN(26,CODE(MID(UPPER(A1216)&amp;"    ",3,1))-64))*27+MAX(0,MIN(26,CODE(MID(UPPER(A1216)&amp;"    ",4,1))-64))*1)*10000+ROW(),""))</f>
        <v/>
      </c>
      <c r="N1216" s="80" t="str">
        <f t="shared" si="8"/>
        <v/>
      </c>
      <c r="O1216" s="80" t="str">
        <f t="array" ref="O1216">IF(A1216="","",IFERROR(INDEX('Deck 4'!$A:$Z,ROW()-1000,'List Setup'!$J$6)&amp;"",""))</f>
        <v/>
      </c>
      <c r="P1216" s="2"/>
      <c r="Q1216" s="80" t="str">
        <f>IF(A1216="","",'List Setup'!$A$6)</f>
        <v/>
      </c>
      <c r="R1216" s="80" t="str">
        <f t="array" ref="R1216">IF(A1216="","",IFERROR(OR(INDEX(Binders!$J$6:$J$30,MATCH(Q1216,Binders!$I$6:$I$30,0))=TRUE(),UPPER(INDEX(Binders!$J$6:$J$30,MATCH(Q1216,Binders!$I$6:$I$30,0))&amp;"")="TRUE"),FALSE()))</f>
        <v/>
      </c>
    </row>
    <row r="1217" ht="15.75" customHeight="1">
      <c r="A1217" s="80" t="str">
        <f t="array" ref="A1217">IF(INDEX('Deck 4'!$A:$Z,ROW()-1000,'List Setup'!$D$6)="","",INDEX('Deck 4'!$A:$Z,ROW()-1000,'List Setup'!$D$6))</f>
        <v/>
      </c>
      <c r="B1217" s="80" t="str">
        <f t="array" ref="B1217">IF(A1217="","",IFERROR(INDEX('Binder Setup'!$B$2:$B$401,MIN(IF(ISNUMBER(SEARCH(CHAR(10)&amp;'Binder Setup'!$B$2:$B$401&amp;CHAR(10),$H1217)),'List Setup'!$Q$2:$Q$401,999),IF(ISNUMBER(SEARCH(CHAR(10)&amp;'Set Aliases'!$A$2:$A$501&amp;CHAR(10),$H1217)),'Set Aliases'!$C$2:$C$501,999))),"(none)"))</f>
        <v/>
      </c>
      <c r="C1217" s="80" t="str">
        <f t="shared" si="1"/>
        <v/>
      </c>
      <c r="D1217" s="80" t="str">
        <f t="array" ref="D1217">IF(A1217="","",IF(ISLOGICAL(INDEX('Deck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17" s="80" t="str">
        <f t="shared" si="2"/>
        <v/>
      </c>
      <c r="F1217" s="80" t="str">
        <f t="array" ref="F1217">IF(A1217="","",IF(ISNUMBER(J1217),J1217,IF(ISNUMBER(INDEX('Deck 4'!$A:$Z,ROW()-1000,'List Setup'!$F$6)),INDEX('Deck 4'!$A:$Z,ROW()-1000,'List Setup'!$F$6),0)))</f>
        <v/>
      </c>
      <c r="G1217" s="80" t="str">
        <f t="array" ref="G1217">IF(A1217="","",A1217&amp;IF(N(INDEX('Deck 4'!$A:$Z,ROW()-1000,'List Setup'!$C$6))&gt;1," (x"&amp;INDEX('Deck 4'!$A:$Z,ROW()-1000,'List Setup'!$C$6)&amp;")","")&amp;IF(COUNTIF(Binders!$J$6:$J$30,TRUE())&gt;1," ["&amp;Q1217&amp;"]",""))</f>
        <v/>
      </c>
      <c r="H1217" s="80" t="str">
        <f t="array" ref="H1217">IF(A1217="","",CHAR(10)&amp;INDEX('Deck 4'!$A:$Z,ROW()-1000,'List Setup'!$E$6)&amp;CHAR(10))</f>
        <v/>
      </c>
      <c r="I1217" s="80" t="str">
        <f t="array" ref="I1217">IF(OR(B1217="",B1217="(none)"),"",IF(ISNUMBER(SEARCH(CHAR(10)&amp;B1217&amp;CHAR(10),H1217)),B1217,IFERROR(INDEX('Set Aliases'!$A$2:$A$501,MATCH(1,('Set Aliases'!$B$2:$B$501=B1217)*ISNUMBER(SEARCH(CHAR(10)&amp;'Set Aliases'!$A$2:$A$501&amp;CHAR(10),H1217)),0)),"")))</f>
        <v/>
      </c>
      <c r="J1217" s="80" t="str">
        <f t="array" ref="J1217">IF(I1217="","",IFERROR(VALUE(TRIM(MID(SUBSTITUTE(INDEX('Deck 4'!$A:$Z,ROW()-1000,'List Setup'!$G$6),CHAR(10),REPT(" ",100)),((SEARCH(CHAR(10)&amp;I1217&amp;CHAR(10),H1217)-LEN(SUBSTITUTE(LEFT(H1217,SEARCH(CHAR(10)&amp;I1217&amp;CHAR(10),H1217)),CHAR(10),"")))-1)*100+1,100))),""))</f>
        <v/>
      </c>
      <c r="K1217" s="80" t="str">
        <f t="array" ref="K1217">IF(A1217="","",IF(ISNUMBER(SEARCH("Land",LEFT(IFERROR(INDEX('Deck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17" s="80" t="str">
        <f t="shared" si="3"/>
        <v/>
      </c>
      <c r="M1217" s="80" t="str">
        <f>IF(A1217="","",IF(AND(E1217="Y",B1217='Use at Shop'!$B$4),K1217*10000000000+(MAX(0,MIN(26,CODE(MID(UPPER(A1217)&amp;"    ",1,1))-64))*19683+MAX(0,MIN(26,CODE(MID(UPPER(A1217)&amp;"    ",2,1))-64))*729+MAX(0,MIN(26,CODE(MID(UPPER(A1217)&amp;"    ",3,1))-64))*27+MAX(0,MIN(26,CODE(MID(UPPER(A1217)&amp;"    ",4,1))-64))*1)*10000+ROW(),""))</f>
        <v/>
      </c>
      <c r="N1217" s="80" t="str">
        <f t="shared" si="8"/>
        <v/>
      </c>
      <c r="O1217" s="80" t="str">
        <f t="array" ref="O1217">IF(A1217="","",IFERROR(INDEX('Deck 4'!$A:$Z,ROW()-1000,'List Setup'!$J$6)&amp;"",""))</f>
        <v/>
      </c>
      <c r="P1217" s="2"/>
      <c r="Q1217" s="80" t="str">
        <f>IF(A1217="","",'List Setup'!$A$6)</f>
        <v/>
      </c>
      <c r="R1217" s="80" t="str">
        <f t="array" ref="R1217">IF(A1217="","",IFERROR(OR(INDEX(Binders!$J$6:$J$30,MATCH(Q1217,Binders!$I$6:$I$30,0))=TRUE(),UPPER(INDEX(Binders!$J$6:$J$30,MATCH(Q1217,Binders!$I$6:$I$30,0))&amp;"")="TRUE"),FALSE()))</f>
        <v/>
      </c>
    </row>
    <row r="1218" ht="15.75" customHeight="1">
      <c r="A1218" s="80" t="str">
        <f t="array" ref="A1218">IF(INDEX('Deck 4'!$A:$Z,ROW()-1000,'List Setup'!$D$6)="","",INDEX('Deck 4'!$A:$Z,ROW()-1000,'List Setup'!$D$6))</f>
        <v/>
      </c>
      <c r="B1218" s="80" t="str">
        <f t="array" ref="B1218">IF(A1218="","",IFERROR(INDEX('Binder Setup'!$B$2:$B$401,MIN(IF(ISNUMBER(SEARCH(CHAR(10)&amp;'Binder Setup'!$B$2:$B$401&amp;CHAR(10),$H1218)),'List Setup'!$Q$2:$Q$401,999),IF(ISNUMBER(SEARCH(CHAR(10)&amp;'Set Aliases'!$A$2:$A$501&amp;CHAR(10),$H1218)),'Set Aliases'!$C$2:$C$501,999))),"(none)"))</f>
        <v/>
      </c>
      <c r="C1218" s="80" t="str">
        <f t="shared" si="1"/>
        <v/>
      </c>
      <c r="D1218" s="80" t="str">
        <f t="array" ref="D1218">IF(A1218="","",IF(ISLOGICAL(INDEX('Deck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18" s="80" t="str">
        <f t="shared" si="2"/>
        <v/>
      </c>
      <c r="F1218" s="80" t="str">
        <f t="array" ref="F1218">IF(A1218="","",IF(ISNUMBER(J1218),J1218,IF(ISNUMBER(INDEX('Deck 4'!$A:$Z,ROW()-1000,'List Setup'!$F$6)),INDEX('Deck 4'!$A:$Z,ROW()-1000,'List Setup'!$F$6),0)))</f>
        <v/>
      </c>
      <c r="G1218" s="80" t="str">
        <f t="array" ref="G1218">IF(A1218="","",A1218&amp;IF(N(INDEX('Deck 4'!$A:$Z,ROW()-1000,'List Setup'!$C$6))&gt;1," (x"&amp;INDEX('Deck 4'!$A:$Z,ROW()-1000,'List Setup'!$C$6)&amp;")","")&amp;IF(COUNTIF(Binders!$J$6:$J$30,TRUE())&gt;1," ["&amp;Q1218&amp;"]",""))</f>
        <v/>
      </c>
      <c r="H1218" s="80" t="str">
        <f t="array" ref="H1218">IF(A1218="","",CHAR(10)&amp;INDEX('Deck 4'!$A:$Z,ROW()-1000,'List Setup'!$E$6)&amp;CHAR(10))</f>
        <v/>
      </c>
      <c r="I1218" s="80" t="str">
        <f t="array" ref="I1218">IF(OR(B1218="",B1218="(none)"),"",IF(ISNUMBER(SEARCH(CHAR(10)&amp;B1218&amp;CHAR(10),H1218)),B1218,IFERROR(INDEX('Set Aliases'!$A$2:$A$501,MATCH(1,('Set Aliases'!$B$2:$B$501=B1218)*ISNUMBER(SEARCH(CHAR(10)&amp;'Set Aliases'!$A$2:$A$501&amp;CHAR(10),H1218)),0)),"")))</f>
        <v/>
      </c>
      <c r="J1218" s="80" t="str">
        <f t="array" ref="J1218">IF(I1218="","",IFERROR(VALUE(TRIM(MID(SUBSTITUTE(INDEX('Deck 4'!$A:$Z,ROW()-1000,'List Setup'!$G$6),CHAR(10),REPT(" ",100)),((SEARCH(CHAR(10)&amp;I1218&amp;CHAR(10),H1218)-LEN(SUBSTITUTE(LEFT(H1218,SEARCH(CHAR(10)&amp;I1218&amp;CHAR(10),H1218)),CHAR(10),"")))-1)*100+1,100))),""))</f>
        <v/>
      </c>
      <c r="K1218" s="80" t="str">
        <f t="array" ref="K1218">IF(A1218="","",IF(ISNUMBER(SEARCH("Land",LEFT(IFERROR(INDEX('Deck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18" s="80" t="str">
        <f t="shared" si="3"/>
        <v/>
      </c>
      <c r="M1218" s="80" t="str">
        <f>IF(A1218="","",IF(AND(E1218="Y",B1218='Use at Shop'!$B$4),K1218*10000000000+(MAX(0,MIN(26,CODE(MID(UPPER(A1218)&amp;"    ",1,1))-64))*19683+MAX(0,MIN(26,CODE(MID(UPPER(A1218)&amp;"    ",2,1))-64))*729+MAX(0,MIN(26,CODE(MID(UPPER(A1218)&amp;"    ",3,1))-64))*27+MAX(0,MIN(26,CODE(MID(UPPER(A1218)&amp;"    ",4,1))-64))*1)*10000+ROW(),""))</f>
        <v/>
      </c>
      <c r="N1218" s="80" t="str">
        <f t="shared" si="8"/>
        <v/>
      </c>
      <c r="O1218" s="80" t="str">
        <f t="array" ref="O1218">IF(A1218="","",IFERROR(INDEX('Deck 4'!$A:$Z,ROW()-1000,'List Setup'!$J$6)&amp;"",""))</f>
        <v/>
      </c>
      <c r="P1218" s="2"/>
      <c r="Q1218" s="80" t="str">
        <f>IF(A1218="","",'List Setup'!$A$6)</f>
        <v/>
      </c>
      <c r="R1218" s="80" t="str">
        <f t="array" ref="R1218">IF(A1218="","",IFERROR(OR(INDEX(Binders!$J$6:$J$30,MATCH(Q1218,Binders!$I$6:$I$30,0))=TRUE(),UPPER(INDEX(Binders!$J$6:$J$30,MATCH(Q1218,Binders!$I$6:$I$30,0))&amp;"")="TRUE"),FALSE()))</f>
        <v/>
      </c>
    </row>
    <row r="1219" ht="15.75" customHeight="1">
      <c r="A1219" s="80" t="str">
        <f t="array" ref="A1219">IF(INDEX('Deck 4'!$A:$Z,ROW()-1000,'List Setup'!$D$6)="","",INDEX('Deck 4'!$A:$Z,ROW()-1000,'List Setup'!$D$6))</f>
        <v/>
      </c>
      <c r="B1219" s="80" t="str">
        <f t="array" ref="B1219">IF(A1219="","",IFERROR(INDEX('Binder Setup'!$B$2:$B$401,MIN(IF(ISNUMBER(SEARCH(CHAR(10)&amp;'Binder Setup'!$B$2:$B$401&amp;CHAR(10),$H1219)),'List Setup'!$Q$2:$Q$401,999),IF(ISNUMBER(SEARCH(CHAR(10)&amp;'Set Aliases'!$A$2:$A$501&amp;CHAR(10),$H1219)),'Set Aliases'!$C$2:$C$501,999))),"(none)"))</f>
        <v/>
      </c>
      <c r="C1219" s="80" t="str">
        <f t="shared" si="1"/>
        <v/>
      </c>
      <c r="D1219" s="80" t="str">
        <f t="array" ref="D1219">IF(A1219="","",IF(ISLOGICAL(INDEX('Deck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19" s="80" t="str">
        <f t="shared" si="2"/>
        <v/>
      </c>
      <c r="F1219" s="80" t="str">
        <f t="array" ref="F1219">IF(A1219="","",IF(ISNUMBER(J1219),J1219,IF(ISNUMBER(INDEX('Deck 4'!$A:$Z,ROW()-1000,'List Setup'!$F$6)),INDEX('Deck 4'!$A:$Z,ROW()-1000,'List Setup'!$F$6),0)))</f>
        <v/>
      </c>
      <c r="G1219" s="80" t="str">
        <f t="array" ref="G1219">IF(A1219="","",A1219&amp;IF(N(INDEX('Deck 4'!$A:$Z,ROW()-1000,'List Setup'!$C$6))&gt;1," (x"&amp;INDEX('Deck 4'!$A:$Z,ROW()-1000,'List Setup'!$C$6)&amp;")","")&amp;IF(COUNTIF(Binders!$J$6:$J$30,TRUE())&gt;1," ["&amp;Q1219&amp;"]",""))</f>
        <v/>
      </c>
      <c r="H1219" s="80" t="str">
        <f t="array" ref="H1219">IF(A1219="","",CHAR(10)&amp;INDEX('Deck 4'!$A:$Z,ROW()-1000,'List Setup'!$E$6)&amp;CHAR(10))</f>
        <v/>
      </c>
      <c r="I1219" s="80" t="str">
        <f t="array" ref="I1219">IF(OR(B1219="",B1219="(none)"),"",IF(ISNUMBER(SEARCH(CHAR(10)&amp;B1219&amp;CHAR(10),H1219)),B1219,IFERROR(INDEX('Set Aliases'!$A$2:$A$501,MATCH(1,('Set Aliases'!$B$2:$B$501=B1219)*ISNUMBER(SEARCH(CHAR(10)&amp;'Set Aliases'!$A$2:$A$501&amp;CHAR(10),H1219)),0)),"")))</f>
        <v/>
      </c>
      <c r="J1219" s="80" t="str">
        <f t="array" ref="J1219">IF(I1219="","",IFERROR(VALUE(TRIM(MID(SUBSTITUTE(INDEX('Deck 4'!$A:$Z,ROW()-1000,'List Setup'!$G$6),CHAR(10),REPT(" ",100)),((SEARCH(CHAR(10)&amp;I1219&amp;CHAR(10),H1219)-LEN(SUBSTITUTE(LEFT(H1219,SEARCH(CHAR(10)&amp;I1219&amp;CHAR(10),H1219)),CHAR(10),"")))-1)*100+1,100))),""))</f>
        <v/>
      </c>
      <c r="K1219" s="80" t="str">
        <f t="array" ref="K1219">IF(A1219="","",IF(ISNUMBER(SEARCH("Land",LEFT(IFERROR(INDEX('Deck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19" s="80" t="str">
        <f t="shared" si="3"/>
        <v/>
      </c>
      <c r="M1219" s="80" t="str">
        <f>IF(A1219="","",IF(AND(E1219="Y",B1219='Use at Shop'!$B$4),K1219*10000000000+(MAX(0,MIN(26,CODE(MID(UPPER(A1219)&amp;"    ",1,1))-64))*19683+MAX(0,MIN(26,CODE(MID(UPPER(A1219)&amp;"    ",2,1))-64))*729+MAX(0,MIN(26,CODE(MID(UPPER(A1219)&amp;"    ",3,1))-64))*27+MAX(0,MIN(26,CODE(MID(UPPER(A1219)&amp;"    ",4,1))-64))*1)*10000+ROW(),""))</f>
        <v/>
      </c>
      <c r="N1219" s="80" t="str">
        <f t="shared" si="8"/>
        <v/>
      </c>
      <c r="O1219" s="80" t="str">
        <f t="array" ref="O1219">IF(A1219="","",IFERROR(INDEX('Deck 4'!$A:$Z,ROW()-1000,'List Setup'!$J$6)&amp;"",""))</f>
        <v/>
      </c>
      <c r="P1219" s="2"/>
      <c r="Q1219" s="80" t="str">
        <f>IF(A1219="","",'List Setup'!$A$6)</f>
        <v/>
      </c>
      <c r="R1219" s="80" t="str">
        <f t="array" ref="R1219">IF(A1219="","",IFERROR(OR(INDEX(Binders!$J$6:$J$30,MATCH(Q1219,Binders!$I$6:$I$30,0))=TRUE(),UPPER(INDEX(Binders!$J$6:$J$30,MATCH(Q1219,Binders!$I$6:$I$30,0))&amp;"")="TRUE"),FALSE()))</f>
        <v/>
      </c>
    </row>
    <row r="1220" ht="15.75" customHeight="1">
      <c r="A1220" s="80" t="str">
        <f t="array" ref="A1220">IF(INDEX('Deck 4'!$A:$Z,ROW()-1000,'List Setup'!$D$6)="","",INDEX('Deck 4'!$A:$Z,ROW()-1000,'List Setup'!$D$6))</f>
        <v/>
      </c>
      <c r="B1220" s="80" t="str">
        <f t="array" ref="B1220">IF(A1220="","",IFERROR(INDEX('Binder Setup'!$B$2:$B$401,MIN(IF(ISNUMBER(SEARCH(CHAR(10)&amp;'Binder Setup'!$B$2:$B$401&amp;CHAR(10),$H1220)),'List Setup'!$Q$2:$Q$401,999),IF(ISNUMBER(SEARCH(CHAR(10)&amp;'Set Aliases'!$A$2:$A$501&amp;CHAR(10),$H1220)),'Set Aliases'!$C$2:$C$501,999))),"(none)"))</f>
        <v/>
      </c>
      <c r="C1220" s="80" t="str">
        <f t="shared" si="1"/>
        <v/>
      </c>
      <c r="D1220" s="80" t="str">
        <f t="array" ref="D1220">IF(A1220="","",IF(ISLOGICAL(INDEX('Deck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20" s="80" t="str">
        <f t="shared" si="2"/>
        <v/>
      </c>
      <c r="F1220" s="80" t="str">
        <f t="array" ref="F1220">IF(A1220="","",IF(ISNUMBER(J1220),J1220,IF(ISNUMBER(INDEX('Deck 4'!$A:$Z,ROW()-1000,'List Setup'!$F$6)),INDEX('Deck 4'!$A:$Z,ROW()-1000,'List Setup'!$F$6),0)))</f>
        <v/>
      </c>
      <c r="G1220" s="80" t="str">
        <f t="array" ref="G1220">IF(A1220="","",A1220&amp;IF(N(INDEX('Deck 4'!$A:$Z,ROW()-1000,'List Setup'!$C$6))&gt;1," (x"&amp;INDEX('Deck 4'!$A:$Z,ROW()-1000,'List Setup'!$C$6)&amp;")","")&amp;IF(COUNTIF(Binders!$J$6:$J$30,TRUE())&gt;1," ["&amp;Q1220&amp;"]",""))</f>
        <v/>
      </c>
      <c r="H1220" s="80" t="str">
        <f t="array" ref="H1220">IF(A1220="","",CHAR(10)&amp;INDEX('Deck 4'!$A:$Z,ROW()-1000,'List Setup'!$E$6)&amp;CHAR(10))</f>
        <v/>
      </c>
      <c r="I1220" s="80" t="str">
        <f t="array" ref="I1220">IF(OR(B1220="",B1220="(none)"),"",IF(ISNUMBER(SEARCH(CHAR(10)&amp;B1220&amp;CHAR(10),H1220)),B1220,IFERROR(INDEX('Set Aliases'!$A$2:$A$501,MATCH(1,('Set Aliases'!$B$2:$B$501=B1220)*ISNUMBER(SEARCH(CHAR(10)&amp;'Set Aliases'!$A$2:$A$501&amp;CHAR(10),H1220)),0)),"")))</f>
        <v/>
      </c>
      <c r="J1220" s="80" t="str">
        <f t="array" ref="J1220">IF(I1220="","",IFERROR(VALUE(TRIM(MID(SUBSTITUTE(INDEX('Deck 4'!$A:$Z,ROW()-1000,'List Setup'!$G$6),CHAR(10),REPT(" ",100)),((SEARCH(CHAR(10)&amp;I1220&amp;CHAR(10),H1220)-LEN(SUBSTITUTE(LEFT(H1220,SEARCH(CHAR(10)&amp;I1220&amp;CHAR(10),H1220)),CHAR(10),"")))-1)*100+1,100))),""))</f>
        <v/>
      </c>
      <c r="K1220" s="80" t="str">
        <f t="array" ref="K1220">IF(A1220="","",IF(ISNUMBER(SEARCH("Land",LEFT(IFERROR(INDEX('Deck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20" s="80" t="str">
        <f t="shared" si="3"/>
        <v/>
      </c>
      <c r="M1220" s="80" t="str">
        <f>IF(A1220="","",IF(AND(E1220="Y",B1220='Use at Shop'!$B$4),K1220*10000000000+(MAX(0,MIN(26,CODE(MID(UPPER(A1220)&amp;"    ",1,1))-64))*19683+MAX(0,MIN(26,CODE(MID(UPPER(A1220)&amp;"    ",2,1))-64))*729+MAX(0,MIN(26,CODE(MID(UPPER(A1220)&amp;"    ",3,1))-64))*27+MAX(0,MIN(26,CODE(MID(UPPER(A1220)&amp;"    ",4,1))-64))*1)*10000+ROW(),""))</f>
        <v/>
      </c>
      <c r="N1220" s="80" t="str">
        <f t="shared" si="8"/>
        <v/>
      </c>
      <c r="O1220" s="80" t="str">
        <f t="array" ref="O1220">IF(A1220="","",IFERROR(INDEX('Deck 4'!$A:$Z,ROW()-1000,'List Setup'!$J$6)&amp;"",""))</f>
        <v/>
      </c>
      <c r="P1220" s="2"/>
      <c r="Q1220" s="80" t="str">
        <f>IF(A1220="","",'List Setup'!$A$6)</f>
        <v/>
      </c>
      <c r="R1220" s="80" t="str">
        <f t="array" ref="R1220">IF(A1220="","",IFERROR(OR(INDEX(Binders!$J$6:$J$30,MATCH(Q1220,Binders!$I$6:$I$30,0))=TRUE(),UPPER(INDEX(Binders!$J$6:$J$30,MATCH(Q1220,Binders!$I$6:$I$30,0))&amp;"")="TRUE"),FALSE()))</f>
        <v/>
      </c>
    </row>
    <row r="1221" ht="15.75" customHeight="1">
      <c r="A1221" s="80" t="str">
        <f t="array" ref="A1221">IF(INDEX('Deck 4'!$A:$Z,ROW()-1000,'List Setup'!$D$6)="","",INDEX('Deck 4'!$A:$Z,ROW()-1000,'List Setup'!$D$6))</f>
        <v/>
      </c>
      <c r="B1221" s="80" t="str">
        <f t="array" ref="B1221">IF(A1221="","",IFERROR(INDEX('Binder Setup'!$B$2:$B$401,MIN(IF(ISNUMBER(SEARCH(CHAR(10)&amp;'Binder Setup'!$B$2:$B$401&amp;CHAR(10),$H1221)),'List Setup'!$Q$2:$Q$401,999),IF(ISNUMBER(SEARCH(CHAR(10)&amp;'Set Aliases'!$A$2:$A$501&amp;CHAR(10),$H1221)),'Set Aliases'!$C$2:$C$501,999))),"(none)"))</f>
        <v/>
      </c>
      <c r="C1221" s="80" t="str">
        <f t="shared" si="1"/>
        <v/>
      </c>
      <c r="D1221" s="80" t="str">
        <f t="array" ref="D1221">IF(A1221="","",IF(ISLOGICAL(INDEX('Deck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21" s="80" t="str">
        <f t="shared" si="2"/>
        <v/>
      </c>
      <c r="F1221" s="80" t="str">
        <f t="array" ref="F1221">IF(A1221="","",IF(ISNUMBER(J1221),J1221,IF(ISNUMBER(INDEX('Deck 4'!$A:$Z,ROW()-1000,'List Setup'!$F$6)),INDEX('Deck 4'!$A:$Z,ROW()-1000,'List Setup'!$F$6),0)))</f>
        <v/>
      </c>
      <c r="G1221" s="80" t="str">
        <f t="array" ref="G1221">IF(A1221="","",A1221&amp;IF(N(INDEX('Deck 4'!$A:$Z,ROW()-1000,'List Setup'!$C$6))&gt;1," (x"&amp;INDEX('Deck 4'!$A:$Z,ROW()-1000,'List Setup'!$C$6)&amp;")","")&amp;IF(COUNTIF(Binders!$J$6:$J$30,TRUE())&gt;1," ["&amp;Q1221&amp;"]",""))</f>
        <v/>
      </c>
      <c r="H1221" s="80" t="str">
        <f t="array" ref="H1221">IF(A1221="","",CHAR(10)&amp;INDEX('Deck 4'!$A:$Z,ROW()-1000,'List Setup'!$E$6)&amp;CHAR(10))</f>
        <v/>
      </c>
      <c r="I1221" s="80" t="str">
        <f t="array" ref="I1221">IF(OR(B1221="",B1221="(none)"),"",IF(ISNUMBER(SEARCH(CHAR(10)&amp;B1221&amp;CHAR(10),H1221)),B1221,IFERROR(INDEX('Set Aliases'!$A$2:$A$501,MATCH(1,('Set Aliases'!$B$2:$B$501=B1221)*ISNUMBER(SEARCH(CHAR(10)&amp;'Set Aliases'!$A$2:$A$501&amp;CHAR(10),H1221)),0)),"")))</f>
        <v/>
      </c>
      <c r="J1221" s="80" t="str">
        <f t="array" ref="J1221">IF(I1221="","",IFERROR(VALUE(TRIM(MID(SUBSTITUTE(INDEX('Deck 4'!$A:$Z,ROW()-1000,'List Setup'!$G$6),CHAR(10),REPT(" ",100)),((SEARCH(CHAR(10)&amp;I1221&amp;CHAR(10),H1221)-LEN(SUBSTITUTE(LEFT(H1221,SEARCH(CHAR(10)&amp;I1221&amp;CHAR(10),H1221)),CHAR(10),"")))-1)*100+1,100))),""))</f>
        <v/>
      </c>
      <c r="K1221" s="80" t="str">
        <f t="array" ref="K1221">IF(A1221="","",IF(ISNUMBER(SEARCH("Land",LEFT(IFERROR(INDEX('Deck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21" s="80" t="str">
        <f t="shared" si="3"/>
        <v/>
      </c>
      <c r="M1221" s="80" t="str">
        <f>IF(A1221="","",IF(AND(E1221="Y",B1221='Use at Shop'!$B$4),K1221*10000000000+(MAX(0,MIN(26,CODE(MID(UPPER(A1221)&amp;"    ",1,1))-64))*19683+MAX(0,MIN(26,CODE(MID(UPPER(A1221)&amp;"    ",2,1))-64))*729+MAX(0,MIN(26,CODE(MID(UPPER(A1221)&amp;"    ",3,1))-64))*27+MAX(0,MIN(26,CODE(MID(UPPER(A1221)&amp;"    ",4,1))-64))*1)*10000+ROW(),""))</f>
        <v/>
      </c>
      <c r="N1221" s="80" t="str">
        <f t="shared" si="8"/>
        <v/>
      </c>
      <c r="O1221" s="80" t="str">
        <f t="array" ref="O1221">IF(A1221="","",IFERROR(INDEX('Deck 4'!$A:$Z,ROW()-1000,'List Setup'!$J$6)&amp;"",""))</f>
        <v/>
      </c>
      <c r="P1221" s="2"/>
      <c r="Q1221" s="80" t="str">
        <f>IF(A1221="","",'List Setup'!$A$6)</f>
        <v/>
      </c>
      <c r="R1221" s="80" t="str">
        <f t="array" ref="R1221">IF(A1221="","",IFERROR(OR(INDEX(Binders!$J$6:$J$30,MATCH(Q1221,Binders!$I$6:$I$30,0))=TRUE(),UPPER(INDEX(Binders!$J$6:$J$30,MATCH(Q1221,Binders!$I$6:$I$30,0))&amp;"")="TRUE"),FALSE()))</f>
        <v/>
      </c>
    </row>
    <row r="1222" ht="15.75" customHeight="1">
      <c r="A1222" s="80" t="str">
        <f t="array" ref="A1222">IF(INDEX('Deck 4'!$A:$Z,ROW()-1000,'List Setup'!$D$6)="","",INDEX('Deck 4'!$A:$Z,ROW()-1000,'List Setup'!$D$6))</f>
        <v/>
      </c>
      <c r="B1222" s="80" t="str">
        <f t="array" ref="B1222">IF(A1222="","",IFERROR(INDEX('Binder Setup'!$B$2:$B$401,MIN(IF(ISNUMBER(SEARCH(CHAR(10)&amp;'Binder Setup'!$B$2:$B$401&amp;CHAR(10),$H1222)),'List Setup'!$Q$2:$Q$401,999),IF(ISNUMBER(SEARCH(CHAR(10)&amp;'Set Aliases'!$A$2:$A$501&amp;CHAR(10),$H1222)),'Set Aliases'!$C$2:$C$501,999))),"(none)"))</f>
        <v/>
      </c>
      <c r="C1222" s="80" t="str">
        <f t="shared" si="1"/>
        <v/>
      </c>
      <c r="D1222" s="80" t="str">
        <f t="array" ref="D1222">IF(A1222="","",IF(ISLOGICAL(INDEX('Deck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22" s="80" t="str">
        <f t="shared" si="2"/>
        <v/>
      </c>
      <c r="F1222" s="80" t="str">
        <f t="array" ref="F1222">IF(A1222="","",IF(ISNUMBER(J1222),J1222,IF(ISNUMBER(INDEX('Deck 4'!$A:$Z,ROW()-1000,'List Setup'!$F$6)),INDEX('Deck 4'!$A:$Z,ROW()-1000,'List Setup'!$F$6),0)))</f>
        <v/>
      </c>
      <c r="G1222" s="80" t="str">
        <f t="array" ref="G1222">IF(A1222="","",A1222&amp;IF(N(INDEX('Deck 4'!$A:$Z,ROW()-1000,'List Setup'!$C$6))&gt;1," (x"&amp;INDEX('Deck 4'!$A:$Z,ROW()-1000,'List Setup'!$C$6)&amp;")","")&amp;IF(COUNTIF(Binders!$J$6:$J$30,TRUE())&gt;1," ["&amp;Q1222&amp;"]",""))</f>
        <v/>
      </c>
      <c r="H1222" s="80" t="str">
        <f t="array" ref="H1222">IF(A1222="","",CHAR(10)&amp;INDEX('Deck 4'!$A:$Z,ROW()-1000,'List Setup'!$E$6)&amp;CHAR(10))</f>
        <v/>
      </c>
      <c r="I1222" s="80" t="str">
        <f t="array" ref="I1222">IF(OR(B1222="",B1222="(none)"),"",IF(ISNUMBER(SEARCH(CHAR(10)&amp;B1222&amp;CHAR(10),H1222)),B1222,IFERROR(INDEX('Set Aliases'!$A$2:$A$501,MATCH(1,('Set Aliases'!$B$2:$B$501=B1222)*ISNUMBER(SEARCH(CHAR(10)&amp;'Set Aliases'!$A$2:$A$501&amp;CHAR(10),H1222)),0)),"")))</f>
        <v/>
      </c>
      <c r="J1222" s="80" t="str">
        <f t="array" ref="J1222">IF(I1222="","",IFERROR(VALUE(TRIM(MID(SUBSTITUTE(INDEX('Deck 4'!$A:$Z,ROW()-1000,'List Setup'!$G$6),CHAR(10),REPT(" ",100)),((SEARCH(CHAR(10)&amp;I1222&amp;CHAR(10),H1222)-LEN(SUBSTITUTE(LEFT(H1222,SEARCH(CHAR(10)&amp;I1222&amp;CHAR(10),H1222)),CHAR(10),"")))-1)*100+1,100))),""))</f>
        <v/>
      </c>
      <c r="K1222" s="80" t="str">
        <f t="array" ref="K1222">IF(A1222="","",IF(ISNUMBER(SEARCH("Land",LEFT(IFERROR(INDEX('Deck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22" s="80" t="str">
        <f t="shared" si="3"/>
        <v/>
      </c>
      <c r="M1222" s="80" t="str">
        <f>IF(A1222="","",IF(AND(E1222="Y",B1222='Use at Shop'!$B$4),K1222*10000000000+(MAX(0,MIN(26,CODE(MID(UPPER(A1222)&amp;"    ",1,1))-64))*19683+MAX(0,MIN(26,CODE(MID(UPPER(A1222)&amp;"    ",2,1))-64))*729+MAX(0,MIN(26,CODE(MID(UPPER(A1222)&amp;"    ",3,1))-64))*27+MAX(0,MIN(26,CODE(MID(UPPER(A1222)&amp;"    ",4,1))-64))*1)*10000+ROW(),""))</f>
        <v/>
      </c>
      <c r="N1222" s="80" t="str">
        <f t="shared" si="8"/>
        <v/>
      </c>
      <c r="O1222" s="80" t="str">
        <f t="array" ref="O1222">IF(A1222="","",IFERROR(INDEX('Deck 4'!$A:$Z,ROW()-1000,'List Setup'!$J$6)&amp;"",""))</f>
        <v/>
      </c>
      <c r="P1222" s="2"/>
      <c r="Q1222" s="80" t="str">
        <f>IF(A1222="","",'List Setup'!$A$6)</f>
        <v/>
      </c>
      <c r="R1222" s="80" t="str">
        <f t="array" ref="R1222">IF(A1222="","",IFERROR(OR(INDEX(Binders!$J$6:$J$30,MATCH(Q1222,Binders!$I$6:$I$30,0))=TRUE(),UPPER(INDEX(Binders!$J$6:$J$30,MATCH(Q1222,Binders!$I$6:$I$30,0))&amp;"")="TRUE"),FALSE()))</f>
        <v/>
      </c>
    </row>
    <row r="1223" ht="15.75" customHeight="1">
      <c r="A1223" s="80" t="str">
        <f t="array" ref="A1223">IF(INDEX('Deck 4'!$A:$Z,ROW()-1000,'List Setup'!$D$6)="","",INDEX('Deck 4'!$A:$Z,ROW()-1000,'List Setup'!$D$6))</f>
        <v/>
      </c>
      <c r="B1223" s="80" t="str">
        <f t="array" ref="B1223">IF(A1223="","",IFERROR(INDEX('Binder Setup'!$B$2:$B$401,MIN(IF(ISNUMBER(SEARCH(CHAR(10)&amp;'Binder Setup'!$B$2:$B$401&amp;CHAR(10),$H1223)),'List Setup'!$Q$2:$Q$401,999),IF(ISNUMBER(SEARCH(CHAR(10)&amp;'Set Aliases'!$A$2:$A$501&amp;CHAR(10),$H1223)),'Set Aliases'!$C$2:$C$501,999))),"(none)"))</f>
        <v/>
      </c>
      <c r="C1223" s="80" t="str">
        <f t="shared" si="1"/>
        <v/>
      </c>
      <c r="D1223" s="80" t="str">
        <f t="array" ref="D1223">IF(A1223="","",IF(ISLOGICAL(INDEX('Deck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23" s="80" t="str">
        <f t="shared" si="2"/>
        <v/>
      </c>
      <c r="F1223" s="80" t="str">
        <f t="array" ref="F1223">IF(A1223="","",IF(ISNUMBER(J1223),J1223,IF(ISNUMBER(INDEX('Deck 4'!$A:$Z,ROW()-1000,'List Setup'!$F$6)),INDEX('Deck 4'!$A:$Z,ROW()-1000,'List Setup'!$F$6),0)))</f>
        <v/>
      </c>
      <c r="G1223" s="80" t="str">
        <f t="array" ref="G1223">IF(A1223="","",A1223&amp;IF(N(INDEX('Deck 4'!$A:$Z,ROW()-1000,'List Setup'!$C$6))&gt;1," (x"&amp;INDEX('Deck 4'!$A:$Z,ROW()-1000,'List Setup'!$C$6)&amp;")","")&amp;IF(COUNTIF(Binders!$J$6:$J$30,TRUE())&gt;1," ["&amp;Q1223&amp;"]",""))</f>
        <v/>
      </c>
      <c r="H1223" s="80" t="str">
        <f t="array" ref="H1223">IF(A1223="","",CHAR(10)&amp;INDEX('Deck 4'!$A:$Z,ROW()-1000,'List Setup'!$E$6)&amp;CHAR(10))</f>
        <v/>
      </c>
      <c r="I1223" s="80" t="str">
        <f t="array" ref="I1223">IF(OR(B1223="",B1223="(none)"),"",IF(ISNUMBER(SEARCH(CHAR(10)&amp;B1223&amp;CHAR(10),H1223)),B1223,IFERROR(INDEX('Set Aliases'!$A$2:$A$501,MATCH(1,('Set Aliases'!$B$2:$B$501=B1223)*ISNUMBER(SEARCH(CHAR(10)&amp;'Set Aliases'!$A$2:$A$501&amp;CHAR(10),H1223)),0)),"")))</f>
        <v/>
      </c>
      <c r="J1223" s="80" t="str">
        <f t="array" ref="J1223">IF(I1223="","",IFERROR(VALUE(TRIM(MID(SUBSTITUTE(INDEX('Deck 4'!$A:$Z,ROW()-1000,'List Setup'!$G$6),CHAR(10),REPT(" ",100)),((SEARCH(CHAR(10)&amp;I1223&amp;CHAR(10),H1223)-LEN(SUBSTITUTE(LEFT(H1223,SEARCH(CHAR(10)&amp;I1223&amp;CHAR(10),H1223)),CHAR(10),"")))-1)*100+1,100))),""))</f>
        <v/>
      </c>
      <c r="K1223" s="80" t="str">
        <f t="array" ref="K1223">IF(A1223="","",IF(ISNUMBER(SEARCH("Land",LEFT(IFERROR(INDEX('Deck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23" s="80" t="str">
        <f t="shared" si="3"/>
        <v/>
      </c>
      <c r="M1223" s="80" t="str">
        <f>IF(A1223="","",IF(AND(E1223="Y",B1223='Use at Shop'!$B$4),K1223*10000000000+(MAX(0,MIN(26,CODE(MID(UPPER(A1223)&amp;"    ",1,1))-64))*19683+MAX(0,MIN(26,CODE(MID(UPPER(A1223)&amp;"    ",2,1))-64))*729+MAX(0,MIN(26,CODE(MID(UPPER(A1223)&amp;"    ",3,1))-64))*27+MAX(0,MIN(26,CODE(MID(UPPER(A1223)&amp;"    ",4,1))-64))*1)*10000+ROW(),""))</f>
        <v/>
      </c>
      <c r="N1223" s="80" t="str">
        <f t="shared" si="8"/>
        <v/>
      </c>
      <c r="O1223" s="80" t="str">
        <f t="array" ref="O1223">IF(A1223="","",IFERROR(INDEX('Deck 4'!$A:$Z,ROW()-1000,'List Setup'!$J$6)&amp;"",""))</f>
        <v/>
      </c>
      <c r="P1223" s="2"/>
      <c r="Q1223" s="80" t="str">
        <f>IF(A1223="","",'List Setup'!$A$6)</f>
        <v/>
      </c>
      <c r="R1223" s="80" t="str">
        <f t="array" ref="R1223">IF(A1223="","",IFERROR(OR(INDEX(Binders!$J$6:$J$30,MATCH(Q1223,Binders!$I$6:$I$30,0))=TRUE(),UPPER(INDEX(Binders!$J$6:$J$30,MATCH(Q1223,Binders!$I$6:$I$30,0))&amp;"")="TRUE"),FALSE()))</f>
        <v/>
      </c>
    </row>
    <row r="1224" ht="15.75" customHeight="1">
      <c r="A1224" s="80" t="str">
        <f t="array" ref="A1224">IF(INDEX('Deck 4'!$A:$Z,ROW()-1000,'List Setup'!$D$6)="","",INDEX('Deck 4'!$A:$Z,ROW()-1000,'List Setup'!$D$6))</f>
        <v/>
      </c>
      <c r="B1224" s="80" t="str">
        <f t="array" ref="B1224">IF(A1224="","",IFERROR(INDEX('Binder Setup'!$B$2:$B$401,MIN(IF(ISNUMBER(SEARCH(CHAR(10)&amp;'Binder Setup'!$B$2:$B$401&amp;CHAR(10),$H1224)),'List Setup'!$Q$2:$Q$401,999),IF(ISNUMBER(SEARCH(CHAR(10)&amp;'Set Aliases'!$A$2:$A$501&amp;CHAR(10),$H1224)),'Set Aliases'!$C$2:$C$501,999))),"(none)"))</f>
        <v/>
      </c>
      <c r="C1224" s="80" t="str">
        <f t="shared" si="1"/>
        <v/>
      </c>
      <c r="D1224" s="80" t="str">
        <f t="array" ref="D1224">IF(A1224="","",IF(ISLOGICAL(INDEX('Deck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24" s="80" t="str">
        <f t="shared" si="2"/>
        <v/>
      </c>
      <c r="F1224" s="80" t="str">
        <f t="array" ref="F1224">IF(A1224="","",IF(ISNUMBER(J1224),J1224,IF(ISNUMBER(INDEX('Deck 4'!$A:$Z,ROW()-1000,'List Setup'!$F$6)),INDEX('Deck 4'!$A:$Z,ROW()-1000,'List Setup'!$F$6),0)))</f>
        <v/>
      </c>
      <c r="G1224" s="80" t="str">
        <f t="array" ref="G1224">IF(A1224="","",A1224&amp;IF(N(INDEX('Deck 4'!$A:$Z,ROW()-1000,'List Setup'!$C$6))&gt;1," (x"&amp;INDEX('Deck 4'!$A:$Z,ROW()-1000,'List Setup'!$C$6)&amp;")","")&amp;IF(COUNTIF(Binders!$J$6:$J$30,TRUE())&gt;1," ["&amp;Q1224&amp;"]",""))</f>
        <v/>
      </c>
      <c r="H1224" s="80" t="str">
        <f t="array" ref="H1224">IF(A1224="","",CHAR(10)&amp;INDEX('Deck 4'!$A:$Z,ROW()-1000,'List Setup'!$E$6)&amp;CHAR(10))</f>
        <v/>
      </c>
      <c r="I1224" s="80" t="str">
        <f t="array" ref="I1224">IF(OR(B1224="",B1224="(none)"),"",IF(ISNUMBER(SEARCH(CHAR(10)&amp;B1224&amp;CHAR(10),H1224)),B1224,IFERROR(INDEX('Set Aliases'!$A$2:$A$501,MATCH(1,('Set Aliases'!$B$2:$B$501=B1224)*ISNUMBER(SEARCH(CHAR(10)&amp;'Set Aliases'!$A$2:$A$501&amp;CHAR(10),H1224)),0)),"")))</f>
        <v/>
      </c>
      <c r="J1224" s="80" t="str">
        <f t="array" ref="J1224">IF(I1224="","",IFERROR(VALUE(TRIM(MID(SUBSTITUTE(INDEX('Deck 4'!$A:$Z,ROW()-1000,'List Setup'!$G$6),CHAR(10),REPT(" ",100)),((SEARCH(CHAR(10)&amp;I1224&amp;CHAR(10),H1224)-LEN(SUBSTITUTE(LEFT(H1224,SEARCH(CHAR(10)&amp;I1224&amp;CHAR(10),H1224)),CHAR(10),"")))-1)*100+1,100))),""))</f>
        <v/>
      </c>
      <c r="K1224" s="80" t="str">
        <f t="array" ref="K1224">IF(A1224="","",IF(ISNUMBER(SEARCH("Land",LEFT(IFERROR(INDEX('Deck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24" s="80" t="str">
        <f t="shared" si="3"/>
        <v/>
      </c>
      <c r="M1224" s="80" t="str">
        <f>IF(A1224="","",IF(AND(E1224="Y",B1224='Use at Shop'!$B$4),K1224*10000000000+(MAX(0,MIN(26,CODE(MID(UPPER(A1224)&amp;"    ",1,1))-64))*19683+MAX(0,MIN(26,CODE(MID(UPPER(A1224)&amp;"    ",2,1))-64))*729+MAX(0,MIN(26,CODE(MID(UPPER(A1224)&amp;"    ",3,1))-64))*27+MAX(0,MIN(26,CODE(MID(UPPER(A1224)&amp;"    ",4,1))-64))*1)*10000+ROW(),""))</f>
        <v/>
      </c>
      <c r="N1224" s="80" t="str">
        <f t="shared" si="8"/>
        <v/>
      </c>
      <c r="O1224" s="80" t="str">
        <f t="array" ref="O1224">IF(A1224="","",IFERROR(INDEX('Deck 4'!$A:$Z,ROW()-1000,'List Setup'!$J$6)&amp;"",""))</f>
        <v/>
      </c>
      <c r="P1224" s="2"/>
      <c r="Q1224" s="80" t="str">
        <f>IF(A1224="","",'List Setup'!$A$6)</f>
        <v/>
      </c>
      <c r="R1224" s="80" t="str">
        <f t="array" ref="R1224">IF(A1224="","",IFERROR(OR(INDEX(Binders!$J$6:$J$30,MATCH(Q1224,Binders!$I$6:$I$30,0))=TRUE(),UPPER(INDEX(Binders!$J$6:$J$30,MATCH(Q1224,Binders!$I$6:$I$30,0))&amp;"")="TRUE"),FALSE()))</f>
        <v/>
      </c>
    </row>
    <row r="1225" ht="15.75" customHeight="1">
      <c r="A1225" s="80" t="str">
        <f t="array" ref="A1225">IF(INDEX('Deck 4'!$A:$Z,ROW()-1000,'List Setup'!$D$6)="","",INDEX('Deck 4'!$A:$Z,ROW()-1000,'List Setup'!$D$6))</f>
        <v/>
      </c>
      <c r="B1225" s="80" t="str">
        <f t="array" ref="B1225">IF(A1225="","",IFERROR(INDEX('Binder Setup'!$B$2:$B$401,MIN(IF(ISNUMBER(SEARCH(CHAR(10)&amp;'Binder Setup'!$B$2:$B$401&amp;CHAR(10),$H1225)),'List Setup'!$Q$2:$Q$401,999),IF(ISNUMBER(SEARCH(CHAR(10)&amp;'Set Aliases'!$A$2:$A$501&amp;CHAR(10),$H1225)),'Set Aliases'!$C$2:$C$501,999))),"(none)"))</f>
        <v/>
      </c>
      <c r="C1225" s="80" t="str">
        <f t="shared" si="1"/>
        <v/>
      </c>
      <c r="D1225" s="80" t="str">
        <f t="array" ref="D1225">IF(A1225="","",IF(ISLOGICAL(INDEX('Deck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25" s="80" t="str">
        <f t="shared" si="2"/>
        <v/>
      </c>
      <c r="F1225" s="80" t="str">
        <f t="array" ref="F1225">IF(A1225="","",IF(ISNUMBER(J1225),J1225,IF(ISNUMBER(INDEX('Deck 4'!$A:$Z,ROW()-1000,'List Setup'!$F$6)),INDEX('Deck 4'!$A:$Z,ROW()-1000,'List Setup'!$F$6),0)))</f>
        <v/>
      </c>
      <c r="G1225" s="80" t="str">
        <f t="array" ref="G1225">IF(A1225="","",A1225&amp;IF(N(INDEX('Deck 4'!$A:$Z,ROW()-1000,'List Setup'!$C$6))&gt;1," (x"&amp;INDEX('Deck 4'!$A:$Z,ROW()-1000,'List Setup'!$C$6)&amp;")","")&amp;IF(COUNTIF(Binders!$J$6:$J$30,TRUE())&gt;1," ["&amp;Q1225&amp;"]",""))</f>
        <v/>
      </c>
      <c r="H1225" s="80" t="str">
        <f t="array" ref="H1225">IF(A1225="","",CHAR(10)&amp;INDEX('Deck 4'!$A:$Z,ROW()-1000,'List Setup'!$E$6)&amp;CHAR(10))</f>
        <v/>
      </c>
      <c r="I1225" s="80" t="str">
        <f t="array" ref="I1225">IF(OR(B1225="",B1225="(none)"),"",IF(ISNUMBER(SEARCH(CHAR(10)&amp;B1225&amp;CHAR(10),H1225)),B1225,IFERROR(INDEX('Set Aliases'!$A$2:$A$501,MATCH(1,('Set Aliases'!$B$2:$B$501=B1225)*ISNUMBER(SEARCH(CHAR(10)&amp;'Set Aliases'!$A$2:$A$501&amp;CHAR(10),H1225)),0)),"")))</f>
        <v/>
      </c>
      <c r="J1225" s="80" t="str">
        <f t="array" ref="J1225">IF(I1225="","",IFERROR(VALUE(TRIM(MID(SUBSTITUTE(INDEX('Deck 4'!$A:$Z,ROW()-1000,'List Setup'!$G$6),CHAR(10),REPT(" ",100)),((SEARCH(CHAR(10)&amp;I1225&amp;CHAR(10),H1225)-LEN(SUBSTITUTE(LEFT(H1225,SEARCH(CHAR(10)&amp;I1225&amp;CHAR(10),H1225)),CHAR(10),"")))-1)*100+1,100))),""))</f>
        <v/>
      </c>
      <c r="K1225" s="80" t="str">
        <f t="array" ref="K1225">IF(A1225="","",IF(ISNUMBER(SEARCH("Land",LEFT(IFERROR(INDEX('Deck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25" s="80" t="str">
        <f t="shared" si="3"/>
        <v/>
      </c>
      <c r="M1225" s="80" t="str">
        <f>IF(A1225="","",IF(AND(E1225="Y",B1225='Use at Shop'!$B$4),K1225*10000000000+(MAX(0,MIN(26,CODE(MID(UPPER(A1225)&amp;"    ",1,1))-64))*19683+MAX(0,MIN(26,CODE(MID(UPPER(A1225)&amp;"    ",2,1))-64))*729+MAX(0,MIN(26,CODE(MID(UPPER(A1225)&amp;"    ",3,1))-64))*27+MAX(0,MIN(26,CODE(MID(UPPER(A1225)&amp;"    ",4,1))-64))*1)*10000+ROW(),""))</f>
        <v/>
      </c>
      <c r="N1225" s="80" t="str">
        <f t="shared" si="8"/>
        <v/>
      </c>
      <c r="O1225" s="80" t="str">
        <f t="array" ref="O1225">IF(A1225="","",IFERROR(INDEX('Deck 4'!$A:$Z,ROW()-1000,'List Setup'!$J$6)&amp;"",""))</f>
        <v/>
      </c>
      <c r="P1225" s="2"/>
      <c r="Q1225" s="80" t="str">
        <f>IF(A1225="","",'List Setup'!$A$6)</f>
        <v/>
      </c>
      <c r="R1225" s="80" t="str">
        <f t="array" ref="R1225">IF(A1225="","",IFERROR(OR(INDEX(Binders!$J$6:$J$30,MATCH(Q1225,Binders!$I$6:$I$30,0))=TRUE(),UPPER(INDEX(Binders!$J$6:$J$30,MATCH(Q1225,Binders!$I$6:$I$30,0))&amp;"")="TRUE"),FALSE()))</f>
        <v/>
      </c>
    </row>
    <row r="1226" ht="15.75" customHeight="1">
      <c r="A1226" s="80" t="str">
        <f t="array" ref="A1226">IF(INDEX('Deck 4'!$A:$Z,ROW()-1000,'List Setup'!$D$6)="","",INDEX('Deck 4'!$A:$Z,ROW()-1000,'List Setup'!$D$6))</f>
        <v/>
      </c>
      <c r="B1226" s="80" t="str">
        <f t="array" ref="B1226">IF(A1226="","",IFERROR(INDEX('Binder Setup'!$B$2:$B$401,MIN(IF(ISNUMBER(SEARCH(CHAR(10)&amp;'Binder Setup'!$B$2:$B$401&amp;CHAR(10),$H1226)),'List Setup'!$Q$2:$Q$401,999),IF(ISNUMBER(SEARCH(CHAR(10)&amp;'Set Aliases'!$A$2:$A$501&amp;CHAR(10),$H1226)),'Set Aliases'!$C$2:$C$501,999))),"(none)"))</f>
        <v/>
      </c>
      <c r="C1226" s="80" t="str">
        <f t="shared" si="1"/>
        <v/>
      </c>
      <c r="D1226" s="80" t="str">
        <f t="array" ref="D1226">IF(A1226="","",IF(ISLOGICAL(INDEX('Deck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26" s="80" t="str">
        <f t="shared" si="2"/>
        <v/>
      </c>
      <c r="F1226" s="80" t="str">
        <f t="array" ref="F1226">IF(A1226="","",IF(ISNUMBER(J1226),J1226,IF(ISNUMBER(INDEX('Deck 4'!$A:$Z,ROW()-1000,'List Setup'!$F$6)),INDEX('Deck 4'!$A:$Z,ROW()-1000,'List Setup'!$F$6),0)))</f>
        <v/>
      </c>
      <c r="G1226" s="80" t="str">
        <f t="array" ref="G1226">IF(A1226="","",A1226&amp;IF(N(INDEX('Deck 4'!$A:$Z,ROW()-1000,'List Setup'!$C$6))&gt;1," (x"&amp;INDEX('Deck 4'!$A:$Z,ROW()-1000,'List Setup'!$C$6)&amp;")","")&amp;IF(COUNTIF(Binders!$J$6:$J$30,TRUE())&gt;1," ["&amp;Q1226&amp;"]",""))</f>
        <v/>
      </c>
      <c r="H1226" s="80" t="str">
        <f t="array" ref="H1226">IF(A1226="","",CHAR(10)&amp;INDEX('Deck 4'!$A:$Z,ROW()-1000,'List Setup'!$E$6)&amp;CHAR(10))</f>
        <v/>
      </c>
      <c r="I1226" s="80" t="str">
        <f t="array" ref="I1226">IF(OR(B1226="",B1226="(none)"),"",IF(ISNUMBER(SEARCH(CHAR(10)&amp;B1226&amp;CHAR(10),H1226)),B1226,IFERROR(INDEX('Set Aliases'!$A$2:$A$501,MATCH(1,('Set Aliases'!$B$2:$B$501=B1226)*ISNUMBER(SEARCH(CHAR(10)&amp;'Set Aliases'!$A$2:$A$501&amp;CHAR(10),H1226)),0)),"")))</f>
        <v/>
      </c>
      <c r="J1226" s="80" t="str">
        <f t="array" ref="J1226">IF(I1226="","",IFERROR(VALUE(TRIM(MID(SUBSTITUTE(INDEX('Deck 4'!$A:$Z,ROW()-1000,'List Setup'!$G$6),CHAR(10),REPT(" ",100)),((SEARCH(CHAR(10)&amp;I1226&amp;CHAR(10),H1226)-LEN(SUBSTITUTE(LEFT(H1226,SEARCH(CHAR(10)&amp;I1226&amp;CHAR(10),H1226)),CHAR(10),"")))-1)*100+1,100))),""))</f>
        <v/>
      </c>
      <c r="K1226" s="80" t="str">
        <f t="array" ref="K1226">IF(A1226="","",IF(ISNUMBER(SEARCH("Land",LEFT(IFERROR(INDEX('Deck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26" s="80" t="str">
        <f t="shared" si="3"/>
        <v/>
      </c>
      <c r="M1226" s="80" t="str">
        <f>IF(A1226="","",IF(AND(E1226="Y",B1226='Use at Shop'!$B$4),K1226*10000000000+(MAX(0,MIN(26,CODE(MID(UPPER(A1226)&amp;"    ",1,1))-64))*19683+MAX(0,MIN(26,CODE(MID(UPPER(A1226)&amp;"    ",2,1))-64))*729+MAX(0,MIN(26,CODE(MID(UPPER(A1226)&amp;"    ",3,1))-64))*27+MAX(0,MIN(26,CODE(MID(UPPER(A1226)&amp;"    ",4,1))-64))*1)*10000+ROW(),""))</f>
        <v/>
      </c>
      <c r="N1226" s="80" t="str">
        <f t="shared" si="8"/>
        <v/>
      </c>
      <c r="O1226" s="80" t="str">
        <f t="array" ref="O1226">IF(A1226="","",IFERROR(INDEX('Deck 4'!$A:$Z,ROW()-1000,'List Setup'!$J$6)&amp;"",""))</f>
        <v/>
      </c>
      <c r="P1226" s="2"/>
      <c r="Q1226" s="80" t="str">
        <f>IF(A1226="","",'List Setup'!$A$6)</f>
        <v/>
      </c>
      <c r="R1226" s="80" t="str">
        <f t="array" ref="R1226">IF(A1226="","",IFERROR(OR(INDEX(Binders!$J$6:$J$30,MATCH(Q1226,Binders!$I$6:$I$30,0))=TRUE(),UPPER(INDEX(Binders!$J$6:$J$30,MATCH(Q1226,Binders!$I$6:$I$30,0))&amp;"")="TRUE"),FALSE()))</f>
        <v/>
      </c>
    </row>
    <row r="1227" ht="15.75" customHeight="1">
      <c r="A1227" s="80" t="str">
        <f t="array" ref="A1227">IF(INDEX('Deck 4'!$A:$Z,ROW()-1000,'List Setup'!$D$6)="","",INDEX('Deck 4'!$A:$Z,ROW()-1000,'List Setup'!$D$6))</f>
        <v/>
      </c>
      <c r="B1227" s="80" t="str">
        <f t="array" ref="B1227">IF(A1227="","",IFERROR(INDEX('Binder Setup'!$B$2:$B$401,MIN(IF(ISNUMBER(SEARCH(CHAR(10)&amp;'Binder Setup'!$B$2:$B$401&amp;CHAR(10),$H1227)),'List Setup'!$Q$2:$Q$401,999),IF(ISNUMBER(SEARCH(CHAR(10)&amp;'Set Aliases'!$A$2:$A$501&amp;CHAR(10),$H1227)),'Set Aliases'!$C$2:$C$501,999))),"(none)"))</f>
        <v/>
      </c>
      <c r="C1227" s="80" t="str">
        <f t="shared" si="1"/>
        <v/>
      </c>
      <c r="D1227" s="80" t="str">
        <f t="array" ref="D1227">IF(A1227="","",IF(ISLOGICAL(INDEX('Deck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27" s="80" t="str">
        <f t="shared" si="2"/>
        <v/>
      </c>
      <c r="F1227" s="80" t="str">
        <f t="array" ref="F1227">IF(A1227="","",IF(ISNUMBER(J1227),J1227,IF(ISNUMBER(INDEX('Deck 4'!$A:$Z,ROW()-1000,'List Setup'!$F$6)),INDEX('Deck 4'!$A:$Z,ROW()-1000,'List Setup'!$F$6),0)))</f>
        <v/>
      </c>
      <c r="G1227" s="80" t="str">
        <f t="array" ref="G1227">IF(A1227="","",A1227&amp;IF(N(INDEX('Deck 4'!$A:$Z,ROW()-1000,'List Setup'!$C$6))&gt;1," (x"&amp;INDEX('Deck 4'!$A:$Z,ROW()-1000,'List Setup'!$C$6)&amp;")","")&amp;IF(COUNTIF(Binders!$J$6:$J$30,TRUE())&gt;1," ["&amp;Q1227&amp;"]",""))</f>
        <v/>
      </c>
      <c r="H1227" s="80" t="str">
        <f t="array" ref="H1227">IF(A1227="","",CHAR(10)&amp;INDEX('Deck 4'!$A:$Z,ROW()-1000,'List Setup'!$E$6)&amp;CHAR(10))</f>
        <v/>
      </c>
      <c r="I1227" s="80" t="str">
        <f t="array" ref="I1227">IF(OR(B1227="",B1227="(none)"),"",IF(ISNUMBER(SEARCH(CHAR(10)&amp;B1227&amp;CHAR(10),H1227)),B1227,IFERROR(INDEX('Set Aliases'!$A$2:$A$501,MATCH(1,('Set Aliases'!$B$2:$B$501=B1227)*ISNUMBER(SEARCH(CHAR(10)&amp;'Set Aliases'!$A$2:$A$501&amp;CHAR(10),H1227)),0)),"")))</f>
        <v/>
      </c>
      <c r="J1227" s="80" t="str">
        <f t="array" ref="J1227">IF(I1227="","",IFERROR(VALUE(TRIM(MID(SUBSTITUTE(INDEX('Deck 4'!$A:$Z,ROW()-1000,'List Setup'!$G$6),CHAR(10),REPT(" ",100)),((SEARCH(CHAR(10)&amp;I1227&amp;CHAR(10),H1227)-LEN(SUBSTITUTE(LEFT(H1227,SEARCH(CHAR(10)&amp;I1227&amp;CHAR(10),H1227)),CHAR(10),"")))-1)*100+1,100))),""))</f>
        <v/>
      </c>
      <c r="K1227" s="80" t="str">
        <f t="array" ref="K1227">IF(A1227="","",IF(ISNUMBER(SEARCH("Land",LEFT(IFERROR(INDEX('Deck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27" s="80" t="str">
        <f t="shared" si="3"/>
        <v/>
      </c>
      <c r="M1227" s="80" t="str">
        <f>IF(A1227="","",IF(AND(E1227="Y",B1227='Use at Shop'!$B$4),K1227*10000000000+(MAX(0,MIN(26,CODE(MID(UPPER(A1227)&amp;"    ",1,1))-64))*19683+MAX(0,MIN(26,CODE(MID(UPPER(A1227)&amp;"    ",2,1))-64))*729+MAX(0,MIN(26,CODE(MID(UPPER(A1227)&amp;"    ",3,1))-64))*27+MAX(0,MIN(26,CODE(MID(UPPER(A1227)&amp;"    ",4,1))-64))*1)*10000+ROW(),""))</f>
        <v/>
      </c>
      <c r="N1227" s="80" t="str">
        <f t="shared" si="8"/>
        <v/>
      </c>
      <c r="O1227" s="80" t="str">
        <f t="array" ref="O1227">IF(A1227="","",IFERROR(INDEX('Deck 4'!$A:$Z,ROW()-1000,'List Setup'!$J$6)&amp;"",""))</f>
        <v/>
      </c>
      <c r="P1227" s="2"/>
      <c r="Q1227" s="80" t="str">
        <f>IF(A1227="","",'List Setup'!$A$6)</f>
        <v/>
      </c>
      <c r="R1227" s="80" t="str">
        <f t="array" ref="R1227">IF(A1227="","",IFERROR(OR(INDEX(Binders!$J$6:$J$30,MATCH(Q1227,Binders!$I$6:$I$30,0))=TRUE(),UPPER(INDEX(Binders!$J$6:$J$30,MATCH(Q1227,Binders!$I$6:$I$30,0))&amp;"")="TRUE"),FALSE()))</f>
        <v/>
      </c>
    </row>
    <row r="1228" ht="15.75" customHeight="1">
      <c r="A1228" s="80" t="str">
        <f t="array" ref="A1228">IF(INDEX('Deck 4'!$A:$Z,ROW()-1000,'List Setup'!$D$6)="","",INDEX('Deck 4'!$A:$Z,ROW()-1000,'List Setup'!$D$6))</f>
        <v/>
      </c>
      <c r="B1228" s="80" t="str">
        <f t="array" ref="B1228">IF(A1228="","",IFERROR(INDEX('Binder Setup'!$B$2:$B$401,MIN(IF(ISNUMBER(SEARCH(CHAR(10)&amp;'Binder Setup'!$B$2:$B$401&amp;CHAR(10),$H1228)),'List Setup'!$Q$2:$Q$401,999),IF(ISNUMBER(SEARCH(CHAR(10)&amp;'Set Aliases'!$A$2:$A$501&amp;CHAR(10),$H1228)),'Set Aliases'!$C$2:$C$501,999))),"(none)"))</f>
        <v/>
      </c>
      <c r="C1228" s="80" t="str">
        <f t="shared" si="1"/>
        <v/>
      </c>
      <c r="D1228" s="80" t="str">
        <f t="array" ref="D1228">IF(A1228="","",IF(ISLOGICAL(INDEX('Deck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28" s="80" t="str">
        <f t="shared" si="2"/>
        <v/>
      </c>
      <c r="F1228" s="80" t="str">
        <f t="array" ref="F1228">IF(A1228="","",IF(ISNUMBER(J1228),J1228,IF(ISNUMBER(INDEX('Deck 4'!$A:$Z,ROW()-1000,'List Setup'!$F$6)),INDEX('Deck 4'!$A:$Z,ROW()-1000,'List Setup'!$F$6),0)))</f>
        <v/>
      </c>
      <c r="G1228" s="80" t="str">
        <f t="array" ref="G1228">IF(A1228="","",A1228&amp;IF(N(INDEX('Deck 4'!$A:$Z,ROW()-1000,'List Setup'!$C$6))&gt;1," (x"&amp;INDEX('Deck 4'!$A:$Z,ROW()-1000,'List Setup'!$C$6)&amp;")","")&amp;IF(COUNTIF(Binders!$J$6:$J$30,TRUE())&gt;1," ["&amp;Q1228&amp;"]",""))</f>
        <v/>
      </c>
      <c r="H1228" s="80" t="str">
        <f t="array" ref="H1228">IF(A1228="","",CHAR(10)&amp;INDEX('Deck 4'!$A:$Z,ROW()-1000,'List Setup'!$E$6)&amp;CHAR(10))</f>
        <v/>
      </c>
      <c r="I1228" s="80" t="str">
        <f t="array" ref="I1228">IF(OR(B1228="",B1228="(none)"),"",IF(ISNUMBER(SEARCH(CHAR(10)&amp;B1228&amp;CHAR(10),H1228)),B1228,IFERROR(INDEX('Set Aliases'!$A$2:$A$501,MATCH(1,('Set Aliases'!$B$2:$B$501=B1228)*ISNUMBER(SEARCH(CHAR(10)&amp;'Set Aliases'!$A$2:$A$501&amp;CHAR(10),H1228)),0)),"")))</f>
        <v/>
      </c>
      <c r="J1228" s="80" t="str">
        <f t="array" ref="J1228">IF(I1228="","",IFERROR(VALUE(TRIM(MID(SUBSTITUTE(INDEX('Deck 4'!$A:$Z,ROW()-1000,'List Setup'!$G$6),CHAR(10),REPT(" ",100)),((SEARCH(CHAR(10)&amp;I1228&amp;CHAR(10),H1228)-LEN(SUBSTITUTE(LEFT(H1228,SEARCH(CHAR(10)&amp;I1228&amp;CHAR(10),H1228)),CHAR(10),"")))-1)*100+1,100))),""))</f>
        <v/>
      </c>
      <c r="K1228" s="80" t="str">
        <f t="array" ref="K1228">IF(A1228="","",IF(ISNUMBER(SEARCH("Land",LEFT(IFERROR(INDEX('Deck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28" s="80" t="str">
        <f t="shared" si="3"/>
        <v/>
      </c>
      <c r="M1228" s="80" t="str">
        <f>IF(A1228="","",IF(AND(E1228="Y",B1228='Use at Shop'!$B$4),K1228*10000000000+(MAX(0,MIN(26,CODE(MID(UPPER(A1228)&amp;"    ",1,1))-64))*19683+MAX(0,MIN(26,CODE(MID(UPPER(A1228)&amp;"    ",2,1))-64))*729+MAX(0,MIN(26,CODE(MID(UPPER(A1228)&amp;"    ",3,1))-64))*27+MAX(0,MIN(26,CODE(MID(UPPER(A1228)&amp;"    ",4,1))-64))*1)*10000+ROW(),""))</f>
        <v/>
      </c>
      <c r="N1228" s="80" t="str">
        <f t="shared" si="8"/>
        <v/>
      </c>
      <c r="O1228" s="80" t="str">
        <f t="array" ref="O1228">IF(A1228="","",IFERROR(INDEX('Deck 4'!$A:$Z,ROW()-1000,'List Setup'!$J$6)&amp;"",""))</f>
        <v/>
      </c>
      <c r="P1228" s="2"/>
      <c r="Q1228" s="80" t="str">
        <f>IF(A1228="","",'List Setup'!$A$6)</f>
        <v/>
      </c>
      <c r="R1228" s="80" t="str">
        <f t="array" ref="R1228">IF(A1228="","",IFERROR(OR(INDEX(Binders!$J$6:$J$30,MATCH(Q1228,Binders!$I$6:$I$30,0))=TRUE(),UPPER(INDEX(Binders!$J$6:$J$30,MATCH(Q1228,Binders!$I$6:$I$30,0))&amp;"")="TRUE"),FALSE()))</f>
        <v/>
      </c>
    </row>
    <row r="1229" ht="15.75" customHeight="1">
      <c r="A1229" s="80" t="str">
        <f t="array" ref="A1229">IF(INDEX('Deck 4'!$A:$Z,ROW()-1000,'List Setup'!$D$6)="","",INDEX('Deck 4'!$A:$Z,ROW()-1000,'List Setup'!$D$6))</f>
        <v/>
      </c>
      <c r="B1229" s="80" t="str">
        <f t="array" ref="B1229">IF(A1229="","",IFERROR(INDEX('Binder Setup'!$B$2:$B$401,MIN(IF(ISNUMBER(SEARCH(CHAR(10)&amp;'Binder Setup'!$B$2:$B$401&amp;CHAR(10),$H1229)),'List Setup'!$Q$2:$Q$401,999),IF(ISNUMBER(SEARCH(CHAR(10)&amp;'Set Aliases'!$A$2:$A$501&amp;CHAR(10),$H1229)),'Set Aliases'!$C$2:$C$501,999))),"(none)"))</f>
        <v/>
      </c>
      <c r="C1229" s="80" t="str">
        <f t="shared" si="1"/>
        <v/>
      </c>
      <c r="D1229" s="80" t="str">
        <f t="array" ref="D1229">IF(A1229="","",IF(ISLOGICAL(INDEX('Deck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29" s="80" t="str">
        <f t="shared" si="2"/>
        <v/>
      </c>
      <c r="F1229" s="80" t="str">
        <f t="array" ref="F1229">IF(A1229="","",IF(ISNUMBER(J1229),J1229,IF(ISNUMBER(INDEX('Deck 4'!$A:$Z,ROW()-1000,'List Setup'!$F$6)),INDEX('Deck 4'!$A:$Z,ROW()-1000,'List Setup'!$F$6),0)))</f>
        <v/>
      </c>
      <c r="G1229" s="80" t="str">
        <f t="array" ref="G1229">IF(A1229="","",A1229&amp;IF(N(INDEX('Deck 4'!$A:$Z,ROW()-1000,'List Setup'!$C$6))&gt;1," (x"&amp;INDEX('Deck 4'!$A:$Z,ROW()-1000,'List Setup'!$C$6)&amp;")","")&amp;IF(COUNTIF(Binders!$J$6:$J$30,TRUE())&gt;1," ["&amp;Q1229&amp;"]",""))</f>
        <v/>
      </c>
      <c r="H1229" s="80" t="str">
        <f t="array" ref="H1229">IF(A1229="","",CHAR(10)&amp;INDEX('Deck 4'!$A:$Z,ROW()-1000,'List Setup'!$E$6)&amp;CHAR(10))</f>
        <v/>
      </c>
      <c r="I1229" s="80" t="str">
        <f t="array" ref="I1229">IF(OR(B1229="",B1229="(none)"),"",IF(ISNUMBER(SEARCH(CHAR(10)&amp;B1229&amp;CHAR(10),H1229)),B1229,IFERROR(INDEX('Set Aliases'!$A$2:$A$501,MATCH(1,('Set Aliases'!$B$2:$B$501=B1229)*ISNUMBER(SEARCH(CHAR(10)&amp;'Set Aliases'!$A$2:$A$501&amp;CHAR(10),H1229)),0)),"")))</f>
        <v/>
      </c>
      <c r="J1229" s="80" t="str">
        <f t="array" ref="J1229">IF(I1229="","",IFERROR(VALUE(TRIM(MID(SUBSTITUTE(INDEX('Deck 4'!$A:$Z,ROW()-1000,'List Setup'!$G$6),CHAR(10),REPT(" ",100)),((SEARCH(CHAR(10)&amp;I1229&amp;CHAR(10),H1229)-LEN(SUBSTITUTE(LEFT(H1229,SEARCH(CHAR(10)&amp;I1229&amp;CHAR(10),H1229)),CHAR(10),"")))-1)*100+1,100))),""))</f>
        <v/>
      </c>
      <c r="K1229" s="80" t="str">
        <f t="array" ref="K1229">IF(A1229="","",IF(ISNUMBER(SEARCH("Land",LEFT(IFERROR(INDEX('Deck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29" s="80" t="str">
        <f t="shared" si="3"/>
        <v/>
      </c>
      <c r="M1229" s="80" t="str">
        <f>IF(A1229="","",IF(AND(E1229="Y",B1229='Use at Shop'!$B$4),K1229*10000000000+(MAX(0,MIN(26,CODE(MID(UPPER(A1229)&amp;"    ",1,1))-64))*19683+MAX(0,MIN(26,CODE(MID(UPPER(A1229)&amp;"    ",2,1))-64))*729+MAX(0,MIN(26,CODE(MID(UPPER(A1229)&amp;"    ",3,1))-64))*27+MAX(0,MIN(26,CODE(MID(UPPER(A1229)&amp;"    ",4,1))-64))*1)*10000+ROW(),""))</f>
        <v/>
      </c>
      <c r="N1229" s="80" t="str">
        <f t="shared" si="8"/>
        <v/>
      </c>
      <c r="O1229" s="80" t="str">
        <f t="array" ref="O1229">IF(A1229="","",IFERROR(INDEX('Deck 4'!$A:$Z,ROW()-1000,'List Setup'!$J$6)&amp;"",""))</f>
        <v/>
      </c>
      <c r="P1229" s="2"/>
      <c r="Q1229" s="80" t="str">
        <f>IF(A1229="","",'List Setup'!$A$6)</f>
        <v/>
      </c>
      <c r="R1229" s="80" t="str">
        <f t="array" ref="R1229">IF(A1229="","",IFERROR(OR(INDEX(Binders!$J$6:$J$30,MATCH(Q1229,Binders!$I$6:$I$30,0))=TRUE(),UPPER(INDEX(Binders!$J$6:$J$30,MATCH(Q1229,Binders!$I$6:$I$30,0))&amp;"")="TRUE"),FALSE()))</f>
        <v/>
      </c>
    </row>
    <row r="1230" ht="15.75" customHeight="1">
      <c r="A1230" s="80" t="str">
        <f t="array" ref="A1230">IF(INDEX('Deck 4'!$A:$Z,ROW()-1000,'List Setup'!$D$6)="","",INDEX('Deck 4'!$A:$Z,ROW()-1000,'List Setup'!$D$6))</f>
        <v/>
      </c>
      <c r="B1230" s="80" t="str">
        <f t="array" ref="B1230">IF(A1230="","",IFERROR(INDEX('Binder Setup'!$B$2:$B$401,MIN(IF(ISNUMBER(SEARCH(CHAR(10)&amp;'Binder Setup'!$B$2:$B$401&amp;CHAR(10),$H1230)),'List Setup'!$Q$2:$Q$401,999),IF(ISNUMBER(SEARCH(CHAR(10)&amp;'Set Aliases'!$A$2:$A$501&amp;CHAR(10),$H1230)),'Set Aliases'!$C$2:$C$501,999))),"(none)"))</f>
        <v/>
      </c>
      <c r="C1230" s="80" t="str">
        <f t="shared" si="1"/>
        <v/>
      </c>
      <c r="D1230" s="80" t="str">
        <f t="array" ref="D1230">IF(A1230="","",IF(ISLOGICAL(INDEX('Deck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30" s="80" t="str">
        <f t="shared" si="2"/>
        <v/>
      </c>
      <c r="F1230" s="80" t="str">
        <f t="array" ref="F1230">IF(A1230="","",IF(ISNUMBER(J1230),J1230,IF(ISNUMBER(INDEX('Deck 4'!$A:$Z,ROW()-1000,'List Setup'!$F$6)),INDEX('Deck 4'!$A:$Z,ROW()-1000,'List Setup'!$F$6),0)))</f>
        <v/>
      </c>
      <c r="G1230" s="80" t="str">
        <f t="array" ref="G1230">IF(A1230="","",A1230&amp;IF(N(INDEX('Deck 4'!$A:$Z,ROW()-1000,'List Setup'!$C$6))&gt;1," (x"&amp;INDEX('Deck 4'!$A:$Z,ROW()-1000,'List Setup'!$C$6)&amp;")","")&amp;IF(COUNTIF(Binders!$J$6:$J$30,TRUE())&gt;1," ["&amp;Q1230&amp;"]",""))</f>
        <v/>
      </c>
      <c r="H1230" s="80" t="str">
        <f t="array" ref="H1230">IF(A1230="","",CHAR(10)&amp;INDEX('Deck 4'!$A:$Z,ROW()-1000,'List Setup'!$E$6)&amp;CHAR(10))</f>
        <v/>
      </c>
      <c r="I1230" s="80" t="str">
        <f t="array" ref="I1230">IF(OR(B1230="",B1230="(none)"),"",IF(ISNUMBER(SEARCH(CHAR(10)&amp;B1230&amp;CHAR(10),H1230)),B1230,IFERROR(INDEX('Set Aliases'!$A$2:$A$501,MATCH(1,('Set Aliases'!$B$2:$B$501=B1230)*ISNUMBER(SEARCH(CHAR(10)&amp;'Set Aliases'!$A$2:$A$501&amp;CHAR(10),H1230)),0)),"")))</f>
        <v/>
      </c>
      <c r="J1230" s="80" t="str">
        <f t="array" ref="J1230">IF(I1230="","",IFERROR(VALUE(TRIM(MID(SUBSTITUTE(INDEX('Deck 4'!$A:$Z,ROW()-1000,'List Setup'!$G$6),CHAR(10),REPT(" ",100)),((SEARCH(CHAR(10)&amp;I1230&amp;CHAR(10),H1230)-LEN(SUBSTITUTE(LEFT(H1230,SEARCH(CHAR(10)&amp;I1230&amp;CHAR(10),H1230)),CHAR(10),"")))-1)*100+1,100))),""))</f>
        <v/>
      </c>
      <c r="K1230" s="80" t="str">
        <f t="array" ref="K1230">IF(A1230="","",IF(ISNUMBER(SEARCH("Land",LEFT(IFERROR(INDEX('Deck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30" s="80" t="str">
        <f t="shared" si="3"/>
        <v/>
      </c>
      <c r="M1230" s="80" t="str">
        <f>IF(A1230="","",IF(AND(E1230="Y",B1230='Use at Shop'!$B$4),K1230*10000000000+(MAX(0,MIN(26,CODE(MID(UPPER(A1230)&amp;"    ",1,1))-64))*19683+MAX(0,MIN(26,CODE(MID(UPPER(A1230)&amp;"    ",2,1))-64))*729+MAX(0,MIN(26,CODE(MID(UPPER(A1230)&amp;"    ",3,1))-64))*27+MAX(0,MIN(26,CODE(MID(UPPER(A1230)&amp;"    ",4,1))-64))*1)*10000+ROW(),""))</f>
        <v/>
      </c>
      <c r="N1230" s="80" t="str">
        <f t="shared" si="8"/>
        <v/>
      </c>
      <c r="O1230" s="80" t="str">
        <f t="array" ref="O1230">IF(A1230="","",IFERROR(INDEX('Deck 4'!$A:$Z,ROW()-1000,'List Setup'!$J$6)&amp;"",""))</f>
        <v/>
      </c>
      <c r="P1230" s="2"/>
      <c r="Q1230" s="80" t="str">
        <f>IF(A1230="","",'List Setup'!$A$6)</f>
        <v/>
      </c>
      <c r="R1230" s="80" t="str">
        <f t="array" ref="R1230">IF(A1230="","",IFERROR(OR(INDEX(Binders!$J$6:$J$30,MATCH(Q1230,Binders!$I$6:$I$30,0))=TRUE(),UPPER(INDEX(Binders!$J$6:$J$30,MATCH(Q1230,Binders!$I$6:$I$30,0))&amp;"")="TRUE"),FALSE()))</f>
        <v/>
      </c>
    </row>
    <row r="1231" ht="15.75" customHeight="1">
      <c r="A1231" s="80" t="str">
        <f t="array" ref="A1231">IF(INDEX('Deck 4'!$A:$Z,ROW()-1000,'List Setup'!$D$6)="","",INDEX('Deck 4'!$A:$Z,ROW()-1000,'List Setup'!$D$6))</f>
        <v/>
      </c>
      <c r="B1231" s="80" t="str">
        <f t="array" ref="B1231">IF(A1231="","",IFERROR(INDEX('Binder Setup'!$B$2:$B$401,MIN(IF(ISNUMBER(SEARCH(CHAR(10)&amp;'Binder Setup'!$B$2:$B$401&amp;CHAR(10),$H1231)),'List Setup'!$Q$2:$Q$401,999),IF(ISNUMBER(SEARCH(CHAR(10)&amp;'Set Aliases'!$A$2:$A$501&amp;CHAR(10),$H1231)),'Set Aliases'!$C$2:$C$501,999))),"(none)"))</f>
        <v/>
      </c>
      <c r="C1231" s="80" t="str">
        <f t="shared" si="1"/>
        <v/>
      </c>
      <c r="D1231" s="80" t="str">
        <f t="array" ref="D1231">IF(A1231="","",IF(ISLOGICAL(INDEX('Deck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31" s="80" t="str">
        <f t="shared" si="2"/>
        <v/>
      </c>
      <c r="F1231" s="80" t="str">
        <f t="array" ref="F1231">IF(A1231="","",IF(ISNUMBER(J1231),J1231,IF(ISNUMBER(INDEX('Deck 4'!$A:$Z,ROW()-1000,'List Setup'!$F$6)),INDEX('Deck 4'!$A:$Z,ROW()-1000,'List Setup'!$F$6),0)))</f>
        <v/>
      </c>
      <c r="G1231" s="80" t="str">
        <f t="array" ref="G1231">IF(A1231="","",A1231&amp;IF(N(INDEX('Deck 4'!$A:$Z,ROW()-1000,'List Setup'!$C$6))&gt;1," (x"&amp;INDEX('Deck 4'!$A:$Z,ROW()-1000,'List Setup'!$C$6)&amp;")","")&amp;IF(COUNTIF(Binders!$J$6:$J$30,TRUE())&gt;1," ["&amp;Q1231&amp;"]",""))</f>
        <v/>
      </c>
      <c r="H1231" s="80" t="str">
        <f t="array" ref="H1231">IF(A1231="","",CHAR(10)&amp;INDEX('Deck 4'!$A:$Z,ROW()-1000,'List Setup'!$E$6)&amp;CHAR(10))</f>
        <v/>
      </c>
      <c r="I1231" s="80" t="str">
        <f t="array" ref="I1231">IF(OR(B1231="",B1231="(none)"),"",IF(ISNUMBER(SEARCH(CHAR(10)&amp;B1231&amp;CHAR(10),H1231)),B1231,IFERROR(INDEX('Set Aliases'!$A$2:$A$501,MATCH(1,('Set Aliases'!$B$2:$B$501=B1231)*ISNUMBER(SEARCH(CHAR(10)&amp;'Set Aliases'!$A$2:$A$501&amp;CHAR(10),H1231)),0)),"")))</f>
        <v/>
      </c>
      <c r="J1231" s="80" t="str">
        <f t="array" ref="J1231">IF(I1231="","",IFERROR(VALUE(TRIM(MID(SUBSTITUTE(INDEX('Deck 4'!$A:$Z,ROW()-1000,'List Setup'!$G$6),CHAR(10),REPT(" ",100)),((SEARCH(CHAR(10)&amp;I1231&amp;CHAR(10),H1231)-LEN(SUBSTITUTE(LEFT(H1231,SEARCH(CHAR(10)&amp;I1231&amp;CHAR(10),H1231)),CHAR(10),"")))-1)*100+1,100))),""))</f>
        <v/>
      </c>
      <c r="K1231" s="80" t="str">
        <f t="array" ref="K1231">IF(A1231="","",IF(ISNUMBER(SEARCH("Land",LEFT(IFERROR(INDEX('Deck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31" s="80" t="str">
        <f t="shared" si="3"/>
        <v/>
      </c>
      <c r="M1231" s="80" t="str">
        <f>IF(A1231="","",IF(AND(E1231="Y",B1231='Use at Shop'!$B$4),K1231*10000000000+(MAX(0,MIN(26,CODE(MID(UPPER(A1231)&amp;"    ",1,1))-64))*19683+MAX(0,MIN(26,CODE(MID(UPPER(A1231)&amp;"    ",2,1))-64))*729+MAX(0,MIN(26,CODE(MID(UPPER(A1231)&amp;"    ",3,1))-64))*27+MAX(0,MIN(26,CODE(MID(UPPER(A1231)&amp;"    ",4,1))-64))*1)*10000+ROW(),""))</f>
        <v/>
      </c>
      <c r="N1231" s="80" t="str">
        <f t="shared" si="8"/>
        <v/>
      </c>
      <c r="O1231" s="80" t="str">
        <f t="array" ref="O1231">IF(A1231="","",IFERROR(INDEX('Deck 4'!$A:$Z,ROW()-1000,'List Setup'!$J$6)&amp;"",""))</f>
        <v/>
      </c>
      <c r="P1231" s="2"/>
      <c r="Q1231" s="80" t="str">
        <f>IF(A1231="","",'List Setup'!$A$6)</f>
        <v/>
      </c>
      <c r="R1231" s="80" t="str">
        <f t="array" ref="R1231">IF(A1231="","",IFERROR(OR(INDEX(Binders!$J$6:$J$30,MATCH(Q1231,Binders!$I$6:$I$30,0))=TRUE(),UPPER(INDEX(Binders!$J$6:$J$30,MATCH(Q1231,Binders!$I$6:$I$30,0))&amp;"")="TRUE"),FALSE()))</f>
        <v/>
      </c>
    </row>
    <row r="1232" ht="15.75" customHeight="1">
      <c r="A1232" s="80" t="str">
        <f t="array" ref="A1232">IF(INDEX('Deck 4'!$A:$Z,ROW()-1000,'List Setup'!$D$6)="","",INDEX('Deck 4'!$A:$Z,ROW()-1000,'List Setup'!$D$6))</f>
        <v/>
      </c>
      <c r="B1232" s="80" t="str">
        <f t="array" ref="B1232">IF(A1232="","",IFERROR(INDEX('Binder Setup'!$B$2:$B$401,MIN(IF(ISNUMBER(SEARCH(CHAR(10)&amp;'Binder Setup'!$B$2:$B$401&amp;CHAR(10),$H1232)),'List Setup'!$Q$2:$Q$401,999),IF(ISNUMBER(SEARCH(CHAR(10)&amp;'Set Aliases'!$A$2:$A$501&amp;CHAR(10),$H1232)),'Set Aliases'!$C$2:$C$501,999))),"(none)"))</f>
        <v/>
      </c>
      <c r="C1232" s="80" t="str">
        <f t="shared" si="1"/>
        <v/>
      </c>
      <c r="D1232" s="80" t="str">
        <f t="array" ref="D1232">IF(A1232="","",IF(ISLOGICAL(INDEX('Deck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32" s="80" t="str">
        <f t="shared" si="2"/>
        <v/>
      </c>
      <c r="F1232" s="80" t="str">
        <f t="array" ref="F1232">IF(A1232="","",IF(ISNUMBER(J1232),J1232,IF(ISNUMBER(INDEX('Deck 4'!$A:$Z,ROW()-1000,'List Setup'!$F$6)),INDEX('Deck 4'!$A:$Z,ROW()-1000,'List Setup'!$F$6),0)))</f>
        <v/>
      </c>
      <c r="G1232" s="80" t="str">
        <f t="array" ref="G1232">IF(A1232="","",A1232&amp;IF(N(INDEX('Deck 4'!$A:$Z,ROW()-1000,'List Setup'!$C$6))&gt;1," (x"&amp;INDEX('Deck 4'!$A:$Z,ROW()-1000,'List Setup'!$C$6)&amp;")","")&amp;IF(COUNTIF(Binders!$J$6:$J$30,TRUE())&gt;1," ["&amp;Q1232&amp;"]",""))</f>
        <v/>
      </c>
      <c r="H1232" s="80" t="str">
        <f t="array" ref="H1232">IF(A1232="","",CHAR(10)&amp;INDEX('Deck 4'!$A:$Z,ROW()-1000,'List Setup'!$E$6)&amp;CHAR(10))</f>
        <v/>
      </c>
      <c r="I1232" s="80" t="str">
        <f t="array" ref="I1232">IF(OR(B1232="",B1232="(none)"),"",IF(ISNUMBER(SEARCH(CHAR(10)&amp;B1232&amp;CHAR(10),H1232)),B1232,IFERROR(INDEX('Set Aliases'!$A$2:$A$501,MATCH(1,('Set Aliases'!$B$2:$B$501=B1232)*ISNUMBER(SEARCH(CHAR(10)&amp;'Set Aliases'!$A$2:$A$501&amp;CHAR(10),H1232)),0)),"")))</f>
        <v/>
      </c>
      <c r="J1232" s="80" t="str">
        <f t="array" ref="J1232">IF(I1232="","",IFERROR(VALUE(TRIM(MID(SUBSTITUTE(INDEX('Deck 4'!$A:$Z,ROW()-1000,'List Setup'!$G$6),CHAR(10),REPT(" ",100)),((SEARCH(CHAR(10)&amp;I1232&amp;CHAR(10),H1232)-LEN(SUBSTITUTE(LEFT(H1232,SEARCH(CHAR(10)&amp;I1232&amp;CHAR(10),H1232)),CHAR(10),"")))-1)*100+1,100))),""))</f>
        <v/>
      </c>
      <c r="K1232" s="80" t="str">
        <f t="array" ref="K1232">IF(A1232="","",IF(ISNUMBER(SEARCH("Land",LEFT(IFERROR(INDEX('Deck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32" s="80" t="str">
        <f t="shared" si="3"/>
        <v/>
      </c>
      <c r="M1232" s="80" t="str">
        <f>IF(A1232="","",IF(AND(E1232="Y",B1232='Use at Shop'!$B$4),K1232*10000000000+(MAX(0,MIN(26,CODE(MID(UPPER(A1232)&amp;"    ",1,1))-64))*19683+MAX(0,MIN(26,CODE(MID(UPPER(A1232)&amp;"    ",2,1))-64))*729+MAX(0,MIN(26,CODE(MID(UPPER(A1232)&amp;"    ",3,1))-64))*27+MAX(0,MIN(26,CODE(MID(UPPER(A1232)&amp;"    ",4,1))-64))*1)*10000+ROW(),""))</f>
        <v/>
      </c>
      <c r="N1232" s="80" t="str">
        <f t="shared" si="8"/>
        <v/>
      </c>
      <c r="O1232" s="80" t="str">
        <f t="array" ref="O1232">IF(A1232="","",IFERROR(INDEX('Deck 4'!$A:$Z,ROW()-1000,'List Setup'!$J$6)&amp;"",""))</f>
        <v/>
      </c>
      <c r="P1232" s="2"/>
      <c r="Q1232" s="80" t="str">
        <f>IF(A1232="","",'List Setup'!$A$6)</f>
        <v/>
      </c>
      <c r="R1232" s="80" t="str">
        <f t="array" ref="R1232">IF(A1232="","",IFERROR(OR(INDEX(Binders!$J$6:$J$30,MATCH(Q1232,Binders!$I$6:$I$30,0))=TRUE(),UPPER(INDEX(Binders!$J$6:$J$30,MATCH(Q1232,Binders!$I$6:$I$30,0))&amp;"")="TRUE"),FALSE()))</f>
        <v/>
      </c>
    </row>
    <row r="1233" ht="15.75" customHeight="1">
      <c r="A1233" s="80" t="str">
        <f t="array" ref="A1233">IF(INDEX('Deck 4'!$A:$Z,ROW()-1000,'List Setup'!$D$6)="","",INDEX('Deck 4'!$A:$Z,ROW()-1000,'List Setup'!$D$6))</f>
        <v/>
      </c>
      <c r="B1233" s="80" t="str">
        <f t="array" ref="B1233">IF(A1233="","",IFERROR(INDEX('Binder Setup'!$B$2:$B$401,MIN(IF(ISNUMBER(SEARCH(CHAR(10)&amp;'Binder Setup'!$B$2:$B$401&amp;CHAR(10),$H1233)),'List Setup'!$Q$2:$Q$401,999),IF(ISNUMBER(SEARCH(CHAR(10)&amp;'Set Aliases'!$A$2:$A$501&amp;CHAR(10),$H1233)),'Set Aliases'!$C$2:$C$501,999))),"(none)"))</f>
        <v/>
      </c>
      <c r="C1233" s="80" t="str">
        <f t="shared" si="1"/>
        <v/>
      </c>
      <c r="D1233" s="80" t="str">
        <f t="array" ref="D1233">IF(A1233="","",IF(ISLOGICAL(INDEX('Deck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33" s="80" t="str">
        <f t="shared" si="2"/>
        <v/>
      </c>
      <c r="F1233" s="80" t="str">
        <f t="array" ref="F1233">IF(A1233="","",IF(ISNUMBER(J1233),J1233,IF(ISNUMBER(INDEX('Deck 4'!$A:$Z,ROW()-1000,'List Setup'!$F$6)),INDEX('Deck 4'!$A:$Z,ROW()-1000,'List Setup'!$F$6),0)))</f>
        <v/>
      </c>
      <c r="G1233" s="80" t="str">
        <f t="array" ref="G1233">IF(A1233="","",A1233&amp;IF(N(INDEX('Deck 4'!$A:$Z,ROW()-1000,'List Setup'!$C$6))&gt;1," (x"&amp;INDEX('Deck 4'!$A:$Z,ROW()-1000,'List Setup'!$C$6)&amp;")","")&amp;IF(COUNTIF(Binders!$J$6:$J$30,TRUE())&gt;1," ["&amp;Q1233&amp;"]",""))</f>
        <v/>
      </c>
      <c r="H1233" s="80" t="str">
        <f t="array" ref="H1233">IF(A1233="","",CHAR(10)&amp;INDEX('Deck 4'!$A:$Z,ROW()-1000,'List Setup'!$E$6)&amp;CHAR(10))</f>
        <v/>
      </c>
      <c r="I1233" s="80" t="str">
        <f t="array" ref="I1233">IF(OR(B1233="",B1233="(none)"),"",IF(ISNUMBER(SEARCH(CHAR(10)&amp;B1233&amp;CHAR(10),H1233)),B1233,IFERROR(INDEX('Set Aliases'!$A$2:$A$501,MATCH(1,('Set Aliases'!$B$2:$B$501=B1233)*ISNUMBER(SEARCH(CHAR(10)&amp;'Set Aliases'!$A$2:$A$501&amp;CHAR(10),H1233)),0)),"")))</f>
        <v/>
      </c>
      <c r="J1233" s="80" t="str">
        <f t="array" ref="J1233">IF(I1233="","",IFERROR(VALUE(TRIM(MID(SUBSTITUTE(INDEX('Deck 4'!$A:$Z,ROW()-1000,'List Setup'!$G$6),CHAR(10),REPT(" ",100)),((SEARCH(CHAR(10)&amp;I1233&amp;CHAR(10),H1233)-LEN(SUBSTITUTE(LEFT(H1233,SEARCH(CHAR(10)&amp;I1233&amp;CHAR(10),H1233)),CHAR(10),"")))-1)*100+1,100))),""))</f>
        <v/>
      </c>
      <c r="K1233" s="80" t="str">
        <f t="array" ref="K1233">IF(A1233="","",IF(ISNUMBER(SEARCH("Land",LEFT(IFERROR(INDEX('Deck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33" s="80" t="str">
        <f t="shared" si="3"/>
        <v/>
      </c>
      <c r="M1233" s="80" t="str">
        <f>IF(A1233="","",IF(AND(E1233="Y",B1233='Use at Shop'!$B$4),K1233*10000000000+(MAX(0,MIN(26,CODE(MID(UPPER(A1233)&amp;"    ",1,1))-64))*19683+MAX(0,MIN(26,CODE(MID(UPPER(A1233)&amp;"    ",2,1))-64))*729+MAX(0,MIN(26,CODE(MID(UPPER(A1233)&amp;"    ",3,1))-64))*27+MAX(0,MIN(26,CODE(MID(UPPER(A1233)&amp;"    ",4,1))-64))*1)*10000+ROW(),""))</f>
        <v/>
      </c>
      <c r="N1233" s="80" t="str">
        <f t="shared" si="8"/>
        <v/>
      </c>
      <c r="O1233" s="80" t="str">
        <f t="array" ref="O1233">IF(A1233="","",IFERROR(INDEX('Deck 4'!$A:$Z,ROW()-1000,'List Setup'!$J$6)&amp;"",""))</f>
        <v/>
      </c>
      <c r="P1233" s="2"/>
      <c r="Q1233" s="80" t="str">
        <f>IF(A1233="","",'List Setup'!$A$6)</f>
        <v/>
      </c>
      <c r="R1233" s="80" t="str">
        <f t="array" ref="R1233">IF(A1233="","",IFERROR(OR(INDEX(Binders!$J$6:$J$30,MATCH(Q1233,Binders!$I$6:$I$30,0))=TRUE(),UPPER(INDEX(Binders!$J$6:$J$30,MATCH(Q1233,Binders!$I$6:$I$30,0))&amp;"")="TRUE"),FALSE()))</f>
        <v/>
      </c>
    </row>
    <row r="1234" ht="15.75" customHeight="1">
      <c r="A1234" s="80" t="str">
        <f t="array" ref="A1234">IF(INDEX('Deck 4'!$A:$Z,ROW()-1000,'List Setup'!$D$6)="","",INDEX('Deck 4'!$A:$Z,ROW()-1000,'List Setup'!$D$6))</f>
        <v/>
      </c>
      <c r="B1234" s="80" t="str">
        <f t="array" ref="B1234">IF(A1234="","",IFERROR(INDEX('Binder Setup'!$B$2:$B$401,MIN(IF(ISNUMBER(SEARCH(CHAR(10)&amp;'Binder Setup'!$B$2:$B$401&amp;CHAR(10),$H1234)),'List Setup'!$Q$2:$Q$401,999),IF(ISNUMBER(SEARCH(CHAR(10)&amp;'Set Aliases'!$A$2:$A$501&amp;CHAR(10),$H1234)),'Set Aliases'!$C$2:$C$501,999))),"(none)"))</f>
        <v/>
      </c>
      <c r="C1234" s="80" t="str">
        <f t="shared" si="1"/>
        <v/>
      </c>
      <c r="D1234" s="80" t="str">
        <f t="array" ref="D1234">IF(A1234="","",IF(ISLOGICAL(INDEX('Deck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34" s="80" t="str">
        <f t="shared" si="2"/>
        <v/>
      </c>
      <c r="F1234" s="80" t="str">
        <f t="array" ref="F1234">IF(A1234="","",IF(ISNUMBER(J1234),J1234,IF(ISNUMBER(INDEX('Deck 4'!$A:$Z,ROW()-1000,'List Setup'!$F$6)),INDEX('Deck 4'!$A:$Z,ROW()-1000,'List Setup'!$F$6),0)))</f>
        <v/>
      </c>
      <c r="G1234" s="80" t="str">
        <f t="array" ref="G1234">IF(A1234="","",A1234&amp;IF(N(INDEX('Deck 4'!$A:$Z,ROW()-1000,'List Setup'!$C$6))&gt;1," (x"&amp;INDEX('Deck 4'!$A:$Z,ROW()-1000,'List Setup'!$C$6)&amp;")","")&amp;IF(COUNTIF(Binders!$J$6:$J$30,TRUE())&gt;1," ["&amp;Q1234&amp;"]",""))</f>
        <v/>
      </c>
      <c r="H1234" s="80" t="str">
        <f t="array" ref="H1234">IF(A1234="","",CHAR(10)&amp;INDEX('Deck 4'!$A:$Z,ROW()-1000,'List Setup'!$E$6)&amp;CHAR(10))</f>
        <v/>
      </c>
      <c r="I1234" s="80" t="str">
        <f t="array" ref="I1234">IF(OR(B1234="",B1234="(none)"),"",IF(ISNUMBER(SEARCH(CHAR(10)&amp;B1234&amp;CHAR(10),H1234)),B1234,IFERROR(INDEX('Set Aliases'!$A$2:$A$501,MATCH(1,('Set Aliases'!$B$2:$B$501=B1234)*ISNUMBER(SEARCH(CHAR(10)&amp;'Set Aliases'!$A$2:$A$501&amp;CHAR(10),H1234)),0)),"")))</f>
        <v/>
      </c>
      <c r="J1234" s="80" t="str">
        <f t="array" ref="J1234">IF(I1234="","",IFERROR(VALUE(TRIM(MID(SUBSTITUTE(INDEX('Deck 4'!$A:$Z,ROW()-1000,'List Setup'!$G$6),CHAR(10),REPT(" ",100)),((SEARCH(CHAR(10)&amp;I1234&amp;CHAR(10),H1234)-LEN(SUBSTITUTE(LEFT(H1234,SEARCH(CHAR(10)&amp;I1234&amp;CHAR(10),H1234)),CHAR(10),"")))-1)*100+1,100))),""))</f>
        <v/>
      </c>
      <c r="K1234" s="80" t="str">
        <f t="array" ref="K1234">IF(A1234="","",IF(ISNUMBER(SEARCH("Land",LEFT(IFERROR(INDEX('Deck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34" s="80" t="str">
        <f t="shared" si="3"/>
        <v/>
      </c>
      <c r="M1234" s="80" t="str">
        <f>IF(A1234="","",IF(AND(E1234="Y",B1234='Use at Shop'!$B$4),K1234*10000000000+(MAX(0,MIN(26,CODE(MID(UPPER(A1234)&amp;"    ",1,1))-64))*19683+MAX(0,MIN(26,CODE(MID(UPPER(A1234)&amp;"    ",2,1))-64))*729+MAX(0,MIN(26,CODE(MID(UPPER(A1234)&amp;"    ",3,1))-64))*27+MAX(0,MIN(26,CODE(MID(UPPER(A1234)&amp;"    ",4,1))-64))*1)*10000+ROW(),""))</f>
        <v/>
      </c>
      <c r="N1234" s="80" t="str">
        <f t="shared" si="8"/>
        <v/>
      </c>
      <c r="O1234" s="80" t="str">
        <f t="array" ref="O1234">IF(A1234="","",IFERROR(INDEX('Deck 4'!$A:$Z,ROW()-1000,'List Setup'!$J$6)&amp;"",""))</f>
        <v/>
      </c>
      <c r="P1234" s="2"/>
      <c r="Q1234" s="80" t="str">
        <f>IF(A1234="","",'List Setup'!$A$6)</f>
        <v/>
      </c>
      <c r="R1234" s="80" t="str">
        <f t="array" ref="R1234">IF(A1234="","",IFERROR(OR(INDEX(Binders!$J$6:$J$30,MATCH(Q1234,Binders!$I$6:$I$30,0))=TRUE(),UPPER(INDEX(Binders!$J$6:$J$30,MATCH(Q1234,Binders!$I$6:$I$30,0))&amp;"")="TRUE"),FALSE()))</f>
        <v/>
      </c>
    </row>
    <row r="1235" ht="15.75" customHeight="1">
      <c r="A1235" s="80" t="str">
        <f t="array" ref="A1235">IF(INDEX('Deck 4'!$A:$Z,ROW()-1000,'List Setup'!$D$6)="","",INDEX('Deck 4'!$A:$Z,ROW()-1000,'List Setup'!$D$6))</f>
        <v/>
      </c>
      <c r="B1235" s="80" t="str">
        <f t="array" ref="B1235">IF(A1235="","",IFERROR(INDEX('Binder Setup'!$B$2:$B$401,MIN(IF(ISNUMBER(SEARCH(CHAR(10)&amp;'Binder Setup'!$B$2:$B$401&amp;CHAR(10),$H1235)),'List Setup'!$Q$2:$Q$401,999),IF(ISNUMBER(SEARCH(CHAR(10)&amp;'Set Aliases'!$A$2:$A$501&amp;CHAR(10),$H1235)),'Set Aliases'!$C$2:$C$501,999))),"(none)"))</f>
        <v/>
      </c>
      <c r="C1235" s="80" t="str">
        <f t="shared" si="1"/>
        <v/>
      </c>
      <c r="D1235" s="80" t="str">
        <f t="array" ref="D1235">IF(A1235="","",IF(ISLOGICAL(INDEX('Deck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35" s="80" t="str">
        <f t="shared" si="2"/>
        <v/>
      </c>
      <c r="F1235" s="80" t="str">
        <f t="array" ref="F1235">IF(A1235="","",IF(ISNUMBER(J1235),J1235,IF(ISNUMBER(INDEX('Deck 4'!$A:$Z,ROW()-1000,'List Setup'!$F$6)),INDEX('Deck 4'!$A:$Z,ROW()-1000,'List Setup'!$F$6),0)))</f>
        <v/>
      </c>
      <c r="G1235" s="80" t="str">
        <f t="array" ref="G1235">IF(A1235="","",A1235&amp;IF(N(INDEX('Deck 4'!$A:$Z,ROW()-1000,'List Setup'!$C$6))&gt;1," (x"&amp;INDEX('Deck 4'!$A:$Z,ROW()-1000,'List Setup'!$C$6)&amp;")","")&amp;IF(COUNTIF(Binders!$J$6:$J$30,TRUE())&gt;1," ["&amp;Q1235&amp;"]",""))</f>
        <v/>
      </c>
      <c r="H1235" s="80" t="str">
        <f t="array" ref="H1235">IF(A1235="","",CHAR(10)&amp;INDEX('Deck 4'!$A:$Z,ROW()-1000,'List Setup'!$E$6)&amp;CHAR(10))</f>
        <v/>
      </c>
      <c r="I1235" s="80" t="str">
        <f t="array" ref="I1235">IF(OR(B1235="",B1235="(none)"),"",IF(ISNUMBER(SEARCH(CHAR(10)&amp;B1235&amp;CHAR(10),H1235)),B1235,IFERROR(INDEX('Set Aliases'!$A$2:$A$501,MATCH(1,('Set Aliases'!$B$2:$B$501=B1235)*ISNUMBER(SEARCH(CHAR(10)&amp;'Set Aliases'!$A$2:$A$501&amp;CHAR(10),H1235)),0)),"")))</f>
        <v/>
      </c>
      <c r="J1235" s="80" t="str">
        <f t="array" ref="J1235">IF(I1235="","",IFERROR(VALUE(TRIM(MID(SUBSTITUTE(INDEX('Deck 4'!$A:$Z,ROW()-1000,'List Setup'!$G$6),CHAR(10),REPT(" ",100)),((SEARCH(CHAR(10)&amp;I1235&amp;CHAR(10),H1235)-LEN(SUBSTITUTE(LEFT(H1235,SEARCH(CHAR(10)&amp;I1235&amp;CHAR(10),H1235)),CHAR(10),"")))-1)*100+1,100))),""))</f>
        <v/>
      </c>
      <c r="K1235" s="80" t="str">
        <f t="array" ref="K1235">IF(A1235="","",IF(ISNUMBER(SEARCH("Land",LEFT(IFERROR(INDEX('Deck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35" s="80" t="str">
        <f t="shared" si="3"/>
        <v/>
      </c>
      <c r="M1235" s="80" t="str">
        <f>IF(A1235="","",IF(AND(E1235="Y",B1235='Use at Shop'!$B$4),K1235*10000000000+(MAX(0,MIN(26,CODE(MID(UPPER(A1235)&amp;"    ",1,1))-64))*19683+MAX(0,MIN(26,CODE(MID(UPPER(A1235)&amp;"    ",2,1))-64))*729+MAX(0,MIN(26,CODE(MID(UPPER(A1235)&amp;"    ",3,1))-64))*27+MAX(0,MIN(26,CODE(MID(UPPER(A1235)&amp;"    ",4,1))-64))*1)*10000+ROW(),""))</f>
        <v/>
      </c>
      <c r="N1235" s="80" t="str">
        <f t="shared" si="8"/>
        <v/>
      </c>
      <c r="O1235" s="80" t="str">
        <f t="array" ref="O1235">IF(A1235="","",IFERROR(INDEX('Deck 4'!$A:$Z,ROW()-1000,'List Setup'!$J$6)&amp;"",""))</f>
        <v/>
      </c>
      <c r="P1235" s="2"/>
      <c r="Q1235" s="80" t="str">
        <f>IF(A1235="","",'List Setup'!$A$6)</f>
        <v/>
      </c>
      <c r="R1235" s="80" t="str">
        <f t="array" ref="R1235">IF(A1235="","",IFERROR(OR(INDEX(Binders!$J$6:$J$30,MATCH(Q1235,Binders!$I$6:$I$30,0))=TRUE(),UPPER(INDEX(Binders!$J$6:$J$30,MATCH(Q1235,Binders!$I$6:$I$30,0))&amp;"")="TRUE"),FALSE()))</f>
        <v/>
      </c>
    </row>
    <row r="1236" ht="15.75" customHeight="1">
      <c r="A1236" s="80" t="str">
        <f t="array" ref="A1236">IF(INDEX('Deck 4'!$A:$Z,ROW()-1000,'List Setup'!$D$6)="","",INDEX('Deck 4'!$A:$Z,ROW()-1000,'List Setup'!$D$6))</f>
        <v/>
      </c>
      <c r="B1236" s="80" t="str">
        <f t="array" ref="B1236">IF(A1236="","",IFERROR(INDEX('Binder Setup'!$B$2:$B$401,MIN(IF(ISNUMBER(SEARCH(CHAR(10)&amp;'Binder Setup'!$B$2:$B$401&amp;CHAR(10),$H1236)),'List Setup'!$Q$2:$Q$401,999),IF(ISNUMBER(SEARCH(CHAR(10)&amp;'Set Aliases'!$A$2:$A$501&amp;CHAR(10),$H1236)),'Set Aliases'!$C$2:$C$501,999))),"(none)"))</f>
        <v/>
      </c>
      <c r="C1236" s="80" t="str">
        <f t="shared" si="1"/>
        <v/>
      </c>
      <c r="D1236" s="80" t="str">
        <f t="array" ref="D1236">IF(A1236="","",IF(ISLOGICAL(INDEX('Deck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36" s="80" t="str">
        <f t="shared" si="2"/>
        <v/>
      </c>
      <c r="F1236" s="80" t="str">
        <f t="array" ref="F1236">IF(A1236="","",IF(ISNUMBER(J1236),J1236,IF(ISNUMBER(INDEX('Deck 4'!$A:$Z,ROW()-1000,'List Setup'!$F$6)),INDEX('Deck 4'!$A:$Z,ROW()-1000,'List Setup'!$F$6),0)))</f>
        <v/>
      </c>
      <c r="G1236" s="80" t="str">
        <f t="array" ref="G1236">IF(A1236="","",A1236&amp;IF(N(INDEX('Deck 4'!$A:$Z,ROW()-1000,'List Setup'!$C$6))&gt;1," (x"&amp;INDEX('Deck 4'!$A:$Z,ROW()-1000,'List Setup'!$C$6)&amp;")","")&amp;IF(COUNTIF(Binders!$J$6:$J$30,TRUE())&gt;1," ["&amp;Q1236&amp;"]",""))</f>
        <v/>
      </c>
      <c r="H1236" s="80" t="str">
        <f t="array" ref="H1236">IF(A1236="","",CHAR(10)&amp;INDEX('Deck 4'!$A:$Z,ROW()-1000,'List Setup'!$E$6)&amp;CHAR(10))</f>
        <v/>
      </c>
      <c r="I1236" s="80" t="str">
        <f t="array" ref="I1236">IF(OR(B1236="",B1236="(none)"),"",IF(ISNUMBER(SEARCH(CHAR(10)&amp;B1236&amp;CHAR(10),H1236)),B1236,IFERROR(INDEX('Set Aliases'!$A$2:$A$501,MATCH(1,('Set Aliases'!$B$2:$B$501=B1236)*ISNUMBER(SEARCH(CHAR(10)&amp;'Set Aliases'!$A$2:$A$501&amp;CHAR(10),H1236)),0)),"")))</f>
        <v/>
      </c>
      <c r="J1236" s="80" t="str">
        <f t="array" ref="J1236">IF(I1236="","",IFERROR(VALUE(TRIM(MID(SUBSTITUTE(INDEX('Deck 4'!$A:$Z,ROW()-1000,'List Setup'!$G$6),CHAR(10),REPT(" ",100)),((SEARCH(CHAR(10)&amp;I1236&amp;CHAR(10),H1236)-LEN(SUBSTITUTE(LEFT(H1236,SEARCH(CHAR(10)&amp;I1236&amp;CHAR(10),H1236)),CHAR(10),"")))-1)*100+1,100))),""))</f>
        <v/>
      </c>
      <c r="K1236" s="80" t="str">
        <f t="array" ref="K1236">IF(A1236="","",IF(ISNUMBER(SEARCH("Land",LEFT(IFERROR(INDEX('Deck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36" s="80" t="str">
        <f t="shared" si="3"/>
        <v/>
      </c>
      <c r="M1236" s="80" t="str">
        <f>IF(A1236="","",IF(AND(E1236="Y",B1236='Use at Shop'!$B$4),K1236*10000000000+(MAX(0,MIN(26,CODE(MID(UPPER(A1236)&amp;"    ",1,1))-64))*19683+MAX(0,MIN(26,CODE(MID(UPPER(A1236)&amp;"    ",2,1))-64))*729+MAX(0,MIN(26,CODE(MID(UPPER(A1236)&amp;"    ",3,1))-64))*27+MAX(0,MIN(26,CODE(MID(UPPER(A1236)&amp;"    ",4,1))-64))*1)*10000+ROW(),""))</f>
        <v/>
      </c>
      <c r="N1236" s="80" t="str">
        <f t="shared" si="8"/>
        <v/>
      </c>
      <c r="O1236" s="80" t="str">
        <f t="array" ref="O1236">IF(A1236="","",IFERROR(INDEX('Deck 4'!$A:$Z,ROW()-1000,'List Setup'!$J$6)&amp;"",""))</f>
        <v/>
      </c>
      <c r="P1236" s="2"/>
      <c r="Q1236" s="80" t="str">
        <f>IF(A1236="","",'List Setup'!$A$6)</f>
        <v/>
      </c>
      <c r="R1236" s="80" t="str">
        <f t="array" ref="R1236">IF(A1236="","",IFERROR(OR(INDEX(Binders!$J$6:$J$30,MATCH(Q1236,Binders!$I$6:$I$30,0))=TRUE(),UPPER(INDEX(Binders!$J$6:$J$30,MATCH(Q1236,Binders!$I$6:$I$30,0))&amp;"")="TRUE"),FALSE()))</f>
        <v/>
      </c>
    </row>
    <row r="1237" ht="15.75" customHeight="1">
      <c r="A1237" s="80" t="str">
        <f t="array" ref="A1237">IF(INDEX('Deck 4'!$A:$Z,ROW()-1000,'List Setup'!$D$6)="","",INDEX('Deck 4'!$A:$Z,ROW()-1000,'List Setup'!$D$6))</f>
        <v/>
      </c>
      <c r="B1237" s="80" t="str">
        <f t="array" ref="B1237">IF(A1237="","",IFERROR(INDEX('Binder Setup'!$B$2:$B$401,MIN(IF(ISNUMBER(SEARCH(CHAR(10)&amp;'Binder Setup'!$B$2:$B$401&amp;CHAR(10),$H1237)),'List Setup'!$Q$2:$Q$401,999),IF(ISNUMBER(SEARCH(CHAR(10)&amp;'Set Aliases'!$A$2:$A$501&amp;CHAR(10),$H1237)),'Set Aliases'!$C$2:$C$501,999))),"(none)"))</f>
        <v/>
      </c>
      <c r="C1237" s="80" t="str">
        <f t="shared" si="1"/>
        <v/>
      </c>
      <c r="D1237" s="80" t="str">
        <f t="array" ref="D1237">IF(A1237="","",IF(ISLOGICAL(INDEX('Deck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37" s="80" t="str">
        <f t="shared" si="2"/>
        <v/>
      </c>
      <c r="F1237" s="80" t="str">
        <f t="array" ref="F1237">IF(A1237="","",IF(ISNUMBER(J1237),J1237,IF(ISNUMBER(INDEX('Deck 4'!$A:$Z,ROW()-1000,'List Setup'!$F$6)),INDEX('Deck 4'!$A:$Z,ROW()-1000,'List Setup'!$F$6),0)))</f>
        <v/>
      </c>
      <c r="G1237" s="80" t="str">
        <f t="array" ref="G1237">IF(A1237="","",A1237&amp;IF(N(INDEX('Deck 4'!$A:$Z,ROW()-1000,'List Setup'!$C$6))&gt;1," (x"&amp;INDEX('Deck 4'!$A:$Z,ROW()-1000,'List Setup'!$C$6)&amp;")","")&amp;IF(COUNTIF(Binders!$J$6:$J$30,TRUE())&gt;1," ["&amp;Q1237&amp;"]",""))</f>
        <v/>
      </c>
      <c r="H1237" s="80" t="str">
        <f t="array" ref="H1237">IF(A1237="","",CHAR(10)&amp;INDEX('Deck 4'!$A:$Z,ROW()-1000,'List Setup'!$E$6)&amp;CHAR(10))</f>
        <v/>
      </c>
      <c r="I1237" s="80" t="str">
        <f t="array" ref="I1237">IF(OR(B1237="",B1237="(none)"),"",IF(ISNUMBER(SEARCH(CHAR(10)&amp;B1237&amp;CHAR(10),H1237)),B1237,IFERROR(INDEX('Set Aliases'!$A$2:$A$501,MATCH(1,('Set Aliases'!$B$2:$B$501=B1237)*ISNUMBER(SEARCH(CHAR(10)&amp;'Set Aliases'!$A$2:$A$501&amp;CHAR(10),H1237)),0)),"")))</f>
        <v/>
      </c>
      <c r="J1237" s="80" t="str">
        <f t="array" ref="J1237">IF(I1237="","",IFERROR(VALUE(TRIM(MID(SUBSTITUTE(INDEX('Deck 4'!$A:$Z,ROW()-1000,'List Setup'!$G$6),CHAR(10),REPT(" ",100)),((SEARCH(CHAR(10)&amp;I1237&amp;CHAR(10),H1237)-LEN(SUBSTITUTE(LEFT(H1237,SEARCH(CHAR(10)&amp;I1237&amp;CHAR(10),H1237)),CHAR(10),"")))-1)*100+1,100))),""))</f>
        <v/>
      </c>
      <c r="K1237" s="80" t="str">
        <f t="array" ref="K1237">IF(A1237="","",IF(ISNUMBER(SEARCH("Land",LEFT(IFERROR(INDEX('Deck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37" s="80" t="str">
        <f t="shared" si="3"/>
        <v/>
      </c>
      <c r="M1237" s="80" t="str">
        <f>IF(A1237="","",IF(AND(E1237="Y",B1237='Use at Shop'!$B$4),K1237*10000000000+(MAX(0,MIN(26,CODE(MID(UPPER(A1237)&amp;"    ",1,1))-64))*19683+MAX(0,MIN(26,CODE(MID(UPPER(A1237)&amp;"    ",2,1))-64))*729+MAX(0,MIN(26,CODE(MID(UPPER(A1237)&amp;"    ",3,1))-64))*27+MAX(0,MIN(26,CODE(MID(UPPER(A1237)&amp;"    ",4,1))-64))*1)*10000+ROW(),""))</f>
        <v/>
      </c>
      <c r="N1237" s="80" t="str">
        <f t="shared" si="8"/>
        <v/>
      </c>
      <c r="O1237" s="80" t="str">
        <f t="array" ref="O1237">IF(A1237="","",IFERROR(INDEX('Deck 4'!$A:$Z,ROW()-1000,'List Setup'!$J$6)&amp;"",""))</f>
        <v/>
      </c>
      <c r="P1237" s="2"/>
      <c r="Q1237" s="80" t="str">
        <f>IF(A1237="","",'List Setup'!$A$6)</f>
        <v/>
      </c>
      <c r="R1237" s="80" t="str">
        <f t="array" ref="R1237">IF(A1237="","",IFERROR(OR(INDEX(Binders!$J$6:$J$30,MATCH(Q1237,Binders!$I$6:$I$30,0))=TRUE(),UPPER(INDEX(Binders!$J$6:$J$30,MATCH(Q1237,Binders!$I$6:$I$30,0))&amp;"")="TRUE"),FALSE()))</f>
        <v/>
      </c>
    </row>
    <row r="1238" ht="15.75" customHeight="1">
      <c r="A1238" s="80" t="str">
        <f t="array" ref="A1238">IF(INDEX('Deck 4'!$A:$Z,ROW()-1000,'List Setup'!$D$6)="","",INDEX('Deck 4'!$A:$Z,ROW()-1000,'List Setup'!$D$6))</f>
        <v/>
      </c>
      <c r="B1238" s="80" t="str">
        <f t="array" ref="B1238">IF(A1238="","",IFERROR(INDEX('Binder Setup'!$B$2:$B$401,MIN(IF(ISNUMBER(SEARCH(CHAR(10)&amp;'Binder Setup'!$B$2:$B$401&amp;CHAR(10),$H1238)),'List Setup'!$Q$2:$Q$401,999),IF(ISNUMBER(SEARCH(CHAR(10)&amp;'Set Aliases'!$A$2:$A$501&amp;CHAR(10),$H1238)),'Set Aliases'!$C$2:$C$501,999))),"(none)"))</f>
        <v/>
      </c>
      <c r="C1238" s="80" t="str">
        <f t="shared" si="1"/>
        <v/>
      </c>
      <c r="D1238" s="80" t="str">
        <f t="array" ref="D1238">IF(A1238="","",IF(ISLOGICAL(INDEX('Deck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38" s="80" t="str">
        <f t="shared" si="2"/>
        <v/>
      </c>
      <c r="F1238" s="80" t="str">
        <f t="array" ref="F1238">IF(A1238="","",IF(ISNUMBER(J1238),J1238,IF(ISNUMBER(INDEX('Deck 4'!$A:$Z,ROW()-1000,'List Setup'!$F$6)),INDEX('Deck 4'!$A:$Z,ROW()-1000,'List Setup'!$F$6),0)))</f>
        <v/>
      </c>
      <c r="G1238" s="80" t="str">
        <f t="array" ref="G1238">IF(A1238="","",A1238&amp;IF(N(INDEX('Deck 4'!$A:$Z,ROW()-1000,'List Setup'!$C$6))&gt;1," (x"&amp;INDEX('Deck 4'!$A:$Z,ROW()-1000,'List Setup'!$C$6)&amp;")","")&amp;IF(COUNTIF(Binders!$J$6:$J$30,TRUE())&gt;1," ["&amp;Q1238&amp;"]",""))</f>
        <v/>
      </c>
      <c r="H1238" s="80" t="str">
        <f t="array" ref="H1238">IF(A1238="","",CHAR(10)&amp;INDEX('Deck 4'!$A:$Z,ROW()-1000,'List Setup'!$E$6)&amp;CHAR(10))</f>
        <v/>
      </c>
      <c r="I1238" s="80" t="str">
        <f t="array" ref="I1238">IF(OR(B1238="",B1238="(none)"),"",IF(ISNUMBER(SEARCH(CHAR(10)&amp;B1238&amp;CHAR(10),H1238)),B1238,IFERROR(INDEX('Set Aliases'!$A$2:$A$501,MATCH(1,('Set Aliases'!$B$2:$B$501=B1238)*ISNUMBER(SEARCH(CHAR(10)&amp;'Set Aliases'!$A$2:$A$501&amp;CHAR(10),H1238)),0)),"")))</f>
        <v/>
      </c>
      <c r="J1238" s="80" t="str">
        <f t="array" ref="J1238">IF(I1238="","",IFERROR(VALUE(TRIM(MID(SUBSTITUTE(INDEX('Deck 4'!$A:$Z,ROW()-1000,'List Setup'!$G$6),CHAR(10),REPT(" ",100)),((SEARCH(CHAR(10)&amp;I1238&amp;CHAR(10),H1238)-LEN(SUBSTITUTE(LEFT(H1238,SEARCH(CHAR(10)&amp;I1238&amp;CHAR(10),H1238)),CHAR(10),"")))-1)*100+1,100))),""))</f>
        <v/>
      </c>
      <c r="K1238" s="80" t="str">
        <f t="array" ref="K1238">IF(A1238="","",IF(ISNUMBER(SEARCH("Land",LEFT(IFERROR(INDEX('Deck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38" s="80" t="str">
        <f t="shared" si="3"/>
        <v/>
      </c>
      <c r="M1238" s="80" t="str">
        <f>IF(A1238="","",IF(AND(E1238="Y",B1238='Use at Shop'!$B$4),K1238*10000000000+(MAX(0,MIN(26,CODE(MID(UPPER(A1238)&amp;"    ",1,1))-64))*19683+MAX(0,MIN(26,CODE(MID(UPPER(A1238)&amp;"    ",2,1))-64))*729+MAX(0,MIN(26,CODE(MID(UPPER(A1238)&amp;"    ",3,1))-64))*27+MAX(0,MIN(26,CODE(MID(UPPER(A1238)&amp;"    ",4,1))-64))*1)*10000+ROW(),""))</f>
        <v/>
      </c>
      <c r="N1238" s="80" t="str">
        <f t="shared" si="8"/>
        <v/>
      </c>
      <c r="O1238" s="80" t="str">
        <f t="array" ref="O1238">IF(A1238="","",IFERROR(INDEX('Deck 4'!$A:$Z,ROW()-1000,'List Setup'!$J$6)&amp;"",""))</f>
        <v/>
      </c>
      <c r="P1238" s="2"/>
      <c r="Q1238" s="80" t="str">
        <f>IF(A1238="","",'List Setup'!$A$6)</f>
        <v/>
      </c>
      <c r="R1238" s="80" t="str">
        <f t="array" ref="R1238">IF(A1238="","",IFERROR(OR(INDEX(Binders!$J$6:$J$30,MATCH(Q1238,Binders!$I$6:$I$30,0))=TRUE(),UPPER(INDEX(Binders!$J$6:$J$30,MATCH(Q1238,Binders!$I$6:$I$30,0))&amp;"")="TRUE"),FALSE()))</f>
        <v/>
      </c>
    </row>
    <row r="1239" ht="15.75" customHeight="1">
      <c r="A1239" s="80" t="str">
        <f t="array" ref="A1239">IF(INDEX('Deck 4'!$A:$Z,ROW()-1000,'List Setup'!$D$6)="","",INDEX('Deck 4'!$A:$Z,ROW()-1000,'List Setup'!$D$6))</f>
        <v/>
      </c>
      <c r="B1239" s="80" t="str">
        <f t="array" ref="B1239">IF(A1239="","",IFERROR(INDEX('Binder Setup'!$B$2:$B$401,MIN(IF(ISNUMBER(SEARCH(CHAR(10)&amp;'Binder Setup'!$B$2:$B$401&amp;CHAR(10),$H1239)),'List Setup'!$Q$2:$Q$401,999),IF(ISNUMBER(SEARCH(CHAR(10)&amp;'Set Aliases'!$A$2:$A$501&amp;CHAR(10),$H1239)),'Set Aliases'!$C$2:$C$501,999))),"(none)"))</f>
        <v/>
      </c>
      <c r="C1239" s="80" t="str">
        <f t="shared" si="1"/>
        <v/>
      </c>
      <c r="D1239" s="80" t="str">
        <f t="array" ref="D1239">IF(A1239="","",IF(ISLOGICAL(INDEX('Deck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39" s="80" t="str">
        <f t="shared" si="2"/>
        <v/>
      </c>
      <c r="F1239" s="80" t="str">
        <f t="array" ref="F1239">IF(A1239="","",IF(ISNUMBER(J1239),J1239,IF(ISNUMBER(INDEX('Deck 4'!$A:$Z,ROW()-1000,'List Setup'!$F$6)),INDEX('Deck 4'!$A:$Z,ROW()-1000,'List Setup'!$F$6),0)))</f>
        <v/>
      </c>
      <c r="G1239" s="80" t="str">
        <f t="array" ref="G1239">IF(A1239="","",A1239&amp;IF(N(INDEX('Deck 4'!$A:$Z,ROW()-1000,'List Setup'!$C$6))&gt;1," (x"&amp;INDEX('Deck 4'!$A:$Z,ROW()-1000,'List Setup'!$C$6)&amp;")","")&amp;IF(COUNTIF(Binders!$J$6:$J$30,TRUE())&gt;1," ["&amp;Q1239&amp;"]",""))</f>
        <v/>
      </c>
      <c r="H1239" s="80" t="str">
        <f t="array" ref="H1239">IF(A1239="","",CHAR(10)&amp;INDEX('Deck 4'!$A:$Z,ROW()-1000,'List Setup'!$E$6)&amp;CHAR(10))</f>
        <v/>
      </c>
      <c r="I1239" s="80" t="str">
        <f t="array" ref="I1239">IF(OR(B1239="",B1239="(none)"),"",IF(ISNUMBER(SEARCH(CHAR(10)&amp;B1239&amp;CHAR(10),H1239)),B1239,IFERROR(INDEX('Set Aliases'!$A$2:$A$501,MATCH(1,('Set Aliases'!$B$2:$B$501=B1239)*ISNUMBER(SEARCH(CHAR(10)&amp;'Set Aliases'!$A$2:$A$501&amp;CHAR(10),H1239)),0)),"")))</f>
        <v/>
      </c>
      <c r="J1239" s="80" t="str">
        <f t="array" ref="J1239">IF(I1239="","",IFERROR(VALUE(TRIM(MID(SUBSTITUTE(INDEX('Deck 4'!$A:$Z,ROW()-1000,'List Setup'!$G$6),CHAR(10),REPT(" ",100)),((SEARCH(CHAR(10)&amp;I1239&amp;CHAR(10),H1239)-LEN(SUBSTITUTE(LEFT(H1239,SEARCH(CHAR(10)&amp;I1239&amp;CHAR(10),H1239)),CHAR(10),"")))-1)*100+1,100))),""))</f>
        <v/>
      </c>
      <c r="K1239" s="80" t="str">
        <f t="array" ref="K1239">IF(A1239="","",IF(ISNUMBER(SEARCH("Land",LEFT(IFERROR(INDEX('Deck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39" s="80" t="str">
        <f t="shared" si="3"/>
        <v/>
      </c>
      <c r="M1239" s="80" t="str">
        <f>IF(A1239="","",IF(AND(E1239="Y",B1239='Use at Shop'!$B$4),K1239*10000000000+(MAX(0,MIN(26,CODE(MID(UPPER(A1239)&amp;"    ",1,1))-64))*19683+MAX(0,MIN(26,CODE(MID(UPPER(A1239)&amp;"    ",2,1))-64))*729+MAX(0,MIN(26,CODE(MID(UPPER(A1239)&amp;"    ",3,1))-64))*27+MAX(0,MIN(26,CODE(MID(UPPER(A1239)&amp;"    ",4,1))-64))*1)*10000+ROW(),""))</f>
        <v/>
      </c>
      <c r="N1239" s="80" t="str">
        <f t="shared" si="8"/>
        <v/>
      </c>
      <c r="O1239" s="80" t="str">
        <f t="array" ref="O1239">IF(A1239="","",IFERROR(INDEX('Deck 4'!$A:$Z,ROW()-1000,'List Setup'!$J$6)&amp;"",""))</f>
        <v/>
      </c>
      <c r="P1239" s="2"/>
      <c r="Q1239" s="80" t="str">
        <f>IF(A1239="","",'List Setup'!$A$6)</f>
        <v/>
      </c>
      <c r="R1239" s="80" t="str">
        <f t="array" ref="R1239">IF(A1239="","",IFERROR(OR(INDEX(Binders!$J$6:$J$30,MATCH(Q1239,Binders!$I$6:$I$30,0))=TRUE(),UPPER(INDEX(Binders!$J$6:$J$30,MATCH(Q1239,Binders!$I$6:$I$30,0))&amp;"")="TRUE"),FALSE()))</f>
        <v/>
      </c>
    </row>
    <row r="1240" ht="15.75" customHeight="1">
      <c r="A1240" s="80" t="str">
        <f t="array" ref="A1240">IF(INDEX('Deck 4'!$A:$Z,ROW()-1000,'List Setup'!$D$6)="","",INDEX('Deck 4'!$A:$Z,ROW()-1000,'List Setup'!$D$6))</f>
        <v/>
      </c>
      <c r="B1240" s="80" t="str">
        <f t="array" ref="B1240">IF(A1240="","",IFERROR(INDEX('Binder Setup'!$B$2:$B$401,MIN(IF(ISNUMBER(SEARCH(CHAR(10)&amp;'Binder Setup'!$B$2:$B$401&amp;CHAR(10),$H1240)),'List Setup'!$Q$2:$Q$401,999),IF(ISNUMBER(SEARCH(CHAR(10)&amp;'Set Aliases'!$A$2:$A$501&amp;CHAR(10),$H1240)),'Set Aliases'!$C$2:$C$501,999))),"(none)"))</f>
        <v/>
      </c>
      <c r="C1240" s="80" t="str">
        <f t="shared" si="1"/>
        <v/>
      </c>
      <c r="D1240" s="80" t="str">
        <f t="array" ref="D1240">IF(A1240="","",IF(ISLOGICAL(INDEX('Deck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40" s="80" t="str">
        <f t="shared" si="2"/>
        <v/>
      </c>
      <c r="F1240" s="80" t="str">
        <f t="array" ref="F1240">IF(A1240="","",IF(ISNUMBER(J1240),J1240,IF(ISNUMBER(INDEX('Deck 4'!$A:$Z,ROW()-1000,'List Setup'!$F$6)),INDEX('Deck 4'!$A:$Z,ROW()-1000,'List Setup'!$F$6),0)))</f>
        <v/>
      </c>
      <c r="G1240" s="80" t="str">
        <f t="array" ref="G1240">IF(A1240="","",A1240&amp;IF(N(INDEX('Deck 4'!$A:$Z,ROW()-1000,'List Setup'!$C$6))&gt;1," (x"&amp;INDEX('Deck 4'!$A:$Z,ROW()-1000,'List Setup'!$C$6)&amp;")","")&amp;IF(COUNTIF(Binders!$J$6:$J$30,TRUE())&gt;1," ["&amp;Q1240&amp;"]",""))</f>
        <v/>
      </c>
      <c r="H1240" s="80" t="str">
        <f t="array" ref="H1240">IF(A1240="","",CHAR(10)&amp;INDEX('Deck 4'!$A:$Z,ROW()-1000,'List Setup'!$E$6)&amp;CHAR(10))</f>
        <v/>
      </c>
      <c r="I1240" s="80" t="str">
        <f t="array" ref="I1240">IF(OR(B1240="",B1240="(none)"),"",IF(ISNUMBER(SEARCH(CHAR(10)&amp;B1240&amp;CHAR(10),H1240)),B1240,IFERROR(INDEX('Set Aliases'!$A$2:$A$501,MATCH(1,('Set Aliases'!$B$2:$B$501=B1240)*ISNUMBER(SEARCH(CHAR(10)&amp;'Set Aliases'!$A$2:$A$501&amp;CHAR(10),H1240)),0)),"")))</f>
        <v/>
      </c>
      <c r="J1240" s="80" t="str">
        <f t="array" ref="J1240">IF(I1240="","",IFERROR(VALUE(TRIM(MID(SUBSTITUTE(INDEX('Deck 4'!$A:$Z,ROW()-1000,'List Setup'!$G$6),CHAR(10),REPT(" ",100)),((SEARCH(CHAR(10)&amp;I1240&amp;CHAR(10),H1240)-LEN(SUBSTITUTE(LEFT(H1240,SEARCH(CHAR(10)&amp;I1240&amp;CHAR(10),H1240)),CHAR(10),"")))-1)*100+1,100))),""))</f>
        <v/>
      </c>
      <c r="K1240" s="80" t="str">
        <f t="array" ref="K1240">IF(A1240="","",IF(ISNUMBER(SEARCH("Land",LEFT(IFERROR(INDEX('Deck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40" s="80" t="str">
        <f t="shared" si="3"/>
        <v/>
      </c>
      <c r="M1240" s="80" t="str">
        <f>IF(A1240="","",IF(AND(E1240="Y",B1240='Use at Shop'!$B$4),K1240*10000000000+(MAX(0,MIN(26,CODE(MID(UPPER(A1240)&amp;"    ",1,1))-64))*19683+MAX(0,MIN(26,CODE(MID(UPPER(A1240)&amp;"    ",2,1))-64))*729+MAX(0,MIN(26,CODE(MID(UPPER(A1240)&amp;"    ",3,1))-64))*27+MAX(0,MIN(26,CODE(MID(UPPER(A1240)&amp;"    ",4,1))-64))*1)*10000+ROW(),""))</f>
        <v/>
      </c>
      <c r="N1240" s="80" t="str">
        <f t="shared" si="8"/>
        <v/>
      </c>
      <c r="O1240" s="80" t="str">
        <f t="array" ref="O1240">IF(A1240="","",IFERROR(INDEX('Deck 4'!$A:$Z,ROW()-1000,'List Setup'!$J$6)&amp;"",""))</f>
        <v/>
      </c>
      <c r="P1240" s="2"/>
      <c r="Q1240" s="80" t="str">
        <f>IF(A1240="","",'List Setup'!$A$6)</f>
        <v/>
      </c>
      <c r="R1240" s="80" t="str">
        <f t="array" ref="R1240">IF(A1240="","",IFERROR(OR(INDEX(Binders!$J$6:$J$30,MATCH(Q1240,Binders!$I$6:$I$30,0))=TRUE(),UPPER(INDEX(Binders!$J$6:$J$30,MATCH(Q1240,Binders!$I$6:$I$30,0))&amp;"")="TRUE"),FALSE()))</f>
        <v/>
      </c>
    </row>
    <row r="1241" ht="15.75" customHeight="1">
      <c r="A1241" s="80" t="str">
        <f t="array" ref="A1241">IF(INDEX('Deck 4'!$A:$Z,ROW()-1000,'List Setup'!$D$6)="","",INDEX('Deck 4'!$A:$Z,ROW()-1000,'List Setup'!$D$6))</f>
        <v/>
      </c>
      <c r="B1241" s="80" t="str">
        <f t="array" ref="B1241">IF(A1241="","",IFERROR(INDEX('Binder Setup'!$B$2:$B$401,MIN(IF(ISNUMBER(SEARCH(CHAR(10)&amp;'Binder Setup'!$B$2:$B$401&amp;CHAR(10),$H1241)),'List Setup'!$Q$2:$Q$401,999),IF(ISNUMBER(SEARCH(CHAR(10)&amp;'Set Aliases'!$A$2:$A$501&amp;CHAR(10),$H1241)),'Set Aliases'!$C$2:$C$501,999))),"(none)"))</f>
        <v/>
      </c>
      <c r="C1241" s="80" t="str">
        <f t="shared" si="1"/>
        <v/>
      </c>
      <c r="D1241" s="80" t="str">
        <f t="array" ref="D1241">IF(A1241="","",IF(ISLOGICAL(INDEX('Deck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41" s="80" t="str">
        <f t="shared" si="2"/>
        <v/>
      </c>
      <c r="F1241" s="80" t="str">
        <f t="array" ref="F1241">IF(A1241="","",IF(ISNUMBER(J1241),J1241,IF(ISNUMBER(INDEX('Deck 4'!$A:$Z,ROW()-1000,'List Setup'!$F$6)),INDEX('Deck 4'!$A:$Z,ROW()-1000,'List Setup'!$F$6),0)))</f>
        <v/>
      </c>
      <c r="G1241" s="80" t="str">
        <f t="array" ref="G1241">IF(A1241="","",A1241&amp;IF(N(INDEX('Deck 4'!$A:$Z,ROW()-1000,'List Setup'!$C$6))&gt;1," (x"&amp;INDEX('Deck 4'!$A:$Z,ROW()-1000,'List Setup'!$C$6)&amp;")","")&amp;IF(COUNTIF(Binders!$J$6:$J$30,TRUE())&gt;1," ["&amp;Q1241&amp;"]",""))</f>
        <v/>
      </c>
      <c r="H1241" s="80" t="str">
        <f t="array" ref="H1241">IF(A1241="","",CHAR(10)&amp;INDEX('Deck 4'!$A:$Z,ROW()-1000,'List Setup'!$E$6)&amp;CHAR(10))</f>
        <v/>
      </c>
      <c r="I1241" s="80" t="str">
        <f t="array" ref="I1241">IF(OR(B1241="",B1241="(none)"),"",IF(ISNUMBER(SEARCH(CHAR(10)&amp;B1241&amp;CHAR(10),H1241)),B1241,IFERROR(INDEX('Set Aliases'!$A$2:$A$501,MATCH(1,('Set Aliases'!$B$2:$B$501=B1241)*ISNUMBER(SEARCH(CHAR(10)&amp;'Set Aliases'!$A$2:$A$501&amp;CHAR(10),H1241)),0)),"")))</f>
        <v/>
      </c>
      <c r="J1241" s="80" t="str">
        <f t="array" ref="J1241">IF(I1241="","",IFERROR(VALUE(TRIM(MID(SUBSTITUTE(INDEX('Deck 4'!$A:$Z,ROW()-1000,'List Setup'!$G$6),CHAR(10),REPT(" ",100)),((SEARCH(CHAR(10)&amp;I1241&amp;CHAR(10),H1241)-LEN(SUBSTITUTE(LEFT(H1241,SEARCH(CHAR(10)&amp;I1241&amp;CHAR(10),H1241)),CHAR(10),"")))-1)*100+1,100))),""))</f>
        <v/>
      </c>
      <c r="K1241" s="80" t="str">
        <f t="array" ref="K1241">IF(A1241="","",IF(ISNUMBER(SEARCH("Land",LEFT(IFERROR(INDEX('Deck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41" s="80" t="str">
        <f t="shared" si="3"/>
        <v/>
      </c>
      <c r="M1241" s="80" t="str">
        <f>IF(A1241="","",IF(AND(E1241="Y",B1241='Use at Shop'!$B$4),K1241*10000000000+(MAX(0,MIN(26,CODE(MID(UPPER(A1241)&amp;"    ",1,1))-64))*19683+MAX(0,MIN(26,CODE(MID(UPPER(A1241)&amp;"    ",2,1))-64))*729+MAX(0,MIN(26,CODE(MID(UPPER(A1241)&amp;"    ",3,1))-64))*27+MAX(0,MIN(26,CODE(MID(UPPER(A1241)&amp;"    ",4,1))-64))*1)*10000+ROW(),""))</f>
        <v/>
      </c>
      <c r="N1241" s="80" t="str">
        <f t="shared" si="8"/>
        <v/>
      </c>
      <c r="O1241" s="80" t="str">
        <f t="array" ref="O1241">IF(A1241="","",IFERROR(INDEX('Deck 4'!$A:$Z,ROW()-1000,'List Setup'!$J$6)&amp;"",""))</f>
        <v/>
      </c>
      <c r="P1241" s="2"/>
      <c r="Q1241" s="80" t="str">
        <f>IF(A1241="","",'List Setup'!$A$6)</f>
        <v/>
      </c>
      <c r="R1241" s="80" t="str">
        <f t="array" ref="R1241">IF(A1241="","",IFERROR(OR(INDEX(Binders!$J$6:$J$30,MATCH(Q1241,Binders!$I$6:$I$30,0))=TRUE(),UPPER(INDEX(Binders!$J$6:$J$30,MATCH(Q1241,Binders!$I$6:$I$30,0))&amp;"")="TRUE"),FALSE()))</f>
        <v/>
      </c>
    </row>
    <row r="1242" ht="15.75" customHeight="1">
      <c r="A1242" s="80" t="str">
        <f t="array" ref="A1242">IF(INDEX('Deck 4'!$A:$Z,ROW()-1000,'List Setup'!$D$6)="","",INDEX('Deck 4'!$A:$Z,ROW()-1000,'List Setup'!$D$6))</f>
        <v/>
      </c>
      <c r="B1242" s="80" t="str">
        <f t="array" ref="B1242">IF(A1242="","",IFERROR(INDEX('Binder Setup'!$B$2:$B$401,MIN(IF(ISNUMBER(SEARCH(CHAR(10)&amp;'Binder Setup'!$B$2:$B$401&amp;CHAR(10),$H1242)),'List Setup'!$Q$2:$Q$401,999),IF(ISNUMBER(SEARCH(CHAR(10)&amp;'Set Aliases'!$A$2:$A$501&amp;CHAR(10),$H1242)),'Set Aliases'!$C$2:$C$501,999))),"(none)"))</f>
        <v/>
      </c>
      <c r="C1242" s="80" t="str">
        <f t="shared" si="1"/>
        <v/>
      </c>
      <c r="D1242" s="80" t="str">
        <f t="array" ref="D1242">IF(A1242="","",IF(ISLOGICAL(INDEX('Deck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42" s="80" t="str">
        <f t="shared" si="2"/>
        <v/>
      </c>
      <c r="F1242" s="80" t="str">
        <f t="array" ref="F1242">IF(A1242="","",IF(ISNUMBER(J1242),J1242,IF(ISNUMBER(INDEX('Deck 4'!$A:$Z,ROW()-1000,'List Setup'!$F$6)),INDEX('Deck 4'!$A:$Z,ROW()-1000,'List Setup'!$F$6),0)))</f>
        <v/>
      </c>
      <c r="G1242" s="80" t="str">
        <f t="array" ref="G1242">IF(A1242="","",A1242&amp;IF(N(INDEX('Deck 4'!$A:$Z,ROW()-1000,'List Setup'!$C$6))&gt;1," (x"&amp;INDEX('Deck 4'!$A:$Z,ROW()-1000,'List Setup'!$C$6)&amp;")","")&amp;IF(COUNTIF(Binders!$J$6:$J$30,TRUE())&gt;1," ["&amp;Q1242&amp;"]",""))</f>
        <v/>
      </c>
      <c r="H1242" s="80" t="str">
        <f t="array" ref="H1242">IF(A1242="","",CHAR(10)&amp;INDEX('Deck 4'!$A:$Z,ROW()-1000,'List Setup'!$E$6)&amp;CHAR(10))</f>
        <v/>
      </c>
      <c r="I1242" s="80" t="str">
        <f t="array" ref="I1242">IF(OR(B1242="",B1242="(none)"),"",IF(ISNUMBER(SEARCH(CHAR(10)&amp;B1242&amp;CHAR(10),H1242)),B1242,IFERROR(INDEX('Set Aliases'!$A$2:$A$501,MATCH(1,('Set Aliases'!$B$2:$B$501=B1242)*ISNUMBER(SEARCH(CHAR(10)&amp;'Set Aliases'!$A$2:$A$501&amp;CHAR(10),H1242)),0)),"")))</f>
        <v/>
      </c>
      <c r="J1242" s="80" t="str">
        <f t="array" ref="J1242">IF(I1242="","",IFERROR(VALUE(TRIM(MID(SUBSTITUTE(INDEX('Deck 4'!$A:$Z,ROW()-1000,'List Setup'!$G$6),CHAR(10),REPT(" ",100)),((SEARCH(CHAR(10)&amp;I1242&amp;CHAR(10),H1242)-LEN(SUBSTITUTE(LEFT(H1242,SEARCH(CHAR(10)&amp;I1242&amp;CHAR(10),H1242)),CHAR(10),"")))-1)*100+1,100))),""))</f>
        <v/>
      </c>
      <c r="K1242" s="80" t="str">
        <f t="array" ref="K1242">IF(A1242="","",IF(ISNUMBER(SEARCH("Land",LEFT(IFERROR(INDEX('Deck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42" s="80" t="str">
        <f t="shared" si="3"/>
        <v/>
      </c>
      <c r="M1242" s="80" t="str">
        <f>IF(A1242="","",IF(AND(E1242="Y",B1242='Use at Shop'!$B$4),K1242*10000000000+(MAX(0,MIN(26,CODE(MID(UPPER(A1242)&amp;"    ",1,1))-64))*19683+MAX(0,MIN(26,CODE(MID(UPPER(A1242)&amp;"    ",2,1))-64))*729+MAX(0,MIN(26,CODE(MID(UPPER(A1242)&amp;"    ",3,1))-64))*27+MAX(0,MIN(26,CODE(MID(UPPER(A1242)&amp;"    ",4,1))-64))*1)*10000+ROW(),""))</f>
        <v/>
      </c>
      <c r="N1242" s="80" t="str">
        <f t="shared" si="8"/>
        <v/>
      </c>
      <c r="O1242" s="80" t="str">
        <f t="array" ref="O1242">IF(A1242="","",IFERROR(INDEX('Deck 4'!$A:$Z,ROW()-1000,'List Setup'!$J$6)&amp;"",""))</f>
        <v/>
      </c>
      <c r="P1242" s="2"/>
      <c r="Q1242" s="80" t="str">
        <f>IF(A1242="","",'List Setup'!$A$6)</f>
        <v/>
      </c>
      <c r="R1242" s="80" t="str">
        <f t="array" ref="R1242">IF(A1242="","",IFERROR(OR(INDEX(Binders!$J$6:$J$30,MATCH(Q1242,Binders!$I$6:$I$30,0))=TRUE(),UPPER(INDEX(Binders!$J$6:$J$30,MATCH(Q1242,Binders!$I$6:$I$30,0))&amp;"")="TRUE"),FALSE()))</f>
        <v/>
      </c>
    </row>
    <row r="1243" ht="15.75" customHeight="1">
      <c r="A1243" s="80" t="str">
        <f t="array" ref="A1243">IF(INDEX('Deck 4'!$A:$Z,ROW()-1000,'List Setup'!$D$6)="","",INDEX('Deck 4'!$A:$Z,ROW()-1000,'List Setup'!$D$6))</f>
        <v/>
      </c>
      <c r="B1243" s="80" t="str">
        <f t="array" ref="B1243">IF(A1243="","",IFERROR(INDEX('Binder Setup'!$B$2:$B$401,MIN(IF(ISNUMBER(SEARCH(CHAR(10)&amp;'Binder Setup'!$B$2:$B$401&amp;CHAR(10),$H1243)),'List Setup'!$Q$2:$Q$401,999),IF(ISNUMBER(SEARCH(CHAR(10)&amp;'Set Aliases'!$A$2:$A$501&amp;CHAR(10),$H1243)),'Set Aliases'!$C$2:$C$501,999))),"(none)"))</f>
        <v/>
      </c>
      <c r="C1243" s="80" t="str">
        <f t="shared" si="1"/>
        <v/>
      </c>
      <c r="D1243" s="80" t="str">
        <f t="array" ref="D1243">IF(A1243="","",IF(ISLOGICAL(INDEX('Deck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43" s="80" t="str">
        <f t="shared" si="2"/>
        <v/>
      </c>
      <c r="F1243" s="80" t="str">
        <f t="array" ref="F1243">IF(A1243="","",IF(ISNUMBER(J1243),J1243,IF(ISNUMBER(INDEX('Deck 4'!$A:$Z,ROW()-1000,'List Setup'!$F$6)),INDEX('Deck 4'!$A:$Z,ROW()-1000,'List Setup'!$F$6),0)))</f>
        <v/>
      </c>
      <c r="G1243" s="80" t="str">
        <f t="array" ref="G1243">IF(A1243="","",A1243&amp;IF(N(INDEX('Deck 4'!$A:$Z,ROW()-1000,'List Setup'!$C$6))&gt;1," (x"&amp;INDEX('Deck 4'!$A:$Z,ROW()-1000,'List Setup'!$C$6)&amp;")","")&amp;IF(COUNTIF(Binders!$J$6:$J$30,TRUE())&gt;1," ["&amp;Q1243&amp;"]",""))</f>
        <v/>
      </c>
      <c r="H1243" s="80" t="str">
        <f t="array" ref="H1243">IF(A1243="","",CHAR(10)&amp;INDEX('Deck 4'!$A:$Z,ROW()-1000,'List Setup'!$E$6)&amp;CHAR(10))</f>
        <v/>
      </c>
      <c r="I1243" s="80" t="str">
        <f t="array" ref="I1243">IF(OR(B1243="",B1243="(none)"),"",IF(ISNUMBER(SEARCH(CHAR(10)&amp;B1243&amp;CHAR(10),H1243)),B1243,IFERROR(INDEX('Set Aliases'!$A$2:$A$501,MATCH(1,('Set Aliases'!$B$2:$B$501=B1243)*ISNUMBER(SEARCH(CHAR(10)&amp;'Set Aliases'!$A$2:$A$501&amp;CHAR(10),H1243)),0)),"")))</f>
        <v/>
      </c>
      <c r="J1243" s="80" t="str">
        <f t="array" ref="J1243">IF(I1243="","",IFERROR(VALUE(TRIM(MID(SUBSTITUTE(INDEX('Deck 4'!$A:$Z,ROW()-1000,'List Setup'!$G$6),CHAR(10),REPT(" ",100)),((SEARCH(CHAR(10)&amp;I1243&amp;CHAR(10),H1243)-LEN(SUBSTITUTE(LEFT(H1243,SEARCH(CHAR(10)&amp;I1243&amp;CHAR(10),H1243)),CHAR(10),"")))-1)*100+1,100))),""))</f>
        <v/>
      </c>
      <c r="K1243" s="80" t="str">
        <f t="array" ref="K1243">IF(A1243="","",IF(ISNUMBER(SEARCH("Land",LEFT(IFERROR(INDEX('Deck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43" s="80" t="str">
        <f t="shared" si="3"/>
        <v/>
      </c>
      <c r="M1243" s="80" t="str">
        <f>IF(A1243="","",IF(AND(E1243="Y",B1243='Use at Shop'!$B$4),K1243*10000000000+(MAX(0,MIN(26,CODE(MID(UPPER(A1243)&amp;"    ",1,1))-64))*19683+MAX(0,MIN(26,CODE(MID(UPPER(A1243)&amp;"    ",2,1))-64))*729+MAX(0,MIN(26,CODE(MID(UPPER(A1243)&amp;"    ",3,1))-64))*27+MAX(0,MIN(26,CODE(MID(UPPER(A1243)&amp;"    ",4,1))-64))*1)*10000+ROW(),""))</f>
        <v/>
      </c>
      <c r="N1243" s="80" t="str">
        <f t="shared" si="8"/>
        <v/>
      </c>
      <c r="O1243" s="80" t="str">
        <f t="array" ref="O1243">IF(A1243="","",IFERROR(INDEX('Deck 4'!$A:$Z,ROW()-1000,'List Setup'!$J$6)&amp;"",""))</f>
        <v/>
      </c>
      <c r="P1243" s="2"/>
      <c r="Q1243" s="80" t="str">
        <f>IF(A1243="","",'List Setup'!$A$6)</f>
        <v/>
      </c>
      <c r="R1243" s="80" t="str">
        <f t="array" ref="R1243">IF(A1243="","",IFERROR(OR(INDEX(Binders!$J$6:$J$30,MATCH(Q1243,Binders!$I$6:$I$30,0))=TRUE(),UPPER(INDEX(Binders!$J$6:$J$30,MATCH(Q1243,Binders!$I$6:$I$30,0))&amp;"")="TRUE"),FALSE()))</f>
        <v/>
      </c>
    </row>
    <row r="1244" ht="15.75" customHeight="1">
      <c r="A1244" s="80" t="str">
        <f t="array" ref="A1244">IF(INDEX('Deck 4'!$A:$Z,ROW()-1000,'List Setup'!$D$6)="","",INDEX('Deck 4'!$A:$Z,ROW()-1000,'List Setup'!$D$6))</f>
        <v/>
      </c>
      <c r="B1244" s="80" t="str">
        <f t="array" ref="B1244">IF(A1244="","",IFERROR(INDEX('Binder Setup'!$B$2:$B$401,MIN(IF(ISNUMBER(SEARCH(CHAR(10)&amp;'Binder Setup'!$B$2:$B$401&amp;CHAR(10),$H1244)),'List Setup'!$Q$2:$Q$401,999),IF(ISNUMBER(SEARCH(CHAR(10)&amp;'Set Aliases'!$A$2:$A$501&amp;CHAR(10),$H1244)),'Set Aliases'!$C$2:$C$501,999))),"(none)"))</f>
        <v/>
      </c>
      <c r="C1244" s="80" t="str">
        <f t="shared" si="1"/>
        <v/>
      </c>
      <c r="D1244" s="80" t="str">
        <f t="array" ref="D1244">IF(A1244="","",IF(ISLOGICAL(INDEX('Deck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44" s="80" t="str">
        <f t="shared" si="2"/>
        <v/>
      </c>
      <c r="F1244" s="80" t="str">
        <f t="array" ref="F1244">IF(A1244="","",IF(ISNUMBER(J1244),J1244,IF(ISNUMBER(INDEX('Deck 4'!$A:$Z,ROW()-1000,'List Setup'!$F$6)),INDEX('Deck 4'!$A:$Z,ROW()-1000,'List Setup'!$F$6),0)))</f>
        <v/>
      </c>
      <c r="G1244" s="80" t="str">
        <f t="array" ref="G1244">IF(A1244="","",A1244&amp;IF(N(INDEX('Deck 4'!$A:$Z,ROW()-1000,'List Setup'!$C$6))&gt;1," (x"&amp;INDEX('Deck 4'!$A:$Z,ROW()-1000,'List Setup'!$C$6)&amp;")","")&amp;IF(COUNTIF(Binders!$J$6:$J$30,TRUE())&gt;1," ["&amp;Q1244&amp;"]",""))</f>
        <v/>
      </c>
      <c r="H1244" s="80" t="str">
        <f t="array" ref="H1244">IF(A1244="","",CHAR(10)&amp;INDEX('Deck 4'!$A:$Z,ROW()-1000,'List Setup'!$E$6)&amp;CHAR(10))</f>
        <v/>
      </c>
      <c r="I1244" s="80" t="str">
        <f t="array" ref="I1244">IF(OR(B1244="",B1244="(none)"),"",IF(ISNUMBER(SEARCH(CHAR(10)&amp;B1244&amp;CHAR(10),H1244)),B1244,IFERROR(INDEX('Set Aliases'!$A$2:$A$501,MATCH(1,('Set Aliases'!$B$2:$B$501=B1244)*ISNUMBER(SEARCH(CHAR(10)&amp;'Set Aliases'!$A$2:$A$501&amp;CHAR(10),H1244)),0)),"")))</f>
        <v/>
      </c>
      <c r="J1244" s="80" t="str">
        <f t="array" ref="J1244">IF(I1244="","",IFERROR(VALUE(TRIM(MID(SUBSTITUTE(INDEX('Deck 4'!$A:$Z,ROW()-1000,'List Setup'!$G$6),CHAR(10),REPT(" ",100)),((SEARCH(CHAR(10)&amp;I1244&amp;CHAR(10),H1244)-LEN(SUBSTITUTE(LEFT(H1244,SEARCH(CHAR(10)&amp;I1244&amp;CHAR(10),H1244)),CHAR(10),"")))-1)*100+1,100))),""))</f>
        <v/>
      </c>
      <c r="K1244" s="80" t="str">
        <f t="array" ref="K1244">IF(A1244="","",IF(ISNUMBER(SEARCH("Land",LEFT(IFERROR(INDEX('Deck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44" s="80" t="str">
        <f t="shared" si="3"/>
        <v/>
      </c>
      <c r="M1244" s="80" t="str">
        <f>IF(A1244="","",IF(AND(E1244="Y",B1244='Use at Shop'!$B$4),K1244*10000000000+(MAX(0,MIN(26,CODE(MID(UPPER(A1244)&amp;"    ",1,1))-64))*19683+MAX(0,MIN(26,CODE(MID(UPPER(A1244)&amp;"    ",2,1))-64))*729+MAX(0,MIN(26,CODE(MID(UPPER(A1244)&amp;"    ",3,1))-64))*27+MAX(0,MIN(26,CODE(MID(UPPER(A1244)&amp;"    ",4,1))-64))*1)*10000+ROW(),""))</f>
        <v/>
      </c>
      <c r="N1244" s="80" t="str">
        <f t="shared" si="8"/>
        <v/>
      </c>
      <c r="O1244" s="80" t="str">
        <f t="array" ref="O1244">IF(A1244="","",IFERROR(INDEX('Deck 4'!$A:$Z,ROW()-1000,'List Setup'!$J$6)&amp;"",""))</f>
        <v/>
      </c>
      <c r="P1244" s="2"/>
      <c r="Q1244" s="80" t="str">
        <f>IF(A1244="","",'List Setup'!$A$6)</f>
        <v/>
      </c>
      <c r="R1244" s="80" t="str">
        <f t="array" ref="R1244">IF(A1244="","",IFERROR(OR(INDEX(Binders!$J$6:$J$30,MATCH(Q1244,Binders!$I$6:$I$30,0))=TRUE(),UPPER(INDEX(Binders!$J$6:$J$30,MATCH(Q1244,Binders!$I$6:$I$30,0))&amp;"")="TRUE"),FALSE()))</f>
        <v/>
      </c>
    </row>
    <row r="1245" ht="15.75" customHeight="1">
      <c r="A1245" s="80" t="str">
        <f t="array" ref="A1245">IF(INDEX('Deck 4'!$A:$Z,ROW()-1000,'List Setup'!$D$6)="","",INDEX('Deck 4'!$A:$Z,ROW()-1000,'List Setup'!$D$6))</f>
        <v/>
      </c>
      <c r="B1245" s="80" t="str">
        <f t="array" ref="B1245">IF(A1245="","",IFERROR(INDEX('Binder Setup'!$B$2:$B$401,MIN(IF(ISNUMBER(SEARCH(CHAR(10)&amp;'Binder Setup'!$B$2:$B$401&amp;CHAR(10),$H1245)),'List Setup'!$Q$2:$Q$401,999),IF(ISNUMBER(SEARCH(CHAR(10)&amp;'Set Aliases'!$A$2:$A$501&amp;CHAR(10),$H1245)),'Set Aliases'!$C$2:$C$501,999))),"(none)"))</f>
        <v/>
      </c>
      <c r="C1245" s="80" t="str">
        <f t="shared" si="1"/>
        <v/>
      </c>
      <c r="D1245" s="80" t="str">
        <f t="array" ref="D1245">IF(A1245="","",IF(ISLOGICAL(INDEX('Deck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45" s="80" t="str">
        <f t="shared" si="2"/>
        <v/>
      </c>
      <c r="F1245" s="80" t="str">
        <f t="array" ref="F1245">IF(A1245="","",IF(ISNUMBER(J1245),J1245,IF(ISNUMBER(INDEX('Deck 4'!$A:$Z,ROW()-1000,'List Setup'!$F$6)),INDEX('Deck 4'!$A:$Z,ROW()-1000,'List Setup'!$F$6),0)))</f>
        <v/>
      </c>
      <c r="G1245" s="80" t="str">
        <f t="array" ref="G1245">IF(A1245="","",A1245&amp;IF(N(INDEX('Deck 4'!$A:$Z,ROW()-1000,'List Setup'!$C$6))&gt;1," (x"&amp;INDEX('Deck 4'!$A:$Z,ROW()-1000,'List Setup'!$C$6)&amp;")","")&amp;IF(COUNTIF(Binders!$J$6:$J$30,TRUE())&gt;1," ["&amp;Q1245&amp;"]",""))</f>
        <v/>
      </c>
      <c r="H1245" s="80" t="str">
        <f t="array" ref="H1245">IF(A1245="","",CHAR(10)&amp;INDEX('Deck 4'!$A:$Z,ROW()-1000,'List Setup'!$E$6)&amp;CHAR(10))</f>
        <v/>
      </c>
      <c r="I1245" s="80" t="str">
        <f t="array" ref="I1245">IF(OR(B1245="",B1245="(none)"),"",IF(ISNUMBER(SEARCH(CHAR(10)&amp;B1245&amp;CHAR(10),H1245)),B1245,IFERROR(INDEX('Set Aliases'!$A$2:$A$501,MATCH(1,('Set Aliases'!$B$2:$B$501=B1245)*ISNUMBER(SEARCH(CHAR(10)&amp;'Set Aliases'!$A$2:$A$501&amp;CHAR(10),H1245)),0)),"")))</f>
        <v/>
      </c>
      <c r="J1245" s="80" t="str">
        <f t="array" ref="J1245">IF(I1245="","",IFERROR(VALUE(TRIM(MID(SUBSTITUTE(INDEX('Deck 4'!$A:$Z,ROW()-1000,'List Setup'!$G$6),CHAR(10),REPT(" ",100)),((SEARCH(CHAR(10)&amp;I1245&amp;CHAR(10),H1245)-LEN(SUBSTITUTE(LEFT(H1245,SEARCH(CHAR(10)&amp;I1245&amp;CHAR(10),H1245)),CHAR(10),"")))-1)*100+1,100))),""))</f>
        <v/>
      </c>
      <c r="K1245" s="80" t="str">
        <f t="array" ref="K1245">IF(A1245="","",IF(ISNUMBER(SEARCH("Land",LEFT(IFERROR(INDEX('Deck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45" s="80" t="str">
        <f t="shared" si="3"/>
        <v/>
      </c>
      <c r="M1245" s="80" t="str">
        <f>IF(A1245="","",IF(AND(E1245="Y",B1245='Use at Shop'!$B$4),K1245*10000000000+(MAX(0,MIN(26,CODE(MID(UPPER(A1245)&amp;"    ",1,1))-64))*19683+MAX(0,MIN(26,CODE(MID(UPPER(A1245)&amp;"    ",2,1))-64))*729+MAX(0,MIN(26,CODE(MID(UPPER(A1245)&amp;"    ",3,1))-64))*27+MAX(0,MIN(26,CODE(MID(UPPER(A1245)&amp;"    ",4,1))-64))*1)*10000+ROW(),""))</f>
        <v/>
      </c>
      <c r="N1245" s="80" t="str">
        <f t="shared" si="8"/>
        <v/>
      </c>
      <c r="O1245" s="80" t="str">
        <f t="array" ref="O1245">IF(A1245="","",IFERROR(INDEX('Deck 4'!$A:$Z,ROW()-1000,'List Setup'!$J$6)&amp;"",""))</f>
        <v/>
      </c>
      <c r="P1245" s="2"/>
      <c r="Q1245" s="80" t="str">
        <f>IF(A1245="","",'List Setup'!$A$6)</f>
        <v/>
      </c>
      <c r="R1245" s="80" t="str">
        <f t="array" ref="R1245">IF(A1245="","",IFERROR(OR(INDEX(Binders!$J$6:$J$30,MATCH(Q1245,Binders!$I$6:$I$30,0))=TRUE(),UPPER(INDEX(Binders!$J$6:$J$30,MATCH(Q1245,Binders!$I$6:$I$30,0))&amp;"")="TRUE"),FALSE()))</f>
        <v/>
      </c>
    </row>
    <row r="1246" ht="15.75" customHeight="1">
      <c r="A1246" s="80" t="str">
        <f t="array" ref="A1246">IF(INDEX('Deck 4'!$A:$Z,ROW()-1000,'List Setup'!$D$6)="","",INDEX('Deck 4'!$A:$Z,ROW()-1000,'List Setup'!$D$6))</f>
        <v/>
      </c>
      <c r="B1246" s="80" t="str">
        <f t="array" ref="B1246">IF(A1246="","",IFERROR(INDEX('Binder Setup'!$B$2:$B$401,MIN(IF(ISNUMBER(SEARCH(CHAR(10)&amp;'Binder Setup'!$B$2:$B$401&amp;CHAR(10),$H1246)),'List Setup'!$Q$2:$Q$401,999),IF(ISNUMBER(SEARCH(CHAR(10)&amp;'Set Aliases'!$A$2:$A$501&amp;CHAR(10),$H1246)),'Set Aliases'!$C$2:$C$501,999))),"(none)"))</f>
        <v/>
      </c>
      <c r="C1246" s="80" t="str">
        <f t="shared" si="1"/>
        <v/>
      </c>
      <c r="D1246" s="80" t="str">
        <f t="array" ref="D1246">IF(A1246="","",IF(ISLOGICAL(INDEX('Deck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46" s="80" t="str">
        <f t="shared" si="2"/>
        <v/>
      </c>
      <c r="F1246" s="80" t="str">
        <f t="array" ref="F1246">IF(A1246="","",IF(ISNUMBER(J1246),J1246,IF(ISNUMBER(INDEX('Deck 4'!$A:$Z,ROW()-1000,'List Setup'!$F$6)),INDEX('Deck 4'!$A:$Z,ROW()-1000,'List Setup'!$F$6),0)))</f>
        <v/>
      </c>
      <c r="G1246" s="80" t="str">
        <f t="array" ref="G1246">IF(A1246="","",A1246&amp;IF(N(INDEX('Deck 4'!$A:$Z,ROW()-1000,'List Setup'!$C$6))&gt;1," (x"&amp;INDEX('Deck 4'!$A:$Z,ROW()-1000,'List Setup'!$C$6)&amp;")","")&amp;IF(COUNTIF(Binders!$J$6:$J$30,TRUE())&gt;1," ["&amp;Q1246&amp;"]",""))</f>
        <v/>
      </c>
      <c r="H1246" s="80" t="str">
        <f t="array" ref="H1246">IF(A1246="","",CHAR(10)&amp;INDEX('Deck 4'!$A:$Z,ROW()-1000,'List Setup'!$E$6)&amp;CHAR(10))</f>
        <v/>
      </c>
      <c r="I1246" s="80" t="str">
        <f t="array" ref="I1246">IF(OR(B1246="",B1246="(none)"),"",IF(ISNUMBER(SEARCH(CHAR(10)&amp;B1246&amp;CHAR(10),H1246)),B1246,IFERROR(INDEX('Set Aliases'!$A$2:$A$501,MATCH(1,('Set Aliases'!$B$2:$B$501=B1246)*ISNUMBER(SEARCH(CHAR(10)&amp;'Set Aliases'!$A$2:$A$501&amp;CHAR(10),H1246)),0)),"")))</f>
        <v/>
      </c>
      <c r="J1246" s="80" t="str">
        <f t="array" ref="J1246">IF(I1246="","",IFERROR(VALUE(TRIM(MID(SUBSTITUTE(INDEX('Deck 4'!$A:$Z,ROW()-1000,'List Setup'!$G$6),CHAR(10),REPT(" ",100)),((SEARCH(CHAR(10)&amp;I1246&amp;CHAR(10),H1246)-LEN(SUBSTITUTE(LEFT(H1246,SEARCH(CHAR(10)&amp;I1246&amp;CHAR(10),H1246)),CHAR(10),"")))-1)*100+1,100))),""))</f>
        <v/>
      </c>
      <c r="K1246" s="80" t="str">
        <f t="array" ref="K1246">IF(A1246="","",IF(ISNUMBER(SEARCH("Land",LEFT(IFERROR(INDEX('Deck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46" s="80" t="str">
        <f t="shared" si="3"/>
        <v/>
      </c>
      <c r="M1246" s="80" t="str">
        <f>IF(A1246="","",IF(AND(E1246="Y",B1246='Use at Shop'!$B$4),K1246*10000000000+(MAX(0,MIN(26,CODE(MID(UPPER(A1246)&amp;"    ",1,1))-64))*19683+MAX(0,MIN(26,CODE(MID(UPPER(A1246)&amp;"    ",2,1))-64))*729+MAX(0,MIN(26,CODE(MID(UPPER(A1246)&amp;"    ",3,1))-64))*27+MAX(0,MIN(26,CODE(MID(UPPER(A1246)&amp;"    ",4,1))-64))*1)*10000+ROW(),""))</f>
        <v/>
      </c>
      <c r="N1246" s="80" t="str">
        <f t="shared" si="8"/>
        <v/>
      </c>
      <c r="O1246" s="80" t="str">
        <f t="array" ref="O1246">IF(A1246="","",IFERROR(INDEX('Deck 4'!$A:$Z,ROW()-1000,'List Setup'!$J$6)&amp;"",""))</f>
        <v/>
      </c>
      <c r="P1246" s="2"/>
      <c r="Q1246" s="80" t="str">
        <f>IF(A1246="","",'List Setup'!$A$6)</f>
        <v/>
      </c>
      <c r="R1246" s="80" t="str">
        <f t="array" ref="R1246">IF(A1246="","",IFERROR(OR(INDEX(Binders!$J$6:$J$30,MATCH(Q1246,Binders!$I$6:$I$30,0))=TRUE(),UPPER(INDEX(Binders!$J$6:$J$30,MATCH(Q1246,Binders!$I$6:$I$30,0))&amp;"")="TRUE"),FALSE()))</f>
        <v/>
      </c>
    </row>
    <row r="1247" ht="15.75" customHeight="1">
      <c r="A1247" s="80" t="str">
        <f t="array" ref="A1247">IF(INDEX('Deck 4'!$A:$Z,ROW()-1000,'List Setup'!$D$6)="","",INDEX('Deck 4'!$A:$Z,ROW()-1000,'List Setup'!$D$6))</f>
        <v/>
      </c>
      <c r="B1247" s="80" t="str">
        <f t="array" ref="B1247">IF(A1247="","",IFERROR(INDEX('Binder Setup'!$B$2:$B$401,MIN(IF(ISNUMBER(SEARCH(CHAR(10)&amp;'Binder Setup'!$B$2:$B$401&amp;CHAR(10),$H1247)),'List Setup'!$Q$2:$Q$401,999),IF(ISNUMBER(SEARCH(CHAR(10)&amp;'Set Aliases'!$A$2:$A$501&amp;CHAR(10),$H1247)),'Set Aliases'!$C$2:$C$501,999))),"(none)"))</f>
        <v/>
      </c>
      <c r="C1247" s="80" t="str">
        <f t="shared" si="1"/>
        <v/>
      </c>
      <c r="D1247" s="80" t="str">
        <f t="array" ref="D1247">IF(A1247="","",IF(ISLOGICAL(INDEX('Deck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47" s="80" t="str">
        <f t="shared" si="2"/>
        <v/>
      </c>
      <c r="F1247" s="80" t="str">
        <f t="array" ref="F1247">IF(A1247="","",IF(ISNUMBER(J1247),J1247,IF(ISNUMBER(INDEX('Deck 4'!$A:$Z,ROW()-1000,'List Setup'!$F$6)),INDEX('Deck 4'!$A:$Z,ROW()-1000,'List Setup'!$F$6),0)))</f>
        <v/>
      </c>
      <c r="G1247" s="80" t="str">
        <f t="array" ref="G1247">IF(A1247="","",A1247&amp;IF(N(INDEX('Deck 4'!$A:$Z,ROW()-1000,'List Setup'!$C$6))&gt;1," (x"&amp;INDEX('Deck 4'!$A:$Z,ROW()-1000,'List Setup'!$C$6)&amp;")","")&amp;IF(COUNTIF(Binders!$J$6:$J$30,TRUE())&gt;1," ["&amp;Q1247&amp;"]",""))</f>
        <v/>
      </c>
      <c r="H1247" s="80" t="str">
        <f t="array" ref="H1247">IF(A1247="","",CHAR(10)&amp;INDEX('Deck 4'!$A:$Z,ROW()-1000,'List Setup'!$E$6)&amp;CHAR(10))</f>
        <v/>
      </c>
      <c r="I1247" s="80" t="str">
        <f t="array" ref="I1247">IF(OR(B1247="",B1247="(none)"),"",IF(ISNUMBER(SEARCH(CHAR(10)&amp;B1247&amp;CHAR(10),H1247)),B1247,IFERROR(INDEX('Set Aliases'!$A$2:$A$501,MATCH(1,('Set Aliases'!$B$2:$B$501=B1247)*ISNUMBER(SEARCH(CHAR(10)&amp;'Set Aliases'!$A$2:$A$501&amp;CHAR(10),H1247)),0)),"")))</f>
        <v/>
      </c>
      <c r="J1247" s="80" t="str">
        <f t="array" ref="J1247">IF(I1247="","",IFERROR(VALUE(TRIM(MID(SUBSTITUTE(INDEX('Deck 4'!$A:$Z,ROW()-1000,'List Setup'!$G$6),CHAR(10),REPT(" ",100)),((SEARCH(CHAR(10)&amp;I1247&amp;CHAR(10),H1247)-LEN(SUBSTITUTE(LEFT(H1247,SEARCH(CHAR(10)&amp;I1247&amp;CHAR(10),H1247)),CHAR(10),"")))-1)*100+1,100))),""))</f>
        <v/>
      </c>
      <c r="K1247" s="80" t="str">
        <f t="array" ref="K1247">IF(A1247="","",IF(ISNUMBER(SEARCH("Land",LEFT(IFERROR(INDEX('Deck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47" s="80" t="str">
        <f t="shared" si="3"/>
        <v/>
      </c>
      <c r="M1247" s="80" t="str">
        <f>IF(A1247="","",IF(AND(E1247="Y",B1247='Use at Shop'!$B$4),K1247*10000000000+(MAX(0,MIN(26,CODE(MID(UPPER(A1247)&amp;"    ",1,1))-64))*19683+MAX(0,MIN(26,CODE(MID(UPPER(A1247)&amp;"    ",2,1))-64))*729+MAX(0,MIN(26,CODE(MID(UPPER(A1247)&amp;"    ",3,1))-64))*27+MAX(0,MIN(26,CODE(MID(UPPER(A1247)&amp;"    ",4,1))-64))*1)*10000+ROW(),""))</f>
        <v/>
      </c>
      <c r="N1247" s="80" t="str">
        <f t="shared" si="8"/>
        <v/>
      </c>
      <c r="O1247" s="80" t="str">
        <f t="array" ref="O1247">IF(A1247="","",IFERROR(INDEX('Deck 4'!$A:$Z,ROW()-1000,'List Setup'!$J$6)&amp;"",""))</f>
        <v/>
      </c>
      <c r="P1247" s="2"/>
      <c r="Q1247" s="80" t="str">
        <f>IF(A1247="","",'List Setup'!$A$6)</f>
        <v/>
      </c>
      <c r="R1247" s="80" t="str">
        <f t="array" ref="R1247">IF(A1247="","",IFERROR(OR(INDEX(Binders!$J$6:$J$30,MATCH(Q1247,Binders!$I$6:$I$30,0))=TRUE(),UPPER(INDEX(Binders!$J$6:$J$30,MATCH(Q1247,Binders!$I$6:$I$30,0))&amp;"")="TRUE"),FALSE()))</f>
        <v/>
      </c>
    </row>
    <row r="1248" ht="15.75" customHeight="1">
      <c r="A1248" s="80" t="str">
        <f t="array" ref="A1248">IF(INDEX('Deck 4'!$A:$Z,ROW()-1000,'List Setup'!$D$6)="","",INDEX('Deck 4'!$A:$Z,ROW()-1000,'List Setup'!$D$6))</f>
        <v/>
      </c>
      <c r="B1248" s="80" t="str">
        <f t="array" ref="B1248">IF(A1248="","",IFERROR(INDEX('Binder Setup'!$B$2:$B$401,MIN(IF(ISNUMBER(SEARCH(CHAR(10)&amp;'Binder Setup'!$B$2:$B$401&amp;CHAR(10),$H1248)),'List Setup'!$Q$2:$Q$401,999),IF(ISNUMBER(SEARCH(CHAR(10)&amp;'Set Aliases'!$A$2:$A$501&amp;CHAR(10),$H1248)),'Set Aliases'!$C$2:$C$501,999))),"(none)"))</f>
        <v/>
      </c>
      <c r="C1248" s="80" t="str">
        <f t="shared" si="1"/>
        <v/>
      </c>
      <c r="D1248" s="80" t="str">
        <f t="array" ref="D1248">IF(A1248="","",IF(ISLOGICAL(INDEX('Deck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48" s="80" t="str">
        <f t="shared" si="2"/>
        <v/>
      </c>
      <c r="F1248" s="80" t="str">
        <f t="array" ref="F1248">IF(A1248="","",IF(ISNUMBER(J1248),J1248,IF(ISNUMBER(INDEX('Deck 4'!$A:$Z,ROW()-1000,'List Setup'!$F$6)),INDEX('Deck 4'!$A:$Z,ROW()-1000,'List Setup'!$F$6),0)))</f>
        <v/>
      </c>
      <c r="G1248" s="80" t="str">
        <f t="array" ref="G1248">IF(A1248="","",A1248&amp;IF(N(INDEX('Deck 4'!$A:$Z,ROW()-1000,'List Setup'!$C$6))&gt;1," (x"&amp;INDEX('Deck 4'!$A:$Z,ROW()-1000,'List Setup'!$C$6)&amp;")","")&amp;IF(COUNTIF(Binders!$J$6:$J$30,TRUE())&gt;1," ["&amp;Q1248&amp;"]",""))</f>
        <v/>
      </c>
      <c r="H1248" s="80" t="str">
        <f t="array" ref="H1248">IF(A1248="","",CHAR(10)&amp;INDEX('Deck 4'!$A:$Z,ROW()-1000,'List Setup'!$E$6)&amp;CHAR(10))</f>
        <v/>
      </c>
      <c r="I1248" s="80" t="str">
        <f t="array" ref="I1248">IF(OR(B1248="",B1248="(none)"),"",IF(ISNUMBER(SEARCH(CHAR(10)&amp;B1248&amp;CHAR(10),H1248)),B1248,IFERROR(INDEX('Set Aliases'!$A$2:$A$501,MATCH(1,('Set Aliases'!$B$2:$B$501=B1248)*ISNUMBER(SEARCH(CHAR(10)&amp;'Set Aliases'!$A$2:$A$501&amp;CHAR(10),H1248)),0)),"")))</f>
        <v/>
      </c>
      <c r="J1248" s="80" t="str">
        <f t="array" ref="J1248">IF(I1248="","",IFERROR(VALUE(TRIM(MID(SUBSTITUTE(INDEX('Deck 4'!$A:$Z,ROW()-1000,'List Setup'!$G$6),CHAR(10),REPT(" ",100)),((SEARCH(CHAR(10)&amp;I1248&amp;CHAR(10),H1248)-LEN(SUBSTITUTE(LEFT(H1248,SEARCH(CHAR(10)&amp;I1248&amp;CHAR(10),H1248)),CHAR(10),"")))-1)*100+1,100))),""))</f>
        <v/>
      </c>
      <c r="K1248" s="80" t="str">
        <f t="array" ref="K1248">IF(A1248="","",IF(ISNUMBER(SEARCH("Land",LEFT(IFERROR(INDEX('Deck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48" s="80" t="str">
        <f t="shared" si="3"/>
        <v/>
      </c>
      <c r="M1248" s="80" t="str">
        <f>IF(A1248="","",IF(AND(E1248="Y",B1248='Use at Shop'!$B$4),K1248*10000000000+(MAX(0,MIN(26,CODE(MID(UPPER(A1248)&amp;"    ",1,1))-64))*19683+MAX(0,MIN(26,CODE(MID(UPPER(A1248)&amp;"    ",2,1))-64))*729+MAX(0,MIN(26,CODE(MID(UPPER(A1248)&amp;"    ",3,1))-64))*27+MAX(0,MIN(26,CODE(MID(UPPER(A1248)&amp;"    ",4,1))-64))*1)*10000+ROW(),""))</f>
        <v/>
      </c>
      <c r="N1248" s="80" t="str">
        <f t="shared" si="8"/>
        <v/>
      </c>
      <c r="O1248" s="80" t="str">
        <f t="array" ref="O1248">IF(A1248="","",IFERROR(INDEX('Deck 4'!$A:$Z,ROW()-1000,'List Setup'!$J$6)&amp;"",""))</f>
        <v/>
      </c>
      <c r="P1248" s="2"/>
      <c r="Q1248" s="80" t="str">
        <f>IF(A1248="","",'List Setup'!$A$6)</f>
        <v/>
      </c>
      <c r="R1248" s="80" t="str">
        <f t="array" ref="R1248">IF(A1248="","",IFERROR(OR(INDEX(Binders!$J$6:$J$30,MATCH(Q1248,Binders!$I$6:$I$30,0))=TRUE(),UPPER(INDEX(Binders!$J$6:$J$30,MATCH(Q1248,Binders!$I$6:$I$30,0))&amp;"")="TRUE"),FALSE()))</f>
        <v/>
      </c>
    </row>
    <row r="1249" ht="15.75" customHeight="1">
      <c r="A1249" s="80" t="str">
        <f t="array" ref="A1249">IF(INDEX('Deck 4'!$A:$Z,ROW()-1000,'List Setup'!$D$6)="","",INDEX('Deck 4'!$A:$Z,ROW()-1000,'List Setup'!$D$6))</f>
        <v/>
      </c>
      <c r="B1249" s="80" t="str">
        <f t="array" ref="B1249">IF(A1249="","",IFERROR(INDEX('Binder Setup'!$B$2:$B$401,MIN(IF(ISNUMBER(SEARCH(CHAR(10)&amp;'Binder Setup'!$B$2:$B$401&amp;CHAR(10),$H1249)),'List Setup'!$Q$2:$Q$401,999),IF(ISNUMBER(SEARCH(CHAR(10)&amp;'Set Aliases'!$A$2:$A$501&amp;CHAR(10),$H1249)),'Set Aliases'!$C$2:$C$501,999))),"(none)"))</f>
        <v/>
      </c>
      <c r="C1249" s="80" t="str">
        <f t="shared" si="1"/>
        <v/>
      </c>
      <c r="D1249" s="80" t="str">
        <f t="array" ref="D1249">IF(A1249="","",IF(ISLOGICAL(INDEX('Deck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49" s="80" t="str">
        <f t="shared" si="2"/>
        <v/>
      </c>
      <c r="F1249" s="80" t="str">
        <f t="array" ref="F1249">IF(A1249="","",IF(ISNUMBER(J1249),J1249,IF(ISNUMBER(INDEX('Deck 4'!$A:$Z,ROW()-1000,'List Setup'!$F$6)),INDEX('Deck 4'!$A:$Z,ROW()-1000,'List Setup'!$F$6),0)))</f>
        <v/>
      </c>
      <c r="G1249" s="80" t="str">
        <f t="array" ref="G1249">IF(A1249="","",A1249&amp;IF(N(INDEX('Deck 4'!$A:$Z,ROW()-1000,'List Setup'!$C$6))&gt;1," (x"&amp;INDEX('Deck 4'!$A:$Z,ROW()-1000,'List Setup'!$C$6)&amp;")","")&amp;IF(COUNTIF(Binders!$J$6:$J$30,TRUE())&gt;1," ["&amp;Q1249&amp;"]",""))</f>
        <v/>
      </c>
      <c r="H1249" s="80" t="str">
        <f t="array" ref="H1249">IF(A1249="","",CHAR(10)&amp;INDEX('Deck 4'!$A:$Z,ROW()-1000,'List Setup'!$E$6)&amp;CHAR(10))</f>
        <v/>
      </c>
      <c r="I1249" s="80" t="str">
        <f t="array" ref="I1249">IF(OR(B1249="",B1249="(none)"),"",IF(ISNUMBER(SEARCH(CHAR(10)&amp;B1249&amp;CHAR(10),H1249)),B1249,IFERROR(INDEX('Set Aliases'!$A$2:$A$501,MATCH(1,('Set Aliases'!$B$2:$B$501=B1249)*ISNUMBER(SEARCH(CHAR(10)&amp;'Set Aliases'!$A$2:$A$501&amp;CHAR(10),H1249)),0)),"")))</f>
        <v/>
      </c>
      <c r="J1249" s="80" t="str">
        <f t="array" ref="J1249">IF(I1249="","",IFERROR(VALUE(TRIM(MID(SUBSTITUTE(INDEX('Deck 4'!$A:$Z,ROW()-1000,'List Setup'!$G$6),CHAR(10),REPT(" ",100)),((SEARCH(CHAR(10)&amp;I1249&amp;CHAR(10),H1249)-LEN(SUBSTITUTE(LEFT(H1249,SEARCH(CHAR(10)&amp;I1249&amp;CHAR(10),H1249)),CHAR(10),"")))-1)*100+1,100))),""))</f>
        <v/>
      </c>
      <c r="K1249" s="80" t="str">
        <f t="array" ref="K1249">IF(A1249="","",IF(ISNUMBER(SEARCH("Land",LEFT(IFERROR(INDEX('Deck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49" s="80" t="str">
        <f t="shared" si="3"/>
        <v/>
      </c>
      <c r="M1249" s="80" t="str">
        <f>IF(A1249="","",IF(AND(E1249="Y",B1249='Use at Shop'!$B$4),K1249*10000000000+(MAX(0,MIN(26,CODE(MID(UPPER(A1249)&amp;"    ",1,1))-64))*19683+MAX(0,MIN(26,CODE(MID(UPPER(A1249)&amp;"    ",2,1))-64))*729+MAX(0,MIN(26,CODE(MID(UPPER(A1249)&amp;"    ",3,1))-64))*27+MAX(0,MIN(26,CODE(MID(UPPER(A1249)&amp;"    ",4,1))-64))*1)*10000+ROW(),""))</f>
        <v/>
      </c>
      <c r="N1249" s="80" t="str">
        <f t="shared" si="8"/>
        <v/>
      </c>
      <c r="O1249" s="80" t="str">
        <f t="array" ref="O1249">IF(A1249="","",IFERROR(INDEX('Deck 4'!$A:$Z,ROW()-1000,'List Setup'!$J$6)&amp;"",""))</f>
        <v/>
      </c>
      <c r="P1249" s="2"/>
      <c r="Q1249" s="80" t="str">
        <f>IF(A1249="","",'List Setup'!$A$6)</f>
        <v/>
      </c>
      <c r="R1249" s="80" t="str">
        <f t="array" ref="R1249">IF(A1249="","",IFERROR(OR(INDEX(Binders!$J$6:$J$30,MATCH(Q1249,Binders!$I$6:$I$30,0))=TRUE(),UPPER(INDEX(Binders!$J$6:$J$30,MATCH(Q1249,Binders!$I$6:$I$30,0))&amp;"")="TRUE"),FALSE()))</f>
        <v/>
      </c>
    </row>
    <row r="1250" ht="15.75" customHeight="1">
      <c r="A1250" s="80" t="str">
        <f t="array" ref="A1250">IF(INDEX('Deck 4'!$A:$Z,ROW()-1000,'List Setup'!$D$6)="","",INDEX('Deck 4'!$A:$Z,ROW()-1000,'List Setup'!$D$6))</f>
        <v/>
      </c>
      <c r="B1250" s="80" t="str">
        <f t="array" ref="B1250">IF(A1250="","",IFERROR(INDEX('Binder Setup'!$B$2:$B$401,MIN(IF(ISNUMBER(SEARCH(CHAR(10)&amp;'Binder Setup'!$B$2:$B$401&amp;CHAR(10),$H1250)),'List Setup'!$Q$2:$Q$401,999),IF(ISNUMBER(SEARCH(CHAR(10)&amp;'Set Aliases'!$A$2:$A$501&amp;CHAR(10),$H1250)),'Set Aliases'!$C$2:$C$501,999))),"(none)"))</f>
        <v/>
      </c>
      <c r="C1250" s="80" t="str">
        <f t="shared" si="1"/>
        <v/>
      </c>
      <c r="D1250" s="80" t="str">
        <f t="array" ref="D1250">IF(A1250="","",IF(ISLOGICAL(INDEX('Deck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50" s="80" t="str">
        <f t="shared" si="2"/>
        <v/>
      </c>
      <c r="F1250" s="80" t="str">
        <f t="array" ref="F1250">IF(A1250="","",IF(ISNUMBER(J1250),J1250,IF(ISNUMBER(INDEX('Deck 4'!$A:$Z,ROW()-1000,'List Setup'!$F$6)),INDEX('Deck 4'!$A:$Z,ROW()-1000,'List Setup'!$F$6),0)))</f>
        <v/>
      </c>
      <c r="G1250" s="80" t="str">
        <f t="array" ref="G1250">IF(A1250="","",A1250&amp;IF(N(INDEX('Deck 4'!$A:$Z,ROW()-1000,'List Setup'!$C$6))&gt;1," (x"&amp;INDEX('Deck 4'!$A:$Z,ROW()-1000,'List Setup'!$C$6)&amp;")","")&amp;IF(COUNTIF(Binders!$J$6:$J$30,TRUE())&gt;1," ["&amp;Q1250&amp;"]",""))</f>
        <v/>
      </c>
      <c r="H1250" s="80" t="str">
        <f t="array" ref="H1250">IF(A1250="","",CHAR(10)&amp;INDEX('Deck 4'!$A:$Z,ROW()-1000,'List Setup'!$E$6)&amp;CHAR(10))</f>
        <v/>
      </c>
      <c r="I1250" s="80" t="str">
        <f t="array" ref="I1250">IF(OR(B1250="",B1250="(none)"),"",IF(ISNUMBER(SEARCH(CHAR(10)&amp;B1250&amp;CHAR(10),H1250)),B1250,IFERROR(INDEX('Set Aliases'!$A$2:$A$501,MATCH(1,('Set Aliases'!$B$2:$B$501=B1250)*ISNUMBER(SEARCH(CHAR(10)&amp;'Set Aliases'!$A$2:$A$501&amp;CHAR(10),H1250)),0)),"")))</f>
        <v/>
      </c>
      <c r="J1250" s="80" t="str">
        <f t="array" ref="J1250">IF(I1250="","",IFERROR(VALUE(TRIM(MID(SUBSTITUTE(INDEX('Deck 4'!$A:$Z,ROW()-1000,'List Setup'!$G$6),CHAR(10),REPT(" ",100)),((SEARCH(CHAR(10)&amp;I1250&amp;CHAR(10),H1250)-LEN(SUBSTITUTE(LEFT(H1250,SEARCH(CHAR(10)&amp;I1250&amp;CHAR(10),H1250)),CHAR(10),"")))-1)*100+1,100))),""))</f>
        <v/>
      </c>
      <c r="K1250" s="80" t="str">
        <f t="array" ref="K1250">IF(A1250="","",IF(ISNUMBER(SEARCH("Land",LEFT(IFERROR(INDEX('Deck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50" s="80" t="str">
        <f t="shared" si="3"/>
        <v/>
      </c>
      <c r="M1250" s="80" t="str">
        <f>IF(A1250="","",IF(AND(E1250="Y",B1250='Use at Shop'!$B$4),K1250*10000000000+(MAX(0,MIN(26,CODE(MID(UPPER(A1250)&amp;"    ",1,1))-64))*19683+MAX(0,MIN(26,CODE(MID(UPPER(A1250)&amp;"    ",2,1))-64))*729+MAX(0,MIN(26,CODE(MID(UPPER(A1250)&amp;"    ",3,1))-64))*27+MAX(0,MIN(26,CODE(MID(UPPER(A1250)&amp;"    ",4,1))-64))*1)*10000+ROW(),""))</f>
        <v/>
      </c>
      <c r="N1250" s="80" t="str">
        <f t="shared" si="8"/>
        <v/>
      </c>
      <c r="O1250" s="80" t="str">
        <f t="array" ref="O1250">IF(A1250="","",IFERROR(INDEX('Deck 4'!$A:$Z,ROW()-1000,'List Setup'!$J$6)&amp;"",""))</f>
        <v/>
      </c>
      <c r="P1250" s="2"/>
      <c r="Q1250" s="80" t="str">
        <f>IF(A1250="","",'List Setup'!$A$6)</f>
        <v/>
      </c>
      <c r="R1250" s="80" t="str">
        <f t="array" ref="R1250">IF(A1250="","",IFERROR(OR(INDEX(Binders!$J$6:$J$30,MATCH(Q1250,Binders!$I$6:$I$30,0))=TRUE(),UPPER(INDEX(Binders!$J$6:$J$30,MATCH(Q1250,Binders!$I$6:$I$30,0))&amp;"")="TRUE"),FALSE()))</f>
        <v/>
      </c>
    </row>
    <row r="1251" ht="15.75" customHeight="1">
      <c r="A1251" s="80" t="str">
        <f t="array" ref="A1251">IF(INDEX('Deck 4'!$A:$Z,ROW()-1000,'List Setup'!$D$6)="","",INDEX('Deck 4'!$A:$Z,ROW()-1000,'List Setup'!$D$6))</f>
        <v/>
      </c>
      <c r="B1251" s="80" t="str">
        <f t="array" ref="B1251">IF(A1251="","",IFERROR(INDEX('Binder Setup'!$B$2:$B$401,MIN(IF(ISNUMBER(SEARCH(CHAR(10)&amp;'Binder Setup'!$B$2:$B$401&amp;CHAR(10),$H1251)),'List Setup'!$Q$2:$Q$401,999),IF(ISNUMBER(SEARCH(CHAR(10)&amp;'Set Aliases'!$A$2:$A$501&amp;CHAR(10),$H1251)),'Set Aliases'!$C$2:$C$501,999))),"(none)"))</f>
        <v/>
      </c>
      <c r="C1251" s="80" t="str">
        <f t="shared" si="1"/>
        <v/>
      </c>
      <c r="D1251" s="80" t="str">
        <f t="array" ref="D1251">IF(A1251="","",IF(ISLOGICAL(INDEX('Deck 4'!$A:$Z,ROW()-1000,'List Setup'!$B$6)),IF(INDEX('Deck 4'!$A:$Z,ROW()-1000,'List Setup'!$B$6),"In collection","Needed"),IF(UPPER(TRIM(INDEX('Deck 4'!$A:$Z,ROW()-1000,'List Setup'!$B$6)))="ORDERED","Ordered",IF(UPPER(TRIM(INDEX('Deck 4'!$A:$Z,ROW()-1000,'List Setup'!$B$6)))="PROXY","Proxy",IF(UPPER(TRIM(INDEX('Deck 4'!$A:$Z,ROW()-1000,'List Setup'!$B$6)))="OUT OF DECK","Out of deck",IF(UPPER(TRIM(INDEX('Deck 4'!$A:$Z,ROW()-1000,'List Setup'!$B$6)))="TRUE","In collection","Needed"))))))</f>
        <v/>
      </c>
      <c r="E1251" s="80" t="str">
        <f t="shared" si="2"/>
        <v/>
      </c>
      <c r="F1251" s="80" t="str">
        <f t="array" ref="F1251">IF(A1251="","",IF(ISNUMBER(J1251),J1251,IF(ISNUMBER(INDEX('Deck 4'!$A:$Z,ROW()-1000,'List Setup'!$F$6)),INDEX('Deck 4'!$A:$Z,ROW()-1000,'List Setup'!$F$6),0)))</f>
        <v/>
      </c>
      <c r="G1251" s="80" t="str">
        <f t="array" ref="G1251">IF(A1251="","",A1251&amp;IF(N(INDEX('Deck 4'!$A:$Z,ROW()-1000,'List Setup'!$C$6))&gt;1," (x"&amp;INDEX('Deck 4'!$A:$Z,ROW()-1000,'List Setup'!$C$6)&amp;")","")&amp;IF(COUNTIF(Binders!$J$6:$J$30,TRUE())&gt;1," ["&amp;Q1251&amp;"]",""))</f>
        <v/>
      </c>
      <c r="H1251" s="80" t="str">
        <f t="array" ref="H1251">IF(A1251="","",CHAR(10)&amp;INDEX('Deck 4'!$A:$Z,ROW()-1000,'List Setup'!$E$6)&amp;CHAR(10))</f>
        <v/>
      </c>
      <c r="I1251" s="80" t="str">
        <f t="array" ref="I1251">IF(OR(B1251="",B1251="(none)"),"",IF(ISNUMBER(SEARCH(CHAR(10)&amp;B1251&amp;CHAR(10),H1251)),B1251,IFERROR(INDEX('Set Aliases'!$A$2:$A$501,MATCH(1,('Set Aliases'!$B$2:$B$501=B1251)*ISNUMBER(SEARCH(CHAR(10)&amp;'Set Aliases'!$A$2:$A$501&amp;CHAR(10),H1251)),0)),"")))</f>
        <v/>
      </c>
      <c r="J1251" s="80" t="str">
        <f t="array" ref="J1251">IF(I1251="","",IFERROR(VALUE(TRIM(MID(SUBSTITUTE(INDEX('Deck 4'!$A:$Z,ROW()-1000,'List Setup'!$G$6),CHAR(10),REPT(" ",100)),((SEARCH(CHAR(10)&amp;I1251&amp;CHAR(10),H1251)-LEN(SUBSTITUTE(LEFT(H1251,SEARCH(CHAR(10)&amp;I1251&amp;CHAR(10),H1251)),CHAR(10),"")))-1)*100+1,100))),""))</f>
        <v/>
      </c>
      <c r="K1251" s="80" t="str">
        <f t="array" ref="K1251">IF(A1251="","",IF(ISNUMBER(SEARCH("Land",LEFT(IFERROR(INDEX('Deck 4'!$A:$Z,ROW()-1000,'List Setup'!$I$6)&amp;"",""),IFERROR(SEARCH(" // ",IFERROR(INDEX('Deck 4'!$A:$Z,ROW()-1000,'List Setup'!$I$6)&amp;"",""))-1,LEN(IFERROR(INDEX('Deck 4'!$A:$Z,ROW()-1000,'List Setup'!$I$6)&amp;"","")))))),8,IF(LEN(IFERROR(INDEX('Deck 4'!$A:$Z,ROW()-1000,'List Setup'!$H$6)&amp;"",""))=0,7,IF(LEN(IFERROR(INDEX('Deck 4'!$A:$Z,ROW()-1000,'List Setup'!$H$6)&amp;"",""))&gt;1,6,FIND(IFERROR(INDEX('Deck 4'!$A:$Z,ROW()-1000,'List Setup'!$H$6)&amp;"",""),"WUBRG")))))</f>
        <v/>
      </c>
      <c r="L1251" s="80" t="str">
        <f t="shared" si="3"/>
        <v/>
      </c>
      <c r="M1251" s="80" t="str">
        <f>IF(A1251="","",IF(AND(E1251="Y",B1251='Use at Shop'!$B$4),K1251*10000000000+(MAX(0,MIN(26,CODE(MID(UPPER(A1251)&amp;"    ",1,1))-64))*19683+MAX(0,MIN(26,CODE(MID(UPPER(A1251)&amp;"    ",2,1))-64))*729+MAX(0,MIN(26,CODE(MID(UPPER(A1251)&amp;"    ",3,1))-64))*27+MAX(0,MIN(26,CODE(MID(UPPER(A1251)&amp;"    ",4,1))-64))*1)*10000+ROW(),""))</f>
        <v/>
      </c>
      <c r="N1251" s="80" t="str">
        <f t="shared" si="8"/>
        <v/>
      </c>
      <c r="O1251" s="80" t="str">
        <f t="array" ref="O1251">IF(A1251="","",IFERROR(INDEX('Deck 4'!$A:$Z,ROW()-1000,'List Setup'!$J$6)&amp;"",""))</f>
        <v/>
      </c>
      <c r="P1251" s="2"/>
      <c r="Q1251" s="80" t="str">
        <f>IF(A1251="","",'List Setup'!$A$6)</f>
        <v/>
      </c>
      <c r="R1251" s="80" t="str">
        <f t="array" ref="R1251">IF(A1251="","",IFERROR(OR(INDEX(Binders!$J$6:$J$30,MATCH(Q1251,Binders!$I$6:$I$30,0))=TRUE(),UPPER(INDEX(Binders!$J$6:$J$30,MATCH(Q1251,Binders!$I$6:$I$30,0))&amp;"")="TRUE"),FALSE()))</f>
        <v/>
      </c>
    </row>
    <row r="1252" ht="15.75" customHeight="1">
      <c r="A1252" s="80" t="str">
        <f t="array" ref="A1252">IF(INDEX('Deck 5'!$A:$Z,ROW()-1250,'List Setup'!$D$7)="","",INDEX('Deck 5'!$A:$Z,ROW()-1250,'List Setup'!$D$7))</f>
        <v/>
      </c>
      <c r="B1252" s="80" t="str">
        <f t="array" ref="B1252">IF(A1252="","",IFERROR(INDEX('Binder Setup'!$B$2:$B$401,MIN(IF(ISNUMBER(SEARCH(CHAR(10)&amp;'Binder Setup'!$B$2:$B$401&amp;CHAR(10),$H1252)),'List Setup'!$Q$2:$Q$401,999),IF(ISNUMBER(SEARCH(CHAR(10)&amp;'Set Aliases'!$A$2:$A$501&amp;CHAR(10),$H1252)),'Set Aliases'!$C$2:$C$501,999))),"(none)"))</f>
        <v/>
      </c>
      <c r="C1252" s="80" t="str">
        <f t="shared" si="1"/>
        <v/>
      </c>
      <c r="D1252" s="80" t="str">
        <f t="array" ref="D1252">IF(A1252="","",IF(ISLOGICAL(INDEX('Deck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52" s="80" t="str">
        <f t="shared" si="2"/>
        <v/>
      </c>
      <c r="F1252" s="80" t="str">
        <f t="array" ref="F1252">IF(A1252="","",IF(ISNUMBER(J1252),J1252,IF(ISNUMBER(INDEX('Deck 5'!$A:$Z,ROW()-1250,'List Setup'!$F$7)),INDEX('Deck 5'!$A:$Z,ROW()-1250,'List Setup'!$F$7),0)))</f>
        <v/>
      </c>
      <c r="G1252" s="80" t="str">
        <f t="array" ref="G1252">IF(A1252="","",A1252&amp;IF(N(INDEX('Deck 5'!$A:$Z,ROW()-1250,'List Setup'!$C$7))&gt;1," (x"&amp;INDEX('Deck 5'!$A:$Z,ROW()-1250,'List Setup'!$C$7)&amp;")","")&amp;IF(COUNTIF(Binders!$J$6:$J$30,TRUE())&gt;1," ["&amp;Q1252&amp;"]",""))</f>
        <v/>
      </c>
      <c r="H1252" s="80" t="str">
        <f t="array" ref="H1252">IF(A1252="","",CHAR(10)&amp;INDEX('Deck 5'!$A:$Z,ROW()-1250,'List Setup'!$E$7)&amp;CHAR(10))</f>
        <v/>
      </c>
      <c r="I1252" s="80" t="str">
        <f t="array" ref="I1252">IF(OR(B1252="",B1252="(none)"),"",IF(ISNUMBER(SEARCH(CHAR(10)&amp;B1252&amp;CHAR(10),H1252)),B1252,IFERROR(INDEX('Set Aliases'!$A$2:$A$501,MATCH(1,('Set Aliases'!$B$2:$B$501=B1252)*ISNUMBER(SEARCH(CHAR(10)&amp;'Set Aliases'!$A$2:$A$501&amp;CHAR(10),H1252)),0)),"")))</f>
        <v/>
      </c>
      <c r="J1252" s="80" t="str">
        <f t="array" ref="J1252">IF(I1252="","",IFERROR(VALUE(TRIM(MID(SUBSTITUTE(INDEX('Deck 5'!$A:$Z,ROW()-1250,'List Setup'!$G$7),CHAR(10),REPT(" ",100)),((SEARCH(CHAR(10)&amp;I1252&amp;CHAR(10),H1252)-LEN(SUBSTITUTE(LEFT(H1252,SEARCH(CHAR(10)&amp;I1252&amp;CHAR(10),H1252)),CHAR(10),"")))-1)*100+1,100))),""))</f>
        <v/>
      </c>
      <c r="K1252" s="80" t="str">
        <f t="array" ref="K1252">IF(A1252="","",IF(ISNUMBER(SEARCH("Land",LEFT(IFERROR(INDEX('Deck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52" s="80" t="str">
        <f t="shared" si="3"/>
        <v/>
      </c>
      <c r="M1252" s="80" t="str">
        <f>IF(A1252="","",IF(AND(E1252="Y",B1252='Use at Shop'!$B$4),K1252*10000000000+(MAX(0,MIN(26,CODE(MID(UPPER(A1252)&amp;"    ",1,1))-64))*19683+MAX(0,MIN(26,CODE(MID(UPPER(A1252)&amp;"    ",2,1))-64))*729+MAX(0,MIN(26,CODE(MID(UPPER(A1252)&amp;"    ",3,1))-64))*27+MAX(0,MIN(26,CODE(MID(UPPER(A1252)&amp;"    ",4,1))-64))*1)*10000+ROW(),""))</f>
        <v/>
      </c>
      <c r="N1252" s="80" t="str">
        <f t="shared" ref="N1252:N1501" si="9">IF(A1252="","",ROW()-1250)</f>
        <v/>
      </c>
      <c r="O1252" s="80" t="str">
        <f t="array" ref="O1252">IF(A1252="","",IFERROR(INDEX('Deck 5'!$A:$Z,ROW()-1250,'List Setup'!$J$7)&amp;"",""))</f>
        <v/>
      </c>
      <c r="P1252" s="2"/>
      <c r="Q1252" s="80" t="str">
        <f>IF(A1252="","",'List Setup'!$A$7)</f>
        <v/>
      </c>
      <c r="R1252" s="80" t="str">
        <f t="array" ref="R1252">IF(A1252="","",IFERROR(OR(INDEX(Binders!$J$6:$J$30,MATCH(Q1252,Binders!$I$6:$I$30,0))=TRUE(),UPPER(INDEX(Binders!$J$6:$J$30,MATCH(Q1252,Binders!$I$6:$I$30,0))&amp;"")="TRUE"),FALSE()))</f>
        <v/>
      </c>
    </row>
    <row r="1253" ht="15.75" customHeight="1">
      <c r="A1253" s="80" t="str">
        <f t="array" ref="A1253">IF(INDEX('Deck 5'!$A:$Z,ROW()-1250,'List Setup'!$D$7)="","",INDEX('Deck 5'!$A:$Z,ROW()-1250,'List Setup'!$D$7))</f>
        <v/>
      </c>
      <c r="B1253" s="80" t="str">
        <f t="array" ref="B1253">IF(A1253="","",IFERROR(INDEX('Binder Setup'!$B$2:$B$401,MIN(IF(ISNUMBER(SEARCH(CHAR(10)&amp;'Binder Setup'!$B$2:$B$401&amp;CHAR(10),$H1253)),'List Setup'!$Q$2:$Q$401,999),IF(ISNUMBER(SEARCH(CHAR(10)&amp;'Set Aliases'!$A$2:$A$501&amp;CHAR(10),$H1253)),'Set Aliases'!$C$2:$C$501,999))),"(none)"))</f>
        <v/>
      </c>
      <c r="C1253" s="80" t="str">
        <f t="shared" si="1"/>
        <v/>
      </c>
      <c r="D1253" s="80" t="str">
        <f t="array" ref="D1253">IF(A1253="","",IF(ISLOGICAL(INDEX('Deck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53" s="80" t="str">
        <f t="shared" si="2"/>
        <v/>
      </c>
      <c r="F1253" s="80" t="str">
        <f t="array" ref="F1253">IF(A1253="","",IF(ISNUMBER(J1253),J1253,IF(ISNUMBER(INDEX('Deck 5'!$A:$Z,ROW()-1250,'List Setup'!$F$7)),INDEX('Deck 5'!$A:$Z,ROW()-1250,'List Setup'!$F$7),0)))</f>
        <v/>
      </c>
      <c r="G1253" s="80" t="str">
        <f t="array" ref="G1253">IF(A1253="","",A1253&amp;IF(N(INDEX('Deck 5'!$A:$Z,ROW()-1250,'List Setup'!$C$7))&gt;1," (x"&amp;INDEX('Deck 5'!$A:$Z,ROW()-1250,'List Setup'!$C$7)&amp;")","")&amp;IF(COUNTIF(Binders!$J$6:$J$30,TRUE())&gt;1," ["&amp;Q1253&amp;"]",""))</f>
        <v/>
      </c>
      <c r="H1253" s="80" t="str">
        <f t="array" ref="H1253">IF(A1253="","",CHAR(10)&amp;INDEX('Deck 5'!$A:$Z,ROW()-1250,'List Setup'!$E$7)&amp;CHAR(10))</f>
        <v/>
      </c>
      <c r="I1253" s="80" t="str">
        <f t="array" ref="I1253">IF(OR(B1253="",B1253="(none)"),"",IF(ISNUMBER(SEARCH(CHAR(10)&amp;B1253&amp;CHAR(10),H1253)),B1253,IFERROR(INDEX('Set Aliases'!$A$2:$A$501,MATCH(1,('Set Aliases'!$B$2:$B$501=B1253)*ISNUMBER(SEARCH(CHAR(10)&amp;'Set Aliases'!$A$2:$A$501&amp;CHAR(10),H1253)),0)),"")))</f>
        <v/>
      </c>
      <c r="J1253" s="80" t="str">
        <f t="array" ref="J1253">IF(I1253="","",IFERROR(VALUE(TRIM(MID(SUBSTITUTE(INDEX('Deck 5'!$A:$Z,ROW()-1250,'List Setup'!$G$7),CHAR(10),REPT(" ",100)),((SEARCH(CHAR(10)&amp;I1253&amp;CHAR(10),H1253)-LEN(SUBSTITUTE(LEFT(H1253,SEARCH(CHAR(10)&amp;I1253&amp;CHAR(10),H1253)),CHAR(10),"")))-1)*100+1,100))),""))</f>
        <v/>
      </c>
      <c r="K1253" s="80" t="str">
        <f t="array" ref="K1253">IF(A1253="","",IF(ISNUMBER(SEARCH("Land",LEFT(IFERROR(INDEX('Deck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53" s="80" t="str">
        <f t="shared" si="3"/>
        <v/>
      </c>
      <c r="M1253" s="80" t="str">
        <f>IF(A1253="","",IF(AND(E1253="Y",B1253='Use at Shop'!$B$4),K1253*10000000000+(MAX(0,MIN(26,CODE(MID(UPPER(A1253)&amp;"    ",1,1))-64))*19683+MAX(0,MIN(26,CODE(MID(UPPER(A1253)&amp;"    ",2,1))-64))*729+MAX(0,MIN(26,CODE(MID(UPPER(A1253)&amp;"    ",3,1))-64))*27+MAX(0,MIN(26,CODE(MID(UPPER(A1253)&amp;"    ",4,1))-64))*1)*10000+ROW(),""))</f>
        <v/>
      </c>
      <c r="N1253" s="80" t="str">
        <f t="shared" si="9"/>
        <v/>
      </c>
      <c r="O1253" s="80" t="str">
        <f t="array" ref="O1253">IF(A1253="","",IFERROR(INDEX('Deck 5'!$A:$Z,ROW()-1250,'List Setup'!$J$7)&amp;"",""))</f>
        <v/>
      </c>
      <c r="P1253" s="2"/>
      <c r="Q1253" s="80" t="str">
        <f>IF(A1253="","",'List Setup'!$A$7)</f>
        <v/>
      </c>
      <c r="R1253" s="80" t="str">
        <f t="array" ref="R1253">IF(A1253="","",IFERROR(OR(INDEX(Binders!$J$6:$J$30,MATCH(Q1253,Binders!$I$6:$I$30,0))=TRUE(),UPPER(INDEX(Binders!$J$6:$J$30,MATCH(Q1253,Binders!$I$6:$I$30,0))&amp;"")="TRUE"),FALSE()))</f>
        <v/>
      </c>
    </row>
    <row r="1254" ht="15.75" customHeight="1">
      <c r="A1254" s="80" t="str">
        <f t="array" ref="A1254">IF(INDEX('Deck 5'!$A:$Z,ROW()-1250,'List Setup'!$D$7)="","",INDEX('Deck 5'!$A:$Z,ROW()-1250,'List Setup'!$D$7))</f>
        <v/>
      </c>
      <c r="B1254" s="80" t="str">
        <f t="array" ref="B1254">IF(A1254="","",IFERROR(INDEX('Binder Setup'!$B$2:$B$401,MIN(IF(ISNUMBER(SEARCH(CHAR(10)&amp;'Binder Setup'!$B$2:$B$401&amp;CHAR(10),$H1254)),'List Setup'!$Q$2:$Q$401,999),IF(ISNUMBER(SEARCH(CHAR(10)&amp;'Set Aliases'!$A$2:$A$501&amp;CHAR(10),$H1254)),'Set Aliases'!$C$2:$C$501,999))),"(none)"))</f>
        <v/>
      </c>
      <c r="C1254" s="80" t="str">
        <f t="shared" si="1"/>
        <v/>
      </c>
      <c r="D1254" s="80" t="str">
        <f t="array" ref="D1254">IF(A1254="","",IF(ISLOGICAL(INDEX('Deck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54" s="80" t="str">
        <f t="shared" si="2"/>
        <v/>
      </c>
      <c r="F1254" s="80" t="str">
        <f t="array" ref="F1254">IF(A1254="","",IF(ISNUMBER(J1254),J1254,IF(ISNUMBER(INDEX('Deck 5'!$A:$Z,ROW()-1250,'List Setup'!$F$7)),INDEX('Deck 5'!$A:$Z,ROW()-1250,'List Setup'!$F$7),0)))</f>
        <v/>
      </c>
      <c r="G1254" s="80" t="str">
        <f t="array" ref="G1254">IF(A1254="","",A1254&amp;IF(N(INDEX('Deck 5'!$A:$Z,ROW()-1250,'List Setup'!$C$7))&gt;1," (x"&amp;INDEX('Deck 5'!$A:$Z,ROW()-1250,'List Setup'!$C$7)&amp;")","")&amp;IF(COUNTIF(Binders!$J$6:$J$30,TRUE())&gt;1," ["&amp;Q1254&amp;"]",""))</f>
        <v/>
      </c>
      <c r="H1254" s="80" t="str">
        <f t="array" ref="H1254">IF(A1254="","",CHAR(10)&amp;INDEX('Deck 5'!$A:$Z,ROW()-1250,'List Setup'!$E$7)&amp;CHAR(10))</f>
        <v/>
      </c>
      <c r="I1254" s="80" t="str">
        <f t="array" ref="I1254">IF(OR(B1254="",B1254="(none)"),"",IF(ISNUMBER(SEARCH(CHAR(10)&amp;B1254&amp;CHAR(10),H1254)),B1254,IFERROR(INDEX('Set Aliases'!$A$2:$A$501,MATCH(1,('Set Aliases'!$B$2:$B$501=B1254)*ISNUMBER(SEARCH(CHAR(10)&amp;'Set Aliases'!$A$2:$A$501&amp;CHAR(10),H1254)),0)),"")))</f>
        <v/>
      </c>
      <c r="J1254" s="80" t="str">
        <f t="array" ref="J1254">IF(I1254="","",IFERROR(VALUE(TRIM(MID(SUBSTITUTE(INDEX('Deck 5'!$A:$Z,ROW()-1250,'List Setup'!$G$7),CHAR(10),REPT(" ",100)),((SEARCH(CHAR(10)&amp;I1254&amp;CHAR(10),H1254)-LEN(SUBSTITUTE(LEFT(H1254,SEARCH(CHAR(10)&amp;I1254&amp;CHAR(10),H1254)),CHAR(10),"")))-1)*100+1,100))),""))</f>
        <v/>
      </c>
      <c r="K1254" s="80" t="str">
        <f t="array" ref="K1254">IF(A1254="","",IF(ISNUMBER(SEARCH("Land",LEFT(IFERROR(INDEX('Deck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54" s="80" t="str">
        <f t="shared" si="3"/>
        <v/>
      </c>
      <c r="M1254" s="80" t="str">
        <f>IF(A1254="","",IF(AND(E1254="Y",B1254='Use at Shop'!$B$4),K1254*10000000000+(MAX(0,MIN(26,CODE(MID(UPPER(A1254)&amp;"    ",1,1))-64))*19683+MAX(0,MIN(26,CODE(MID(UPPER(A1254)&amp;"    ",2,1))-64))*729+MAX(0,MIN(26,CODE(MID(UPPER(A1254)&amp;"    ",3,1))-64))*27+MAX(0,MIN(26,CODE(MID(UPPER(A1254)&amp;"    ",4,1))-64))*1)*10000+ROW(),""))</f>
        <v/>
      </c>
      <c r="N1254" s="80" t="str">
        <f t="shared" si="9"/>
        <v/>
      </c>
      <c r="O1254" s="80" t="str">
        <f t="array" ref="O1254">IF(A1254="","",IFERROR(INDEX('Deck 5'!$A:$Z,ROW()-1250,'List Setup'!$J$7)&amp;"",""))</f>
        <v/>
      </c>
      <c r="P1254" s="2"/>
      <c r="Q1254" s="80" t="str">
        <f>IF(A1254="","",'List Setup'!$A$7)</f>
        <v/>
      </c>
      <c r="R1254" s="80" t="str">
        <f t="array" ref="R1254">IF(A1254="","",IFERROR(OR(INDEX(Binders!$J$6:$J$30,MATCH(Q1254,Binders!$I$6:$I$30,0))=TRUE(),UPPER(INDEX(Binders!$J$6:$J$30,MATCH(Q1254,Binders!$I$6:$I$30,0))&amp;"")="TRUE"),FALSE()))</f>
        <v/>
      </c>
    </row>
    <row r="1255" ht="15.75" customHeight="1">
      <c r="A1255" s="80" t="str">
        <f t="array" ref="A1255">IF(INDEX('Deck 5'!$A:$Z,ROW()-1250,'List Setup'!$D$7)="","",INDEX('Deck 5'!$A:$Z,ROW()-1250,'List Setup'!$D$7))</f>
        <v/>
      </c>
      <c r="B1255" s="80" t="str">
        <f t="array" ref="B1255">IF(A1255="","",IFERROR(INDEX('Binder Setup'!$B$2:$B$401,MIN(IF(ISNUMBER(SEARCH(CHAR(10)&amp;'Binder Setup'!$B$2:$B$401&amp;CHAR(10),$H1255)),'List Setup'!$Q$2:$Q$401,999),IF(ISNUMBER(SEARCH(CHAR(10)&amp;'Set Aliases'!$A$2:$A$501&amp;CHAR(10),$H1255)),'Set Aliases'!$C$2:$C$501,999))),"(none)"))</f>
        <v/>
      </c>
      <c r="C1255" s="80" t="str">
        <f t="shared" si="1"/>
        <v/>
      </c>
      <c r="D1255" s="80" t="str">
        <f t="array" ref="D1255">IF(A1255="","",IF(ISLOGICAL(INDEX('Deck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55" s="80" t="str">
        <f t="shared" si="2"/>
        <v/>
      </c>
      <c r="F1255" s="80" t="str">
        <f t="array" ref="F1255">IF(A1255="","",IF(ISNUMBER(J1255),J1255,IF(ISNUMBER(INDEX('Deck 5'!$A:$Z,ROW()-1250,'List Setup'!$F$7)),INDEX('Deck 5'!$A:$Z,ROW()-1250,'List Setup'!$F$7),0)))</f>
        <v/>
      </c>
      <c r="G1255" s="80" t="str">
        <f t="array" ref="G1255">IF(A1255="","",A1255&amp;IF(N(INDEX('Deck 5'!$A:$Z,ROW()-1250,'List Setup'!$C$7))&gt;1," (x"&amp;INDEX('Deck 5'!$A:$Z,ROW()-1250,'List Setup'!$C$7)&amp;")","")&amp;IF(COUNTIF(Binders!$J$6:$J$30,TRUE())&gt;1," ["&amp;Q1255&amp;"]",""))</f>
        <v/>
      </c>
      <c r="H1255" s="80" t="str">
        <f t="array" ref="H1255">IF(A1255="","",CHAR(10)&amp;INDEX('Deck 5'!$A:$Z,ROW()-1250,'List Setup'!$E$7)&amp;CHAR(10))</f>
        <v/>
      </c>
      <c r="I1255" s="80" t="str">
        <f t="array" ref="I1255">IF(OR(B1255="",B1255="(none)"),"",IF(ISNUMBER(SEARCH(CHAR(10)&amp;B1255&amp;CHAR(10),H1255)),B1255,IFERROR(INDEX('Set Aliases'!$A$2:$A$501,MATCH(1,('Set Aliases'!$B$2:$B$501=B1255)*ISNUMBER(SEARCH(CHAR(10)&amp;'Set Aliases'!$A$2:$A$501&amp;CHAR(10),H1255)),0)),"")))</f>
        <v/>
      </c>
      <c r="J1255" s="80" t="str">
        <f t="array" ref="J1255">IF(I1255="","",IFERROR(VALUE(TRIM(MID(SUBSTITUTE(INDEX('Deck 5'!$A:$Z,ROW()-1250,'List Setup'!$G$7),CHAR(10),REPT(" ",100)),((SEARCH(CHAR(10)&amp;I1255&amp;CHAR(10),H1255)-LEN(SUBSTITUTE(LEFT(H1255,SEARCH(CHAR(10)&amp;I1255&amp;CHAR(10),H1255)),CHAR(10),"")))-1)*100+1,100))),""))</f>
        <v/>
      </c>
      <c r="K1255" s="80" t="str">
        <f t="array" ref="K1255">IF(A1255="","",IF(ISNUMBER(SEARCH("Land",LEFT(IFERROR(INDEX('Deck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55" s="80" t="str">
        <f t="shared" si="3"/>
        <v/>
      </c>
      <c r="M1255" s="80" t="str">
        <f>IF(A1255="","",IF(AND(E1255="Y",B1255='Use at Shop'!$B$4),K1255*10000000000+(MAX(0,MIN(26,CODE(MID(UPPER(A1255)&amp;"    ",1,1))-64))*19683+MAX(0,MIN(26,CODE(MID(UPPER(A1255)&amp;"    ",2,1))-64))*729+MAX(0,MIN(26,CODE(MID(UPPER(A1255)&amp;"    ",3,1))-64))*27+MAX(0,MIN(26,CODE(MID(UPPER(A1255)&amp;"    ",4,1))-64))*1)*10000+ROW(),""))</f>
        <v/>
      </c>
      <c r="N1255" s="80" t="str">
        <f t="shared" si="9"/>
        <v/>
      </c>
      <c r="O1255" s="80" t="str">
        <f t="array" ref="O1255">IF(A1255="","",IFERROR(INDEX('Deck 5'!$A:$Z,ROW()-1250,'List Setup'!$J$7)&amp;"",""))</f>
        <v/>
      </c>
      <c r="P1255" s="2"/>
      <c r="Q1255" s="80" t="str">
        <f>IF(A1255="","",'List Setup'!$A$7)</f>
        <v/>
      </c>
      <c r="R1255" s="80" t="str">
        <f t="array" ref="R1255">IF(A1255="","",IFERROR(OR(INDEX(Binders!$J$6:$J$30,MATCH(Q1255,Binders!$I$6:$I$30,0))=TRUE(),UPPER(INDEX(Binders!$J$6:$J$30,MATCH(Q1255,Binders!$I$6:$I$30,0))&amp;"")="TRUE"),FALSE()))</f>
        <v/>
      </c>
    </row>
    <row r="1256" ht="15.75" customHeight="1">
      <c r="A1256" s="80" t="str">
        <f t="array" ref="A1256">IF(INDEX('Deck 5'!$A:$Z,ROW()-1250,'List Setup'!$D$7)="","",INDEX('Deck 5'!$A:$Z,ROW()-1250,'List Setup'!$D$7))</f>
        <v/>
      </c>
      <c r="B1256" s="80" t="str">
        <f t="array" ref="B1256">IF(A1256="","",IFERROR(INDEX('Binder Setup'!$B$2:$B$401,MIN(IF(ISNUMBER(SEARCH(CHAR(10)&amp;'Binder Setup'!$B$2:$B$401&amp;CHAR(10),$H1256)),'List Setup'!$Q$2:$Q$401,999),IF(ISNUMBER(SEARCH(CHAR(10)&amp;'Set Aliases'!$A$2:$A$501&amp;CHAR(10),$H1256)),'Set Aliases'!$C$2:$C$501,999))),"(none)"))</f>
        <v/>
      </c>
      <c r="C1256" s="80" t="str">
        <f t="shared" si="1"/>
        <v/>
      </c>
      <c r="D1256" s="80" t="str">
        <f t="array" ref="D1256">IF(A1256="","",IF(ISLOGICAL(INDEX('Deck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56" s="80" t="str">
        <f t="shared" si="2"/>
        <v/>
      </c>
      <c r="F1256" s="80" t="str">
        <f t="array" ref="F1256">IF(A1256="","",IF(ISNUMBER(J1256),J1256,IF(ISNUMBER(INDEX('Deck 5'!$A:$Z,ROW()-1250,'List Setup'!$F$7)),INDEX('Deck 5'!$A:$Z,ROW()-1250,'List Setup'!$F$7),0)))</f>
        <v/>
      </c>
      <c r="G1256" s="80" t="str">
        <f t="array" ref="G1256">IF(A1256="","",A1256&amp;IF(N(INDEX('Deck 5'!$A:$Z,ROW()-1250,'List Setup'!$C$7))&gt;1," (x"&amp;INDEX('Deck 5'!$A:$Z,ROW()-1250,'List Setup'!$C$7)&amp;")","")&amp;IF(COUNTIF(Binders!$J$6:$J$30,TRUE())&gt;1," ["&amp;Q1256&amp;"]",""))</f>
        <v/>
      </c>
      <c r="H1256" s="80" t="str">
        <f t="array" ref="H1256">IF(A1256="","",CHAR(10)&amp;INDEX('Deck 5'!$A:$Z,ROW()-1250,'List Setup'!$E$7)&amp;CHAR(10))</f>
        <v/>
      </c>
      <c r="I1256" s="80" t="str">
        <f t="array" ref="I1256">IF(OR(B1256="",B1256="(none)"),"",IF(ISNUMBER(SEARCH(CHAR(10)&amp;B1256&amp;CHAR(10),H1256)),B1256,IFERROR(INDEX('Set Aliases'!$A$2:$A$501,MATCH(1,('Set Aliases'!$B$2:$B$501=B1256)*ISNUMBER(SEARCH(CHAR(10)&amp;'Set Aliases'!$A$2:$A$501&amp;CHAR(10),H1256)),0)),"")))</f>
        <v/>
      </c>
      <c r="J1256" s="80" t="str">
        <f t="array" ref="J1256">IF(I1256="","",IFERROR(VALUE(TRIM(MID(SUBSTITUTE(INDEX('Deck 5'!$A:$Z,ROW()-1250,'List Setup'!$G$7),CHAR(10),REPT(" ",100)),((SEARCH(CHAR(10)&amp;I1256&amp;CHAR(10),H1256)-LEN(SUBSTITUTE(LEFT(H1256,SEARCH(CHAR(10)&amp;I1256&amp;CHAR(10),H1256)),CHAR(10),"")))-1)*100+1,100))),""))</f>
        <v/>
      </c>
      <c r="K1256" s="80" t="str">
        <f t="array" ref="K1256">IF(A1256="","",IF(ISNUMBER(SEARCH("Land",LEFT(IFERROR(INDEX('Deck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56" s="80" t="str">
        <f t="shared" si="3"/>
        <v/>
      </c>
      <c r="M1256" s="80" t="str">
        <f>IF(A1256="","",IF(AND(E1256="Y",B1256='Use at Shop'!$B$4),K1256*10000000000+(MAX(0,MIN(26,CODE(MID(UPPER(A1256)&amp;"    ",1,1))-64))*19683+MAX(0,MIN(26,CODE(MID(UPPER(A1256)&amp;"    ",2,1))-64))*729+MAX(0,MIN(26,CODE(MID(UPPER(A1256)&amp;"    ",3,1))-64))*27+MAX(0,MIN(26,CODE(MID(UPPER(A1256)&amp;"    ",4,1))-64))*1)*10000+ROW(),""))</f>
        <v/>
      </c>
      <c r="N1256" s="80" t="str">
        <f t="shared" si="9"/>
        <v/>
      </c>
      <c r="O1256" s="80" t="str">
        <f t="array" ref="O1256">IF(A1256="","",IFERROR(INDEX('Deck 5'!$A:$Z,ROW()-1250,'List Setup'!$J$7)&amp;"",""))</f>
        <v/>
      </c>
      <c r="P1256" s="2"/>
      <c r="Q1256" s="80" t="str">
        <f>IF(A1256="","",'List Setup'!$A$7)</f>
        <v/>
      </c>
      <c r="R1256" s="80" t="str">
        <f t="array" ref="R1256">IF(A1256="","",IFERROR(OR(INDEX(Binders!$J$6:$J$30,MATCH(Q1256,Binders!$I$6:$I$30,0))=TRUE(),UPPER(INDEX(Binders!$J$6:$J$30,MATCH(Q1256,Binders!$I$6:$I$30,0))&amp;"")="TRUE"),FALSE()))</f>
        <v/>
      </c>
    </row>
    <row r="1257" ht="15.75" customHeight="1">
      <c r="A1257" s="80" t="str">
        <f t="array" ref="A1257">IF(INDEX('Deck 5'!$A:$Z,ROW()-1250,'List Setup'!$D$7)="","",INDEX('Deck 5'!$A:$Z,ROW()-1250,'List Setup'!$D$7))</f>
        <v/>
      </c>
      <c r="B1257" s="80" t="str">
        <f t="array" ref="B1257">IF(A1257="","",IFERROR(INDEX('Binder Setup'!$B$2:$B$401,MIN(IF(ISNUMBER(SEARCH(CHAR(10)&amp;'Binder Setup'!$B$2:$B$401&amp;CHAR(10),$H1257)),'List Setup'!$Q$2:$Q$401,999),IF(ISNUMBER(SEARCH(CHAR(10)&amp;'Set Aliases'!$A$2:$A$501&amp;CHAR(10),$H1257)),'Set Aliases'!$C$2:$C$501,999))),"(none)"))</f>
        <v/>
      </c>
      <c r="C1257" s="80" t="str">
        <f t="shared" si="1"/>
        <v/>
      </c>
      <c r="D1257" s="80" t="str">
        <f t="array" ref="D1257">IF(A1257="","",IF(ISLOGICAL(INDEX('Deck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57" s="80" t="str">
        <f t="shared" si="2"/>
        <v/>
      </c>
      <c r="F1257" s="80" t="str">
        <f t="array" ref="F1257">IF(A1257="","",IF(ISNUMBER(J1257),J1257,IF(ISNUMBER(INDEX('Deck 5'!$A:$Z,ROW()-1250,'List Setup'!$F$7)),INDEX('Deck 5'!$A:$Z,ROW()-1250,'List Setup'!$F$7),0)))</f>
        <v/>
      </c>
      <c r="G1257" s="80" t="str">
        <f t="array" ref="G1257">IF(A1257="","",A1257&amp;IF(N(INDEX('Deck 5'!$A:$Z,ROW()-1250,'List Setup'!$C$7))&gt;1," (x"&amp;INDEX('Deck 5'!$A:$Z,ROW()-1250,'List Setup'!$C$7)&amp;")","")&amp;IF(COUNTIF(Binders!$J$6:$J$30,TRUE())&gt;1," ["&amp;Q1257&amp;"]",""))</f>
        <v/>
      </c>
      <c r="H1257" s="80" t="str">
        <f t="array" ref="H1257">IF(A1257="","",CHAR(10)&amp;INDEX('Deck 5'!$A:$Z,ROW()-1250,'List Setup'!$E$7)&amp;CHAR(10))</f>
        <v/>
      </c>
      <c r="I1257" s="80" t="str">
        <f t="array" ref="I1257">IF(OR(B1257="",B1257="(none)"),"",IF(ISNUMBER(SEARCH(CHAR(10)&amp;B1257&amp;CHAR(10),H1257)),B1257,IFERROR(INDEX('Set Aliases'!$A$2:$A$501,MATCH(1,('Set Aliases'!$B$2:$B$501=B1257)*ISNUMBER(SEARCH(CHAR(10)&amp;'Set Aliases'!$A$2:$A$501&amp;CHAR(10),H1257)),0)),"")))</f>
        <v/>
      </c>
      <c r="J1257" s="80" t="str">
        <f t="array" ref="J1257">IF(I1257="","",IFERROR(VALUE(TRIM(MID(SUBSTITUTE(INDEX('Deck 5'!$A:$Z,ROW()-1250,'List Setup'!$G$7),CHAR(10),REPT(" ",100)),((SEARCH(CHAR(10)&amp;I1257&amp;CHAR(10),H1257)-LEN(SUBSTITUTE(LEFT(H1257,SEARCH(CHAR(10)&amp;I1257&amp;CHAR(10),H1257)),CHAR(10),"")))-1)*100+1,100))),""))</f>
        <v/>
      </c>
      <c r="K1257" s="80" t="str">
        <f t="array" ref="K1257">IF(A1257="","",IF(ISNUMBER(SEARCH("Land",LEFT(IFERROR(INDEX('Deck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57" s="80" t="str">
        <f t="shared" si="3"/>
        <v/>
      </c>
      <c r="M1257" s="80" t="str">
        <f>IF(A1257="","",IF(AND(E1257="Y",B1257='Use at Shop'!$B$4),K1257*10000000000+(MAX(0,MIN(26,CODE(MID(UPPER(A1257)&amp;"    ",1,1))-64))*19683+MAX(0,MIN(26,CODE(MID(UPPER(A1257)&amp;"    ",2,1))-64))*729+MAX(0,MIN(26,CODE(MID(UPPER(A1257)&amp;"    ",3,1))-64))*27+MAX(0,MIN(26,CODE(MID(UPPER(A1257)&amp;"    ",4,1))-64))*1)*10000+ROW(),""))</f>
        <v/>
      </c>
      <c r="N1257" s="80" t="str">
        <f t="shared" si="9"/>
        <v/>
      </c>
      <c r="O1257" s="80" t="str">
        <f t="array" ref="O1257">IF(A1257="","",IFERROR(INDEX('Deck 5'!$A:$Z,ROW()-1250,'List Setup'!$J$7)&amp;"",""))</f>
        <v/>
      </c>
      <c r="P1257" s="2"/>
      <c r="Q1257" s="80" t="str">
        <f>IF(A1257="","",'List Setup'!$A$7)</f>
        <v/>
      </c>
      <c r="R1257" s="80" t="str">
        <f t="array" ref="R1257">IF(A1257="","",IFERROR(OR(INDEX(Binders!$J$6:$J$30,MATCH(Q1257,Binders!$I$6:$I$30,0))=TRUE(),UPPER(INDEX(Binders!$J$6:$J$30,MATCH(Q1257,Binders!$I$6:$I$30,0))&amp;"")="TRUE"),FALSE()))</f>
        <v/>
      </c>
    </row>
    <row r="1258" ht="15.75" customHeight="1">
      <c r="A1258" s="80" t="str">
        <f t="array" ref="A1258">IF(INDEX('Deck 5'!$A:$Z,ROW()-1250,'List Setup'!$D$7)="","",INDEX('Deck 5'!$A:$Z,ROW()-1250,'List Setup'!$D$7))</f>
        <v/>
      </c>
      <c r="B1258" s="80" t="str">
        <f t="array" ref="B1258">IF(A1258="","",IFERROR(INDEX('Binder Setup'!$B$2:$B$401,MIN(IF(ISNUMBER(SEARCH(CHAR(10)&amp;'Binder Setup'!$B$2:$B$401&amp;CHAR(10),$H1258)),'List Setup'!$Q$2:$Q$401,999),IF(ISNUMBER(SEARCH(CHAR(10)&amp;'Set Aliases'!$A$2:$A$501&amp;CHAR(10),$H1258)),'Set Aliases'!$C$2:$C$501,999))),"(none)"))</f>
        <v/>
      </c>
      <c r="C1258" s="80" t="str">
        <f t="shared" si="1"/>
        <v/>
      </c>
      <c r="D1258" s="80" t="str">
        <f t="array" ref="D1258">IF(A1258="","",IF(ISLOGICAL(INDEX('Deck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58" s="80" t="str">
        <f t="shared" si="2"/>
        <v/>
      </c>
      <c r="F1258" s="80" t="str">
        <f t="array" ref="F1258">IF(A1258="","",IF(ISNUMBER(J1258),J1258,IF(ISNUMBER(INDEX('Deck 5'!$A:$Z,ROW()-1250,'List Setup'!$F$7)),INDEX('Deck 5'!$A:$Z,ROW()-1250,'List Setup'!$F$7),0)))</f>
        <v/>
      </c>
      <c r="G1258" s="80" t="str">
        <f t="array" ref="G1258">IF(A1258="","",A1258&amp;IF(N(INDEX('Deck 5'!$A:$Z,ROW()-1250,'List Setup'!$C$7))&gt;1," (x"&amp;INDEX('Deck 5'!$A:$Z,ROW()-1250,'List Setup'!$C$7)&amp;")","")&amp;IF(COUNTIF(Binders!$J$6:$J$30,TRUE())&gt;1," ["&amp;Q1258&amp;"]",""))</f>
        <v/>
      </c>
      <c r="H1258" s="80" t="str">
        <f t="array" ref="H1258">IF(A1258="","",CHAR(10)&amp;INDEX('Deck 5'!$A:$Z,ROW()-1250,'List Setup'!$E$7)&amp;CHAR(10))</f>
        <v/>
      </c>
      <c r="I1258" s="80" t="str">
        <f t="array" ref="I1258">IF(OR(B1258="",B1258="(none)"),"",IF(ISNUMBER(SEARCH(CHAR(10)&amp;B1258&amp;CHAR(10),H1258)),B1258,IFERROR(INDEX('Set Aliases'!$A$2:$A$501,MATCH(1,('Set Aliases'!$B$2:$B$501=B1258)*ISNUMBER(SEARCH(CHAR(10)&amp;'Set Aliases'!$A$2:$A$501&amp;CHAR(10),H1258)),0)),"")))</f>
        <v/>
      </c>
      <c r="J1258" s="80" t="str">
        <f t="array" ref="J1258">IF(I1258="","",IFERROR(VALUE(TRIM(MID(SUBSTITUTE(INDEX('Deck 5'!$A:$Z,ROW()-1250,'List Setup'!$G$7),CHAR(10),REPT(" ",100)),((SEARCH(CHAR(10)&amp;I1258&amp;CHAR(10),H1258)-LEN(SUBSTITUTE(LEFT(H1258,SEARCH(CHAR(10)&amp;I1258&amp;CHAR(10),H1258)),CHAR(10),"")))-1)*100+1,100))),""))</f>
        <v/>
      </c>
      <c r="K1258" s="80" t="str">
        <f t="array" ref="K1258">IF(A1258="","",IF(ISNUMBER(SEARCH("Land",LEFT(IFERROR(INDEX('Deck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58" s="80" t="str">
        <f t="shared" si="3"/>
        <v/>
      </c>
      <c r="M1258" s="80" t="str">
        <f>IF(A1258="","",IF(AND(E1258="Y",B1258='Use at Shop'!$B$4),K1258*10000000000+(MAX(0,MIN(26,CODE(MID(UPPER(A1258)&amp;"    ",1,1))-64))*19683+MAX(0,MIN(26,CODE(MID(UPPER(A1258)&amp;"    ",2,1))-64))*729+MAX(0,MIN(26,CODE(MID(UPPER(A1258)&amp;"    ",3,1))-64))*27+MAX(0,MIN(26,CODE(MID(UPPER(A1258)&amp;"    ",4,1))-64))*1)*10000+ROW(),""))</f>
        <v/>
      </c>
      <c r="N1258" s="80" t="str">
        <f t="shared" si="9"/>
        <v/>
      </c>
      <c r="O1258" s="80" t="str">
        <f t="array" ref="O1258">IF(A1258="","",IFERROR(INDEX('Deck 5'!$A:$Z,ROW()-1250,'List Setup'!$J$7)&amp;"",""))</f>
        <v/>
      </c>
      <c r="P1258" s="2"/>
      <c r="Q1258" s="80" t="str">
        <f>IF(A1258="","",'List Setup'!$A$7)</f>
        <v/>
      </c>
      <c r="R1258" s="80" t="str">
        <f t="array" ref="R1258">IF(A1258="","",IFERROR(OR(INDEX(Binders!$J$6:$J$30,MATCH(Q1258,Binders!$I$6:$I$30,0))=TRUE(),UPPER(INDEX(Binders!$J$6:$J$30,MATCH(Q1258,Binders!$I$6:$I$30,0))&amp;"")="TRUE"),FALSE()))</f>
        <v/>
      </c>
    </row>
    <row r="1259" ht="15.75" customHeight="1">
      <c r="A1259" s="80" t="str">
        <f t="array" ref="A1259">IF(INDEX('Deck 5'!$A:$Z,ROW()-1250,'List Setup'!$D$7)="","",INDEX('Deck 5'!$A:$Z,ROW()-1250,'List Setup'!$D$7))</f>
        <v/>
      </c>
      <c r="B1259" s="80" t="str">
        <f t="array" ref="B1259">IF(A1259="","",IFERROR(INDEX('Binder Setup'!$B$2:$B$401,MIN(IF(ISNUMBER(SEARCH(CHAR(10)&amp;'Binder Setup'!$B$2:$B$401&amp;CHAR(10),$H1259)),'List Setup'!$Q$2:$Q$401,999),IF(ISNUMBER(SEARCH(CHAR(10)&amp;'Set Aliases'!$A$2:$A$501&amp;CHAR(10),$H1259)),'Set Aliases'!$C$2:$C$501,999))),"(none)"))</f>
        <v/>
      </c>
      <c r="C1259" s="80" t="str">
        <f t="shared" si="1"/>
        <v/>
      </c>
      <c r="D1259" s="80" t="str">
        <f t="array" ref="D1259">IF(A1259="","",IF(ISLOGICAL(INDEX('Deck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59" s="80" t="str">
        <f t="shared" si="2"/>
        <v/>
      </c>
      <c r="F1259" s="80" t="str">
        <f t="array" ref="F1259">IF(A1259="","",IF(ISNUMBER(J1259),J1259,IF(ISNUMBER(INDEX('Deck 5'!$A:$Z,ROW()-1250,'List Setup'!$F$7)),INDEX('Deck 5'!$A:$Z,ROW()-1250,'List Setup'!$F$7),0)))</f>
        <v/>
      </c>
      <c r="G1259" s="80" t="str">
        <f t="array" ref="G1259">IF(A1259="","",A1259&amp;IF(N(INDEX('Deck 5'!$A:$Z,ROW()-1250,'List Setup'!$C$7))&gt;1," (x"&amp;INDEX('Deck 5'!$A:$Z,ROW()-1250,'List Setup'!$C$7)&amp;")","")&amp;IF(COUNTIF(Binders!$J$6:$J$30,TRUE())&gt;1," ["&amp;Q1259&amp;"]",""))</f>
        <v/>
      </c>
      <c r="H1259" s="80" t="str">
        <f t="array" ref="H1259">IF(A1259="","",CHAR(10)&amp;INDEX('Deck 5'!$A:$Z,ROW()-1250,'List Setup'!$E$7)&amp;CHAR(10))</f>
        <v/>
      </c>
      <c r="I1259" s="80" t="str">
        <f t="array" ref="I1259">IF(OR(B1259="",B1259="(none)"),"",IF(ISNUMBER(SEARCH(CHAR(10)&amp;B1259&amp;CHAR(10),H1259)),B1259,IFERROR(INDEX('Set Aliases'!$A$2:$A$501,MATCH(1,('Set Aliases'!$B$2:$B$501=B1259)*ISNUMBER(SEARCH(CHAR(10)&amp;'Set Aliases'!$A$2:$A$501&amp;CHAR(10),H1259)),0)),"")))</f>
        <v/>
      </c>
      <c r="J1259" s="80" t="str">
        <f t="array" ref="J1259">IF(I1259="","",IFERROR(VALUE(TRIM(MID(SUBSTITUTE(INDEX('Deck 5'!$A:$Z,ROW()-1250,'List Setup'!$G$7),CHAR(10),REPT(" ",100)),((SEARCH(CHAR(10)&amp;I1259&amp;CHAR(10),H1259)-LEN(SUBSTITUTE(LEFT(H1259,SEARCH(CHAR(10)&amp;I1259&amp;CHAR(10),H1259)),CHAR(10),"")))-1)*100+1,100))),""))</f>
        <v/>
      </c>
      <c r="K1259" s="80" t="str">
        <f t="array" ref="K1259">IF(A1259="","",IF(ISNUMBER(SEARCH("Land",LEFT(IFERROR(INDEX('Deck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59" s="80" t="str">
        <f t="shared" si="3"/>
        <v/>
      </c>
      <c r="M1259" s="80" t="str">
        <f>IF(A1259="","",IF(AND(E1259="Y",B1259='Use at Shop'!$B$4),K1259*10000000000+(MAX(0,MIN(26,CODE(MID(UPPER(A1259)&amp;"    ",1,1))-64))*19683+MAX(0,MIN(26,CODE(MID(UPPER(A1259)&amp;"    ",2,1))-64))*729+MAX(0,MIN(26,CODE(MID(UPPER(A1259)&amp;"    ",3,1))-64))*27+MAX(0,MIN(26,CODE(MID(UPPER(A1259)&amp;"    ",4,1))-64))*1)*10000+ROW(),""))</f>
        <v/>
      </c>
      <c r="N1259" s="80" t="str">
        <f t="shared" si="9"/>
        <v/>
      </c>
      <c r="O1259" s="80" t="str">
        <f t="array" ref="O1259">IF(A1259="","",IFERROR(INDEX('Deck 5'!$A:$Z,ROW()-1250,'List Setup'!$J$7)&amp;"",""))</f>
        <v/>
      </c>
      <c r="P1259" s="2"/>
      <c r="Q1259" s="80" t="str">
        <f>IF(A1259="","",'List Setup'!$A$7)</f>
        <v/>
      </c>
      <c r="R1259" s="80" t="str">
        <f t="array" ref="R1259">IF(A1259="","",IFERROR(OR(INDEX(Binders!$J$6:$J$30,MATCH(Q1259,Binders!$I$6:$I$30,0))=TRUE(),UPPER(INDEX(Binders!$J$6:$J$30,MATCH(Q1259,Binders!$I$6:$I$30,0))&amp;"")="TRUE"),FALSE()))</f>
        <v/>
      </c>
    </row>
    <row r="1260" ht="15.75" customHeight="1">
      <c r="A1260" s="80" t="str">
        <f t="array" ref="A1260">IF(INDEX('Deck 5'!$A:$Z,ROW()-1250,'List Setup'!$D$7)="","",INDEX('Deck 5'!$A:$Z,ROW()-1250,'List Setup'!$D$7))</f>
        <v/>
      </c>
      <c r="B1260" s="80" t="str">
        <f t="array" ref="B1260">IF(A1260="","",IFERROR(INDEX('Binder Setup'!$B$2:$B$401,MIN(IF(ISNUMBER(SEARCH(CHAR(10)&amp;'Binder Setup'!$B$2:$B$401&amp;CHAR(10),$H1260)),'List Setup'!$Q$2:$Q$401,999),IF(ISNUMBER(SEARCH(CHAR(10)&amp;'Set Aliases'!$A$2:$A$501&amp;CHAR(10),$H1260)),'Set Aliases'!$C$2:$C$501,999))),"(none)"))</f>
        <v/>
      </c>
      <c r="C1260" s="80" t="str">
        <f t="shared" si="1"/>
        <v/>
      </c>
      <c r="D1260" s="80" t="str">
        <f t="array" ref="D1260">IF(A1260="","",IF(ISLOGICAL(INDEX('Deck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60" s="80" t="str">
        <f t="shared" si="2"/>
        <v/>
      </c>
      <c r="F1260" s="80" t="str">
        <f t="array" ref="F1260">IF(A1260="","",IF(ISNUMBER(J1260),J1260,IF(ISNUMBER(INDEX('Deck 5'!$A:$Z,ROW()-1250,'List Setup'!$F$7)),INDEX('Deck 5'!$A:$Z,ROW()-1250,'List Setup'!$F$7),0)))</f>
        <v/>
      </c>
      <c r="G1260" s="80" t="str">
        <f t="array" ref="G1260">IF(A1260="","",A1260&amp;IF(N(INDEX('Deck 5'!$A:$Z,ROW()-1250,'List Setup'!$C$7))&gt;1," (x"&amp;INDEX('Deck 5'!$A:$Z,ROW()-1250,'List Setup'!$C$7)&amp;")","")&amp;IF(COUNTIF(Binders!$J$6:$J$30,TRUE())&gt;1," ["&amp;Q1260&amp;"]",""))</f>
        <v/>
      </c>
      <c r="H1260" s="80" t="str">
        <f t="array" ref="H1260">IF(A1260="","",CHAR(10)&amp;INDEX('Deck 5'!$A:$Z,ROW()-1250,'List Setup'!$E$7)&amp;CHAR(10))</f>
        <v/>
      </c>
      <c r="I1260" s="80" t="str">
        <f t="array" ref="I1260">IF(OR(B1260="",B1260="(none)"),"",IF(ISNUMBER(SEARCH(CHAR(10)&amp;B1260&amp;CHAR(10),H1260)),B1260,IFERROR(INDEX('Set Aliases'!$A$2:$A$501,MATCH(1,('Set Aliases'!$B$2:$B$501=B1260)*ISNUMBER(SEARCH(CHAR(10)&amp;'Set Aliases'!$A$2:$A$501&amp;CHAR(10),H1260)),0)),"")))</f>
        <v/>
      </c>
      <c r="J1260" s="80" t="str">
        <f t="array" ref="J1260">IF(I1260="","",IFERROR(VALUE(TRIM(MID(SUBSTITUTE(INDEX('Deck 5'!$A:$Z,ROW()-1250,'List Setup'!$G$7),CHAR(10),REPT(" ",100)),((SEARCH(CHAR(10)&amp;I1260&amp;CHAR(10),H1260)-LEN(SUBSTITUTE(LEFT(H1260,SEARCH(CHAR(10)&amp;I1260&amp;CHAR(10),H1260)),CHAR(10),"")))-1)*100+1,100))),""))</f>
        <v/>
      </c>
      <c r="K1260" s="80" t="str">
        <f t="array" ref="K1260">IF(A1260="","",IF(ISNUMBER(SEARCH("Land",LEFT(IFERROR(INDEX('Deck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60" s="80" t="str">
        <f t="shared" si="3"/>
        <v/>
      </c>
      <c r="M1260" s="80" t="str">
        <f>IF(A1260="","",IF(AND(E1260="Y",B1260='Use at Shop'!$B$4),K1260*10000000000+(MAX(0,MIN(26,CODE(MID(UPPER(A1260)&amp;"    ",1,1))-64))*19683+MAX(0,MIN(26,CODE(MID(UPPER(A1260)&amp;"    ",2,1))-64))*729+MAX(0,MIN(26,CODE(MID(UPPER(A1260)&amp;"    ",3,1))-64))*27+MAX(0,MIN(26,CODE(MID(UPPER(A1260)&amp;"    ",4,1))-64))*1)*10000+ROW(),""))</f>
        <v/>
      </c>
      <c r="N1260" s="80" t="str">
        <f t="shared" si="9"/>
        <v/>
      </c>
      <c r="O1260" s="80" t="str">
        <f t="array" ref="O1260">IF(A1260="","",IFERROR(INDEX('Deck 5'!$A:$Z,ROW()-1250,'List Setup'!$J$7)&amp;"",""))</f>
        <v/>
      </c>
      <c r="P1260" s="2"/>
      <c r="Q1260" s="80" t="str">
        <f>IF(A1260="","",'List Setup'!$A$7)</f>
        <v/>
      </c>
      <c r="R1260" s="80" t="str">
        <f t="array" ref="R1260">IF(A1260="","",IFERROR(OR(INDEX(Binders!$J$6:$J$30,MATCH(Q1260,Binders!$I$6:$I$30,0))=TRUE(),UPPER(INDEX(Binders!$J$6:$J$30,MATCH(Q1260,Binders!$I$6:$I$30,0))&amp;"")="TRUE"),FALSE()))</f>
        <v/>
      </c>
    </row>
    <row r="1261" ht="15.75" customHeight="1">
      <c r="A1261" s="80" t="str">
        <f t="array" ref="A1261">IF(INDEX('Deck 5'!$A:$Z,ROW()-1250,'List Setup'!$D$7)="","",INDEX('Deck 5'!$A:$Z,ROW()-1250,'List Setup'!$D$7))</f>
        <v/>
      </c>
      <c r="B1261" s="80" t="str">
        <f t="array" ref="B1261">IF(A1261="","",IFERROR(INDEX('Binder Setup'!$B$2:$B$401,MIN(IF(ISNUMBER(SEARCH(CHAR(10)&amp;'Binder Setup'!$B$2:$B$401&amp;CHAR(10),$H1261)),'List Setup'!$Q$2:$Q$401,999),IF(ISNUMBER(SEARCH(CHAR(10)&amp;'Set Aliases'!$A$2:$A$501&amp;CHAR(10),$H1261)),'Set Aliases'!$C$2:$C$501,999))),"(none)"))</f>
        <v/>
      </c>
      <c r="C1261" s="80" t="str">
        <f t="shared" si="1"/>
        <v/>
      </c>
      <c r="D1261" s="80" t="str">
        <f t="array" ref="D1261">IF(A1261="","",IF(ISLOGICAL(INDEX('Deck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61" s="80" t="str">
        <f t="shared" si="2"/>
        <v/>
      </c>
      <c r="F1261" s="80" t="str">
        <f t="array" ref="F1261">IF(A1261="","",IF(ISNUMBER(J1261),J1261,IF(ISNUMBER(INDEX('Deck 5'!$A:$Z,ROW()-1250,'List Setup'!$F$7)),INDEX('Deck 5'!$A:$Z,ROW()-1250,'List Setup'!$F$7),0)))</f>
        <v/>
      </c>
      <c r="G1261" s="80" t="str">
        <f t="array" ref="G1261">IF(A1261="","",A1261&amp;IF(N(INDEX('Deck 5'!$A:$Z,ROW()-1250,'List Setup'!$C$7))&gt;1," (x"&amp;INDEX('Deck 5'!$A:$Z,ROW()-1250,'List Setup'!$C$7)&amp;")","")&amp;IF(COUNTIF(Binders!$J$6:$J$30,TRUE())&gt;1," ["&amp;Q1261&amp;"]",""))</f>
        <v/>
      </c>
      <c r="H1261" s="80" t="str">
        <f t="array" ref="H1261">IF(A1261="","",CHAR(10)&amp;INDEX('Deck 5'!$A:$Z,ROW()-1250,'List Setup'!$E$7)&amp;CHAR(10))</f>
        <v/>
      </c>
      <c r="I1261" s="80" t="str">
        <f t="array" ref="I1261">IF(OR(B1261="",B1261="(none)"),"",IF(ISNUMBER(SEARCH(CHAR(10)&amp;B1261&amp;CHAR(10),H1261)),B1261,IFERROR(INDEX('Set Aliases'!$A$2:$A$501,MATCH(1,('Set Aliases'!$B$2:$B$501=B1261)*ISNUMBER(SEARCH(CHAR(10)&amp;'Set Aliases'!$A$2:$A$501&amp;CHAR(10),H1261)),0)),"")))</f>
        <v/>
      </c>
      <c r="J1261" s="80" t="str">
        <f t="array" ref="J1261">IF(I1261="","",IFERROR(VALUE(TRIM(MID(SUBSTITUTE(INDEX('Deck 5'!$A:$Z,ROW()-1250,'List Setup'!$G$7),CHAR(10),REPT(" ",100)),((SEARCH(CHAR(10)&amp;I1261&amp;CHAR(10),H1261)-LEN(SUBSTITUTE(LEFT(H1261,SEARCH(CHAR(10)&amp;I1261&amp;CHAR(10),H1261)),CHAR(10),"")))-1)*100+1,100))),""))</f>
        <v/>
      </c>
      <c r="K1261" s="80" t="str">
        <f t="array" ref="K1261">IF(A1261="","",IF(ISNUMBER(SEARCH("Land",LEFT(IFERROR(INDEX('Deck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61" s="80" t="str">
        <f t="shared" si="3"/>
        <v/>
      </c>
      <c r="M1261" s="80" t="str">
        <f>IF(A1261="","",IF(AND(E1261="Y",B1261='Use at Shop'!$B$4),K1261*10000000000+(MAX(0,MIN(26,CODE(MID(UPPER(A1261)&amp;"    ",1,1))-64))*19683+MAX(0,MIN(26,CODE(MID(UPPER(A1261)&amp;"    ",2,1))-64))*729+MAX(0,MIN(26,CODE(MID(UPPER(A1261)&amp;"    ",3,1))-64))*27+MAX(0,MIN(26,CODE(MID(UPPER(A1261)&amp;"    ",4,1))-64))*1)*10000+ROW(),""))</f>
        <v/>
      </c>
      <c r="N1261" s="80" t="str">
        <f t="shared" si="9"/>
        <v/>
      </c>
      <c r="O1261" s="80" t="str">
        <f t="array" ref="O1261">IF(A1261="","",IFERROR(INDEX('Deck 5'!$A:$Z,ROW()-1250,'List Setup'!$J$7)&amp;"",""))</f>
        <v/>
      </c>
      <c r="P1261" s="2"/>
      <c r="Q1261" s="80" t="str">
        <f>IF(A1261="","",'List Setup'!$A$7)</f>
        <v/>
      </c>
      <c r="R1261" s="80" t="str">
        <f t="array" ref="R1261">IF(A1261="","",IFERROR(OR(INDEX(Binders!$J$6:$J$30,MATCH(Q1261,Binders!$I$6:$I$30,0))=TRUE(),UPPER(INDEX(Binders!$J$6:$J$30,MATCH(Q1261,Binders!$I$6:$I$30,0))&amp;"")="TRUE"),FALSE()))</f>
        <v/>
      </c>
    </row>
    <row r="1262" ht="15.75" customHeight="1">
      <c r="A1262" s="80" t="str">
        <f t="array" ref="A1262">IF(INDEX('Deck 5'!$A:$Z,ROW()-1250,'List Setup'!$D$7)="","",INDEX('Deck 5'!$A:$Z,ROW()-1250,'List Setup'!$D$7))</f>
        <v/>
      </c>
      <c r="B1262" s="80" t="str">
        <f t="array" ref="B1262">IF(A1262="","",IFERROR(INDEX('Binder Setup'!$B$2:$B$401,MIN(IF(ISNUMBER(SEARCH(CHAR(10)&amp;'Binder Setup'!$B$2:$B$401&amp;CHAR(10),$H1262)),'List Setup'!$Q$2:$Q$401,999),IF(ISNUMBER(SEARCH(CHAR(10)&amp;'Set Aliases'!$A$2:$A$501&amp;CHAR(10),$H1262)),'Set Aliases'!$C$2:$C$501,999))),"(none)"))</f>
        <v/>
      </c>
      <c r="C1262" s="80" t="str">
        <f t="shared" si="1"/>
        <v/>
      </c>
      <c r="D1262" s="80" t="str">
        <f t="array" ref="D1262">IF(A1262="","",IF(ISLOGICAL(INDEX('Deck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62" s="80" t="str">
        <f t="shared" si="2"/>
        <v/>
      </c>
      <c r="F1262" s="80" t="str">
        <f t="array" ref="F1262">IF(A1262="","",IF(ISNUMBER(J1262),J1262,IF(ISNUMBER(INDEX('Deck 5'!$A:$Z,ROW()-1250,'List Setup'!$F$7)),INDEX('Deck 5'!$A:$Z,ROW()-1250,'List Setup'!$F$7),0)))</f>
        <v/>
      </c>
      <c r="G1262" s="80" t="str">
        <f t="array" ref="G1262">IF(A1262="","",A1262&amp;IF(N(INDEX('Deck 5'!$A:$Z,ROW()-1250,'List Setup'!$C$7))&gt;1," (x"&amp;INDEX('Deck 5'!$A:$Z,ROW()-1250,'List Setup'!$C$7)&amp;")","")&amp;IF(COUNTIF(Binders!$J$6:$J$30,TRUE())&gt;1," ["&amp;Q1262&amp;"]",""))</f>
        <v/>
      </c>
      <c r="H1262" s="80" t="str">
        <f t="array" ref="H1262">IF(A1262="","",CHAR(10)&amp;INDEX('Deck 5'!$A:$Z,ROW()-1250,'List Setup'!$E$7)&amp;CHAR(10))</f>
        <v/>
      </c>
      <c r="I1262" s="80" t="str">
        <f t="array" ref="I1262">IF(OR(B1262="",B1262="(none)"),"",IF(ISNUMBER(SEARCH(CHAR(10)&amp;B1262&amp;CHAR(10),H1262)),B1262,IFERROR(INDEX('Set Aliases'!$A$2:$A$501,MATCH(1,('Set Aliases'!$B$2:$B$501=B1262)*ISNUMBER(SEARCH(CHAR(10)&amp;'Set Aliases'!$A$2:$A$501&amp;CHAR(10),H1262)),0)),"")))</f>
        <v/>
      </c>
      <c r="J1262" s="80" t="str">
        <f t="array" ref="J1262">IF(I1262="","",IFERROR(VALUE(TRIM(MID(SUBSTITUTE(INDEX('Deck 5'!$A:$Z,ROW()-1250,'List Setup'!$G$7),CHAR(10),REPT(" ",100)),((SEARCH(CHAR(10)&amp;I1262&amp;CHAR(10),H1262)-LEN(SUBSTITUTE(LEFT(H1262,SEARCH(CHAR(10)&amp;I1262&amp;CHAR(10),H1262)),CHAR(10),"")))-1)*100+1,100))),""))</f>
        <v/>
      </c>
      <c r="K1262" s="80" t="str">
        <f t="array" ref="K1262">IF(A1262="","",IF(ISNUMBER(SEARCH("Land",LEFT(IFERROR(INDEX('Deck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62" s="80" t="str">
        <f t="shared" si="3"/>
        <v/>
      </c>
      <c r="M1262" s="80" t="str">
        <f>IF(A1262="","",IF(AND(E1262="Y",B1262='Use at Shop'!$B$4),K1262*10000000000+(MAX(0,MIN(26,CODE(MID(UPPER(A1262)&amp;"    ",1,1))-64))*19683+MAX(0,MIN(26,CODE(MID(UPPER(A1262)&amp;"    ",2,1))-64))*729+MAX(0,MIN(26,CODE(MID(UPPER(A1262)&amp;"    ",3,1))-64))*27+MAX(0,MIN(26,CODE(MID(UPPER(A1262)&amp;"    ",4,1))-64))*1)*10000+ROW(),""))</f>
        <v/>
      </c>
      <c r="N1262" s="80" t="str">
        <f t="shared" si="9"/>
        <v/>
      </c>
      <c r="O1262" s="80" t="str">
        <f t="array" ref="O1262">IF(A1262="","",IFERROR(INDEX('Deck 5'!$A:$Z,ROW()-1250,'List Setup'!$J$7)&amp;"",""))</f>
        <v/>
      </c>
      <c r="P1262" s="2"/>
      <c r="Q1262" s="80" t="str">
        <f>IF(A1262="","",'List Setup'!$A$7)</f>
        <v/>
      </c>
      <c r="R1262" s="80" t="str">
        <f t="array" ref="R1262">IF(A1262="","",IFERROR(OR(INDEX(Binders!$J$6:$J$30,MATCH(Q1262,Binders!$I$6:$I$30,0))=TRUE(),UPPER(INDEX(Binders!$J$6:$J$30,MATCH(Q1262,Binders!$I$6:$I$30,0))&amp;"")="TRUE"),FALSE()))</f>
        <v/>
      </c>
    </row>
    <row r="1263" ht="15.75" customHeight="1">
      <c r="A1263" s="80" t="str">
        <f t="array" ref="A1263">IF(INDEX('Deck 5'!$A:$Z,ROW()-1250,'List Setup'!$D$7)="","",INDEX('Deck 5'!$A:$Z,ROW()-1250,'List Setup'!$D$7))</f>
        <v/>
      </c>
      <c r="B1263" s="80" t="str">
        <f t="array" ref="B1263">IF(A1263="","",IFERROR(INDEX('Binder Setup'!$B$2:$B$401,MIN(IF(ISNUMBER(SEARCH(CHAR(10)&amp;'Binder Setup'!$B$2:$B$401&amp;CHAR(10),$H1263)),'List Setup'!$Q$2:$Q$401,999),IF(ISNUMBER(SEARCH(CHAR(10)&amp;'Set Aliases'!$A$2:$A$501&amp;CHAR(10),$H1263)),'Set Aliases'!$C$2:$C$501,999))),"(none)"))</f>
        <v/>
      </c>
      <c r="C1263" s="80" t="str">
        <f t="shared" si="1"/>
        <v/>
      </c>
      <c r="D1263" s="80" t="str">
        <f t="array" ref="D1263">IF(A1263="","",IF(ISLOGICAL(INDEX('Deck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63" s="80" t="str">
        <f t="shared" si="2"/>
        <v/>
      </c>
      <c r="F1263" s="80" t="str">
        <f t="array" ref="F1263">IF(A1263="","",IF(ISNUMBER(J1263),J1263,IF(ISNUMBER(INDEX('Deck 5'!$A:$Z,ROW()-1250,'List Setup'!$F$7)),INDEX('Deck 5'!$A:$Z,ROW()-1250,'List Setup'!$F$7),0)))</f>
        <v/>
      </c>
      <c r="G1263" s="80" t="str">
        <f t="array" ref="G1263">IF(A1263="","",A1263&amp;IF(N(INDEX('Deck 5'!$A:$Z,ROW()-1250,'List Setup'!$C$7))&gt;1," (x"&amp;INDEX('Deck 5'!$A:$Z,ROW()-1250,'List Setup'!$C$7)&amp;")","")&amp;IF(COUNTIF(Binders!$J$6:$J$30,TRUE())&gt;1," ["&amp;Q1263&amp;"]",""))</f>
        <v/>
      </c>
      <c r="H1263" s="80" t="str">
        <f t="array" ref="H1263">IF(A1263="","",CHAR(10)&amp;INDEX('Deck 5'!$A:$Z,ROW()-1250,'List Setup'!$E$7)&amp;CHAR(10))</f>
        <v/>
      </c>
      <c r="I1263" s="80" t="str">
        <f t="array" ref="I1263">IF(OR(B1263="",B1263="(none)"),"",IF(ISNUMBER(SEARCH(CHAR(10)&amp;B1263&amp;CHAR(10),H1263)),B1263,IFERROR(INDEX('Set Aliases'!$A$2:$A$501,MATCH(1,('Set Aliases'!$B$2:$B$501=B1263)*ISNUMBER(SEARCH(CHAR(10)&amp;'Set Aliases'!$A$2:$A$501&amp;CHAR(10),H1263)),0)),"")))</f>
        <v/>
      </c>
      <c r="J1263" s="80" t="str">
        <f t="array" ref="J1263">IF(I1263="","",IFERROR(VALUE(TRIM(MID(SUBSTITUTE(INDEX('Deck 5'!$A:$Z,ROW()-1250,'List Setup'!$G$7),CHAR(10),REPT(" ",100)),((SEARCH(CHAR(10)&amp;I1263&amp;CHAR(10),H1263)-LEN(SUBSTITUTE(LEFT(H1263,SEARCH(CHAR(10)&amp;I1263&amp;CHAR(10),H1263)),CHAR(10),"")))-1)*100+1,100))),""))</f>
        <v/>
      </c>
      <c r="K1263" s="80" t="str">
        <f t="array" ref="K1263">IF(A1263="","",IF(ISNUMBER(SEARCH("Land",LEFT(IFERROR(INDEX('Deck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63" s="80" t="str">
        <f t="shared" si="3"/>
        <v/>
      </c>
      <c r="M1263" s="80" t="str">
        <f>IF(A1263="","",IF(AND(E1263="Y",B1263='Use at Shop'!$B$4),K1263*10000000000+(MAX(0,MIN(26,CODE(MID(UPPER(A1263)&amp;"    ",1,1))-64))*19683+MAX(0,MIN(26,CODE(MID(UPPER(A1263)&amp;"    ",2,1))-64))*729+MAX(0,MIN(26,CODE(MID(UPPER(A1263)&amp;"    ",3,1))-64))*27+MAX(0,MIN(26,CODE(MID(UPPER(A1263)&amp;"    ",4,1))-64))*1)*10000+ROW(),""))</f>
        <v/>
      </c>
      <c r="N1263" s="80" t="str">
        <f t="shared" si="9"/>
        <v/>
      </c>
      <c r="O1263" s="80" t="str">
        <f t="array" ref="O1263">IF(A1263="","",IFERROR(INDEX('Deck 5'!$A:$Z,ROW()-1250,'List Setup'!$J$7)&amp;"",""))</f>
        <v/>
      </c>
      <c r="P1263" s="2"/>
      <c r="Q1263" s="80" t="str">
        <f>IF(A1263="","",'List Setup'!$A$7)</f>
        <v/>
      </c>
      <c r="R1263" s="80" t="str">
        <f t="array" ref="R1263">IF(A1263="","",IFERROR(OR(INDEX(Binders!$J$6:$J$30,MATCH(Q1263,Binders!$I$6:$I$30,0))=TRUE(),UPPER(INDEX(Binders!$J$6:$J$30,MATCH(Q1263,Binders!$I$6:$I$30,0))&amp;"")="TRUE"),FALSE()))</f>
        <v/>
      </c>
    </row>
    <row r="1264" ht="15.75" customHeight="1">
      <c r="A1264" s="80" t="str">
        <f t="array" ref="A1264">IF(INDEX('Deck 5'!$A:$Z,ROW()-1250,'List Setup'!$D$7)="","",INDEX('Deck 5'!$A:$Z,ROW()-1250,'List Setup'!$D$7))</f>
        <v/>
      </c>
      <c r="B1264" s="80" t="str">
        <f t="array" ref="B1264">IF(A1264="","",IFERROR(INDEX('Binder Setup'!$B$2:$B$401,MIN(IF(ISNUMBER(SEARCH(CHAR(10)&amp;'Binder Setup'!$B$2:$B$401&amp;CHAR(10),$H1264)),'List Setup'!$Q$2:$Q$401,999),IF(ISNUMBER(SEARCH(CHAR(10)&amp;'Set Aliases'!$A$2:$A$501&amp;CHAR(10),$H1264)),'Set Aliases'!$C$2:$C$501,999))),"(none)"))</f>
        <v/>
      </c>
      <c r="C1264" s="80" t="str">
        <f t="shared" si="1"/>
        <v/>
      </c>
      <c r="D1264" s="80" t="str">
        <f t="array" ref="D1264">IF(A1264="","",IF(ISLOGICAL(INDEX('Deck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64" s="80" t="str">
        <f t="shared" si="2"/>
        <v/>
      </c>
      <c r="F1264" s="80" t="str">
        <f t="array" ref="F1264">IF(A1264="","",IF(ISNUMBER(J1264),J1264,IF(ISNUMBER(INDEX('Deck 5'!$A:$Z,ROW()-1250,'List Setup'!$F$7)),INDEX('Deck 5'!$A:$Z,ROW()-1250,'List Setup'!$F$7),0)))</f>
        <v/>
      </c>
      <c r="G1264" s="80" t="str">
        <f t="array" ref="G1264">IF(A1264="","",A1264&amp;IF(N(INDEX('Deck 5'!$A:$Z,ROW()-1250,'List Setup'!$C$7))&gt;1," (x"&amp;INDEX('Deck 5'!$A:$Z,ROW()-1250,'List Setup'!$C$7)&amp;")","")&amp;IF(COUNTIF(Binders!$J$6:$J$30,TRUE())&gt;1," ["&amp;Q1264&amp;"]",""))</f>
        <v/>
      </c>
      <c r="H1264" s="80" t="str">
        <f t="array" ref="H1264">IF(A1264="","",CHAR(10)&amp;INDEX('Deck 5'!$A:$Z,ROW()-1250,'List Setup'!$E$7)&amp;CHAR(10))</f>
        <v/>
      </c>
      <c r="I1264" s="80" t="str">
        <f t="array" ref="I1264">IF(OR(B1264="",B1264="(none)"),"",IF(ISNUMBER(SEARCH(CHAR(10)&amp;B1264&amp;CHAR(10),H1264)),B1264,IFERROR(INDEX('Set Aliases'!$A$2:$A$501,MATCH(1,('Set Aliases'!$B$2:$B$501=B1264)*ISNUMBER(SEARCH(CHAR(10)&amp;'Set Aliases'!$A$2:$A$501&amp;CHAR(10),H1264)),0)),"")))</f>
        <v/>
      </c>
      <c r="J1264" s="80" t="str">
        <f t="array" ref="J1264">IF(I1264="","",IFERROR(VALUE(TRIM(MID(SUBSTITUTE(INDEX('Deck 5'!$A:$Z,ROW()-1250,'List Setup'!$G$7),CHAR(10),REPT(" ",100)),((SEARCH(CHAR(10)&amp;I1264&amp;CHAR(10),H1264)-LEN(SUBSTITUTE(LEFT(H1264,SEARCH(CHAR(10)&amp;I1264&amp;CHAR(10),H1264)),CHAR(10),"")))-1)*100+1,100))),""))</f>
        <v/>
      </c>
      <c r="K1264" s="80" t="str">
        <f t="array" ref="K1264">IF(A1264="","",IF(ISNUMBER(SEARCH("Land",LEFT(IFERROR(INDEX('Deck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64" s="80" t="str">
        <f t="shared" si="3"/>
        <v/>
      </c>
      <c r="M1264" s="80" t="str">
        <f>IF(A1264="","",IF(AND(E1264="Y",B1264='Use at Shop'!$B$4),K1264*10000000000+(MAX(0,MIN(26,CODE(MID(UPPER(A1264)&amp;"    ",1,1))-64))*19683+MAX(0,MIN(26,CODE(MID(UPPER(A1264)&amp;"    ",2,1))-64))*729+MAX(0,MIN(26,CODE(MID(UPPER(A1264)&amp;"    ",3,1))-64))*27+MAX(0,MIN(26,CODE(MID(UPPER(A1264)&amp;"    ",4,1))-64))*1)*10000+ROW(),""))</f>
        <v/>
      </c>
      <c r="N1264" s="80" t="str">
        <f t="shared" si="9"/>
        <v/>
      </c>
      <c r="O1264" s="80" t="str">
        <f t="array" ref="O1264">IF(A1264="","",IFERROR(INDEX('Deck 5'!$A:$Z,ROW()-1250,'List Setup'!$J$7)&amp;"",""))</f>
        <v/>
      </c>
      <c r="P1264" s="2"/>
      <c r="Q1264" s="80" t="str">
        <f>IF(A1264="","",'List Setup'!$A$7)</f>
        <v/>
      </c>
      <c r="R1264" s="80" t="str">
        <f t="array" ref="R1264">IF(A1264="","",IFERROR(OR(INDEX(Binders!$J$6:$J$30,MATCH(Q1264,Binders!$I$6:$I$30,0))=TRUE(),UPPER(INDEX(Binders!$J$6:$J$30,MATCH(Q1264,Binders!$I$6:$I$30,0))&amp;"")="TRUE"),FALSE()))</f>
        <v/>
      </c>
    </row>
    <row r="1265" ht="15.75" customHeight="1">
      <c r="A1265" s="80" t="str">
        <f t="array" ref="A1265">IF(INDEX('Deck 5'!$A:$Z,ROW()-1250,'List Setup'!$D$7)="","",INDEX('Deck 5'!$A:$Z,ROW()-1250,'List Setup'!$D$7))</f>
        <v/>
      </c>
      <c r="B1265" s="80" t="str">
        <f t="array" ref="B1265">IF(A1265="","",IFERROR(INDEX('Binder Setup'!$B$2:$B$401,MIN(IF(ISNUMBER(SEARCH(CHAR(10)&amp;'Binder Setup'!$B$2:$B$401&amp;CHAR(10),$H1265)),'List Setup'!$Q$2:$Q$401,999),IF(ISNUMBER(SEARCH(CHAR(10)&amp;'Set Aliases'!$A$2:$A$501&amp;CHAR(10),$H1265)),'Set Aliases'!$C$2:$C$501,999))),"(none)"))</f>
        <v/>
      </c>
      <c r="C1265" s="80" t="str">
        <f t="shared" si="1"/>
        <v/>
      </c>
      <c r="D1265" s="80" t="str">
        <f t="array" ref="D1265">IF(A1265="","",IF(ISLOGICAL(INDEX('Deck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65" s="80" t="str">
        <f t="shared" si="2"/>
        <v/>
      </c>
      <c r="F1265" s="80" t="str">
        <f t="array" ref="F1265">IF(A1265="","",IF(ISNUMBER(J1265),J1265,IF(ISNUMBER(INDEX('Deck 5'!$A:$Z,ROW()-1250,'List Setup'!$F$7)),INDEX('Deck 5'!$A:$Z,ROW()-1250,'List Setup'!$F$7),0)))</f>
        <v/>
      </c>
      <c r="G1265" s="80" t="str">
        <f t="array" ref="G1265">IF(A1265="","",A1265&amp;IF(N(INDEX('Deck 5'!$A:$Z,ROW()-1250,'List Setup'!$C$7))&gt;1," (x"&amp;INDEX('Deck 5'!$A:$Z,ROW()-1250,'List Setup'!$C$7)&amp;")","")&amp;IF(COUNTIF(Binders!$J$6:$J$30,TRUE())&gt;1," ["&amp;Q1265&amp;"]",""))</f>
        <v/>
      </c>
      <c r="H1265" s="80" t="str">
        <f t="array" ref="H1265">IF(A1265="","",CHAR(10)&amp;INDEX('Deck 5'!$A:$Z,ROW()-1250,'List Setup'!$E$7)&amp;CHAR(10))</f>
        <v/>
      </c>
      <c r="I1265" s="80" t="str">
        <f t="array" ref="I1265">IF(OR(B1265="",B1265="(none)"),"",IF(ISNUMBER(SEARCH(CHAR(10)&amp;B1265&amp;CHAR(10),H1265)),B1265,IFERROR(INDEX('Set Aliases'!$A$2:$A$501,MATCH(1,('Set Aliases'!$B$2:$B$501=B1265)*ISNUMBER(SEARCH(CHAR(10)&amp;'Set Aliases'!$A$2:$A$501&amp;CHAR(10),H1265)),0)),"")))</f>
        <v/>
      </c>
      <c r="J1265" s="80" t="str">
        <f t="array" ref="J1265">IF(I1265="","",IFERROR(VALUE(TRIM(MID(SUBSTITUTE(INDEX('Deck 5'!$A:$Z,ROW()-1250,'List Setup'!$G$7),CHAR(10),REPT(" ",100)),((SEARCH(CHAR(10)&amp;I1265&amp;CHAR(10),H1265)-LEN(SUBSTITUTE(LEFT(H1265,SEARCH(CHAR(10)&amp;I1265&amp;CHAR(10),H1265)),CHAR(10),"")))-1)*100+1,100))),""))</f>
        <v/>
      </c>
      <c r="K1265" s="80" t="str">
        <f t="array" ref="K1265">IF(A1265="","",IF(ISNUMBER(SEARCH("Land",LEFT(IFERROR(INDEX('Deck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65" s="80" t="str">
        <f t="shared" si="3"/>
        <v/>
      </c>
      <c r="M1265" s="80" t="str">
        <f>IF(A1265="","",IF(AND(E1265="Y",B1265='Use at Shop'!$B$4),K1265*10000000000+(MAX(0,MIN(26,CODE(MID(UPPER(A1265)&amp;"    ",1,1))-64))*19683+MAX(0,MIN(26,CODE(MID(UPPER(A1265)&amp;"    ",2,1))-64))*729+MAX(0,MIN(26,CODE(MID(UPPER(A1265)&amp;"    ",3,1))-64))*27+MAX(0,MIN(26,CODE(MID(UPPER(A1265)&amp;"    ",4,1))-64))*1)*10000+ROW(),""))</f>
        <v/>
      </c>
      <c r="N1265" s="80" t="str">
        <f t="shared" si="9"/>
        <v/>
      </c>
      <c r="O1265" s="80" t="str">
        <f t="array" ref="O1265">IF(A1265="","",IFERROR(INDEX('Deck 5'!$A:$Z,ROW()-1250,'List Setup'!$J$7)&amp;"",""))</f>
        <v/>
      </c>
      <c r="P1265" s="2"/>
      <c r="Q1265" s="80" t="str">
        <f>IF(A1265="","",'List Setup'!$A$7)</f>
        <v/>
      </c>
      <c r="R1265" s="80" t="str">
        <f t="array" ref="R1265">IF(A1265="","",IFERROR(OR(INDEX(Binders!$J$6:$J$30,MATCH(Q1265,Binders!$I$6:$I$30,0))=TRUE(),UPPER(INDEX(Binders!$J$6:$J$30,MATCH(Q1265,Binders!$I$6:$I$30,0))&amp;"")="TRUE"),FALSE()))</f>
        <v/>
      </c>
    </row>
    <row r="1266" ht="15.75" customHeight="1">
      <c r="A1266" s="80" t="str">
        <f t="array" ref="A1266">IF(INDEX('Deck 5'!$A:$Z,ROW()-1250,'List Setup'!$D$7)="","",INDEX('Deck 5'!$A:$Z,ROW()-1250,'List Setup'!$D$7))</f>
        <v/>
      </c>
      <c r="B1266" s="80" t="str">
        <f t="array" ref="B1266">IF(A1266="","",IFERROR(INDEX('Binder Setup'!$B$2:$B$401,MIN(IF(ISNUMBER(SEARCH(CHAR(10)&amp;'Binder Setup'!$B$2:$B$401&amp;CHAR(10),$H1266)),'List Setup'!$Q$2:$Q$401,999),IF(ISNUMBER(SEARCH(CHAR(10)&amp;'Set Aliases'!$A$2:$A$501&amp;CHAR(10),$H1266)),'Set Aliases'!$C$2:$C$501,999))),"(none)"))</f>
        <v/>
      </c>
      <c r="C1266" s="80" t="str">
        <f t="shared" si="1"/>
        <v/>
      </c>
      <c r="D1266" s="80" t="str">
        <f t="array" ref="D1266">IF(A1266="","",IF(ISLOGICAL(INDEX('Deck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66" s="80" t="str">
        <f t="shared" si="2"/>
        <v/>
      </c>
      <c r="F1266" s="80" t="str">
        <f t="array" ref="F1266">IF(A1266="","",IF(ISNUMBER(J1266),J1266,IF(ISNUMBER(INDEX('Deck 5'!$A:$Z,ROW()-1250,'List Setup'!$F$7)),INDEX('Deck 5'!$A:$Z,ROW()-1250,'List Setup'!$F$7),0)))</f>
        <v/>
      </c>
      <c r="G1266" s="80" t="str">
        <f t="array" ref="G1266">IF(A1266="","",A1266&amp;IF(N(INDEX('Deck 5'!$A:$Z,ROW()-1250,'List Setup'!$C$7))&gt;1," (x"&amp;INDEX('Deck 5'!$A:$Z,ROW()-1250,'List Setup'!$C$7)&amp;")","")&amp;IF(COUNTIF(Binders!$J$6:$J$30,TRUE())&gt;1," ["&amp;Q1266&amp;"]",""))</f>
        <v/>
      </c>
      <c r="H1266" s="80" t="str">
        <f t="array" ref="H1266">IF(A1266="","",CHAR(10)&amp;INDEX('Deck 5'!$A:$Z,ROW()-1250,'List Setup'!$E$7)&amp;CHAR(10))</f>
        <v/>
      </c>
      <c r="I1266" s="80" t="str">
        <f t="array" ref="I1266">IF(OR(B1266="",B1266="(none)"),"",IF(ISNUMBER(SEARCH(CHAR(10)&amp;B1266&amp;CHAR(10),H1266)),B1266,IFERROR(INDEX('Set Aliases'!$A$2:$A$501,MATCH(1,('Set Aliases'!$B$2:$B$501=B1266)*ISNUMBER(SEARCH(CHAR(10)&amp;'Set Aliases'!$A$2:$A$501&amp;CHAR(10),H1266)),0)),"")))</f>
        <v/>
      </c>
      <c r="J1266" s="80" t="str">
        <f t="array" ref="J1266">IF(I1266="","",IFERROR(VALUE(TRIM(MID(SUBSTITUTE(INDEX('Deck 5'!$A:$Z,ROW()-1250,'List Setup'!$G$7),CHAR(10),REPT(" ",100)),((SEARCH(CHAR(10)&amp;I1266&amp;CHAR(10),H1266)-LEN(SUBSTITUTE(LEFT(H1266,SEARCH(CHAR(10)&amp;I1266&amp;CHAR(10),H1266)),CHAR(10),"")))-1)*100+1,100))),""))</f>
        <v/>
      </c>
      <c r="K1266" s="80" t="str">
        <f t="array" ref="K1266">IF(A1266="","",IF(ISNUMBER(SEARCH("Land",LEFT(IFERROR(INDEX('Deck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66" s="80" t="str">
        <f t="shared" si="3"/>
        <v/>
      </c>
      <c r="M1266" s="80" t="str">
        <f>IF(A1266="","",IF(AND(E1266="Y",B1266='Use at Shop'!$B$4),K1266*10000000000+(MAX(0,MIN(26,CODE(MID(UPPER(A1266)&amp;"    ",1,1))-64))*19683+MAX(0,MIN(26,CODE(MID(UPPER(A1266)&amp;"    ",2,1))-64))*729+MAX(0,MIN(26,CODE(MID(UPPER(A1266)&amp;"    ",3,1))-64))*27+MAX(0,MIN(26,CODE(MID(UPPER(A1266)&amp;"    ",4,1))-64))*1)*10000+ROW(),""))</f>
        <v/>
      </c>
      <c r="N1266" s="80" t="str">
        <f t="shared" si="9"/>
        <v/>
      </c>
      <c r="O1266" s="80" t="str">
        <f t="array" ref="O1266">IF(A1266="","",IFERROR(INDEX('Deck 5'!$A:$Z,ROW()-1250,'List Setup'!$J$7)&amp;"",""))</f>
        <v/>
      </c>
      <c r="P1266" s="2"/>
      <c r="Q1266" s="80" t="str">
        <f>IF(A1266="","",'List Setup'!$A$7)</f>
        <v/>
      </c>
      <c r="R1266" s="80" t="str">
        <f t="array" ref="R1266">IF(A1266="","",IFERROR(OR(INDEX(Binders!$J$6:$J$30,MATCH(Q1266,Binders!$I$6:$I$30,0))=TRUE(),UPPER(INDEX(Binders!$J$6:$J$30,MATCH(Q1266,Binders!$I$6:$I$30,0))&amp;"")="TRUE"),FALSE()))</f>
        <v/>
      </c>
    </row>
    <row r="1267" ht="15.75" customHeight="1">
      <c r="A1267" s="80" t="str">
        <f t="array" ref="A1267">IF(INDEX('Deck 5'!$A:$Z,ROW()-1250,'List Setup'!$D$7)="","",INDEX('Deck 5'!$A:$Z,ROW()-1250,'List Setup'!$D$7))</f>
        <v/>
      </c>
      <c r="B1267" s="80" t="str">
        <f t="array" ref="B1267">IF(A1267="","",IFERROR(INDEX('Binder Setup'!$B$2:$B$401,MIN(IF(ISNUMBER(SEARCH(CHAR(10)&amp;'Binder Setup'!$B$2:$B$401&amp;CHAR(10),$H1267)),'List Setup'!$Q$2:$Q$401,999),IF(ISNUMBER(SEARCH(CHAR(10)&amp;'Set Aliases'!$A$2:$A$501&amp;CHAR(10),$H1267)),'Set Aliases'!$C$2:$C$501,999))),"(none)"))</f>
        <v/>
      </c>
      <c r="C1267" s="80" t="str">
        <f t="shared" si="1"/>
        <v/>
      </c>
      <c r="D1267" s="80" t="str">
        <f t="array" ref="D1267">IF(A1267="","",IF(ISLOGICAL(INDEX('Deck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67" s="80" t="str">
        <f t="shared" si="2"/>
        <v/>
      </c>
      <c r="F1267" s="80" t="str">
        <f t="array" ref="F1267">IF(A1267="","",IF(ISNUMBER(J1267),J1267,IF(ISNUMBER(INDEX('Deck 5'!$A:$Z,ROW()-1250,'List Setup'!$F$7)),INDEX('Deck 5'!$A:$Z,ROW()-1250,'List Setup'!$F$7),0)))</f>
        <v/>
      </c>
      <c r="G1267" s="80" t="str">
        <f t="array" ref="G1267">IF(A1267="","",A1267&amp;IF(N(INDEX('Deck 5'!$A:$Z,ROW()-1250,'List Setup'!$C$7))&gt;1," (x"&amp;INDEX('Deck 5'!$A:$Z,ROW()-1250,'List Setup'!$C$7)&amp;")","")&amp;IF(COUNTIF(Binders!$J$6:$J$30,TRUE())&gt;1," ["&amp;Q1267&amp;"]",""))</f>
        <v/>
      </c>
      <c r="H1267" s="80" t="str">
        <f t="array" ref="H1267">IF(A1267="","",CHAR(10)&amp;INDEX('Deck 5'!$A:$Z,ROW()-1250,'List Setup'!$E$7)&amp;CHAR(10))</f>
        <v/>
      </c>
      <c r="I1267" s="80" t="str">
        <f t="array" ref="I1267">IF(OR(B1267="",B1267="(none)"),"",IF(ISNUMBER(SEARCH(CHAR(10)&amp;B1267&amp;CHAR(10),H1267)),B1267,IFERROR(INDEX('Set Aliases'!$A$2:$A$501,MATCH(1,('Set Aliases'!$B$2:$B$501=B1267)*ISNUMBER(SEARCH(CHAR(10)&amp;'Set Aliases'!$A$2:$A$501&amp;CHAR(10),H1267)),0)),"")))</f>
        <v/>
      </c>
      <c r="J1267" s="80" t="str">
        <f t="array" ref="J1267">IF(I1267="","",IFERROR(VALUE(TRIM(MID(SUBSTITUTE(INDEX('Deck 5'!$A:$Z,ROW()-1250,'List Setup'!$G$7),CHAR(10),REPT(" ",100)),((SEARCH(CHAR(10)&amp;I1267&amp;CHAR(10),H1267)-LEN(SUBSTITUTE(LEFT(H1267,SEARCH(CHAR(10)&amp;I1267&amp;CHAR(10),H1267)),CHAR(10),"")))-1)*100+1,100))),""))</f>
        <v/>
      </c>
      <c r="K1267" s="80" t="str">
        <f t="array" ref="K1267">IF(A1267="","",IF(ISNUMBER(SEARCH("Land",LEFT(IFERROR(INDEX('Deck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67" s="80" t="str">
        <f t="shared" si="3"/>
        <v/>
      </c>
      <c r="M1267" s="80" t="str">
        <f>IF(A1267="","",IF(AND(E1267="Y",B1267='Use at Shop'!$B$4),K1267*10000000000+(MAX(0,MIN(26,CODE(MID(UPPER(A1267)&amp;"    ",1,1))-64))*19683+MAX(0,MIN(26,CODE(MID(UPPER(A1267)&amp;"    ",2,1))-64))*729+MAX(0,MIN(26,CODE(MID(UPPER(A1267)&amp;"    ",3,1))-64))*27+MAX(0,MIN(26,CODE(MID(UPPER(A1267)&amp;"    ",4,1))-64))*1)*10000+ROW(),""))</f>
        <v/>
      </c>
      <c r="N1267" s="80" t="str">
        <f t="shared" si="9"/>
        <v/>
      </c>
      <c r="O1267" s="80" t="str">
        <f t="array" ref="O1267">IF(A1267="","",IFERROR(INDEX('Deck 5'!$A:$Z,ROW()-1250,'List Setup'!$J$7)&amp;"",""))</f>
        <v/>
      </c>
      <c r="P1267" s="2"/>
      <c r="Q1267" s="80" t="str">
        <f>IF(A1267="","",'List Setup'!$A$7)</f>
        <v/>
      </c>
      <c r="R1267" s="80" t="str">
        <f t="array" ref="R1267">IF(A1267="","",IFERROR(OR(INDEX(Binders!$J$6:$J$30,MATCH(Q1267,Binders!$I$6:$I$30,0))=TRUE(),UPPER(INDEX(Binders!$J$6:$J$30,MATCH(Q1267,Binders!$I$6:$I$30,0))&amp;"")="TRUE"),FALSE()))</f>
        <v/>
      </c>
    </row>
    <row r="1268" ht="15.75" customHeight="1">
      <c r="A1268" s="80" t="str">
        <f t="array" ref="A1268">IF(INDEX('Deck 5'!$A:$Z,ROW()-1250,'List Setup'!$D$7)="","",INDEX('Deck 5'!$A:$Z,ROW()-1250,'List Setup'!$D$7))</f>
        <v/>
      </c>
      <c r="B1268" s="80" t="str">
        <f t="array" ref="B1268">IF(A1268="","",IFERROR(INDEX('Binder Setup'!$B$2:$B$401,MIN(IF(ISNUMBER(SEARCH(CHAR(10)&amp;'Binder Setup'!$B$2:$B$401&amp;CHAR(10),$H1268)),'List Setup'!$Q$2:$Q$401,999),IF(ISNUMBER(SEARCH(CHAR(10)&amp;'Set Aliases'!$A$2:$A$501&amp;CHAR(10),$H1268)),'Set Aliases'!$C$2:$C$501,999))),"(none)"))</f>
        <v/>
      </c>
      <c r="C1268" s="80" t="str">
        <f t="shared" si="1"/>
        <v/>
      </c>
      <c r="D1268" s="80" t="str">
        <f t="array" ref="D1268">IF(A1268="","",IF(ISLOGICAL(INDEX('Deck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68" s="80" t="str">
        <f t="shared" si="2"/>
        <v/>
      </c>
      <c r="F1268" s="80" t="str">
        <f t="array" ref="F1268">IF(A1268="","",IF(ISNUMBER(J1268),J1268,IF(ISNUMBER(INDEX('Deck 5'!$A:$Z,ROW()-1250,'List Setup'!$F$7)),INDEX('Deck 5'!$A:$Z,ROW()-1250,'List Setup'!$F$7),0)))</f>
        <v/>
      </c>
      <c r="G1268" s="80" t="str">
        <f t="array" ref="G1268">IF(A1268="","",A1268&amp;IF(N(INDEX('Deck 5'!$A:$Z,ROW()-1250,'List Setup'!$C$7))&gt;1," (x"&amp;INDEX('Deck 5'!$A:$Z,ROW()-1250,'List Setup'!$C$7)&amp;")","")&amp;IF(COUNTIF(Binders!$J$6:$J$30,TRUE())&gt;1," ["&amp;Q1268&amp;"]",""))</f>
        <v/>
      </c>
      <c r="H1268" s="80" t="str">
        <f t="array" ref="H1268">IF(A1268="","",CHAR(10)&amp;INDEX('Deck 5'!$A:$Z,ROW()-1250,'List Setup'!$E$7)&amp;CHAR(10))</f>
        <v/>
      </c>
      <c r="I1268" s="80" t="str">
        <f t="array" ref="I1268">IF(OR(B1268="",B1268="(none)"),"",IF(ISNUMBER(SEARCH(CHAR(10)&amp;B1268&amp;CHAR(10),H1268)),B1268,IFERROR(INDEX('Set Aliases'!$A$2:$A$501,MATCH(1,('Set Aliases'!$B$2:$B$501=B1268)*ISNUMBER(SEARCH(CHAR(10)&amp;'Set Aliases'!$A$2:$A$501&amp;CHAR(10),H1268)),0)),"")))</f>
        <v/>
      </c>
      <c r="J1268" s="80" t="str">
        <f t="array" ref="J1268">IF(I1268="","",IFERROR(VALUE(TRIM(MID(SUBSTITUTE(INDEX('Deck 5'!$A:$Z,ROW()-1250,'List Setup'!$G$7),CHAR(10),REPT(" ",100)),((SEARCH(CHAR(10)&amp;I1268&amp;CHAR(10),H1268)-LEN(SUBSTITUTE(LEFT(H1268,SEARCH(CHAR(10)&amp;I1268&amp;CHAR(10),H1268)),CHAR(10),"")))-1)*100+1,100))),""))</f>
        <v/>
      </c>
      <c r="K1268" s="80" t="str">
        <f t="array" ref="K1268">IF(A1268="","",IF(ISNUMBER(SEARCH("Land",LEFT(IFERROR(INDEX('Deck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68" s="80" t="str">
        <f t="shared" si="3"/>
        <v/>
      </c>
      <c r="M1268" s="80" t="str">
        <f>IF(A1268="","",IF(AND(E1268="Y",B1268='Use at Shop'!$B$4),K1268*10000000000+(MAX(0,MIN(26,CODE(MID(UPPER(A1268)&amp;"    ",1,1))-64))*19683+MAX(0,MIN(26,CODE(MID(UPPER(A1268)&amp;"    ",2,1))-64))*729+MAX(0,MIN(26,CODE(MID(UPPER(A1268)&amp;"    ",3,1))-64))*27+MAX(0,MIN(26,CODE(MID(UPPER(A1268)&amp;"    ",4,1))-64))*1)*10000+ROW(),""))</f>
        <v/>
      </c>
      <c r="N1268" s="80" t="str">
        <f t="shared" si="9"/>
        <v/>
      </c>
      <c r="O1268" s="80" t="str">
        <f t="array" ref="O1268">IF(A1268="","",IFERROR(INDEX('Deck 5'!$A:$Z,ROW()-1250,'List Setup'!$J$7)&amp;"",""))</f>
        <v/>
      </c>
      <c r="P1268" s="2"/>
      <c r="Q1268" s="80" t="str">
        <f>IF(A1268="","",'List Setup'!$A$7)</f>
        <v/>
      </c>
      <c r="R1268" s="80" t="str">
        <f t="array" ref="R1268">IF(A1268="","",IFERROR(OR(INDEX(Binders!$J$6:$J$30,MATCH(Q1268,Binders!$I$6:$I$30,0))=TRUE(),UPPER(INDEX(Binders!$J$6:$J$30,MATCH(Q1268,Binders!$I$6:$I$30,0))&amp;"")="TRUE"),FALSE()))</f>
        <v/>
      </c>
    </row>
    <row r="1269" ht="15.75" customHeight="1">
      <c r="A1269" s="80" t="str">
        <f t="array" ref="A1269">IF(INDEX('Deck 5'!$A:$Z,ROW()-1250,'List Setup'!$D$7)="","",INDEX('Deck 5'!$A:$Z,ROW()-1250,'List Setup'!$D$7))</f>
        <v/>
      </c>
      <c r="B1269" s="80" t="str">
        <f t="array" ref="B1269">IF(A1269="","",IFERROR(INDEX('Binder Setup'!$B$2:$B$401,MIN(IF(ISNUMBER(SEARCH(CHAR(10)&amp;'Binder Setup'!$B$2:$B$401&amp;CHAR(10),$H1269)),'List Setup'!$Q$2:$Q$401,999),IF(ISNUMBER(SEARCH(CHAR(10)&amp;'Set Aliases'!$A$2:$A$501&amp;CHAR(10),$H1269)),'Set Aliases'!$C$2:$C$501,999))),"(none)"))</f>
        <v/>
      </c>
      <c r="C1269" s="80" t="str">
        <f t="shared" si="1"/>
        <v/>
      </c>
      <c r="D1269" s="80" t="str">
        <f t="array" ref="D1269">IF(A1269="","",IF(ISLOGICAL(INDEX('Deck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69" s="80" t="str">
        <f t="shared" si="2"/>
        <v/>
      </c>
      <c r="F1269" s="80" t="str">
        <f t="array" ref="F1269">IF(A1269="","",IF(ISNUMBER(J1269),J1269,IF(ISNUMBER(INDEX('Deck 5'!$A:$Z,ROW()-1250,'List Setup'!$F$7)),INDEX('Deck 5'!$A:$Z,ROW()-1250,'List Setup'!$F$7),0)))</f>
        <v/>
      </c>
      <c r="G1269" s="80" t="str">
        <f t="array" ref="G1269">IF(A1269="","",A1269&amp;IF(N(INDEX('Deck 5'!$A:$Z,ROW()-1250,'List Setup'!$C$7))&gt;1," (x"&amp;INDEX('Deck 5'!$A:$Z,ROW()-1250,'List Setup'!$C$7)&amp;")","")&amp;IF(COUNTIF(Binders!$J$6:$J$30,TRUE())&gt;1," ["&amp;Q1269&amp;"]",""))</f>
        <v/>
      </c>
      <c r="H1269" s="80" t="str">
        <f t="array" ref="H1269">IF(A1269="","",CHAR(10)&amp;INDEX('Deck 5'!$A:$Z,ROW()-1250,'List Setup'!$E$7)&amp;CHAR(10))</f>
        <v/>
      </c>
      <c r="I1269" s="80" t="str">
        <f t="array" ref="I1269">IF(OR(B1269="",B1269="(none)"),"",IF(ISNUMBER(SEARCH(CHAR(10)&amp;B1269&amp;CHAR(10),H1269)),B1269,IFERROR(INDEX('Set Aliases'!$A$2:$A$501,MATCH(1,('Set Aliases'!$B$2:$B$501=B1269)*ISNUMBER(SEARCH(CHAR(10)&amp;'Set Aliases'!$A$2:$A$501&amp;CHAR(10),H1269)),0)),"")))</f>
        <v/>
      </c>
      <c r="J1269" s="80" t="str">
        <f t="array" ref="J1269">IF(I1269="","",IFERROR(VALUE(TRIM(MID(SUBSTITUTE(INDEX('Deck 5'!$A:$Z,ROW()-1250,'List Setup'!$G$7),CHAR(10),REPT(" ",100)),((SEARCH(CHAR(10)&amp;I1269&amp;CHAR(10),H1269)-LEN(SUBSTITUTE(LEFT(H1269,SEARCH(CHAR(10)&amp;I1269&amp;CHAR(10),H1269)),CHAR(10),"")))-1)*100+1,100))),""))</f>
        <v/>
      </c>
      <c r="K1269" s="80" t="str">
        <f t="array" ref="K1269">IF(A1269="","",IF(ISNUMBER(SEARCH("Land",LEFT(IFERROR(INDEX('Deck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69" s="80" t="str">
        <f t="shared" si="3"/>
        <v/>
      </c>
      <c r="M1269" s="80" t="str">
        <f>IF(A1269="","",IF(AND(E1269="Y",B1269='Use at Shop'!$B$4),K1269*10000000000+(MAX(0,MIN(26,CODE(MID(UPPER(A1269)&amp;"    ",1,1))-64))*19683+MAX(0,MIN(26,CODE(MID(UPPER(A1269)&amp;"    ",2,1))-64))*729+MAX(0,MIN(26,CODE(MID(UPPER(A1269)&amp;"    ",3,1))-64))*27+MAX(0,MIN(26,CODE(MID(UPPER(A1269)&amp;"    ",4,1))-64))*1)*10000+ROW(),""))</f>
        <v/>
      </c>
      <c r="N1269" s="80" t="str">
        <f t="shared" si="9"/>
        <v/>
      </c>
      <c r="O1269" s="80" t="str">
        <f t="array" ref="O1269">IF(A1269="","",IFERROR(INDEX('Deck 5'!$A:$Z,ROW()-1250,'List Setup'!$J$7)&amp;"",""))</f>
        <v/>
      </c>
      <c r="P1269" s="2"/>
      <c r="Q1269" s="80" t="str">
        <f>IF(A1269="","",'List Setup'!$A$7)</f>
        <v/>
      </c>
      <c r="R1269" s="80" t="str">
        <f t="array" ref="R1269">IF(A1269="","",IFERROR(OR(INDEX(Binders!$J$6:$J$30,MATCH(Q1269,Binders!$I$6:$I$30,0))=TRUE(),UPPER(INDEX(Binders!$J$6:$J$30,MATCH(Q1269,Binders!$I$6:$I$30,0))&amp;"")="TRUE"),FALSE()))</f>
        <v/>
      </c>
    </row>
    <row r="1270" ht="15.75" customHeight="1">
      <c r="A1270" s="80" t="str">
        <f t="array" ref="A1270">IF(INDEX('Deck 5'!$A:$Z,ROW()-1250,'List Setup'!$D$7)="","",INDEX('Deck 5'!$A:$Z,ROW()-1250,'List Setup'!$D$7))</f>
        <v/>
      </c>
      <c r="B1270" s="80" t="str">
        <f t="array" ref="B1270">IF(A1270="","",IFERROR(INDEX('Binder Setup'!$B$2:$B$401,MIN(IF(ISNUMBER(SEARCH(CHAR(10)&amp;'Binder Setup'!$B$2:$B$401&amp;CHAR(10),$H1270)),'List Setup'!$Q$2:$Q$401,999),IF(ISNUMBER(SEARCH(CHAR(10)&amp;'Set Aliases'!$A$2:$A$501&amp;CHAR(10),$H1270)),'Set Aliases'!$C$2:$C$501,999))),"(none)"))</f>
        <v/>
      </c>
      <c r="C1270" s="80" t="str">
        <f t="shared" si="1"/>
        <v/>
      </c>
      <c r="D1270" s="80" t="str">
        <f t="array" ref="D1270">IF(A1270="","",IF(ISLOGICAL(INDEX('Deck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70" s="80" t="str">
        <f t="shared" si="2"/>
        <v/>
      </c>
      <c r="F1270" s="80" t="str">
        <f t="array" ref="F1270">IF(A1270="","",IF(ISNUMBER(J1270),J1270,IF(ISNUMBER(INDEX('Deck 5'!$A:$Z,ROW()-1250,'List Setup'!$F$7)),INDEX('Deck 5'!$A:$Z,ROW()-1250,'List Setup'!$F$7),0)))</f>
        <v/>
      </c>
      <c r="G1270" s="80" t="str">
        <f t="array" ref="G1270">IF(A1270="","",A1270&amp;IF(N(INDEX('Deck 5'!$A:$Z,ROW()-1250,'List Setup'!$C$7))&gt;1," (x"&amp;INDEX('Deck 5'!$A:$Z,ROW()-1250,'List Setup'!$C$7)&amp;")","")&amp;IF(COUNTIF(Binders!$J$6:$J$30,TRUE())&gt;1," ["&amp;Q1270&amp;"]",""))</f>
        <v/>
      </c>
      <c r="H1270" s="80" t="str">
        <f t="array" ref="H1270">IF(A1270="","",CHAR(10)&amp;INDEX('Deck 5'!$A:$Z,ROW()-1250,'List Setup'!$E$7)&amp;CHAR(10))</f>
        <v/>
      </c>
      <c r="I1270" s="80" t="str">
        <f t="array" ref="I1270">IF(OR(B1270="",B1270="(none)"),"",IF(ISNUMBER(SEARCH(CHAR(10)&amp;B1270&amp;CHAR(10),H1270)),B1270,IFERROR(INDEX('Set Aliases'!$A$2:$A$501,MATCH(1,('Set Aliases'!$B$2:$B$501=B1270)*ISNUMBER(SEARCH(CHAR(10)&amp;'Set Aliases'!$A$2:$A$501&amp;CHAR(10),H1270)),0)),"")))</f>
        <v/>
      </c>
      <c r="J1270" s="80" t="str">
        <f t="array" ref="J1270">IF(I1270="","",IFERROR(VALUE(TRIM(MID(SUBSTITUTE(INDEX('Deck 5'!$A:$Z,ROW()-1250,'List Setup'!$G$7),CHAR(10),REPT(" ",100)),((SEARCH(CHAR(10)&amp;I1270&amp;CHAR(10),H1270)-LEN(SUBSTITUTE(LEFT(H1270,SEARCH(CHAR(10)&amp;I1270&amp;CHAR(10),H1270)),CHAR(10),"")))-1)*100+1,100))),""))</f>
        <v/>
      </c>
      <c r="K1270" s="80" t="str">
        <f t="array" ref="K1270">IF(A1270="","",IF(ISNUMBER(SEARCH("Land",LEFT(IFERROR(INDEX('Deck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70" s="80" t="str">
        <f t="shared" si="3"/>
        <v/>
      </c>
      <c r="M1270" s="80" t="str">
        <f>IF(A1270="","",IF(AND(E1270="Y",B1270='Use at Shop'!$B$4),K1270*10000000000+(MAX(0,MIN(26,CODE(MID(UPPER(A1270)&amp;"    ",1,1))-64))*19683+MAX(0,MIN(26,CODE(MID(UPPER(A1270)&amp;"    ",2,1))-64))*729+MAX(0,MIN(26,CODE(MID(UPPER(A1270)&amp;"    ",3,1))-64))*27+MAX(0,MIN(26,CODE(MID(UPPER(A1270)&amp;"    ",4,1))-64))*1)*10000+ROW(),""))</f>
        <v/>
      </c>
      <c r="N1270" s="80" t="str">
        <f t="shared" si="9"/>
        <v/>
      </c>
      <c r="O1270" s="80" t="str">
        <f t="array" ref="O1270">IF(A1270="","",IFERROR(INDEX('Deck 5'!$A:$Z,ROW()-1250,'List Setup'!$J$7)&amp;"",""))</f>
        <v/>
      </c>
      <c r="P1270" s="2"/>
      <c r="Q1270" s="80" t="str">
        <f>IF(A1270="","",'List Setup'!$A$7)</f>
        <v/>
      </c>
      <c r="R1270" s="80" t="str">
        <f t="array" ref="R1270">IF(A1270="","",IFERROR(OR(INDEX(Binders!$J$6:$J$30,MATCH(Q1270,Binders!$I$6:$I$30,0))=TRUE(),UPPER(INDEX(Binders!$J$6:$J$30,MATCH(Q1270,Binders!$I$6:$I$30,0))&amp;"")="TRUE"),FALSE()))</f>
        <v/>
      </c>
    </row>
    <row r="1271" ht="15.75" customHeight="1">
      <c r="A1271" s="80" t="str">
        <f t="array" ref="A1271">IF(INDEX('Deck 5'!$A:$Z,ROW()-1250,'List Setup'!$D$7)="","",INDEX('Deck 5'!$A:$Z,ROW()-1250,'List Setup'!$D$7))</f>
        <v/>
      </c>
      <c r="B1271" s="80" t="str">
        <f t="array" ref="B1271">IF(A1271="","",IFERROR(INDEX('Binder Setup'!$B$2:$B$401,MIN(IF(ISNUMBER(SEARCH(CHAR(10)&amp;'Binder Setup'!$B$2:$B$401&amp;CHAR(10),$H1271)),'List Setup'!$Q$2:$Q$401,999),IF(ISNUMBER(SEARCH(CHAR(10)&amp;'Set Aliases'!$A$2:$A$501&amp;CHAR(10),$H1271)),'Set Aliases'!$C$2:$C$501,999))),"(none)"))</f>
        <v/>
      </c>
      <c r="C1271" s="80" t="str">
        <f t="shared" si="1"/>
        <v/>
      </c>
      <c r="D1271" s="80" t="str">
        <f t="array" ref="D1271">IF(A1271="","",IF(ISLOGICAL(INDEX('Deck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71" s="80" t="str">
        <f t="shared" si="2"/>
        <v/>
      </c>
      <c r="F1271" s="80" t="str">
        <f t="array" ref="F1271">IF(A1271="","",IF(ISNUMBER(J1271),J1271,IF(ISNUMBER(INDEX('Deck 5'!$A:$Z,ROW()-1250,'List Setup'!$F$7)),INDEX('Deck 5'!$A:$Z,ROW()-1250,'List Setup'!$F$7),0)))</f>
        <v/>
      </c>
      <c r="G1271" s="80" t="str">
        <f t="array" ref="G1271">IF(A1271="","",A1271&amp;IF(N(INDEX('Deck 5'!$A:$Z,ROW()-1250,'List Setup'!$C$7))&gt;1," (x"&amp;INDEX('Deck 5'!$A:$Z,ROW()-1250,'List Setup'!$C$7)&amp;")","")&amp;IF(COUNTIF(Binders!$J$6:$J$30,TRUE())&gt;1," ["&amp;Q1271&amp;"]",""))</f>
        <v/>
      </c>
      <c r="H1271" s="80" t="str">
        <f t="array" ref="H1271">IF(A1271="","",CHAR(10)&amp;INDEX('Deck 5'!$A:$Z,ROW()-1250,'List Setup'!$E$7)&amp;CHAR(10))</f>
        <v/>
      </c>
      <c r="I1271" s="80" t="str">
        <f t="array" ref="I1271">IF(OR(B1271="",B1271="(none)"),"",IF(ISNUMBER(SEARCH(CHAR(10)&amp;B1271&amp;CHAR(10),H1271)),B1271,IFERROR(INDEX('Set Aliases'!$A$2:$A$501,MATCH(1,('Set Aliases'!$B$2:$B$501=B1271)*ISNUMBER(SEARCH(CHAR(10)&amp;'Set Aliases'!$A$2:$A$501&amp;CHAR(10),H1271)),0)),"")))</f>
        <v/>
      </c>
      <c r="J1271" s="80" t="str">
        <f t="array" ref="J1271">IF(I1271="","",IFERROR(VALUE(TRIM(MID(SUBSTITUTE(INDEX('Deck 5'!$A:$Z,ROW()-1250,'List Setup'!$G$7),CHAR(10),REPT(" ",100)),((SEARCH(CHAR(10)&amp;I1271&amp;CHAR(10),H1271)-LEN(SUBSTITUTE(LEFT(H1271,SEARCH(CHAR(10)&amp;I1271&amp;CHAR(10),H1271)),CHAR(10),"")))-1)*100+1,100))),""))</f>
        <v/>
      </c>
      <c r="K1271" s="80" t="str">
        <f t="array" ref="K1271">IF(A1271="","",IF(ISNUMBER(SEARCH("Land",LEFT(IFERROR(INDEX('Deck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71" s="80" t="str">
        <f t="shared" si="3"/>
        <v/>
      </c>
      <c r="M1271" s="80" t="str">
        <f>IF(A1271="","",IF(AND(E1271="Y",B1271='Use at Shop'!$B$4),K1271*10000000000+(MAX(0,MIN(26,CODE(MID(UPPER(A1271)&amp;"    ",1,1))-64))*19683+MAX(0,MIN(26,CODE(MID(UPPER(A1271)&amp;"    ",2,1))-64))*729+MAX(0,MIN(26,CODE(MID(UPPER(A1271)&amp;"    ",3,1))-64))*27+MAX(0,MIN(26,CODE(MID(UPPER(A1271)&amp;"    ",4,1))-64))*1)*10000+ROW(),""))</f>
        <v/>
      </c>
      <c r="N1271" s="80" t="str">
        <f t="shared" si="9"/>
        <v/>
      </c>
      <c r="O1271" s="80" t="str">
        <f t="array" ref="O1271">IF(A1271="","",IFERROR(INDEX('Deck 5'!$A:$Z,ROW()-1250,'List Setup'!$J$7)&amp;"",""))</f>
        <v/>
      </c>
      <c r="P1271" s="2"/>
      <c r="Q1271" s="80" t="str">
        <f>IF(A1271="","",'List Setup'!$A$7)</f>
        <v/>
      </c>
      <c r="R1271" s="80" t="str">
        <f t="array" ref="R1271">IF(A1271="","",IFERROR(OR(INDEX(Binders!$J$6:$J$30,MATCH(Q1271,Binders!$I$6:$I$30,0))=TRUE(),UPPER(INDEX(Binders!$J$6:$J$30,MATCH(Q1271,Binders!$I$6:$I$30,0))&amp;"")="TRUE"),FALSE()))</f>
        <v/>
      </c>
    </row>
    <row r="1272" ht="15.75" customHeight="1">
      <c r="A1272" s="80" t="str">
        <f t="array" ref="A1272">IF(INDEX('Deck 5'!$A:$Z,ROW()-1250,'List Setup'!$D$7)="","",INDEX('Deck 5'!$A:$Z,ROW()-1250,'List Setup'!$D$7))</f>
        <v/>
      </c>
      <c r="B1272" s="80" t="str">
        <f t="array" ref="B1272">IF(A1272="","",IFERROR(INDEX('Binder Setup'!$B$2:$B$401,MIN(IF(ISNUMBER(SEARCH(CHAR(10)&amp;'Binder Setup'!$B$2:$B$401&amp;CHAR(10),$H1272)),'List Setup'!$Q$2:$Q$401,999),IF(ISNUMBER(SEARCH(CHAR(10)&amp;'Set Aliases'!$A$2:$A$501&amp;CHAR(10),$H1272)),'Set Aliases'!$C$2:$C$501,999))),"(none)"))</f>
        <v/>
      </c>
      <c r="C1272" s="80" t="str">
        <f t="shared" si="1"/>
        <v/>
      </c>
      <c r="D1272" s="80" t="str">
        <f t="array" ref="D1272">IF(A1272="","",IF(ISLOGICAL(INDEX('Deck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72" s="80" t="str">
        <f t="shared" si="2"/>
        <v/>
      </c>
      <c r="F1272" s="80" t="str">
        <f t="array" ref="F1272">IF(A1272="","",IF(ISNUMBER(J1272),J1272,IF(ISNUMBER(INDEX('Deck 5'!$A:$Z,ROW()-1250,'List Setup'!$F$7)),INDEX('Deck 5'!$A:$Z,ROW()-1250,'List Setup'!$F$7),0)))</f>
        <v/>
      </c>
      <c r="G1272" s="80" t="str">
        <f t="array" ref="G1272">IF(A1272="","",A1272&amp;IF(N(INDEX('Deck 5'!$A:$Z,ROW()-1250,'List Setup'!$C$7))&gt;1," (x"&amp;INDEX('Deck 5'!$A:$Z,ROW()-1250,'List Setup'!$C$7)&amp;")","")&amp;IF(COUNTIF(Binders!$J$6:$J$30,TRUE())&gt;1," ["&amp;Q1272&amp;"]",""))</f>
        <v/>
      </c>
      <c r="H1272" s="80" t="str">
        <f t="array" ref="H1272">IF(A1272="","",CHAR(10)&amp;INDEX('Deck 5'!$A:$Z,ROW()-1250,'List Setup'!$E$7)&amp;CHAR(10))</f>
        <v/>
      </c>
      <c r="I1272" s="80" t="str">
        <f t="array" ref="I1272">IF(OR(B1272="",B1272="(none)"),"",IF(ISNUMBER(SEARCH(CHAR(10)&amp;B1272&amp;CHAR(10),H1272)),B1272,IFERROR(INDEX('Set Aliases'!$A$2:$A$501,MATCH(1,('Set Aliases'!$B$2:$B$501=B1272)*ISNUMBER(SEARCH(CHAR(10)&amp;'Set Aliases'!$A$2:$A$501&amp;CHAR(10),H1272)),0)),"")))</f>
        <v/>
      </c>
      <c r="J1272" s="80" t="str">
        <f t="array" ref="J1272">IF(I1272="","",IFERROR(VALUE(TRIM(MID(SUBSTITUTE(INDEX('Deck 5'!$A:$Z,ROW()-1250,'List Setup'!$G$7),CHAR(10),REPT(" ",100)),((SEARCH(CHAR(10)&amp;I1272&amp;CHAR(10),H1272)-LEN(SUBSTITUTE(LEFT(H1272,SEARCH(CHAR(10)&amp;I1272&amp;CHAR(10),H1272)),CHAR(10),"")))-1)*100+1,100))),""))</f>
        <v/>
      </c>
      <c r="K1272" s="80" t="str">
        <f t="array" ref="K1272">IF(A1272="","",IF(ISNUMBER(SEARCH("Land",LEFT(IFERROR(INDEX('Deck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72" s="80" t="str">
        <f t="shared" si="3"/>
        <v/>
      </c>
      <c r="M1272" s="80" t="str">
        <f>IF(A1272="","",IF(AND(E1272="Y",B1272='Use at Shop'!$B$4),K1272*10000000000+(MAX(0,MIN(26,CODE(MID(UPPER(A1272)&amp;"    ",1,1))-64))*19683+MAX(0,MIN(26,CODE(MID(UPPER(A1272)&amp;"    ",2,1))-64))*729+MAX(0,MIN(26,CODE(MID(UPPER(A1272)&amp;"    ",3,1))-64))*27+MAX(0,MIN(26,CODE(MID(UPPER(A1272)&amp;"    ",4,1))-64))*1)*10000+ROW(),""))</f>
        <v/>
      </c>
      <c r="N1272" s="80" t="str">
        <f t="shared" si="9"/>
        <v/>
      </c>
      <c r="O1272" s="80" t="str">
        <f t="array" ref="O1272">IF(A1272="","",IFERROR(INDEX('Deck 5'!$A:$Z,ROW()-1250,'List Setup'!$J$7)&amp;"",""))</f>
        <v/>
      </c>
      <c r="P1272" s="2"/>
      <c r="Q1272" s="80" t="str">
        <f>IF(A1272="","",'List Setup'!$A$7)</f>
        <v/>
      </c>
      <c r="R1272" s="80" t="str">
        <f t="array" ref="R1272">IF(A1272="","",IFERROR(OR(INDEX(Binders!$J$6:$J$30,MATCH(Q1272,Binders!$I$6:$I$30,0))=TRUE(),UPPER(INDEX(Binders!$J$6:$J$30,MATCH(Q1272,Binders!$I$6:$I$30,0))&amp;"")="TRUE"),FALSE()))</f>
        <v/>
      </c>
    </row>
    <row r="1273" ht="15.75" customHeight="1">
      <c r="A1273" s="80" t="str">
        <f t="array" ref="A1273">IF(INDEX('Deck 5'!$A:$Z,ROW()-1250,'List Setup'!$D$7)="","",INDEX('Deck 5'!$A:$Z,ROW()-1250,'List Setup'!$D$7))</f>
        <v/>
      </c>
      <c r="B1273" s="80" t="str">
        <f t="array" ref="B1273">IF(A1273="","",IFERROR(INDEX('Binder Setup'!$B$2:$B$401,MIN(IF(ISNUMBER(SEARCH(CHAR(10)&amp;'Binder Setup'!$B$2:$B$401&amp;CHAR(10),$H1273)),'List Setup'!$Q$2:$Q$401,999),IF(ISNUMBER(SEARCH(CHAR(10)&amp;'Set Aliases'!$A$2:$A$501&amp;CHAR(10),$H1273)),'Set Aliases'!$C$2:$C$501,999))),"(none)"))</f>
        <v/>
      </c>
      <c r="C1273" s="80" t="str">
        <f t="shared" si="1"/>
        <v/>
      </c>
      <c r="D1273" s="80" t="str">
        <f t="array" ref="D1273">IF(A1273="","",IF(ISLOGICAL(INDEX('Deck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73" s="80" t="str">
        <f t="shared" si="2"/>
        <v/>
      </c>
      <c r="F1273" s="80" t="str">
        <f t="array" ref="F1273">IF(A1273="","",IF(ISNUMBER(J1273),J1273,IF(ISNUMBER(INDEX('Deck 5'!$A:$Z,ROW()-1250,'List Setup'!$F$7)),INDEX('Deck 5'!$A:$Z,ROW()-1250,'List Setup'!$F$7),0)))</f>
        <v/>
      </c>
      <c r="G1273" s="80" t="str">
        <f t="array" ref="G1273">IF(A1273="","",A1273&amp;IF(N(INDEX('Deck 5'!$A:$Z,ROW()-1250,'List Setup'!$C$7))&gt;1," (x"&amp;INDEX('Deck 5'!$A:$Z,ROW()-1250,'List Setup'!$C$7)&amp;")","")&amp;IF(COUNTIF(Binders!$J$6:$J$30,TRUE())&gt;1," ["&amp;Q1273&amp;"]",""))</f>
        <v/>
      </c>
      <c r="H1273" s="80" t="str">
        <f t="array" ref="H1273">IF(A1273="","",CHAR(10)&amp;INDEX('Deck 5'!$A:$Z,ROW()-1250,'List Setup'!$E$7)&amp;CHAR(10))</f>
        <v/>
      </c>
      <c r="I1273" s="80" t="str">
        <f t="array" ref="I1273">IF(OR(B1273="",B1273="(none)"),"",IF(ISNUMBER(SEARCH(CHAR(10)&amp;B1273&amp;CHAR(10),H1273)),B1273,IFERROR(INDEX('Set Aliases'!$A$2:$A$501,MATCH(1,('Set Aliases'!$B$2:$B$501=B1273)*ISNUMBER(SEARCH(CHAR(10)&amp;'Set Aliases'!$A$2:$A$501&amp;CHAR(10),H1273)),0)),"")))</f>
        <v/>
      </c>
      <c r="J1273" s="80" t="str">
        <f t="array" ref="J1273">IF(I1273="","",IFERROR(VALUE(TRIM(MID(SUBSTITUTE(INDEX('Deck 5'!$A:$Z,ROW()-1250,'List Setup'!$G$7),CHAR(10),REPT(" ",100)),((SEARCH(CHAR(10)&amp;I1273&amp;CHAR(10),H1273)-LEN(SUBSTITUTE(LEFT(H1273,SEARCH(CHAR(10)&amp;I1273&amp;CHAR(10),H1273)),CHAR(10),"")))-1)*100+1,100))),""))</f>
        <v/>
      </c>
      <c r="K1273" s="80" t="str">
        <f t="array" ref="K1273">IF(A1273="","",IF(ISNUMBER(SEARCH("Land",LEFT(IFERROR(INDEX('Deck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73" s="80" t="str">
        <f t="shared" si="3"/>
        <v/>
      </c>
      <c r="M1273" s="80" t="str">
        <f>IF(A1273="","",IF(AND(E1273="Y",B1273='Use at Shop'!$B$4),K1273*10000000000+(MAX(0,MIN(26,CODE(MID(UPPER(A1273)&amp;"    ",1,1))-64))*19683+MAX(0,MIN(26,CODE(MID(UPPER(A1273)&amp;"    ",2,1))-64))*729+MAX(0,MIN(26,CODE(MID(UPPER(A1273)&amp;"    ",3,1))-64))*27+MAX(0,MIN(26,CODE(MID(UPPER(A1273)&amp;"    ",4,1))-64))*1)*10000+ROW(),""))</f>
        <v/>
      </c>
      <c r="N1273" s="80" t="str">
        <f t="shared" si="9"/>
        <v/>
      </c>
      <c r="O1273" s="80" t="str">
        <f t="array" ref="O1273">IF(A1273="","",IFERROR(INDEX('Deck 5'!$A:$Z,ROW()-1250,'List Setup'!$J$7)&amp;"",""))</f>
        <v/>
      </c>
      <c r="P1273" s="2"/>
      <c r="Q1273" s="80" t="str">
        <f>IF(A1273="","",'List Setup'!$A$7)</f>
        <v/>
      </c>
      <c r="R1273" s="80" t="str">
        <f t="array" ref="R1273">IF(A1273="","",IFERROR(OR(INDEX(Binders!$J$6:$J$30,MATCH(Q1273,Binders!$I$6:$I$30,0))=TRUE(),UPPER(INDEX(Binders!$J$6:$J$30,MATCH(Q1273,Binders!$I$6:$I$30,0))&amp;"")="TRUE"),FALSE()))</f>
        <v/>
      </c>
    </row>
    <row r="1274" ht="15.75" customHeight="1">
      <c r="A1274" s="80" t="str">
        <f t="array" ref="A1274">IF(INDEX('Deck 5'!$A:$Z,ROW()-1250,'List Setup'!$D$7)="","",INDEX('Deck 5'!$A:$Z,ROW()-1250,'List Setup'!$D$7))</f>
        <v/>
      </c>
      <c r="B1274" s="80" t="str">
        <f t="array" ref="B1274">IF(A1274="","",IFERROR(INDEX('Binder Setup'!$B$2:$B$401,MIN(IF(ISNUMBER(SEARCH(CHAR(10)&amp;'Binder Setup'!$B$2:$B$401&amp;CHAR(10),$H1274)),'List Setup'!$Q$2:$Q$401,999),IF(ISNUMBER(SEARCH(CHAR(10)&amp;'Set Aliases'!$A$2:$A$501&amp;CHAR(10),$H1274)),'Set Aliases'!$C$2:$C$501,999))),"(none)"))</f>
        <v/>
      </c>
      <c r="C1274" s="80" t="str">
        <f t="shared" si="1"/>
        <v/>
      </c>
      <c r="D1274" s="80" t="str">
        <f t="array" ref="D1274">IF(A1274="","",IF(ISLOGICAL(INDEX('Deck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74" s="80" t="str">
        <f t="shared" si="2"/>
        <v/>
      </c>
      <c r="F1274" s="80" t="str">
        <f t="array" ref="F1274">IF(A1274="","",IF(ISNUMBER(J1274),J1274,IF(ISNUMBER(INDEX('Deck 5'!$A:$Z,ROW()-1250,'List Setup'!$F$7)),INDEX('Deck 5'!$A:$Z,ROW()-1250,'List Setup'!$F$7),0)))</f>
        <v/>
      </c>
      <c r="G1274" s="80" t="str">
        <f t="array" ref="G1274">IF(A1274="","",A1274&amp;IF(N(INDEX('Deck 5'!$A:$Z,ROW()-1250,'List Setup'!$C$7))&gt;1," (x"&amp;INDEX('Deck 5'!$A:$Z,ROW()-1250,'List Setup'!$C$7)&amp;")","")&amp;IF(COUNTIF(Binders!$J$6:$J$30,TRUE())&gt;1," ["&amp;Q1274&amp;"]",""))</f>
        <v/>
      </c>
      <c r="H1274" s="80" t="str">
        <f t="array" ref="H1274">IF(A1274="","",CHAR(10)&amp;INDEX('Deck 5'!$A:$Z,ROW()-1250,'List Setup'!$E$7)&amp;CHAR(10))</f>
        <v/>
      </c>
      <c r="I1274" s="80" t="str">
        <f t="array" ref="I1274">IF(OR(B1274="",B1274="(none)"),"",IF(ISNUMBER(SEARCH(CHAR(10)&amp;B1274&amp;CHAR(10),H1274)),B1274,IFERROR(INDEX('Set Aliases'!$A$2:$A$501,MATCH(1,('Set Aliases'!$B$2:$B$501=B1274)*ISNUMBER(SEARCH(CHAR(10)&amp;'Set Aliases'!$A$2:$A$501&amp;CHAR(10),H1274)),0)),"")))</f>
        <v/>
      </c>
      <c r="J1274" s="80" t="str">
        <f t="array" ref="J1274">IF(I1274="","",IFERROR(VALUE(TRIM(MID(SUBSTITUTE(INDEX('Deck 5'!$A:$Z,ROW()-1250,'List Setup'!$G$7),CHAR(10),REPT(" ",100)),((SEARCH(CHAR(10)&amp;I1274&amp;CHAR(10),H1274)-LEN(SUBSTITUTE(LEFT(H1274,SEARCH(CHAR(10)&amp;I1274&amp;CHAR(10),H1274)),CHAR(10),"")))-1)*100+1,100))),""))</f>
        <v/>
      </c>
      <c r="K1274" s="80" t="str">
        <f t="array" ref="K1274">IF(A1274="","",IF(ISNUMBER(SEARCH("Land",LEFT(IFERROR(INDEX('Deck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74" s="80" t="str">
        <f t="shared" si="3"/>
        <v/>
      </c>
      <c r="M1274" s="80" t="str">
        <f>IF(A1274="","",IF(AND(E1274="Y",B1274='Use at Shop'!$B$4),K1274*10000000000+(MAX(0,MIN(26,CODE(MID(UPPER(A1274)&amp;"    ",1,1))-64))*19683+MAX(0,MIN(26,CODE(MID(UPPER(A1274)&amp;"    ",2,1))-64))*729+MAX(0,MIN(26,CODE(MID(UPPER(A1274)&amp;"    ",3,1))-64))*27+MAX(0,MIN(26,CODE(MID(UPPER(A1274)&amp;"    ",4,1))-64))*1)*10000+ROW(),""))</f>
        <v/>
      </c>
      <c r="N1274" s="80" t="str">
        <f t="shared" si="9"/>
        <v/>
      </c>
      <c r="O1274" s="80" t="str">
        <f t="array" ref="O1274">IF(A1274="","",IFERROR(INDEX('Deck 5'!$A:$Z,ROW()-1250,'List Setup'!$J$7)&amp;"",""))</f>
        <v/>
      </c>
      <c r="P1274" s="2"/>
      <c r="Q1274" s="80" t="str">
        <f>IF(A1274="","",'List Setup'!$A$7)</f>
        <v/>
      </c>
      <c r="R1274" s="80" t="str">
        <f t="array" ref="R1274">IF(A1274="","",IFERROR(OR(INDEX(Binders!$J$6:$J$30,MATCH(Q1274,Binders!$I$6:$I$30,0))=TRUE(),UPPER(INDEX(Binders!$J$6:$J$30,MATCH(Q1274,Binders!$I$6:$I$30,0))&amp;"")="TRUE"),FALSE()))</f>
        <v/>
      </c>
    </row>
    <row r="1275" ht="15.75" customHeight="1">
      <c r="A1275" s="80" t="str">
        <f t="array" ref="A1275">IF(INDEX('Deck 5'!$A:$Z,ROW()-1250,'List Setup'!$D$7)="","",INDEX('Deck 5'!$A:$Z,ROW()-1250,'List Setup'!$D$7))</f>
        <v/>
      </c>
      <c r="B1275" s="80" t="str">
        <f t="array" ref="B1275">IF(A1275="","",IFERROR(INDEX('Binder Setup'!$B$2:$B$401,MIN(IF(ISNUMBER(SEARCH(CHAR(10)&amp;'Binder Setup'!$B$2:$B$401&amp;CHAR(10),$H1275)),'List Setup'!$Q$2:$Q$401,999),IF(ISNUMBER(SEARCH(CHAR(10)&amp;'Set Aliases'!$A$2:$A$501&amp;CHAR(10),$H1275)),'Set Aliases'!$C$2:$C$501,999))),"(none)"))</f>
        <v/>
      </c>
      <c r="C1275" s="80" t="str">
        <f t="shared" si="1"/>
        <v/>
      </c>
      <c r="D1275" s="80" t="str">
        <f t="array" ref="D1275">IF(A1275="","",IF(ISLOGICAL(INDEX('Deck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75" s="80" t="str">
        <f t="shared" si="2"/>
        <v/>
      </c>
      <c r="F1275" s="80" t="str">
        <f t="array" ref="F1275">IF(A1275="","",IF(ISNUMBER(J1275),J1275,IF(ISNUMBER(INDEX('Deck 5'!$A:$Z,ROW()-1250,'List Setup'!$F$7)),INDEX('Deck 5'!$A:$Z,ROW()-1250,'List Setup'!$F$7),0)))</f>
        <v/>
      </c>
      <c r="G1275" s="80" t="str">
        <f t="array" ref="G1275">IF(A1275="","",A1275&amp;IF(N(INDEX('Deck 5'!$A:$Z,ROW()-1250,'List Setup'!$C$7))&gt;1," (x"&amp;INDEX('Deck 5'!$A:$Z,ROW()-1250,'List Setup'!$C$7)&amp;")","")&amp;IF(COUNTIF(Binders!$J$6:$J$30,TRUE())&gt;1," ["&amp;Q1275&amp;"]",""))</f>
        <v/>
      </c>
      <c r="H1275" s="80" t="str">
        <f t="array" ref="H1275">IF(A1275="","",CHAR(10)&amp;INDEX('Deck 5'!$A:$Z,ROW()-1250,'List Setup'!$E$7)&amp;CHAR(10))</f>
        <v/>
      </c>
      <c r="I1275" s="80" t="str">
        <f t="array" ref="I1275">IF(OR(B1275="",B1275="(none)"),"",IF(ISNUMBER(SEARCH(CHAR(10)&amp;B1275&amp;CHAR(10),H1275)),B1275,IFERROR(INDEX('Set Aliases'!$A$2:$A$501,MATCH(1,('Set Aliases'!$B$2:$B$501=B1275)*ISNUMBER(SEARCH(CHAR(10)&amp;'Set Aliases'!$A$2:$A$501&amp;CHAR(10),H1275)),0)),"")))</f>
        <v/>
      </c>
      <c r="J1275" s="80" t="str">
        <f t="array" ref="J1275">IF(I1275="","",IFERROR(VALUE(TRIM(MID(SUBSTITUTE(INDEX('Deck 5'!$A:$Z,ROW()-1250,'List Setup'!$G$7),CHAR(10),REPT(" ",100)),((SEARCH(CHAR(10)&amp;I1275&amp;CHAR(10),H1275)-LEN(SUBSTITUTE(LEFT(H1275,SEARCH(CHAR(10)&amp;I1275&amp;CHAR(10),H1275)),CHAR(10),"")))-1)*100+1,100))),""))</f>
        <v/>
      </c>
      <c r="K1275" s="80" t="str">
        <f t="array" ref="K1275">IF(A1275="","",IF(ISNUMBER(SEARCH("Land",LEFT(IFERROR(INDEX('Deck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75" s="80" t="str">
        <f t="shared" si="3"/>
        <v/>
      </c>
      <c r="M1275" s="80" t="str">
        <f>IF(A1275="","",IF(AND(E1275="Y",B1275='Use at Shop'!$B$4),K1275*10000000000+(MAX(0,MIN(26,CODE(MID(UPPER(A1275)&amp;"    ",1,1))-64))*19683+MAX(0,MIN(26,CODE(MID(UPPER(A1275)&amp;"    ",2,1))-64))*729+MAX(0,MIN(26,CODE(MID(UPPER(A1275)&amp;"    ",3,1))-64))*27+MAX(0,MIN(26,CODE(MID(UPPER(A1275)&amp;"    ",4,1))-64))*1)*10000+ROW(),""))</f>
        <v/>
      </c>
      <c r="N1275" s="80" t="str">
        <f t="shared" si="9"/>
        <v/>
      </c>
      <c r="O1275" s="80" t="str">
        <f t="array" ref="O1275">IF(A1275="","",IFERROR(INDEX('Deck 5'!$A:$Z,ROW()-1250,'List Setup'!$J$7)&amp;"",""))</f>
        <v/>
      </c>
      <c r="P1275" s="2"/>
      <c r="Q1275" s="80" t="str">
        <f>IF(A1275="","",'List Setup'!$A$7)</f>
        <v/>
      </c>
      <c r="R1275" s="80" t="str">
        <f t="array" ref="R1275">IF(A1275="","",IFERROR(OR(INDEX(Binders!$J$6:$J$30,MATCH(Q1275,Binders!$I$6:$I$30,0))=TRUE(),UPPER(INDEX(Binders!$J$6:$J$30,MATCH(Q1275,Binders!$I$6:$I$30,0))&amp;"")="TRUE"),FALSE()))</f>
        <v/>
      </c>
    </row>
    <row r="1276" ht="15.75" customHeight="1">
      <c r="A1276" s="80" t="str">
        <f t="array" ref="A1276">IF(INDEX('Deck 5'!$A:$Z,ROW()-1250,'List Setup'!$D$7)="","",INDEX('Deck 5'!$A:$Z,ROW()-1250,'List Setup'!$D$7))</f>
        <v/>
      </c>
      <c r="B1276" s="80" t="str">
        <f t="array" ref="B1276">IF(A1276="","",IFERROR(INDEX('Binder Setup'!$B$2:$B$401,MIN(IF(ISNUMBER(SEARCH(CHAR(10)&amp;'Binder Setup'!$B$2:$B$401&amp;CHAR(10),$H1276)),'List Setup'!$Q$2:$Q$401,999),IF(ISNUMBER(SEARCH(CHAR(10)&amp;'Set Aliases'!$A$2:$A$501&amp;CHAR(10),$H1276)),'Set Aliases'!$C$2:$C$501,999))),"(none)"))</f>
        <v/>
      </c>
      <c r="C1276" s="80" t="str">
        <f t="shared" si="1"/>
        <v/>
      </c>
      <c r="D1276" s="80" t="str">
        <f t="array" ref="D1276">IF(A1276="","",IF(ISLOGICAL(INDEX('Deck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76" s="80" t="str">
        <f t="shared" si="2"/>
        <v/>
      </c>
      <c r="F1276" s="80" t="str">
        <f t="array" ref="F1276">IF(A1276="","",IF(ISNUMBER(J1276),J1276,IF(ISNUMBER(INDEX('Deck 5'!$A:$Z,ROW()-1250,'List Setup'!$F$7)),INDEX('Deck 5'!$A:$Z,ROW()-1250,'List Setup'!$F$7),0)))</f>
        <v/>
      </c>
      <c r="G1276" s="80" t="str">
        <f t="array" ref="G1276">IF(A1276="","",A1276&amp;IF(N(INDEX('Deck 5'!$A:$Z,ROW()-1250,'List Setup'!$C$7))&gt;1," (x"&amp;INDEX('Deck 5'!$A:$Z,ROW()-1250,'List Setup'!$C$7)&amp;")","")&amp;IF(COUNTIF(Binders!$J$6:$J$30,TRUE())&gt;1," ["&amp;Q1276&amp;"]",""))</f>
        <v/>
      </c>
      <c r="H1276" s="80" t="str">
        <f t="array" ref="H1276">IF(A1276="","",CHAR(10)&amp;INDEX('Deck 5'!$A:$Z,ROW()-1250,'List Setup'!$E$7)&amp;CHAR(10))</f>
        <v/>
      </c>
      <c r="I1276" s="80" t="str">
        <f t="array" ref="I1276">IF(OR(B1276="",B1276="(none)"),"",IF(ISNUMBER(SEARCH(CHAR(10)&amp;B1276&amp;CHAR(10),H1276)),B1276,IFERROR(INDEX('Set Aliases'!$A$2:$A$501,MATCH(1,('Set Aliases'!$B$2:$B$501=B1276)*ISNUMBER(SEARCH(CHAR(10)&amp;'Set Aliases'!$A$2:$A$501&amp;CHAR(10),H1276)),0)),"")))</f>
        <v/>
      </c>
      <c r="J1276" s="80" t="str">
        <f t="array" ref="J1276">IF(I1276="","",IFERROR(VALUE(TRIM(MID(SUBSTITUTE(INDEX('Deck 5'!$A:$Z,ROW()-1250,'List Setup'!$G$7),CHAR(10),REPT(" ",100)),((SEARCH(CHAR(10)&amp;I1276&amp;CHAR(10),H1276)-LEN(SUBSTITUTE(LEFT(H1276,SEARCH(CHAR(10)&amp;I1276&amp;CHAR(10),H1276)),CHAR(10),"")))-1)*100+1,100))),""))</f>
        <v/>
      </c>
      <c r="K1276" s="80" t="str">
        <f t="array" ref="K1276">IF(A1276="","",IF(ISNUMBER(SEARCH("Land",LEFT(IFERROR(INDEX('Deck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76" s="80" t="str">
        <f t="shared" si="3"/>
        <v/>
      </c>
      <c r="M1276" s="80" t="str">
        <f>IF(A1276="","",IF(AND(E1276="Y",B1276='Use at Shop'!$B$4),K1276*10000000000+(MAX(0,MIN(26,CODE(MID(UPPER(A1276)&amp;"    ",1,1))-64))*19683+MAX(0,MIN(26,CODE(MID(UPPER(A1276)&amp;"    ",2,1))-64))*729+MAX(0,MIN(26,CODE(MID(UPPER(A1276)&amp;"    ",3,1))-64))*27+MAX(0,MIN(26,CODE(MID(UPPER(A1276)&amp;"    ",4,1))-64))*1)*10000+ROW(),""))</f>
        <v/>
      </c>
      <c r="N1276" s="80" t="str">
        <f t="shared" si="9"/>
        <v/>
      </c>
      <c r="O1276" s="80" t="str">
        <f t="array" ref="O1276">IF(A1276="","",IFERROR(INDEX('Deck 5'!$A:$Z,ROW()-1250,'List Setup'!$J$7)&amp;"",""))</f>
        <v/>
      </c>
      <c r="P1276" s="2"/>
      <c r="Q1276" s="80" t="str">
        <f>IF(A1276="","",'List Setup'!$A$7)</f>
        <v/>
      </c>
      <c r="R1276" s="80" t="str">
        <f t="array" ref="R1276">IF(A1276="","",IFERROR(OR(INDEX(Binders!$J$6:$J$30,MATCH(Q1276,Binders!$I$6:$I$30,0))=TRUE(),UPPER(INDEX(Binders!$J$6:$J$30,MATCH(Q1276,Binders!$I$6:$I$30,0))&amp;"")="TRUE"),FALSE()))</f>
        <v/>
      </c>
    </row>
    <row r="1277" ht="15.75" customHeight="1">
      <c r="A1277" s="80" t="str">
        <f t="array" ref="A1277">IF(INDEX('Deck 5'!$A:$Z,ROW()-1250,'List Setup'!$D$7)="","",INDEX('Deck 5'!$A:$Z,ROW()-1250,'List Setup'!$D$7))</f>
        <v/>
      </c>
      <c r="B1277" s="80" t="str">
        <f t="array" ref="B1277">IF(A1277="","",IFERROR(INDEX('Binder Setup'!$B$2:$B$401,MIN(IF(ISNUMBER(SEARCH(CHAR(10)&amp;'Binder Setup'!$B$2:$B$401&amp;CHAR(10),$H1277)),'List Setup'!$Q$2:$Q$401,999),IF(ISNUMBER(SEARCH(CHAR(10)&amp;'Set Aliases'!$A$2:$A$501&amp;CHAR(10),$H1277)),'Set Aliases'!$C$2:$C$501,999))),"(none)"))</f>
        <v/>
      </c>
      <c r="C1277" s="80" t="str">
        <f t="shared" si="1"/>
        <v/>
      </c>
      <c r="D1277" s="80" t="str">
        <f t="array" ref="D1277">IF(A1277="","",IF(ISLOGICAL(INDEX('Deck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77" s="80" t="str">
        <f t="shared" si="2"/>
        <v/>
      </c>
      <c r="F1277" s="80" t="str">
        <f t="array" ref="F1277">IF(A1277="","",IF(ISNUMBER(J1277),J1277,IF(ISNUMBER(INDEX('Deck 5'!$A:$Z,ROW()-1250,'List Setup'!$F$7)),INDEX('Deck 5'!$A:$Z,ROW()-1250,'List Setup'!$F$7),0)))</f>
        <v/>
      </c>
      <c r="G1277" s="80" t="str">
        <f t="array" ref="G1277">IF(A1277="","",A1277&amp;IF(N(INDEX('Deck 5'!$A:$Z,ROW()-1250,'List Setup'!$C$7))&gt;1," (x"&amp;INDEX('Deck 5'!$A:$Z,ROW()-1250,'List Setup'!$C$7)&amp;")","")&amp;IF(COUNTIF(Binders!$J$6:$J$30,TRUE())&gt;1," ["&amp;Q1277&amp;"]",""))</f>
        <v/>
      </c>
      <c r="H1277" s="80" t="str">
        <f t="array" ref="H1277">IF(A1277="","",CHAR(10)&amp;INDEX('Deck 5'!$A:$Z,ROW()-1250,'List Setup'!$E$7)&amp;CHAR(10))</f>
        <v/>
      </c>
      <c r="I1277" s="80" t="str">
        <f t="array" ref="I1277">IF(OR(B1277="",B1277="(none)"),"",IF(ISNUMBER(SEARCH(CHAR(10)&amp;B1277&amp;CHAR(10),H1277)),B1277,IFERROR(INDEX('Set Aliases'!$A$2:$A$501,MATCH(1,('Set Aliases'!$B$2:$B$501=B1277)*ISNUMBER(SEARCH(CHAR(10)&amp;'Set Aliases'!$A$2:$A$501&amp;CHAR(10),H1277)),0)),"")))</f>
        <v/>
      </c>
      <c r="J1277" s="80" t="str">
        <f t="array" ref="J1277">IF(I1277="","",IFERROR(VALUE(TRIM(MID(SUBSTITUTE(INDEX('Deck 5'!$A:$Z,ROW()-1250,'List Setup'!$G$7),CHAR(10),REPT(" ",100)),((SEARCH(CHAR(10)&amp;I1277&amp;CHAR(10),H1277)-LEN(SUBSTITUTE(LEFT(H1277,SEARCH(CHAR(10)&amp;I1277&amp;CHAR(10),H1277)),CHAR(10),"")))-1)*100+1,100))),""))</f>
        <v/>
      </c>
      <c r="K1277" s="80" t="str">
        <f t="array" ref="K1277">IF(A1277="","",IF(ISNUMBER(SEARCH("Land",LEFT(IFERROR(INDEX('Deck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77" s="80" t="str">
        <f t="shared" si="3"/>
        <v/>
      </c>
      <c r="M1277" s="80" t="str">
        <f>IF(A1277="","",IF(AND(E1277="Y",B1277='Use at Shop'!$B$4),K1277*10000000000+(MAX(0,MIN(26,CODE(MID(UPPER(A1277)&amp;"    ",1,1))-64))*19683+MAX(0,MIN(26,CODE(MID(UPPER(A1277)&amp;"    ",2,1))-64))*729+MAX(0,MIN(26,CODE(MID(UPPER(A1277)&amp;"    ",3,1))-64))*27+MAX(0,MIN(26,CODE(MID(UPPER(A1277)&amp;"    ",4,1))-64))*1)*10000+ROW(),""))</f>
        <v/>
      </c>
      <c r="N1277" s="80" t="str">
        <f t="shared" si="9"/>
        <v/>
      </c>
      <c r="O1277" s="80" t="str">
        <f t="array" ref="O1277">IF(A1277="","",IFERROR(INDEX('Deck 5'!$A:$Z,ROW()-1250,'List Setup'!$J$7)&amp;"",""))</f>
        <v/>
      </c>
      <c r="P1277" s="2"/>
      <c r="Q1277" s="80" t="str">
        <f>IF(A1277="","",'List Setup'!$A$7)</f>
        <v/>
      </c>
      <c r="R1277" s="80" t="str">
        <f t="array" ref="R1277">IF(A1277="","",IFERROR(OR(INDEX(Binders!$J$6:$J$30,MATCH(Q1277,Binders!$I$6:$I$30,0))=TRUE(),UPPER(INDEX(Binders!$J$6:$J$30,MATCH(Q1277,Binders!$I$6:$I$30,0))&amp;"")="TRUE"),FALSE()))</f>
        <v/>
      </c>
    </row>
    <row r="1278" ht="15.75" customHeight="1">
      <c r="A1278" s="80" t="str">
        <f t="array" ref="A1278">IF(INDEX('Deck 5'!$A:$Z,ROW()-1250,'List Setup'!$D$7)="","",INDEX('Deck 5'!$A:$Z,ROW()-1250,'List Setup'!$D$7))</f>
        <v/>
      </c>
      <c r="B1278" s="80" t="str">
        <f t="array" ref="B1278">IF(A1278="","",IFERROR(INDEX('Binder Setup'!$B$2:$B$401,MIN(IF(ISNUMBER(SEARCH(CHAR(10)&amp;'Binder Setup'!$B$2:$B$401&amp;CHAR(10),$H1278)),'List Setup'!$Q$2:$Q$401,999),IF(ISNUMBER(SEARCH(CHAR(10)&amp;'Set Aliases'!$A$2:$A$501&amp;CHAR(10),$H1278)),'Set Aliases'!$C$2:$C$501,999))),"(none)"))</f>
        <v/>
      </c>
      <c r="C1278" s="80" t="str">
        <f t="shared" si="1"/>
        <v/>
      </c>
      <c r="D1278" s="80" t="str">
        <f t="array" ref="D1278">IF(A1278="","",IF(ISLOGICAL(INDEX('Deck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78" s="80" t="str">
        <f t="shared" si="2"/>
        <v/>
      </c>
      <c r="F1278" s="80" t="str">
        <f t="array" ref="F1278">IF(A1278="","",IF(ISNUMBER(J1278),J1278,IF(ISNUMBER(INDEX('Deck 5'!$A:$Z,ROW()-1250,'List Setup'!$F$7)),INDEX('Deck 5'!$A:$Z,ROW()-1250,'List Setup'!$F$7),0)))</f>
        <v/>
      </c>
      <c r="G1278" s="80" t="str">
        <f t="array" ref="G1278">IF(A1278="","",A1278&amp;IF(N(INDEX('Deck 5'!$A:$Z,ROW()-1250,'List Setup'!$C$7))&gt;1," (x"&amp;INDEX('Deck 5'!$A:$Z,ROW()-1250,'List Setup'!$C$7)&amp;")","")&amp;IF(COUNTIF(Binders!$J$6:$J$30,TRUE())&gt;1," ["&amp;Q1278&amp;"]",""))</f>
        <v/>
      </c>
      <c r="H1278" s="80" t="str">
        <f t="array" ref="H1278">IF(A1278="","",CHAR(10)&amp;INDEX('Deck 5'!$A:$Z,ROW()-1250,'List Setup'!$E$7)&amp;CHAR(10))</f>
        <v/>
      </c>
      <c r="I1278" s="80" t="str">
        <f t="array" ref="I1278">IF(OR(B1278="",B1278="(none)"),"",IF(ISNUMBER(SEARCH(CHAR(10)&amp;B1278&amp;CHAR(10),H1278)),B1278,IFERROR(INDEX('Set Aliases'!$A$2:$A$501,MATCH(1,('Set Aliases'!$B$2:$B$501=B1278)*ISNUMBER(SEARCH(CHAR(10)&amp;'Set Aliases'!$A$2:$A$501&amp;CHAR(10),H1278)),0)),"")))</f>
        <v/>
      </c>
      <c r="J1278" s="80" t="str">
        <f t="array" ref="J1278">IF(I1278="","",IFERROR(VALUE(TRIM(MID(SUBSTITUTE(INDEX('Deck 5'!$A:$Z,ROW()-1250,'List Setup'!$G$7),CHAR(10),REPT(" ",100)),((SEARCH(CHAR(10)&amp;I1278&amp;CHAR(10),H1278)-LEN(SUBSTITUTE(LEFT(H1278,SEARCH(CHAR(10)&amp;I1278&amp;CHAR(10),H1278)),CHAR(10),"")))-1)*100+1,100))),""))</f>
        <v/>
      </c>
      <c r="K1278" s="80" t="str">
        <f t="array" ref="K1278">IF(A1278="","",IF(ISNUMBER(SEARCH("Land",LEFT(IFERROR(INDEX('Deck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78" s="80" t="str">
        <f t="shared" si="3"/>
        <v/>
      </c>
      <c r="M1278" s="80" t="str">
        <f>IF(A1278="","",IF(AND(E1278="Y",B1278='Use at Shop'!$B$4),K1278*10000000000+(MAX(0,MIN(26,CODE(MID(UPPER(A1278)&amp;"    ",1,1))-64))*19683+MAX(0,MIN(26,CODE(MID(UPPER(A1278)&amp;"    ",2,1))-64))*729+MAX(0,MIN(26,CODE(MID(UPPER(A1278)&amp;"    ",3,1))-64))*27+MAX(0,MIN(26,CODE(MID(UPPER(A1278)&amp;"    ",4,1))-64))*1)*10000+ROW(),""))</f>
        <v/>
      </c>
      <c r="N1278" s="80" t="str">
        <f t="shared" si="9"/>
        <v/>
      </c>
      <c r="O1278" s="80" t="str">
        <f t="array" ref="O1278">IF(A1278="","",IFERROR(INDEX('Deck 5'!$A:$Z,ROW()-1250,'List Setup'!$J$7)&amp;"",""))</f>
        <v/>
      </c>
      <c r="P1278" s="2"/>
      <c r="Q1278" s="80" t="str">
        <f>IF(A1278="","",'List Setup'!$A$7)</f>
        <v/>
      </c>
      <c r="R1278" s="80" t="str">
        <f t="array" ref="R1278">IF(A1278="","",IFERROR(OR(INDEX(Binders!$J$6:$J$30,MATCH(Q1278,Binders!$I$6:$I$30,0))=TRUE(),UPPER(INDEX(Binders!$J$6:$J$30,MATCH(Q1278,Binders!$I$6:$I$30,0))&amp;"")="TRUE"),FALSE()))</f>
        <v/>
      </c>
    </row>
    <row r="1279" ht="15.75" customHeight="1">
      <c r="A1279" s="80" t="str">
        <f t="array" ref="A1279">IF(INDEX('Deck 5'!$A:$Z,ROW()-1250,'List Setup'!$D$7)="","",INDEX('Deck 5'!$A:$Z,ROW()-1250,'List Setup'!$D$7))</f>
        <v/>
      </c>
      <c r="B1279" s="80" t="str">
        <f t="array" ref="B1279">IF(A1279="","",IFERROR(INDEX('Binder Setup'!$B$2:$B$401,MIN(IF(ISNUMBER(SEARCH(CHAR(10)&amp;'Binder Setup'!$B$2:$B$401&amp;CHAR(10),$H1279)),'List Setup'!$Q$2:$Q$401,999),IF(ISNUMBER(SEARCH(CHAR(10)&amp;'Set Aliases'!$A$2:$A$501&amp;CHAR(10),$H1279)),'Set Aliases'!$C$2:$C$501,999))),"(none)"))</f>
        <v/>
      </c>
      <c r="C1279" s="80" t="str">
        <f t="shared" si="1"/>
        <v/>
      </c>
      <c r="D1279" s="80" t="str">
        <f t="array" ref="D1279">IF(A1279="","",IF(ISLOGICAL(INDEX('Deck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79" s="80" t="str">
        <f t="shared" si="2"/>
        <v/>
      </c>
      <c r="F1279" s="80" t="str">
        <f t="array" ref="F1279">IF(A1279="","",IF(ISNUMBER(J1279),J1279,IF(ISNUMBER(INDEX('Deck 5'!$A:$Z,ROW()-1250,'List Setup'!$F$7)),INDEX('Deck 5'!$A:$Z,ROW()-1250,'List Setup'!$F$7),0)))</f>
        <v/>
      </c>
      <c r="G1279" s="80" t="str">
        <f t="array" ref="G1279">IF(A1279="","",A1279&amp;IF(N(INDEX('Deck 5'!$A:$Z,ROW()-1250,'List Setup'!$C$7))&gt;1," (x"&amp;INDEX('Deck 5'!$A:$Z,ROW()-1250,'List Setup'!$C$7)&amp;")","")&amp;IF(COUNTIF(Binders!$J$6:$J$30,TRUE())&gt;1," ["&amp;Q1279&amp;"]",""))</f>
        <v/>
      </c>
      <c r="H1279" s="80" t="str">
        <f t="array" ref="H1279">IF(A1279="","",CHAR(10)&amp;INDEX('Deck 5'!$A:$Z,ROW()-1250,'List Setup'!$E$7)&amp;CHAR(10))</f>
        <v/>
      </c>
      <c r="I1279" s="80" t="str">
        <f t="array" ref="I1279">IF(OR(B1279="",B1279="(none)"),"",IF(ISNUMBER(SEARCH(CHAR(10)&amp;B1279&amp;CHAR(10),H1279)),B1279,IFERROR(INDEX('Set Aliases'!$A$2:$A$501,MATCH(1,('Set Aliases'!$B$2:$B$501=B1279)*ISNUMBER(SEARCH(CHAR(10)&amp;'Set Aliases'!$A$2:$A$501&amp;CHAR(10),H1279)),0)),"")))</f>
        <v/>
      </c>
      <c r="J1279" s="80" t="str">
        <f t="array" ref="J1279">IF(I1279="","",IFERROR(VALUE(TRIM(MID(SUBSTITUTE(INDEX('Deck 5'!$A:$Z,ROW()-1250,'List Setup'!$G$7),CHAR(10),REPT(" ",100)),((SEARCH(CHAR(10)&amp;I1279&amp;CHAR(10),H1279)-LEN(SUBSTITUTE(LEFT(H1279,SEARCH(CHAR(10)&amp;I1279&amp;CHAR(10),H1279)),CHAR(10),"")))-1)*100+1,100))),""))</f>
        <v/>
      </c>
      <c r="K1279" s="80" t="str">
        <f t="array" ref="K1279">IF(A1279="","",IF(ISNUMBER(SEARCH("Land",LEFT(IFERROR(INDEX('Deck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79" s="80" t="str">
        <f t="shared" si="3"/>
        <v/>
      </c>
      <c r="M1279" s="80" t="str">
        <f>IF(A1279="","",IF(AND(E1279="Y",B1279='Use at Shop'!$B$4),K1279*10000000000+(MAX(0,MIN(26,CODE(MID(UPPER(A1279)&amp;"    ",1,1))-64))*19683+MAX(0,MIN(26,CODE(MID(UPPER(A1279)&amp;"    ",2,1))-64))*729+MAX(0,MIN(26,CODE(MID(UPPER(A1279)&amp;"    ",3,1))-64))*27+MAX(0,MIN(26,CODE(MID(UPPER(A1279)&amp;"    ",4,1))-64))*1)*10000+ROW(),""))</f>
        <v/>
      </c>
      <c r="N1279" s="80" t="str">
        <f t="shared" si="9"/>
        <v/>
      </c>
      <c r="O1279" s="80" t="str">
        <f t="array" ref="O1279">IF(A1279="","",IFERROR(INDEX('Deck 5'!$A:$Z,ROW()-1250,'List Setup'!$J$7)&amp;"",""))</f>
        <v/>
      </c>
      <c r="P1279" s="2"/>
      <c r="Q1279" s="80" t="str">
        <f>IF(A1279="","",'List Setup'!$A$7)</f>
        <v/>
      </c>
      <c r="R1279" s="80" t="str">
        <f t="array" ref="R1279">IF(A1279="","",IFERROR(OR(INDEX(Binders!$J$6:$J$30,MATCH(Q1279,Binders!$I$6:$I$30,0))=TRUE(),UPPER(INDEX(Binders!$J$6:$J$30,MATCH(Q1279,Binders!$I$6:$I$30,0))&amp;"")="TRUE"),FALSE()))</f>
        <v/>
      </c>
    </row>
    <row r="1280" ht="15.75" customHeight="1">
      <c r="A1280" s="80" t="str">
        <f t="array" ref="A1280">IF(INDEX('Deck 5'!$A:$Z,ROW()-1250,'List Setup'!$D$7)="","",INDEX('Deck 5'!$A:$Z,ROW()-1250,'List Setup'!$D$7))</f>
        <v/>
      </c>
      <c r="B1280" s="80" t="str">
        <f t="array" ref="B1280">IF(A1280="","",IFERROR(INDEX('Binder Setup'!$B$2:$B$401,MIN(IF(ISNUMBER(SEARCH(CHAR(10)&amp;'Binder Setup'!$B$2:$B$401&amp;CHAR(10),$H1280)),'List Setup'!$Q$2:$Q$401,999),IF(ISNUMBER(SEARCH(CHAR(10)&amp;'Set Aliases'!$A$2:$A$501&amp;CHAR(10),$H1280)),'Set Aliases'!$C$2:$C$501,999))),"(none)"))</f>
        <v/>
      </c>
      <c r="C1280" s="80" t="str">
        <f t="shared" si="1"/>
        <v/>
      </c>
      <c r="D1280" s="80" t="str">
        <f t="array" ref="D1280">IF(A1280="","",IF(ISLOGICAL(INDEX('Deck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80" s="80" t="str">
        <f t="shared" si="2"/>
        <v/>
      </c>
      <c r="F1280" s="80" t="str">
        <f t="array" ref="F1280">IF(A1280="","",IF(ISNUMBER(J1280),J1280,IF(ISNUMBER(INDEX('Deck 5'!$A:$Z,ROW()-1250,'List Setup'!$F$7)),INDEX('Deck 5'!$A:$Z,ROW()-1250,'List Setup'!$F$7),0)))</f>
        <v/>
      </c>
      <c r="G1280" s="80" t="str">
        <f t="array" ref="G1280">IF(A1280="","",A1280&amp;IF(N(INDEX('Deck 5'!$A:$Z,ROW()-1250,'List Setup'!$C$7))&gt;1," (x"&amp;INDEX('Deck 5'!$A:$Z,ROW()-1250,'List Setup'!$C$7)&amp;")","")&amp;IF(COUNTIF(Binders!$J$6:$J$30,TRUE())&gt;1," ["&amp;Q1280&amp;"]",""))</f>
        <v/>
      </c>
      <c r="H1280" s="80" t="str">
        <f t="array" ref="H1280">IF(A1280="","",CHAR(10)&amp;INDEX('Deck 5'!$A:$Z,ROW()-1250,'List Setup'!$E$7)&amp;CHAR(10))</f>
        <v/>
      </c>
      <c r="I1280" s="80" t="str">
        <f t="array" ref="I1280">IF(OR(B1280="",B1280="(none)"),"",IF(ISNUMBER(SEARCH(CHAR(10)&amp;B1280&amp;CHAR(10),H1280)),B1280,IFERROR(INDEX('Set Aliases'!$A$2:$A$501,MATCH(1,('Set Aliases'!$B$2:$B$501=B1280)*ISNUMBER(SEARCH(CHAR(10)&amp;'Set Aliases'!$A$2:$A$501&amp;CHAR(10),H1280)),0)),"")))</f>
        <v/>
      </c>
      <c r="J1280" s="80" t="str">
        <f t="array" ref="J1280">IF(I1280="","",IFERROR(VALUE(TRIM(MID(SUBSTITUTE(INDEX('Deck 5'!$A:$Z,ROW()-1250,'List Setup'!$G$7),CHAR(10),REPT(" ",100)),((SEARCH(CHAR(10)&amp;I1280&amp;CHAR(10),H1280)-LEN(SUBSTITUTE(LEFT(H1280,SEARCH(CHAR(10)&amp;I1280&amp;CHAR(10),H1280)),CHAR(10),"")))-1)*100+1,100))),""))</f>
        <v/>
      </c>
      <c r="K1280" s="80" t="str">
        <f t="array" ref="K1280">IF(A1280="","",IF(ISNUMBER(SEARCH("Land",LEFT(IFERROR(INDEX('Deck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80" s="80" t="str">
        <f t="shared" si="3"/>
        <v/>
      </c>
      <c r="M1280" s="80" t="str">
        <f>IF(A1280="","",IF(AND(E1280="Y",B1280='Use at Shop'!$B$4),K1280*10000000000+(MAX(0,MIN(26,CODE(MID(UPPER(A1280)&amp;"    ",1,1))-64))*19683+MAX(0,MIN(26,CODE(MID(UPPER(A1280)&amp;"    ",2,1))-64))*729+MAX(0,MIN(26,CODE(MID(UPPER(A1280)&amp;"    ",3,1))-64))*27+MAX(0,MIN(26,CODE(MID(UPPER(A1280)&amp;"    ",4,1))-64))*1)*10000+ROW(),""))</f>
        <v/>
      </c>
      <c r="N1280" s="80" t="str">
        <f t="shared" si="9"/>
        <v/>
      </c>
      <c r="O1280" s="80" t="str">
        <f t="array" ref="O1280">IF(A1280="","",IFERROR(INDEX('Deck 5'!$A:$Z,ROW()-1250,'List Setup'!$J$7)&amp;"",""))</f>
        <v/>
      </c>
      <c r="P1280" s="2"/>
      <c r="Q1280" s="80" t="str">
        <f>IF(A1280="","",'List Setup'!$A$7)</f>
        <v/>
      </c>
      <c r="R1280" s="80" t="str">
        <f t="array" ref="R1280">IF(A1280="","",IFERROR(OR(INDEX(Binders!$J$6:$J$30,MATCH(Q1280,Binders!$I$6:$I$30,0))=TRUE(),UPPER(INDEX(Binders!$J$6:$J$30,MATCH(Q1280,Binders!$I$6:$I$30,0))&amp;"")="TRUE"),FALSE()))</f>
        <v/>
      </c>
    </row>
    <row r="1281" ht="15.75" customHeight="1">
      <c r="A1281" s="80" t="str">
        <f t="array" ref="A1281">IF(INDEX('Deck 5'!$A:$Z,ROW()-1250,'List Setup'!$D$7)="","",INDEX('Deck 5'!$A:$Z,ROW()-1250,'List Setup'!$D$7))</f>
        <v/>
      </c>
      <c r="B1281" s="80" t="str">
        <f t="array" ref="B1281">IF(A1281="","",IFERROR(INDEX('Binder Setup'!$B$2:$B$401,MIN(IF(ISNUMBER(SEARCH(CHAR(10)&amp;'Binder Setup'!$B$2:$B$401&amp;CHAR(10),$H1281)),'List Setup'!$Q$2:$Q$401,999),IF(ISNUMBER(SEARCH(CHAR(10)&amp;'Set Aliases'!$A$2:$A$501&amp;CHAR(10),$H1281)),'Set Aliases'!$C$2:$C$501,999))),"(none)"))</f>
        <v/>
      </c>
      <c r="C1281" s="80" t="str">
        <f t="shared" si="1"/>
        <v/>
      </c>
      <c r="D1281" s="80" t="str">
        <f t="array" ref="D1281">IF(A1281="","",IF(ISLOGICAL(INDEX('Deck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81" s="80" t="str">
        <f t="shared" si="2"/>
        <v/>
      </c>
      <c r="F1281" s="80" t="str">
        <f t="array" ref="F1281">IF(A1281="","",IF(ISNUMBER(J1281),J1281,IF(ISNUMBER(INDEX('Deck 5'!$A:$Z,ROW()-1250,'List Setup'!$F$7)),INDEX('Deck 5'!$A:$Z,ROW()-1250,'List Setup'!$F$7),0)))</f>
        <v/>
      </c>
      <c r="G1281" s="80" t="str">
        <f t="array" ref="G1281">IF(A1281="","",A1281&amp;IF(N(INDEX('Deck 5'!$A:$Z,ROW()-1250,'List Setup'!$C$7))&gt;1," (x"&amp;INDEX('Deck 5'!$A:$Z,ROW()-1250,'List Setup'!$C$7)&amp;")","")&amp;IF(COUNTIF(Binders!$J$6:$J$30,TRUE())&gt;1," ["&amp;Q1281&amp;"]",""))</f>
        <v/>
      </c>
      <c r="H1281" s="80" t="str">
        <f t="array" ref="H1281">IF(A1281="","",CHAR(10)&amp;INDEX('Deck 5'!$A:$Z,ROW()-1250,'List Setup'!$E$7)&amp;CHAR(10))</f>
        <v/>
      </c>
      <c r="I1281" s="80" t="str">
        <f t="array" ref="I1281">IF(OR(B1281="",B1281="(none)"),"",IF(ISNUMBER(SEARCH(CHAR(10)&amp;B1281&amp;CHAR(10),H1281)),B1281,IFERROR(INDEX('Set Aliases'!$A$2:$A$501,MATCH(1,('Set Aliases'!$B$2:$B$501=B1281)*ISNUMBER(SEARCH(CHAR(10)&amp;'Set Aliases'!$A$2:$A$501&amp;CHAR(10),H1281)),0)),"")))</f>
        <v/>
      </c>
      <c r="J1281" s="80" t="str">
        <f t="array" ref="J1281">IF(I1281="","",IFERROR(VALUE(TRIM(MID(SUBSTITUTE(INDEX('Deck 5'!$A:$Z,ROW()-1250,'List Setup'!$G$7),CHAR(10),REPT(" ",100)),((SEARCH(CHAR(10)&amp;I1281&amp;CHAR(10),H1281)-LEN(SUBSTITUTE(LEFT(H1281,SEARCH(CHAR(10)&amp;I1281&amp;CHAR(10),H1281)),CHAR(10),"")))-1)*100+1,100))),""))</f>
        <v/>
      </c>
      <c r="K1281" s="80" t="str">
        <f t="array" ref="K1281">IF(A1281="","",IF(ISNUMBER(SEARCH("Land",LEFT(IFERROR(INDEX('Deck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81" s="80" t="str">
        <f t="shared" si="3"/>
        <v/>
      </c>
      <c r="M1281" s="80" t="str">
        <f>IF(A1281="","",IF(AND(E1281="Y",B1281='Use at Shop'!$B$4),K1281*10000000000+(MAX(0,MIN(26,CODE(MID(UPPER(A1281)&amp;"    ",1,1))-64))*19683+MAX(0,MIN(26,CODE(MID(UPPER(A1281)&amp;"    ",2,1))-64))*729+MAX(0,MIN(26,CODE(MID(UPPER(A1281)&amp;"    ",3,1))-64))*27+MAX(0,MIN(26,CODE(MID(UPPER(A1281)&amp;"    ",4,1))-64))*1)*10000+ROW(),""))</f>
        <v/>
      </c>
      <c r="N1281" s="80" t="str">
        <f t="shared" si="9"/>
        <v/>
      </c>
      <c r="O1281" s="80" t="str">
        <f t="array" ref="O1281">IF(A1281="","",IFERROR(INDEX('Deck 5'!$A:$Z,ROW()-1250,'List Setup'!$J$7)&amp;"",""))</f>
        <v/>
      </c>
      <c r="P1281" s="2"/>
      <c r="Q1281" s="80" t="str">
        <f>IF(A1281="","",'List Setup'!$A$7)</f>
        <v/>
      </c>
      <c r="R1281" s="80" t="str">
        <f t="array" ref="R1281">IF(A1281="","",IFERROR(OR(INDEX(Binders!$J$6:$J$30,MATCH(Q1281,Binders!$I$6:$I$30,0))=TRUE(),UPPER(INDEX(Binders!$J$6:$J$30,MATCH(Q1281,Binders!$I$6:$I$30,0))&amp;"")="TRUE"),FALSE()))</f>
        <v/>
      </c>
    </row>
    <row r="1282" ht="15.75" customHeight="1">
      <c r="A1282" s="80" t="str">
        <f t="array" ref="A1282">IF(INDEX('Deck 5'!$A:$Z,ROW()-1250,'List Setup'!$D$7)="","",INDEX('Deck 5'!$A:$Z,ROW()-1250,'List Setup'!$D$7))</f>
        <v/>
      </c>
      <c r="B1282" s="80" t="str">
        <f t="array" ref="B1282">IF(A1282="","",IFERROR(INDEX('Binder Setup'!$B$2:$B$401,MIN(IF(ISNUMBER(SEARCH(CHAR(10)&amp;'Binder Setup'!$B$2:$B$401&amp;CHAR(10),$H1282)),'List Setup'!$Q$2:$Q$401,999),IF(ISNUMBER(SEARCH(CHAR(10)&amp;'Set Aliases'!$A$2:$A$501&amp;CHAR(10),$H1282)),'Set Aliases'!$C$2:$C$501,999))),"(none)"))</f>
        <v/>
      </c>
      <c r="C1282" s="80" t="str">
        <f t="shared" si="1"/>
        <v/>
      </c>
      <c r="D1282" s="80" t="str">
        <f t="array" ref="D1282">IF(A1282="","",IF(ISLOGICAL(INDEX('Deck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82" s="80" t="str">
        <f t="shared" si="2"/>
        <v/>
      </c>
      <c r="F1282" s="80" t="str">
        <f t="array" ref="F1282">IF(A1282="","",IF(ISNUMBER(J1282),J1282,IF(ISNUMBER(INDEX('Deck 5'!$A:$Z,ROW()-1250,'List Setup'!$F$7)),INDEX('Deck 5'!$A:$Z,ROW()-1250,'List Setup'!$F$7),0)))</f>
        <v/>
      </c>
      <c r="G1282" s="80" t="str">
        <f t="array" ref="G1282">IF(A1282="","",A1282&amp;IF(N(INDEX('Deck 5'!$A:$Z,ROW()-1250,'List Setup'!$C$7))&gt;1," (x"&amp;INDEX('Deck 5'!$A:$Z,ROW()-1250,'List Setup'!$C$7)&amp;")","")&amp;IF(COUNTIF(Binders!$J$6:$J$30,TRUE())&gt;1," ["&amp;Q1282&amp;"]",""))</f>
        <v/>
      </c>
      <c r="H1282" s="80" t="str">
        <f t="array" ref="H1282">IF(A1282="","",CHAR(10)&amp;INDEX('Deck 5'!$A:$Z,ROW()-1250,'List Setup'!$E$7)&amp;CHAR(10))</f>
        <v/>
      </c>
      <c r="I1282" s="80" t="str">
        <f t="array" ref="I1282">IF(OR(B1282="",B1282="(none)"),"",IF(ISNUMBER(SEARCH(CHAR(10)&amp;B1282&amp;CHAR(10),H1282)),B1282,IFERROR(INDEX('Set Aliases'!$A$2:$A$501,MATCH(1,('Set Aliases'!$B$2:$B$501=B1282)*ISNUMBER(SEARCH(CHAR(10)&amp;'Set Aliases'!$A$2:$A$501&amp;CHAR(10),H1282)),0)),"")))</f>
        <v/>
      </c>
      <c r="J1282" s="80" t="str">
        <f t="array" ref="J1282">IF(I1282="","",IFERROR(VALUE(TRIM(MID(SUBSTITUTE(INDEX('Deck 5'!$A:$Z,ROW()-1250,'List Setup'!$G$7),CHAR(10),REPT(" ",100)),((SEARCH(CHAR(10)&amp;I1282&amp;CHAR(10),H1282)-LEN(SUBSTITUTE(LEFT(H1282,SEARCH(CHAR(10)&amp;I1282&amp;CHAR(10),H1282)),CHAR(10),"")))-1)*100+1,100))),""))</f>
        <v/>
      </c>
      <c r="K1282" s="80" t="str">
        <f t="array" ref="K1282">IF(A1282="","",IF(ISNUMBER(SEARCH("Land",LEFT(IFERROR(INDEX('Deck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82" s="80" t="str">
        <f t="shared" si="3"/>
        <v/>
      </c>
      <c r="M1282" s="80" t="str">
        <f>IF(A1282="","",IF(AND(E1282="Y",B1282='Use at Shop'!$B$4),K1282*10000000000+(MAX(0,MIN(26,CODE(MID(UPPER(A1282)&amp;"    ",1,1))-64))*19683+MAX(0,MIN(26,CODE(MID(UPPER(A1282)&amp;"    ",2,1))-64))*729+MAX(0,MIN(26,CODE(MID(UPPER(A1282)&amp;"    ",3,1))-64))*27+MAX(0,MIN(26,CODE(MID(UPPER(A1282)&amp;"    ",4,1))-64))*1)*10000+ROW(),""))</f>
        <v/>
      </c>
      <c r="N1282" s="80" t="str">
        <f t="shared" si="9"/>
        <v/>
      </c>
      <c r="O1282" s="80" t="str">
        <f t="array" ref="O1282">IF(A1282="","",IFERROR(INDEX('Deck 5'!$A:$Z,ROW()-1250,'List Setup'!$J$7)&amp;"",""))</f>
        <v/>
      </c>
      <c r="P1282" s="2"/>
      <c r="Q1282" s="80" t="str">
        <f>IF(A1282="","",'List Setup'!$A$7)</f>
        <v/>
      </c>
      <c r="R1282" s="80" t="str">
        <f t="array" ref="R1282">IF(A1282="","",IFERROR(OR(INDEX(Binders!$J$6:$J$30,MATCH(Q1282,Binders!$I$6:$I$30,0))=TRUE(),UPPER(INDEX(Binders!$J$6:$J$30,MATCH(Q1282,Binders!$I$6:$I$30,0))&amp;"")="TRUE"),FALSE()))</f>
        <v/>
      </c>
    </row>
    <row r="1283" ht="15.75" customHeight="1">
      <c r="A1283" s="80" t="str">
        <f t="array" ref="A1283">IF(INDEX('Deck 5'!$A:$Z,ROW()-1250,'List Setup'!$D$7)="","",INDEX('Deck 5'!$A:$Z,ROW()-1250,'List Setup'!$D$7))</f>
        <v/>
      </c>
      <c r="B1283" s="80" t="str">
        <f t="array" ref="B1283">IF(A1283="","",IFERROR(INDEX('Binder Setup'!$B$2:$B$401,MIN(IF(ISNUMBER(SEARCH(CHAR(10)&amp;'Binder Setup'!$B$2:$B$401&amp;CHAR(10),$H1283)),'List Setup'!$Q$2:$Q$401,999),IF(ISNUMBER(SEARCH(CHAR(10)&amp;'Set Aliases'!$A$2:$A$501&amp;CHAR(10),$H1283)),'Set Aliases'!$C$2:$C$501,999))),"(none)"))</f>
        <v/>
      </c>
      <c r="C1283" s="80" t="str">
        <f t="shared" si="1"/>
        <v/>
      </c>
      <c r="D1283" s="80" t="str">
        <f t="array" ref="D1283">IF(A1283="","",IF(ISLOGICAL(INDEX('Deck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83" s="80" t="str">
        <f t="shared" si="2"/>
        <v/>
      </c>
      <c r="F1283" s="80" t="str">
        <f t="array" ref="F1283">IF(A1283="","",IF(ISNUMBER(J1283),J1283,IF(ISNUMBER(INDEX('Deck 5'!$A:$Z,ROW()-1250,'List Setup'!$F$7)),INDEX('Deck 5'!$A:$Z,ROW()-1250,'List Setup'!$F$7),0)))</f>
        <v/>
      </c>
      <c r="G1283" s="80" t="str">
        <f t="array" ref="G1283">IF(A1283="","",A1283&amp;IF(N(INDEX('Deck 5'!$A:$Z,ROW()-1250,'List Setup'!$C$7))&gt;1," (x"&amp;INDEX('Deck 5'!$A:$Z,ROW()-1250,'List Setup'!$C$7)&amp;")","")&amp;IF(COUNTIF(Binders!$J$6:$J$30,TRUE())&gt;1," ["&amp;Q1283&amp;"]",""))</f>
        <v/>
      </c>
      <c r="H1283" s="80" t="str">
        <f t="array" ref="H1283">IF(A1283="","",CHAR(10)&amp;INDEX('Deck 5'!$A:$Z,ROW()-1250,'List Setup'!$E$7)&amp;CHAR(10))</f>
        <v/>
      </c>
      <c r="I1283" s="80" t="str">
        <f t="array" ref="I1283">IF(OR(B1283="",B1283="(none)"),"",IF(ISNUMBER(SEARCH(CHAR(10)&amp;B1283&amp;CHAR(10),H1283)),B1283,IFERROR(INDEX('Set Aliases'!$A$2:$A$501,MATCH(1,('Set Aliases'!$B$2:$B$501=B1283)*ISNUMBER(SEARCH(CHAR(10)&amp;'Set Aliases'!$A$2:$A$501&amp;CHAR(10),H1283)),0)),"")))</f>
        <v/>
      </c>
      <c r="J1283" s="80" t="str">
        <f t="array" ref="J1283">IF(I1283="","",IFERROR(VALUE(TRIM(MID(SUBSTITUTE(INDEX('Deck 5'!$A:$Z,ROW()-1250,'List Setup'!$G$7),CHAR(10),REPT(" ",100)),((SEARCH(CHAR(10)&amp;I1283&amp;CHAR(10),H1283)-LEN(SUBSTITUTE(LEFT(H1283,SEARCH(CHAR(10)&amp;I1283&amp;CHAR(10),H1283)),CHAR(10),"")))-1)*100+1,100))),""))</f>
        <v/>
      </c>
      <c r="K1283" s="80" t="str">
        <f t="array" ref="K1283">IF(A1283="","",IF(ISNUMBER(SEARCH("Land",LEFT(IFERROR(INDEX('Deck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83" s="80" t="str">
        <f t="shared" si="3"/>
        <v/>
      </c>
      <c r="M1283" s="80" t="str">
        <f>IF(A1283="","",IF(AND(E1283="Y",B1283='Use at Shop'!$B$4),K1283*10000000000+(MAX(0,MIN(26,CODE(MID(UPPER(A1283)&amp;"    ",1,1))-64))*19683+MAX(0,MIN(26,CODE(MID(UPPER(A1283)&amp;"    ",2,1))-64))*729+MAX(0,MIN(26,CODE(MID(UPPER(A1283)&amp;"    ",3,1))-64))*27+MAX(0,MIN(26,CODE(MID(UPPER(A1283)&amp;"    ",4,1))-64))*1)*10000+ROW(),""))</f>
        <v/>
      </c>
      <c r="N1283" s="80" t="str">
        <f t="shared" si="9"/>
        <v/>
      </c>
      <c r="O1283" s="80" t="str">
        <f t="array" ref="O1283">IF(A1283="","",IFERROR(INDEX('Deck 5'!$A:$Z,ROW()-1250,'List Setup'!$J$7)&amp;"",""))</f>
        <v/>
      </c>
      <c r="P1283" s="2"/>
      <c r="Q1283" s="80" t="str">
        <f>IF(A1283="","",'List Setup'!$A$7)</f>
        <v/>
      </c>
      <c r="R1283" s="80" t="str">
        <f t="array" ref="R1283">IF(A1283="","",IFERROR(OR(INDEX(Binders!$J$6:$J$30,MATCH(Q1283,Binders!$I$6:$I$30,0))=TRUE(),UPPER(INDEX(Binders!$J$6:$J$30,MATCH(Q1283,Binders!$I$6:$I$30,0))&amp;"")="TRUE"),FALSE()))</f>
        <v/>
      </c>
    </row>
    <row r="1284" ht="15.75" customHeight="1">
      <c r="A1284" s="80" t="str">
        <f t="array" ref="A1284">IF(INDEX('Deck 5'!$A:$Z,ROW()-1250,'List Setup'!$D$7)="","",INDEX('Deck 5'!$A:$Z,ROW()-1250,'List Setup'!$D$7))</f>
        <v/>
      </c>
      <c r="B1284" s="80" t="str">
        <f t="array" ref="B1284">IF(A1284="","",IFERROR(INDEX('Binder Setup'!$B$2:$B$401,MIN(IF(ISNUMBER(SEARCH(CHAR(10)&amp;'Binder Setup'!$B$2:$B$401&amp;CHAR(10),$H1284)),'List Setup'!$Q$2:$Q$401,999),IF(ISNUMBER(SEARCH(CHAR(10)&amp;'Set Aliases'!$A$2:$A$501&amp;CHAR(10),$H1284)),'Set Aliases'!$C$2:$C$501,999))),"(none)"))</f>
        <v/>
      </c>
      <c r="C1284" s="80" t="str">
        <f t="shared" si="1"/>
        <v/>
      </c>
      <c r="D1284" s="80" t="str">
        <f t="array" ref="D1284">IF(A1284="","",IF(ISLOGICAL(INDEX('Deck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84" s="80" t="str">
        <f t="shared" si="2"/>
        <v/>
      </c>
      <c r="F1284" s="80" t="str">
        <f t="array" ref="F1284">IF(A1284="","",IF(ISNUMBER(J1284),J1284,IF(ISNUMBER(INDEX('Deck 5'!$A:$Z,ROW()-1250,'List Setup'!$F$7)),INDEX('Deck 5'!$A:$Z,ROW()-1250,'List Setup'!$F$7),0)))</f>
        <v/>
      </c>
      <c r="G1284" s="80" t="str">
        <f t="array" ref="G1284">IF(A1284="","",A1284&amp;IF(N(INDEX('Deck 5'!$A:$Z,ROW()-1250,'List Setup'!$C$7))&gt;1," (x"&amp;INDEX('Deck 5'!$A:$Z,ROW()-1250,'List Setup'!$C$7)&amp;")","")&amp;IF(COUNTIF(Binders!$J$6:$J$30,TRUE())&gt;1," ["&amp;Q1284&amp;"]",""))</f>
        <v/>
      </c>
      <c r="H1284" s="80" t="str">
        <f t="array" ref="H1284">IF(A1284="","",CHAR(10)&amp;INDEX('Deck 5'!$A:$Z,ROW()-1250,'List Setup'!$E$7)&amp;CHAR(10))</f>
        <v/>
      </c>
      <c r="I1284" s="80" t="str">
        <f t="array" ref="I1284">IF(OR(B1284="",B1284="(none)"),"",IF(ISNUMBER(SEARCH(CHAR(10)&amp;B1284&amp;CHAR(10),H1284)),B1284,IFERROR(INDEX('Set Aliases'!$A$2:$A$501,MATCH(1,('Set Aliases'!$B$2:$B$501=B1284)*ISNUMBER(SEARCH(CHAR(10)&amp;'Set Aliases'!$A$2:$A$501&amp;CHAR(10),H1284)),0)),"")))</f>
        <v/>
      </c>
      <c r="J1284" s="80" t="str">
        <f t="array" ref="J1284">IF(I1284="","",IFERROR(VALUE(TRIM(MID(SUBSTITUTE(INDEX('Deck 5'!$A:$Z,ROW()-1250,'List Setup'!$G$7),CHAR(10),REPT(" ",100)),((SEARCH(CHAR(10)&amp;I1284&amp;CHAR(10),H1284)-LEN(SUBSTITUTE(LEFT(H1284,SEARCH(CHAR(10)&amp;I1284&amp;CHAR(10),H1284)),CHAR(10),"")))-1)*100+1,100))),""))</f>
        <v/>
      </c>
      <c r="K1284" s="80" t="str">
        <f t="array" ref="K1284">IF(A1284="","",IF(ISNUMBER(SEARCH("Land",LEFT(IFERROR(INDEX('Deck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84" s="80" t="str">
        <f t="shared" si="3"/>
        <v/>
      </c>
      <c r="M1284" s="80" t="str">
        <f>IF(A1284="","",IF(AND(E1284="Y",B1284='Use at Shop'!$B$4),K1284*10000000000+(MAX(0,MIN(26,CODE(MID(UPPER(A1284)&amp;"    ",1,1))-64))*19683+MAX(0,MIN(26,CODE(MID(UPPER(A1284)&amp;"    ",2,1))-64))*729+MAX(0,MIN(26,CODE(MID(UPPER(A1284)&amp;"    ",3,1))-64))*27+MAX(0,MIN(26,CODE(MID(UPPER(A1284)&amp;"    ",4,1))-64))*1)*10000+ROW(),""))</f>
        <v/>
      </c>
      <c r="N1284" s="80" t="str">
        <f t="shared" si="9"/>
        <v/>
      </c>
      <c r="O1284" s="80" t="str">
        <f t="array" ref="O1284">IF(A1284="","",IFERROR(INDEX('Deck 5'!$A:$Z,ROW()-1250,'List Setup'!$J$7)&amp;"",""))</f>
        <v/>
      </c>
      <c r="P1284" s="2"/>
      <c r="Q1284" s="80" t="str">
        <f>IF(A1284="","",'List Setup'!$A$7)</f>
        <v/>
      </c>
      <c r="R1284" s="80" t="str">
        <f t="array" ref="R1284">IF(A1284="","",IFERROR(OR(INDEX(Binders!$J$6:$J$30,MATCH(Q1284,Binders!$I$6:$I$30,0))=TRUE(),UPPER(INDEX(Binders!$J$6:$J$30,MATCH(Q1284,Binders!$I$6:$I$30,0))&amp;"")="TRUE"),FALSE()))</f>
        <v/>
      </c>
    </row>
    <row r="1285" ht="15.75" customHeight="1">
      <c r="A1285" s="80" t="str">
        <f t="array" ref="A1285">IF(INDEX('Deck 5'!$A:$Z,ROW()-1250,'List Setup'!$D$7)="","",INDEX('Deck 5'!$A:$Z,ROW()-1250,'List Setup'!$D$7))</f>
        <v/>
      </c>
      <c r="B1285" s="80" t="str">
        <f t="array" ref="B1285">IF(A1285="","",IFERROR(INDEX('Binder Setup'!$B$2:$B$401,MIN(IF(ISNUMBER(SEARCH(CHAR(10)&amp;'Binder Setup'!$B$2:$B$401&amp;CHAR(10),$H1285)),'List Setup'!$Q$2:$Q$401,999),IF(ISNUMBER(SEARCH(CHAR(10)&amp;'Set Aliases'!$A$2:$A$501&amp;CHAR(10),$H1285)),'Set Aliases'!$C$2:$C$501,999))),"(none)"))</f>
        <v/>
      </c>
      <c r="C1285" s="80" t="str">
        <f t="shared" si="1"/>
        <v/>
      </c>
      <c r="D1285" s="80" t="str">
        <f t="array" ref="D1285">IF(A1285="","",IF(ISLOGICAL(INDEX('Deck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85" s="80" t="str">
        <f t="shared" si="2"/>
        <v/>
      </c>
      <c r="F1285" s="80" t="str">
        <f t="array" ref="F1285">IF(A1285="","",IF(ISNUMBER(J1285),J1285,IF(ISNUMBER(INDEX('Deck 5'!$A:$Z,ROW()-1250,'List Setup'!$F$7)),INDEX('Deck 5'!$A:$Z,ROW()-1250,'List Setup'!$F$7),0)))</f>
        <v/>
      </c>
      <c r="G1285" s="80" t="str">
        <f t="array" ref="G1285">IF(A1285="","",A1285&amp;IF(N(INDEX('Deck 5'!$A:$Z,ROW()-1250,'List Setup'!$C$7))&gt;1," (x"&amp;INDEX('Deck 5'!$A:$Z,ROW()-1250,'List Setup'!$C$7)&amp;")","")&amp;IF(COUNTIF(Binders!$J$6:$J$30,TRUE())&gt;1," ["&amp;Q1285&amp;"]",""))</f>
        <v/>
      </c>
      <c r="H1285" s="80" t="str">
        <f t="array" ref="H1285">IF(A1285="","",CHAR(10)&amp;INDEX('Deck 5'!$A:$Z,ROW()-1250,'List Setup'!$E$7)&amp;CHAR(10))</f>
        <v/>
      </c>
      <c r="I1285" s="80" t="str">
        <f t="array" ref="I1285">IF(OR(B1285="",B1285="(none)"),"",IF(ISNUMBER(SEARCH(CHAR(10)&amp;B1285&amp;CHAR(10),H1285)),B1285,IFERROR(INDEX('Set Aliases'!$A$2:$A$501,MATCH(1,('Set Aliases'!$B$2:$B$501=B1285)*ISNUMBER(SEARCH(CHAR(10)&amp;'Set Aliases'!$A$2:$A$501&amp;CHAR(10),H1285)),0)),"")))</f>
        <v/>
      </c>
      <c r="J1285" s="80" t="str">
        <f t="array" ref="J1285">IF(I1285="","",IFERROR(VALUE(TRIM(MID(SUBSTITUTE(INDEX('Deck 5'!$A:$Z,ROW()-1250,'List Setup'!$G$7),CHAR(10),REPT(" ",100)),((SEARCH(CHAR(10)&amp;I1285&amp;CHAR(10),H1285)-LEN(SUBSTITUTE(LEFT(H1285,SEARCH(CHAR(10)&amp;I1285&amp;CHAR(10),H1285)),CHAR(10),"")))-1)*100+1,100))),""))</f>
        <v/>
      </c>
      <c r="K1285" s="80" t="str">
        <f t="array" ref="K1285">IF(A1285="","",IF(ISNUMBER(SEARCH("Land",LEFT(IFERROR(INDEX('Deck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85" s="80" t="str">
        <f t="shared" si="3"/>
        <v/>
      </c>
      <c r="M1285" s="80" t="str">
        <f>IF(A1285="","",IF(AND(E1285="Y",B1285='Use at Shop'!$B$4),K1285*10000000000+(MAX(0,MIN(26,CODE(MID(UPPER(A1285)&amp;"    ",1,1))-64))*19683+MAX(0,MIN(26,CODE(MID(UPPER(A1285)&amp;"    ",2,1))-64))*729+MAX(0,MIN(26,CODE(MID(UPPER(A1285)&amp;"    ",3,1))-64))*27+MAX(0,MIN(26,CODE(MID(UPPER(A1285)&amp;"    ",4,1))-64))*1)*10000+ROW(),""))</f>
        <v/>
      </c>
      <c r="N1285" s="80" t="str">
        <f t="shared" si="9"/>
        <v/>
      </c>
      <c r="O1285" s="80" t="str">
        <f t="array" ref="O1285">IF(A1285="","",IFERROR(INDEX('Deck 5'!$A:$Z,ROW()-1250,'List Setup'!$J$7)&amp;"",""))</f>
        <v/>
      </c>
      <c r="P1285" s="2"/>
      <c r="Q1285" s="80" t="str">
        <f>IF(A1285="","",'List Setup'!$A$7)</f>
        <v/>
      </c>
      <c r="R1285" s="80" t="str">
        <f t="array" ref="R1285">IF(A1285="","",IFERROR(OR(INDEX(Binders!$J$6:$J$30,MATCH(Q1285,Binders!$I$6:$I$30,0))=TRUE(),UPPER(INDEX(Binders!$J$6:$J$30,MATCH(Q1285,Binders!$I$6:$I$30,0))&amp;"")="TRUE"),FALSE()))</f>
        <v/>
      </c>
    </row>
    <row r="1286" ht="15.75" customHeight="1">
      <c r="A1286" s="80" t="str">
        <f t="array" ref="A1286">IF(INDEX('Deck 5'!$A:$Z,ROW()-1250,'List Setup'!$D$7)="","",INDEX('Deck 5'!$A:$Z,ROW()-1250,'List Setup'!$D$7))</f>
        <v/>
      </c>
      <c r="B1286" s="80" t="str">
        <f t="array" ref="B1286">IF(A1286="","",IFERROR(INDEX('Binder Setup'!$B$2:$B$401,MIN(IF(ISNUMBER(SEARCH(CHAR(10)&amp;'Binder Setup'!$B$2:$B$401&amp;CHAR(10),$H1286)),'List Setup'!$Q$2:$Q$401,999),IF(ISNUMBER(SEARCH(CHAR(10)&amp;'Set Aliases'!$A$2:$A$501&amp;CHAR(10),$H1286)),'Set Aliases'!$C$2:$C$501,999))),"(none)"))</f>
        <v/>
      </c>
      <c r="C1286" s="80" t="str">
        <f t="shared" si="1"/>
        <v/>
      </c>
      <c r="D1286" s="80" t="str">
        <f t="array" ref="D1286">IF(A1286="","",IF(ISLOGICAL(INDEX('Deck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86" s="80" t="str">
        <f t="shared" si="2"/>
        <v/>
      </c>
      <c r="F1286" s="80" t="str">
        <f t="array" ref="F1286">IF(A1286="","",IF(ISNUMBER(J1286),J1286,IF(ISNUMBER(INDEX('Deck 5'!$A:$Z,ROW()-1250,'List Setup'!$F$7)),INDEX('Deck 5'!$A:$Z,ROW()-1250,'List Setup'!$F$7),0)))</f>
        <v/>
      </c>
      <c r="G1286" s="80" t="str">
        <f t="array" ref="G1286">IF(A1286="","",A1286&amp;IF(N(INDEX('Deck 5'!$A:$Z,ROW()-1250,'List Setup'!$C$7))&gt;1," (x"&amp;INDEX('Deck 5'!$A:$Z,ROW()-1250,'List Setup'!$C$7)&amp;")","")&amp;IF(COUNTIF(Binders!$J$6:$J$30,TRUE())&gt;1," ["&amp;Q1286&amp;"]",""))</f>
        <v/>
      </c>
      <c r="H1286" s="80" t="str">
        <f t="array" ref="H1286">IF(A1286="","",CHAR(10)&amp;INDEX('Deck 5'!$A:$Z,ROW()-1250,'List Setup'!$E$7)&amp;CHAR(10))</f>
        <v/>
      </c>
      <c r="I1286" s="80" t="str">
        <f t="array" ref="I1286">IF(OR(B1286="",B1286="(none)"),"",IF(ISNUMBER(SEARCH(CHAR(10)&amp;B1286&amp;CHAR(10),H1286)),B1286,IFERROR(INDEX('Set Aliases'!$A$2:$A$501,MATCH(1,('Set Aliases'!$B$2:$B$501=B1286)*ISNUMBER(SEARCH(CHAR(10)&amp;'Set Aliases'!$A$2:$A$501&amp;CHAR(10),H1286)),0)),"")))</f>
        <v/>
      </c>
      <c r="J1286" s="80" t="str">
        <f t="array" ref="J1286">IF(I1286="","",IFERROR(VALUE(TRIM(MID(SUBSTITUTE(INDEX('Deck 5'!$A:$Z,ROW()-1250,'List Setup'!$G$7),CHAR(10),REPT(" ",100)),((SEARCH(CHAR(10)&amp;I1286&amp;CHAR(10),H1286)-LEN(SUBSTITUTE(LEFT(H1286,SEARCH(CHAR(10)&amp;I1286&amp;CHAR(10),H1286)),CHAR(10),"")))-1)*100+1,100))),""))</f>
        <v/>
      </c>
      <c r="K1286" s="80" t="str">
        <f t="array" ref="K1286">IF(A1286="","",IF(ISNUMBER(SEARCH("Land",LEFT(IFERROR(INDEX('Deck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86" s="80" t="str">
        <f t="shared" si="3"/>
        <v/>
      </c>
      <c r="M1286" s="80" t="str">
        <f>IF(A1286="","",IF(AND(E1286="Y",B1286='Use at Shop'!$B$4),K1286*10000000000+(MAX(0,MIN(26,CODE(MID(UPPER(A1286)&amp;"    ",1,1))-64))*19683+MAX(0,MIN(26,CODE(MID(UPPER(A1286)&amp;"    ",2,1))-64))*729+MAX(0,MIN(26,CODE(MID(UPPER(A1286)&amp;"    ",3,1))-64))*27+MAX(0,MIN(26,CODE(MID(UPPER(A1286)&amp;"    ",4,1))-64))*1)*10000+ROW(),""))</f>
        <v/>
      </c>
      <c r="N1286" s="80" t="str">
        <f t="shared" si="9"/>
        <v/>
      </c>
      <c r="O1286" s="80" t="str">
        <f t="array" ref="O1286">IF(A1286="","",IFERROR(INDEX('Deck 5'!$A:$Z,ROW()-1250,'List Setup'!$J$7)&amp;"",""))</f>
        <v/>
      </c>
      <c r="P1286" s="2"/>
      <c r="Q1286" s="80" t="str">
        <f>IF(A1286="","",'List Setup'!$A$7)</f>
        <v/>
      </c>
      <c r="R1286" s="80" t="str">
        <f t="array" ref="R1286">IF(A1286="","",IFERROR(OR(INDEX(Binders!$J$6:$J$30,MATCH(Q1286,Binders!$I$6:$I$30,0))=TRUE(),UPPER(INDEX(Binders!$J$6:$J$30,MATCH(Q1286,Binders!$I$6:$I$30,0))&amp;"")="TRUE"),FALSE()))</f>
        <v/>
      </c>
    </row>
    <row r="1287" ht="15.75" customHeight="1">
      <c r="A1287" s="80" t="str">
        <f t="array" ref="A1287">IF(INDEX('Deck 5'!$A:$Z,ROW()-1250,'List Setup'!$D$7)="","",INDEX('Deck 5'!$A:$Z,ROW()-1250,'List Setup'!$D$7))</f>
        <v/>
      </c>
      <c r="B1287" s="80" t="str">
        <f t="array" ref="B1287">IF(A1287="","",IFERROR(INDEX('Binder Setup'!$B$2:$B$401,MIN(IF(ISNUMBER(SEARCH(CHAR(10)&amp;'Binder Setup'!$B$2:$B$401&amp;CHAR(10),$H1287)),'List Setup'!$Q$2:$Q$401,999),IF(ISNUMBER(SEARCH(CHAR(10)&amp;'Set Aliases'!$A$2:$A$501&amp;CHAR(10),$H1287)),'Set Aliases'!$C$2:$C$501,999))),"(none)"))</f>
        <v/>
      </c>
      <c r="C1287" s="80" t="str">
        <f t="shared" si="1"/>
        <v/>
      </c>
      <c r="D1287" s="80" t="str">
        <f t="array" ref="D1287">IF(A1287="","",IF(ISLOGICAL(INDEX('Deck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87" s="80" t="str">
        <f t="shared" si="2"/>
        <v/>
      </c>
      <c r="F1287" s="80" t="str">
        <f t="array" ref="F1287">IF(A1287="","",IF(ISNUMBER(J1287),J1287,IF(ISNUMBER(INDEX('Deck 5'!$A:$Z,ROW()-1250,'List Setup'!$F$7)),INDEX('Deck 5'!$A:$Z,ROW()-1250,'List Setup'!$F$7),0)))</f>
        <v/>
      </c>
      <c r="G1287" s="80" t="str">
        <f t="array" ref="G1287">IF(A1287="","",A1287&amp;IF(N(INDEX('Deck 5'!$A:$Z,ROW()-1250,'List Setup'!$C$7))&gt;1," (x"&amp;INDEX('Deck 5'!$A:$Z,ROW()-1250,'List Setup'!$C$7)&amp;")","")&amp;IF(COUNTIF(Binders!$J$6:$J$30,TRUE())&gt;1," ["&amp;Q1287&amp;"]",""))</f>
        <v/>
      </c>
      <c r="H1287" s="80" t="str">
        <f t="array" ref="H1287">IF(A1287="","",CHAR(10)&amp;INDEX('Deck 5'!$A:$Z,ROW()-1250,'List Setup'!$E$7)&amp;CHAR(10))</f>
        <v/>
      </c>
      <c r="I1287" s="80" t="str">
        <f t="array" ref="I1287">IF(OR(B1287="",B1287="(none)"),"",IF(ISNUMBER(SEARCH(CHAR(10)&amp;B1287&amp;CHAR(10),H1287)),B1287,IFERROR(INDEX('Set Aliases'!$A$2:$A$501,MATCH(1,('Set Aliases'!$B$2:$B$501=B1287)*ISNUMBER(SEARCH(CHAR(10)&amp;'Set Aliases'!$A$2:$A$501&amp;CHAR(10),H1287)),0)),"")))</f>
        <v/>
      </c>
      <c r="J1287" s="80" t="str">
        <f t="array" ref="J1287">IF(I1287="","",IFERROR(VALUE(TRIM(MID(SUBSTITUTE(INDEX('Deck 5'!$A:$Z,ROW()-1250,'List Setup'!$G$7),CHAR(10),REPT(" ",100)),((SEARCH(CHAR(10)&amp;I1287&amp;CHAR(10),H1287)-LEN(SUBSTITUTE(LEFT(H1287,SEARCH(CHAR(10)&amp;I1287&amp;CHAR(10),H1287)),CHAR(10),"")))-1)*100+1,100))),""))</f>
        <v/>
      </c>
      <c r="K1287" s="80" t="str">
        <f t="array" ref="K1287">IF(A1287="","",IF(ISNUMBER(SEARCH("Land",LEFT(IFERROR(INDEX('Deck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87" s="80" t="str">
        <f t="shared" si="3"/>
        <v/>
      </c>
      <c r="M1287" s="80" t="str">
        <f>IF(A1287="","",IF(AND(E1287="Y",B1287='Use at Shop'!$B$4),K1287*10000000000+(MAX(0,MIN(26,CODE(MID(UPPER(A1287)&amp;"    ",1,1))-64))*19683+MAX(0,MIN(26,CODE(MID(UPPER(A1287)&amp;"    ",2,1))-64))*729+MAX(0,MIN(26,CODE(MID(UPPER(A1287)&amp;"    ",3,1))-64))*27+MAX(0,MIN(26,CODE(MID(UPPER(A1287)&amp;"    ",4,1))-64))*1)*10000+ROW(),""))</f>
        <v/>
      </c>
      <c r="N1287" s="80" t="str">
        <f t="shared" si="9"/>
        <v/>
      </c>
      <c r="O1287" s="80" t="str">
        <f t="array" ref="O1287">IF(A1287="","",IFERROR(INDEX('Deck 5'!$A:$Z,ROW()-1250,'List Setup'!$J$7)&amp;"",""))</f>
        <v/>
      </c>
      <c r="P1287" s="2"/>
      <c r="Q1287" s="80" t="str">
        <f>IF(A1287="","",'List Setup'!$A$7)</f>
        <v/>
      </c>
      <c r="R1287" s="80" t="str">
        <f t="array" ref="R1287">IF(A1287="","",IFERROR(OR(INDEX(Binders!$J$6:$J$30,MATCH(Q1287,Binders!$I$6:$I$30,0))=TRUE(),UPPER(INDEX(Binders!$J$6:$J$30,MATCH(Q1287,Binders!$I$6:$I$30,0))&amp;"")="TRUE"),FALSE()))</f>
        <v/>
      </c>
    </row>
    <row r="1288" ht="15.75" customHeight="1">
      <c r="A1288" s="80" t="str">
        <f t="array" ref="A1288">IF(INDEX('Deck 5'!$A:$Z,ROW()-1250,'List Setup'!$D$7)="","",INDEX('Deck 5'!$A:$Z,ROW()-1250,'List Setup'!$D$7))</f>
        <v/>
      </c>
      <c r="B1288" s="80" t="str">
        <f t="array" ref="B1288">IF(A1288="","",IFERROR(INDEX('Binder Setup'!$B$2:$B$401,MIN(IF(ISNUMBER(SEARCH(CHAR(10)&amp;'Binder Setup'!$B$2:$B$401&amp;CHAR(10),$H1288)),'List Setup'!$Q$2:$Q$401,999),IF(ISNUMBER(SEARCH(CHAR(10)&amp;'Set Aliases'!$A$2:$A$501&amp;CHAR(10),$H1288)),'Set Aliases'!$C$2:$C$501,999))),"(none)"))</f>
        <v/>
      </c>
      <c r="C1288" s="80" t="str">
        <f t="shared" si="1"/>
        <v/>
      </c>
      <c r="D1288" s="80" t="str">
        <f t="array" ref="D1288">IF(A1288="","",IF(ISLOGICAL(INDEX('Deck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88" s="80" t="str">
        <f t="shared" si="2"/>
        <v/>
      </c>
      <c r="F1288" s="80" t="str">
        <f t="array" ref="F1288">IF(A1288="","",IF(ISNUMBER(J1288),J1288,IF(ISNUMBER(INDEX('Deck 5'!$A:$Z,ROW()-1250,'List Setup'!$F$7)),INDEX('Deck 5'!$A:$Z,ROW()-1250,'List Setup'!$F$7),0)))</f>
        <v/>
      </c>
      <c r="G1288" s="80" t="str">
        <f t="array" ref="G1288">IF(A1288="","",A1288&amp;IF(N(INDEX('Deck 5'!$A:$Z,ROW()-1250,'List Setup'!$C$7))&gt;1," (x"&amp;INDEX('Deck 5'!$A:$Z,ROW()-1250,'List Setup'!$C$7)&amp;")","")&amp;IF(COUNTIF(Binders!$J$6:$J$30,TRUE())&gt;1," ["&amp;Q1288&amp;"]",""))</f>
        <v/>
      </c>
      <c r="H1288" s="80" t="str">
        <f t="array" ref="H1288">IF(A1288="","",CHAR(10)&amp;INDEX('Deck 5'!$A:$Z,ROW()-1250,'List Setup'!$E$7)&amp;CHAR(10))</f>
        <v/>
      </c>
      <c r="I1288" s="80" t="str">
        <f t="array" ref="I1288">IF(OR(B1288="",B1288="(none)"),"",IF(ISNUMBER(SEARCH(CHAR(10)&amp;B1288&amp;CHAR(10),H1288)),B1288,IFERROR(INDEX('Set Aliases'!$A$2:$A$501,MATCH(1,('Set Aliases'!$B$2:$B$501=B1288)*ISNUMBER(SEARCH(CHAR(10)&amp;'Set Aliases'!$A$2:$A$501&amp;CHAR(10),H1288)),0)),"")))</f>
        <v/>
      </c>
      <c r="J1288" s="80" t="str">
        <f t="array" ref="J1288">IF(I1288="","",IFERROR(VALUE(TRIM(MID(SUBSTITUTE(INDEX('Deck 5'!$A:$Z,ROW()-1250,'List Setup'!$G$7),CHAR(10),REPT(" ",100)),((SEARCH(CHAR(10)&amp;I1288&amp;CHAR(10),H1288)-LEN(SUBSTITUTE(LEFT(H1288,SEARCH(CHAR(10)&amp;I1288&amp;CHAR(10),H1288)),CHAR(10),"")))-1)*100+1,100))),""))</f>
        <v/>
      </c>
      <c r="K1288" s="80" t="str">
        <f t="array" ref="K1288">IF(A1288="","",IF(ISNUMBER(SEARCH("Land",LEFT(IFERROR(INDEX('Deck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88" s="80" t="str">
        <f t="shared" si="3"/>
        <v/>
      </c>
      <c r="M1288" s="80" t="str">
        <f>IF(A1288="","",IF(AND(E1288="Y",B1288='Use at Shop'!$B$4),K1288*10000000000+(MAX(0,MIN(26,CODE(MID(UPPER(A1288)&amp;"    ",1,1))-64))*19683+MAX(0,MIN(26,CODE(MID(UPPER(A1288)&amp;"    ",2,1))-64))*729+MAX(0,MIN(26,CODE(MID(UPPER(A1288)&amp;"    ",3,1))-64))*27+MAX(0,MIN(26,CODE(MID(UPPER(A1288)&amp;"    ",4,1))-64))*1)*10000+ROW(),""))</f>
        <v/>
      </c>
      <c r="N1288" s="80" t="str">
        <f t="shared" si="9"/>
        <v/>
      </c>
      <c r="O1288" s="80" t="str">
        <f t="array" ref="O1288">IF(A1288="","",IFERROR(INDEX('Deck 5'!$A:$Z,ROW()-1250,'List Setup'!$J$7)&amp;"",""))</f>
        <v/>
      </c>
      <c r="P1288" s="2"/>
      <c r="Q1288" s="80" t="str">
        <f>IF(A1288="","",'List Setup'!$A$7)</f>
        <v/>
      </c>
      <c r="R1288" s="80" t="str">
        <f t="array" ref="R1288">IF(A1288="","",IFERROR(OR(INDEX(Binders!$J$6:$J$30,MATCH(Q1288,Binders!$I$6:$I$30,0))=TRUE(),UPPER(INDEX(Binders!$J$6:$J$30,MATCH(Q1288,Binders!$I$6:$I$30,0))&amp;"")="TRUE"),FALSE()))</f>
        <v/>
      </c>
    </row>
    <row r="1289" ht="15.75" customHeight="1">
      <c r="A1289" s="80" t="str">
        <f t="array" ref="A1289">IF(INDEX('Deck 5'!$A:$Z,ROW()-1250,'List Setup'!$D$7)="","",INDEX('Deck 5'!$A:$Z,ROW()-1250,'List Setup'!$D$7))</f>
        <v/>
      </c>
      <c r="B1289" s="80" t="str">
        <f t="array" ref="B1289">IF(A1289="","",IFERROR(INDEX('Binder Setup'!$B$2:$B$401,MIN(IF(ISNUMBER(SEARCH(CHAR(10)&amp;'Binder Setup'!$B$2:$B$401&amp;CHAR(10),$H1289)),'List Setup'!$Q$2:$Q$401,999),IF(ISNUMBER(SEARCH(CHAR(10)&amp;'Set Aliases'!$A$2:$A$501&amp;CHAR(10),$H1289)),'Set Aliases'!$C$2:$C$501,999))),"(none)"))</f>
        <v/>
      </c>
      <c r="C1289" s="80" t="str">
        <f t="shared" si="1"/>
        <v/>
      </c>
      <c r="D1289" s="80" t="str">
        <f t="array" ref="D1289">IF(A1289="","",IF(ISLOGICAL(INDEX('Deck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89" s="80" t="str">
        <f t="shared" si="2"/>
        <v/>
      </c>
      <c r="F1289" s="80" t="str">
        <f t="array" ref="F1289">IF(A1289="","",IF(ISNUMBER(J1289),J1289,IF(ISNUMBER(INDEX('Deck 5'!$A:$Z,ROW()-1250,'List Setup'!$F$7)),INDEX('Deck 5'!$A:$Z,ROW()-1250,'List Setup'!$F$7),0)))</f>
        <v/>
      </c>
      <c r="G1289" s="80" t="str">
        <f t="array" ref="G1289">IF(A1289="","",A1289&amp;IF(N(INDEX('Deck 5'!$A:$Z,ROW()-1250,'List Setup'!$C$7))&gt;1," (x"&amp;INDEX('Deck 5'!$A:$Z,ROW()-1250,'List Setup'!$C$7)&amp;")","")&amp;IF(COUNTIF(Binders!$J$6:$J$30,TRUE())&gt;1," ["&amp;Q1289&amp;"]",""))</f>
        <v/>
      </c>
      <c r="H1289" s="80" t="str">
        <f t="array" ref="H1289">IF(A1289="","",CHAR(10)&amp;INDEX('Deck 5'!$A:$Z,ROW()-1250,'List Setup'!$E$7)&amp;CHAR(10))</f>
        <v/>
      </c>
      <c r="I1289" s="80" t="str">
        <f t="array" ref="I1289">IF(OR(B1289="",B1289="(none)"),"",IF(ISNUMBER(SEARCH(CHAR(10)&amp;B1289&amp;CHAR(10),H1289)),B1289,IFERROR(INDEX('Set Aliases'!$A$2:$A$501,MATCH(1,('Set Aliases'!$B$2:$B$501=B1289)*ISNUMBER(SEARCH(CHAR(10)&amp;'Set Aliases'!$A$2:$A$501&amp;CHAR(10),H1289)),0)),"")))</f>
        <v/>
      </c>
      <c r="J1289" s="80" t="str">
        <f t="array" ref="J1289">IF(I1289="","",IFERROR(VALUE(TRIM(MID(SUBSTITUTE(INDEX('Deck 5'!$A:$Z,ROW()-1250,'List Setup'!$G$7),CHAR(10),REPT(" ",100)),((SEARCH(CHAR(10)&amp;I1289&amp;CHAR(10),H1289)-LEN(SUBSTITUTE(LEFT(H1289,SEARCH(CHAR(10)&amp;I1289&amp;CHAR(10),H1289)),CHAR(10),"")))-1)*100+1,100))),""))</f>
        <v/>
      </c>
      <c r="K1289" s="80" t="str">
        <f t="array" ref="K1289">IF(A1289="","",IF(ISNUMBER(SEARCH("Land",LEFT(IFERROR(INDEX('Deck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89" s="80" t="str">
        <f t="shared" si="3"/>
        <v/>
      </c>
      <c r="M1289" s="80" t="str">
        <f>IF(A1289="","",IF(AND(E1289="Y",B1289='Use at Shop'!$B$4),K1289*10000000000+(MAX(0,MIN(26,CODE(MID(UPPER(A1289)&amp;"    ",1,1))-64))*19683+MAX(0,MIN(26,CODE(MID(UPPER(A1289)&amp;"    ",2,1))-64))*729+MAX(0,MIN(26,CODE(MID(UPPER(A1289)&amp;"    ",3,1))-64))*27+MAX(0,MIN(26,CODE(MID(UPPER(A1289)&amp;"    ",4,1))-64))*1)*10000+ROW(),""))</f>
        <v/>
      </c>
      <c r="N1289" s="80" t="str">
        <f t="shared" si="9"/>
        <v/>
      </c>
      <c r="O1289" s="80" t="str">
        <f t="array" ref="O1289">IF(A1289="","",IFERROR(INDEX('Deck 5'!$A:$Z,ROW()-1250,'List Setup'!$J$7)&amp;"",""))</f>
        <v/>
      </c>
      <c r="P1289" s="2"/>
      <c r="Q1289" s="80" t="str">
        <f>IF(A1289="","",'List Setup'!$A$7)</f>
        <v/>
      </c>
      <c r="R1289" s="80" t="str">
        <f t="array" ref="R1289">IF(A1289="","",IFERROR(OR(INDEX(Binders!$J$6:$J$30,MATCH(Q1289,Binders!$I$6:$I$30,0))=TRUE(),UPPER(INDEX(Binders!$J$6:$J$30,MATCH(Q1289,Binders!$I$6:$I$30,0))&amp;"")="TRUE"),FALSE()))</f>
        <v/>
      </c>
    </row>
    <row r="1290" ht="15.75" customHeight="1">
      <c r="A1290" s="80" t="str">
        <f t="array" ref="A1290">IF(INDEX('Deck 5'!$A:$Z,ROW()-1250,'List Setup'!$D$7)="","",INDEX('Deck 5'!$A:$Z,ROW()-1250,'List Setup'!$D$7))</f>
        <v/>
      </c>
      <c r="B1290" s="80" t="str">
        <f t="array" ref="B1290">IF(A1290="","",IFERROR(INDEX('Binder Setup'!$B$2:$B$401,MIN(IF(ISNUMBER(SEARCH(CHAR(10)&amp;'Binder Setup'!$B$2:$B$401&amp;CHAR(10),$H1290)),'List Setup'!$Q$2:$Q$401,999),IF(ISNUMBER(SEARCH(CHAR(10)&amp;'Set Aliases'!$A$2:$A$501&amp;CHAR(10),$H1290)),'Set Aliases'!$C$2:$C$501,999))),"(none)"))</f>
        <v/>
      </c>
      <c r="C1290" s="80" t="str">
        <f t="shared" si="1"/>
        <v/>
      </c>
      <c r="D1290" s="80" t="str">
        <f t="array" ref="D1290">IF(A1290="","",IF(ISLOGICAL(INDEX('Deck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90" s="80" t="str">
        <f t="shared" si="2"/>
        <v/>
      </c>
      <c r="F1290" s="80" t="str">
        <f t="array" ref="F1290">IF(A1290="","",IF(ISNUMBER(J1290),J1290,IF(ISNUMBER(INDEX('Deck 5'!$A:$Z,ROW()-1250,'List Setup'!$F$7)),INDEX('Deck 5'!$A:$Z,ROW()-1250,'List Setup'!$F$7),0)))</f>
        <v/>
      </c>
      <c r="G1290" s="80" t="str">
        <f t="array" ref="G1290">IF(A1290="","",A1290&amp;IF(N(INDEX('Deck 5'!$A:$Z,ROW()-1250,'List Setup'!$C$7))&gt;1," (x"&amp;INDEX('Deck 5'!$A:$Z,ROW()-1250,'List Setup'!$C$7)&amp;")","")&amp;IF(COUNTIF(Binders!$J$6:$J$30,TRUE())&gt;1," ["&amp;Q1290&amp;"]",""))</f>
        <v/>
      </c>
      <c r="H1290" s="80" t="str">
        <f t="array" ref="H1290">IF(A1290="","",CHAR(10)&amp;INDEX('Deck 5'!$A:$Z,ROW()-1250,'List Setup'!$E$7)&amp;CHAR(10))</f>
        <v/>
      </c>
      <c r="I1290" s="80" t="str">
        <f t="array" ref="I1290">IF(OR(B1290="",B1290="(none)"),"",IF(ISNUMBER(SEARCH(CHAR(10)&amp;B1290&amp;CHAR(10),H1290)),B1290,IFERROR(INDEX('Set Aliases'!$A$2:$A$501,MATCH(1,('Set Aliases'!$B$2:$B$501=B1290)*ISNUMBER(SEARCH(CHAR(10)&amp;'Set Aliases'!$A$2:$A$501&amp;CHAR(10),H1290)),0)),"")))</f>
        <v/>
      </c>
      <c r="J1290" s="80" t="str">
        <f t="array" ref="J1290">IF(I1290="","",IFERROR(VALUE(TRIM(MID(SUBSTITUTE(INDEX('Deck 5'!$A:$Z,ROW()-1250,'List Setup'!$G$7),CHAR(10),REPT(" ",100)),((SEARCH(CHAR(10)&amp;I1290&amp;CHAR(10),H1290)-LEN(SUBSTITUTE(LEFT(H1290,SEARCH(CHAR(10)&amp;I1290&amp;CHAR(10),H1290)),CHAR(10),"")))-1)*100+1,100))),""))</f>
        <v/>
      </c>
      <c r="K1290" s="80" t="str">
        <f t="array" ref="K1290">IF(A1290="","",IF(ISNUMBER(SEARCH("Land",LEFT(IFERROR(INDEX('Deck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90" s="80" t="str">
        <f t="shared" si="3"/>
        <v/>
      </c>
      <c r="M1290" s="80" t="str">
        <f>IF(A1290="","",IF(AND(E1290="Y",B1290='Use at Shop'!$B$4),K1290*10000000000+(MAX(0,MIN(26,CODE(MID(UPPER(A1290)&amp;"    ",1,1))-64))*19683+MAX(0,MIN(26,CODE(MID(UPPER(A1290)&amp;"    ",2,1))-64))*729+MAX(0,MIN(26,CODE(MID(UPPER(A1290)&amp;"    ",3,1))-64))*27+MAX(0,MIN(26,CODE(MID(UPPER(A1290)&amp;"    ",4,1))-64))*1)*10000+ROW(),""))</f>
        <v/>
      </c>
      <c r="N1290" s="80" t="str">
        <f t="shared" si="9"/>
        <v/>
      </c>
      <c r="O1290" s="80" t="str">
        <f t="array" ref="O1290">IF(A1290="","",IFERROR(INDEX('Deck 5'!$A:$Z,ROW()-1250,'List Setup'!$J$7)&amp;"",""))</f>
        <v/>
      </c>
      <c r="P1290" s="2"/>
      <c r="Q1290" s="80" t="str">
        <f>IF(A1290="","",'List Setup'!$A$7)</f>
        <v/>
      </c>
      <c r="R1290" s="80" t="str">
        <f t="array" ref="R1290">IF(A1290="","",IFERROR(OR(INDEX(Binders!$J$6:$J$30,MATCH(Q1290,Binders!$I$6:$I$30,0))=TRUE(),UPPER(INDEX(Binders!$J$6:$J$30,MATCH(Q1290,Binders!$I$6:$I$30,0))&amp;"")="TRUE"),FALSE()))</f>
        <v/>
      </c>
    </row>
    <row r="1291" ht="15.75" customHeight="1">
      <c r="A1291" s="80" t="str">
        <f t="array" ref="A1291">IF(INDEX('Deck 5'!$A:$Z,ROW()-1250,'List Setup'!$D$7)="","",INDEX('Deck 5'!$A:$Z,ROW()-1250,'List Setup'!$D$7))</f>
        <v/>
      </c>
      <c r="B1291" s="80" t="str">
        <f t="array" ref="B1291">IF(A1291="","",IFERROR(INDEX('Binder Setup'!$B$2:$B$401,MIN(IF(ISNUMBER(SEARCH(CHAR(10)&amp;'Binder Setup'!$B$2:$B$401&amp;CHAR(10),$H1291)),'List Setup'!$Q$2:$Q$401,999),IF(ISNUMBER(SEARCH(CHAR(10)&amp;'Set Aliases'!$A$2:$A$501&amp;CHAR(10),$H1291)),'Set Aliases'!$C$2:$C$501,999))),"(none)"))</f>
        <v/>
      </c>
      <c r="C1291" s="80" t="str">
        <f t="shared" si="1"/>
        <v/>
      </c>
      <c r="D1291" s="80" t="str">
        <f t="array" ref="D1291">IF(A1291="","",IF(ISLOGICAL(INDEX('Deck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91" s="80" t="str">
        <f t="shared" si="2"/>
        <v/>
      </c>
      <c r="F1291" s="80" t="str">
        <f t="array" ref="F1291">IF(A1291="","",IF(ISNUMBER(J1291),J1291,IF(ISNUMBER(INDEX('Deck 5'!$A:$Z,ROW()-1250,'List Setup'!$F$7)),INDEX('Deck 5'!$A:$Z,ROW()-1250,'List Setup'!$F$7),0)))</f>
        <v/>
      </c>
      <c r="G1291" s="80" t="str">
        <f t="array" ref="G1291">IF(A1291="","",A1291&amp;IF(N(INDEX('Deck 5'!$A:$Z,ROW()-1250,'List Setup'!$C$7))&gt;1," (x"&amp;INDEX('Deck 5'!$A:$Z,ROW()-1250,'List Setup'!$C$7)&amp;")","")&amp;IF(COUNTIF(Binders!$J$6:$J$30,TRUE())&gt;1," ["&amp;Q1291&amp;"]",""))</f>
        <v/>
      </c>
      <c r="H1291" s="80" t="str">
        <f t="array" ref="H1291">IF(A1291="","",CHAR(10)&amp;INDEX('Deck 5'!$A:$Z,ROW()-1250,'List Setup'!$E$7)&amp;CHAR(10))</f>
        <v/>
      </c>
      <c r="I1291" s="80" t="str">
        <f t="array" ref="I1291">IF(OR(B1291="",B1291="(none)"),"",IF(ISNUMBER(SEARCH(CHAR(10)&amp;B1291&amp;CHAR(10),H1291)),B1291,IFERROR(INDEX('Set Aliases'!$A$2:$A$501,MATCH(1,('Set Aliases'!$B$2:$B$501=B1291)*ISNUMBER(SEARCH(CHAR(10)&amp;'Set Aliases'!$A$2:$A$501&amp;CHAR(10),H1291)),0)),"")))</f>
        <v/>
      </c>
      <c r="J1291" s="80" t="str">
        <f t="array" ref="J1291">IF(I1291="","",IFERROR(VALUE(TRIM(MID(SUBSTITUTE(INDEX('Deck 5'!$A:$Z,ROW()-1250,'List Setup'!$G$7),CHAR(10),REPT(" ",100)),((SEARCH(CHAR(10)&amp;I1291&amp;CHAR(10),H1291)-LEN(SUBSTITUTE(LEFT(H1291,SEARCH(CHAR(10)&amp;I1291&amp;CHAR(10),H1291)),CHAR(10),"")))-1)*100+1,100))),""))</f>
        <v/>
      </c>
      <c r="K1291" s="80" t="str">
        <f t="array" ref="K1291">IF(A1291="","",IF(ISNUMBER(SEARCH("Land",LEFT(IFERROR(INDEX('Deck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91" s="80" t="str">
        <f t="shared" si="3"/>
        <v/>
      </c>
      <c r="M1291" s="80" t="str">
        <f>IF(A1291="","",IF(AND(E1291="Y",B1291='Use at Shop'!$B$4),K1291*10000000000+(MAX(0,MIN(26,CODE(MID(UPPER(A1291)&amp;"    ",1,1))-64))*19683+MAX(0,MIN(26,CODE(MID(UPPER(A1291)&amp;"    ",2,1))-64))*729+MAX(0,MIN(26,CODE(MID(UPPER(A1291)&amp;"    ",3,1))-64))*27+MAX(0,MIN(26,CODE(MID(UPPER(A1291)&amp;"    ",4,1))-64))*1)*10000+ROW(),""))</f>
        <v/>
      </c>
      <c r="N1291" s="80" t="str">
        <f t="shared" si="9"/>
        <v/>
      </c>
      <c r="O1291" s="80" t="str">
        <f t="array" ref="O1291">IF(A1291="","",IFERROR(INDEX('Deck 5'!$A:$Z,ROW()-1250,'List Setup'!$J$7)&amp;"",""))</f>
        <v/>
      </c>
      <c r="P1291" s="2"/>
      <c r="Q1291" s="80" t="str">
        <f>IF(A1291="","",'List Setup'!$A$7)</f>
        <v/>
      </c>
      <c r="R1291" s="80" t="str">
        <f t="array" ref="R1291">IF(A1291="","",IFERROR(OR(INDEX(Binders!$J$6:$J$30,MATCH(Q1291,Binders!$I$6:$I$30,0))=TRUE(),UPPER(INDEX(Binders!$J$6:$J$30,MATCH(Q1291,Binders!$I$6:$I$30,0))&amp;"")="TRUE"),FALSE()))</f>
        <v/>
      </c>
    </row>
    <row r="1292" ht="15.75" customHeight="1">
      <c r="A1292" s="80" t="str">
        <f t="array" ref="A1292">IF(INDEX('Deck 5'!$A:$Z,ROW()-1250,'List Setup'!$D$7)="","",INDEX('Deck 5'!$A:$Z,ROW()-1250,'List Setup'!$D$7))</f>
        <v/>
      </c>
      <c r="B1292" s="80" t="str">
        <f t="array" ref="B1292">IF(A1292="","",IFERROR(INDEX('Binder Setup'!$B$2:$B$401,MIN(IF(ISNUMBER(SEARCH(CHAR(10)&amp;'Binder Setup'!$B$2:$B$401&amp;CHAR(10),$H1292)),'List Setup'!$Q$2:$Q$401,999),IF(ISNUMBER(SEARCH(CHAR(10)&amp;'Set Aliases'!$A$2:$A$501&amp;CHAR(10),$H1292)),'Set Aliases'!$C$2:$C$501,999))),"(none)"))</f>
        <v/>
      </c>
      <c r="C1292" s="80" t="str">
        <f t="shared" si="1"/>
        <v/>
      </c>
      <c r="D1292" s="80" t="str">
        <f t="array" ref="D1292">IF(A1292="","",IF(ISLOGICAL(INDEX('Deck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92" s="80" t="str">
        <f t="shared" si="2"/>
        <v/>
      </c>
      <c r="F1292" s="80" t="str">
        <f t="array" ref="F1292">IF(A1292="","",IF(ISNUMBER(J1292),J1292,IF(ISNUMBER(INDEX('Deck 5'!$A:$Z,ROW()-1250,'List Setup'!$F$7)),INDEX('Deck 5'!$A:$Z,ROW()-1250,'List Setup'!$F$7),0)))</f>
        <v/>
      </c>
      <c r="G1292" s="80" t="str">
        <f t="array" ref="G1292">IF(A1292="","",A1292&amp;IF(N(INDEX('Deck 5'!$A:$Z,ROW()-1250,'List Setup'!$C$7))&gt;1," (x"&amp;INDEX('Deck 5'!$A:$Z,ROW()-1250,'List Setup'!$C$7)&amp;")","")&amp;IF(COUNTIF(Binders!$J$6:$J$30,TRUE())&gt;1," ["&amp;Q1292&amp;"]",""))</f>
        <v/>
      </c>
      <c r="H1292" s="80" t="str">
        <f t="array" ref="H1292">IF(A1292="","",CHAR(10)&amp;INDEX('Deck 5'!$A:$Z,ROW()-1250,'List Setup'!$E$7)&amp;CHAR(10))</f>
        <v/>
      </c>
      <c r="I1292" s="80" t="str">
        <f t="array" ref="I1292">IF(OR(B1292="",B1292="(none)"),"",IF(ISNUMBER(SEARCH(CHAR(10)&amp;B1292&amp;CHAR(10),H1292)),B1292,IFERROR(INDEX('Set Aliases'!$A$2:$A$501,MATCH(1,('Set Aliases'!$B$2:$B$501=B1292)*ISNUMBER(SEARCH(CHAR(10)&amp;'Set Aliases'!$A$2:$A$501&amp;CHAR(10),H1292)),0)),"")))</f>
        <v/>
      </c>
      <c r="J1292" s="80" t="str">
        <f t="array" ref="J1292">IF(I1292="","",IFERROR(VALUE(TRIM(MID(SUBSTITUTE(INDEX('Deck 5'!$A:$Z,ROW()-1250,'List Setup'!$G$7),CHAR(10),REPT(" ",100)),((SEARCH(CHAR(10)&amp;I1292&amp;CHAR(10),H1292)-LEN(SUBSTITUTE(LEFT(H1292,SEARCH(CHAR(10)&amp;I1292&amp;CHAR(10),H1292)),CHAR(10),"")))-1)*100+1,100))),""))</f>
        <v/>
      </c>
      <c r="K1292" s="80" t="str">
        <f t="array" ref="K1292">IF(A1292="","",IF(ISNUMBER(SEARCH("Land",LEFT(IFERROR(INDEX('Deck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92" s="80" t="str">
        <f t="shared" si="3"/>
        <v/>
      </c>
      <c r="M1292" s="80" t="str">
        <f>IF(A1292="","",IF(AND(E1292="Y",B1292='Use at Shop'!$B$4),K1292*10000000000+(MAX(0,MIN(26,CODE(MID(UPPER(A1292)&amp;"    ",1,1))-64))*19683+MAX(0,MIN(26,CODE(MID(UPPER(A1292)&amp;"    ",2,1))-64))*729+MAX(0,MIN(26,CODE(MID(UPPER(A1292)&amp;"    ",3,1))-64))*27+MAX(0,MIN(26,CODE(MID(UPPER(A1292)&amp;"    ",4,1))-64))*1)*10000+ROW(),""))</f>
        <v/>
      </c>
      <c r="N1292" s="80" t="str">
        <f t="shared" si="9"/>
        <v/>
      </c>
      <c r="O1292" s="80" t="str">
        <f t="array" ref="O1292">IF(A1292="","",IFERROR(INDEX('Deck 5'!$A:$Z,ROW()-1250,'List Setup'!$J$7)&amp;"",""))</f>
        <v/>
      </c>
      <c r="P1292" s="2"/>
      <c r="Q1292" s="80" t="str">
        <f>IF(A1292="","",'List Setup'!$A$7)</f>
        <v/>
      </c>
      <c r="R1292" s="80" t="str">
        <f t="array" ref="R1292">IF(A1292="","",IFERROR(OR(INDEX(Binders!$J$6:$J$30,MATCH(Q1292,Binders!$I$6:$I$30,0))=TRUE(),UPPER(INDEX(Binders!$J$6:$J$30,MATCH(Q1292,Binders!$I$6:$I$30,0))&amp;"")="TRUE"),FALSE()))</f>
        <v/>
      </c>
    </row>
    <row r="1293" ht="15.75" customHeight="1">
      <c r="A1293" s="80" t="str">
        <f t="array" ref="A1293">IF(INDEX('Deck 5'!$A:$Z,ROW()-1250,'List Setup'!$D$7)="","",INDEX('Deck 5'!$A:$Z,ROW()-1250,'List Setup'!$D$7))</f>
        <v/>
      </c>
      <c r="B1293" s="80" t="str">
        <f t="array" ref="B1293">IF(A1293="","",IFERROR(INDEX('Binder Setup'!$B$2:$B$401,MIN(IF(ISNUMBER(SEARCH(CHAR(10)&amp;'Binder Setup'!$B$2:$B$401&amp;CHAR(10),$H1293)),'List Setup'!$Q$2:$Q$401,999),IF(ISNUMBER(SEARCH(CHAR(10)&amp;'Set Aliases'!$A$2:$A$501&amp;CHAR(10),$H1293)),'Set Aliases'!$C$2:$C$501,999))),"(none)"))</f>
        <v/>
      </c>
      <c r="C1293" s="80" t="str">
        <f t="shared" si="1"/>
        <v/>
      </c>
      <c r="D1293" s="80" t="str">
        <f t="array" ref="D1293">IF(A1293="","",IF(ISLOGICAL(INDEX('Deck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93" s="80" t="str">
        <f t="shared" si="2"/>
        <v/>
      </c>
      <c r="F1293" s="80" t="str">
        <f t="array" ref="F1293">IF(A1293="","",IF(ISNUMBER(J1293),J1293,IF(ISNUMBER(INDEX('Deck 5'!$A:$Z,ROW()-1250,'List Setup'!$F$7)),INDEX('Deck 5'!$A:$Z,ROW()-1250,'List Setup'!$F$7),0)))</f>
        <v/>
      </c>
      <c r="G1293" s="80" t="str">
        <f t="array" ref="G1293">IF(A1293="","",A1293&amp;IF(N(INDEX('Deck 5'!$A:$Z,ROW()-1250,'List Setup'!$C$7))&gt;1," (x"&amp;INDEX('Deck 5'!$A:$Z,ROW()-1250,'List Setup'!$C$7)&amp;")","")&amp;IF(COUNTIF(Binders!$J$6:$J$30,TRUE())&gt;1," ["&amp;Q1293&amp;"]",""))</f>
        <v/>
      </c>
      <c r="H1293" s="80" t="str">
        <f t="array" ref="H1293">IF(A1293="","",CHAR(10)&amp;INDEX('Deck 5'!$A:$Z,ROW()-1250,'List Setup'!$E$7)&amp;CHAR(10))</f>
        <v/>
      </c>
      <c r="I1293" s="80" t="str">
        <f t="array" ref="I1293">IF(OR(B1293="",B1293="(none)"),"",IF(ISNUMBER(SEARCH(CHAR(10)&amp;B1293&amp;CHAR(10),H1293)),B1293,IFERROR(INDEX('Set Aliases'!$A$2:$A$501,MATCH(1,('Set Aliases'!$B$2:$B$501=B1293)*ISNUMBER(SEARCH(CHAR(10)&amp;'Set Aliases'!$A$2:$A$501&amp;CHAR(10),H1293)),0)),"")))</f>
        <v/>
      </c>
      <c r="J1293" s="80" t="str">
        <f t="array" ref="J1293">IF(I1293="","",IFERROR(VALUE(TRIM(MID(SUBSTITUTE(INDEX('Deck 5'!$A:$Z,ROW()-1250,'List Setup'!$G$7),CHAR(10),REPT(" ",100)),((SEARCH(CHAR(10)&amp;I1293&amp;CHAR(10),H1293)-LEN(SUBSTITUTE(LEFT(H1293,SEARCH(CHAR(10)&amp;I1293&amp;CHAR(10),H1293)),CHAR(10),"")))-1)*100+1,100))),""))</f>
        <v/>
      </c>
      <c r="K1293" s="80" t="str">
        <f t="array" ref="K1293">IF(A1293="","",IF(ISNUMBER(SEARCH("Land",LEFT(IFERROR(INDEX('Deck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93" s="80" t="str">
        <f t="shared" si="3"/>
        <v/>
      </c>
      <c r="M1293" s="80" t="str">
        <f>IF(A1293="","",IF(AND(E1293="Y",B1293='Use at Shop'!$B$4),K1293*10000000000+(MAX(0,MIN(26,CODE(MID(UPPER(A1293)&amp;"    ",1,1))-64))*19683+MAX(0,MIN(26,CODE(MID(UPPER(A1293)&amp;"    ",2,1))-64))*729+MAX(0,MIN(26,CODE(MID(UPPER(A1293)&amp;"    ",3,1))-64))*27+MAX(0,MIN(26,CODE(MID(UPPER(A1293)&amp;"    ",4,1))-64))*1)*10000+ROW(),""))</f>
        <v/>
      </c>
      <c r="N1293" s="80" t="str">
        <f t="shared" si="9"/>
        <v/>
      </c>
      <c r="O1293" s="80" t="str">
        <f t="array" ref="O1293">IF(A1293="","",IFERROR(INDEX('Deck 5'!$A:$Z,ROW()-1250,'List Setup'!$J$7)&amp;"",""))</f>
        <v/>
      </c>
      <c r="P1293" s="2"/>
      <c r="Q1293" s="80" t="str">
        <f>IF(A1293="","",'List Setup'!$A$7)</f>
        <v/>
      </c>
      <c r="R1293" s="80" t="str">
        <f t="array" ref="R1293">IF(A1293="","",IFERROR(OR(INDEX(Binders!$J$6:$J$30,MATCH(Q1293,Binders!$I$6:$I$30,0))=TRUE(),UPPER(INDEX(Binders!$J$6:$J$30,MATCH(Q1293,Binders!$I$6:$I$30,0))&amp;"")="TRUE"),FALSE()))</f>
        <v/>
      </c>
    </row>
    <row r="1294" ht="15.75" customHeight="1">
      <c r="A1294" s="80" t="str">
        <f t="array" ref="A1294">IF(INDEX('Deck 5'!$A:$Z,ROW()-1250,'List Setup'!$D$7)="","",INDEX('Deck 5'!$A:$Z,ROW()-1250,'List Setup'!$D$7))</f>
        <v/>
      </c>
      <c r="B1294" s="80" t="str">
        <f t="array" ref="B1294">IF(A1294="","",IFERROR(INDEX('Binder Setup'!$B$2:$B$401,MIN(IF(ISNUMBER(SEARCH(CHAR(10)&amp;'Binder Setup'!$B$2:$B$401&amp;CHAR(10),$H1294)),'List Setup'!$Q$2:$Q$401,999),IF(ISNUMBER(SEARCH(CHAR(10)&amp;'Set Aliases'!$A$2:$A$501&amp;CHAR(10),$H1294)),'Set Aliases'!$C$2:$C$501,999))),"(none)"))</f>
        <v/>
      </c>
      <c r="C1294" s="80" t="str">
        <f t="shared" si="1"/>
        <v/>
      </c>
      <c r="D1294" s="80" t="str">
        <f t="array" ref="D1294">IF(A1294="","",IF(ISLOGICAL(INDEX('Deck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94" s="80" t="str">
        <f t="shared" si="2"/>
        <v/>
      </c>
      <c r="F1294" s="80" t="str">
        <f t="array" ref="F1294">IF(A1294="","",IF(ISNUMBER(J1294),J1294,IF(ISNUMBER(INDEX('Deck 5'!$A:$Z,ROW()-1250,'List Setup'!$F$7)),INDEX('Deck 5'!$A:$Z,ROW()-1250,'List Setup'!$F$7),0)))</f>
        <v/>
      </c>
      <c r="G1294" s="80" t="str">
        <f t="array" ref="G1294">IF(A1294="","",A1294&amp;IF(N(INDEX('Deck 5'!$A:$Z,ROW()-1250,'List Setup'!$C$7))&gt;1," (x"&amp;INDEX('Deck 5'!$A:$Z,ROW()-1250,'List Setup'!$C$7)&amp;")","")&amp;IF(COUNTIF(Binders!$J$6:$J$30,TRUE())&gt;1," ["&amp;Q1294&amp;"]",""))</f>
        <v/>
      </c>
      <c r="H1294" s="80" t="str">
        <f t="array" ref="H1294">IF(A1294="","",CHAR(10)&amp;INDEX('Deck 5'!$A:$Z,ROW()-1250,'List Setup'!$E$7)&amp;CHAR(10))</f>
        <v/>
      </c>
      <c r="I1294" s="80" t="str">
        <f t="array" ref="I1294">IF(OR(B1294="",B1294="(none)"),"",IF(ISNUMBER(SEARCH(CHAR(10)&amp;B1294&amp;CHAR(10),H1294)),B1294,IFERROR(INDEX('Set Aliases'!$A$2:$A$501,MATCH(1,('Set Aliases'!$B$2:$B$501=B1294)*ISNUMBER(SEARCH(CHAR(10)&amp;'Set Aliases'!$A$2:$A$501&amp;CHAR(10),H1294)),0)),"")))</f>
        <v/>
      </c>
      <c r="J1294" s="80" t="str">
        <f t="array" ref="J1294">IF(I1294="","",IFERROR(VALUE(TRIM(MID(SUBSTITUTE(INDEX('Deck 5'!$A:$Z,ROW()-1250,'List Setup'!$G$7),CHAR(10),REPT(" ",100)),((SEARCH(CHAR(10)&amp;I1294&amp;CHAR(10),H1294)-LEN(SUBSTITUTE(LEFT(H1294,SEARCH(CHAR(10)&amp;I1294&amp;CHAR(10),H1294)),CHAR(10),"")))-1)*100+1,100))),""))</f>
        <v/>
      </c>
      <c r="K1294" s="80" t="str">
        <f t="array" ref="K1294">IF(A1294="","",IF(ISNUMBER(SEARCH("Land",LEFT(IFERROR(INDEX('Deck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94" s="80" t="str">
        <f t="shared" si="3"/>
        <v/>
      </c>
      <c r="M1294" s="80" t="str">
        <f>IF(A1294="","",IF(AND(E1294="Y",B1294='Use at Shop'!$B$4),K1294*10000000000+(MAX(0,MIN(26,CODE(MID(UPPER(A1294)&amp;"    ",1,1))-64))*19683+MAX(0,MIN(26,CODE(MID(UPPER(A1294)&amp;"    ",2,1))-64))*729+MAX(0,MIN(26,CODE(MID(UPPER(A1294)&amp;"    ",3,1))-64))*27+MAX(0,MIN(26,CODE(MID(UPPER(A1294)&amp;"    ",4,1))-64))*1)*10000+ROW(),""))</f>
        <v/>
      </c>
      <c r="N1294" s="80" t="str">
        <f t="shared" si="9"/>
        <v/>
      </c>
      <c r="O1294" s="80" t="str">
        <f t="array" ref="O1294">IF(A1294="","",IFERROR(INDEX('Deck 5'!$A:$Z,ROW()-1250,'List Setup'!$J$7)&amp;"",""))</f>
        <v/>
      </c>
      <c r="P1294" s="2"/>
      <c r="Q1294" s="80" t="str">
        <f>IF(A1294="","",'List Setup'!$A$7)</f>
        <v/>
      </c>
      <c r="R1294" s="80" t="str">
        <f t="array" ref="R1294">IF(A1294="","",IFERROR(OR(INDEX(Binders!$J$6:$J$30,MATCH(Q1294,Binders!$I$6:$I$30,0))=TRUE(),UPPER(INDEX(Binders!$J$6:$J$30,MATCH(Q1294,Binders!$I$6:$I$30,0))&amp;"")="TRUE"),FALSE()))</f>
        <v/>
      </c>
    </row>
    <row r="1295" ht="15.75" customHeight="1">
      <c r="A1295" s="80" t="str">
        <f t="array" ref="A1295">IF(INDEX('Deck 5'!$A:$Z,ROW()-1250,'List Setup'!$D$7)="","",INDEX('Deck 5'!$A:$Z,ROW()-1250,'List Setup'!$D$7))</f>
        <v/>
      </c>
      <c r="B1295" s="80" t="str">
        <f t="array" ref="B1295">IF(A1295="","",IFERROR(INDEX('Binder Setup'!$B$2:$B$401,MIN(IF(ISNUMBER(SEARCH(CHAR(10)&amp;'Binder Setup'!$B$2:$B$401&amp;CHAR(10),$H1295)),'List Setup'!$Q$2:$Q$401,999),IF(ISNUMBER(SEARCH(CHAR(10)&amp;'Set Aliases'!$A$2:$A$501&amp;CHAR(10),$H1295)),'Set Aliases'!$C$2:$C$501,999))),"(none)"))</f>
        <v/>
      </c>
      <c r="C1295" s="80" t="str">
        <f t="shared" si="1"/>
        <v/>
      </c>
      <c r="D1295" s="80" t="str">
        <f t="array" ref="D1295">IF(A1295="","",IF(ISLOGICAL(INDEX('Deck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95" s="80" t="str">
        <f t="shared" si="2"/>
        <v/>
      </c>
      <c r="F1295" s="80" t="str">
        <f t="array" ref="F1295">IF(A1295="","",IF(ISNUMBER(J1295),J1295,IF(ISNUMBER(INDEX('Deck 5'!$A:$Z,ROW()-1250,'List Setup'!$F$7)),INDEX('Deck 5'!$A:$Z,ROW()-1250,'List Setup'!$F$7),0)))</f>
        <v/>
      </c>
      <c r="G1295" s="80" t="str">
        <f t="array" ref="G1295">IF(A1295="","",A1295&amp;IF(N(INDEX('Deck 5'!$A:$Z,ROW()-1250,'List Setup'!$C$7))&gt;1," (x"&amp;INDEX('Deck 5'!$A:$Z,ROW()-1250,'List Setup'!$C$7)&amp;")","")&amp;IF(COUNTIF(Binders!$J$6:$J$30,TRUE())&gt;1," ["&amp;Q1295&amp;"]",""))</f>
        <v/>
      </c>
      <c r="H1295" s="80" t="str">
        <f t="array" ref="H1295">IF(A1295="","",CHAR(10)&amp;INDEX('Deck 5'!$A:$Z,ROW()-1250,'List Setup'!$E$7)&amp;CHAR(10))</f>
        <v/>
      </c>
      <c r="I1295" s="80" t="str">
        <f t="array" ref="I1295">IF(OR(B1295="",B1295="(none)"),"",IF(ISNUMBER(SEARCH(CHAR(10)&amp;B1295&amp;CHAR(10),H1295)),B1295,IFERROR(INDEX('Set Aliases'!$A$2:$A$501,MATCH(1,('Set Aliases'!$B$2:$B$501=B1295)*ISNUMBER(SEARCH(CHAR(10)&amp;'Set Aliases'!$A$2:$A$501&amp;CHAR(10),H1295)),0)),"")))</f>
        <v/>
      </c>
      <c r="J1295" s="80" t="str">
        <f t="array" ref="J1295">IF(I1295="","",IFERROR(VALUE(TRIM(MID(SUBSTITUTE(INDEX('Deck 5'!$A:$Z,ROW()-1250,'List Setup'!$G$7),CHAR(10),REPT(" ",100)),((SEARCH(CHAR(10)&amp;I1295&amp;CHAR(10),H1295)-LEN(SUBSTITUTE(LEFT(H1295,SEARCH(CHAR(10)&amp;I1295&amp;CHAR(10),H1295)),CHAR(10),"")))-1)*100+1,100))),""))</f>
        <v/>
      </c>
      <c r="K1295" s="80" t="str">
        <f t="array" ref="K1295">IF(A1295="","",IF(ISNUMBER(SEARCH("Land",LEFT(IFERROR(INDEX('Deck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95" s="80" t="str">
        <f t="shared" si="3"/>
        <v/>
      </c>
      <c r="M1295" s="80" t="str">
        <f>IF(A1295="","",IF(AND(E1295="Y",B1295='Use at Shop'!$B$4),K1295*10000000000+(MAX(0,MIN(26,CODE(MID(UPPER(A1295)&amp;"    ",1,1))-64))*19683+MAX(0,MIN(26,CODE(MID(UPPER(A1295)&amp;"    ",2,1))-64))*729+MAX(0,MIN(26,CODE(MID(UPPER(A1295)&amp;"    ",3,1))-64))*27+MAX(0,MIN(26,CODE(MID(UPPER(A1295)&amp;"    ",4,1))-64))*1)*10000+ROW(),""))</f>
        <v/>
      </c>
      <c r="N1295" s="80" t="str">
        <f t="shared" si="9"/>
        <v/>
      </c>
      <c r="O1295" s="80" t="str">
        <f t="array" ref="O1295">IF(A1295="","",IFERROR(INDEX('Deck 5'!$A:$Z,ROW()-1250,'List Setup'!$J$7)&amp;"",""))</f>
        <v/>
      </c>
      <c r="P1295" s="2"/>
      <c r="Q1295" s="80" t="str">
        <f>IF(A1295="","",'List Setup'!$A$7)</f>
        <v/>
      </c>
      <c r="R1295" s="80" t="str">
        <f t="array" ref="R1295">IF(A1295="","",IFERROR(OR(INDEX(Binders!$J$6:$J$30,MATCH(Q1295,Binders!$I$6:$I$30,0))=TRUE(),UPPER(INDEX(Binders!$J$6:$J$30,MATCH(Q1295,Binders!$I$6:$I$30,0))&amp;"")="TRUE"),FALSE()))</f>
        <v/>
      </c>
    </row>
    <row r="1296" ht="15.75" customHeight="1">
      <c r="A1296" s="80" t="str">
        <f t="array" ref="A1296">IF(INDEX('Deck 5'!$A:$Z,ROW()-1250,'List Setup'!$D$7)="","",INDEX('Deck 5'!$A:$Z,ROW()-1250,'List Setup'!$D$7))</f>
        <v/>
      </c>
      <c r="B1296" s="80" t="str">
        <f t="array" ref="B1296">IF(A1296="","",IFERROR(INDEX('Binder Setup'!$B$2:$B$401,MIN(IF(ISNUMBER(SEARCH(CHAR(10)&amp;'Binder Setup'!$B$2:$B$401&amp;CHAR(10),$H1296)),'List Setup'!$Q$2:$Q$401,999),IF(ISNUMBER(SEARCH(CHAR(10)&amp;'Set Aliases'!$A$2:$A$501&amp;CHAR(10),$H1296)),'Set Aliases'!$C$2:$C$501,999))),"(none)"))</f>
        <v/>
      </c>
      <c r="C1296" s="80" t="str">
        <f t="shared" si="1"/>
        <v/>
      </c>
      <c r="D1296" s="80" t="str">
        <f t="array" ref="D1296">IF(A1296="","",IF(ISLOGICAL(INDEX('Deck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96" s="80" t="str">
        <f t="shared" si="2"/>
        <v/>
      </c>
      <c r="F1296" s="80" t="str">
        <f t="array" ref="F1296">IF(A1296="","",IF(ISNUMBER(J1296),J1296,IF(ISNUMBER(INDEX('Deck 5'!$A:$Z,ROW()-1250,'List Setup'!$F$7)),INDEX('Deck 5'!$A:$Z,ROW()-1250,'List Setup'!$F$7),0)))</f>
        <v/>
      </c>
      <c r="G1296" s="80" t="str">
        <f t="array" ref="G1296">IF(A1296="","",A1296&amp;IF(N(INDEX('Deck 5'!$A:$Z,ROW()-1250,'List Setup'!$C$7))&gt;1," (x"&amp;INDEX('Deck 5'!$A:$Z,ROW()-1250,'List Setup'!$C$7)&amp;")","")&amp;IF(COUNTIF(Binders!$J$6:$J$30,TRUE())&gt;1," ["&amp;Q1296&amp;"]",""))</f>
        <v/>
      </c>
      <c r="H1296" s="80" t="str">
        <f t="array" ref="H1296">IF(A1296="","",CHAR(10)&amp;INDEX('Deck 5'!$A:$Z,ROW()-1250,'List Setup'!$E$7)&amp;CHAR(10))</f>
        <v/>
      </c>
      <c r="I1296" s="80" t="str">
        <f t="array" ref="I1296">IF(OR(B1296="",B1296="(none)"),"",IF(ISNUMBER(SEARCH(CHAR(10)&amp;B1296&amp;CHAR(10),H1296)),B1296,IFERROR(INDEX('Set Aliases'!$A$2:$A$501,MATCH(1,('Set Aliases'!$B$2:$B$501=B1296)*ISNUMBER(SEARCH(CHAR(10)&amp;'Set Aliases'!$A$2:$A$501&amp;CHAR(10),H1296)),0)),"")))</f>
        <v/>
      </c>
      <c r="J1296" s="80" t="str">
        <f t="array" ref="J1296">IF(I1296="","",IFERROR(VALUE(TRIM(MID(SUBSTITUTE(INDEX('Deck 5'!$A:$Z,ROW()-1250,'List Setup'!$G$7),CHAR(10),REPT(" ",100)),((SEARCH(CHAR(10)&amp;I1296&amp;CHAR(10),H1296)-LEN(SUBSTITUTE(LEFT(H1296,SEARCH(CHAR(10)&amp;I1296&amp;CHAR(10),H1296)),CHAR(10),"")))-1)*100+1,100))),""))</f>
        <v/>
      </c>
      <c r="K1296" s="80" t="str">
        <f t="array" ref="K1296">IF(A1296="","",IF(ISNUMBER(SEARCH("Land",LEFT(IFERROR(INDEX('Deck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96" s="80" t="str">
        <f t="shared" si="3"/>
        <v/>
      </c>
      <c r="M1296" s="80" t="str">
        <f>IF(A1296="","",IF(AND(E1296="Y",B1296='Use at Shop'!$B$4),K1296*10000000000+(MAX(0,MIN(26,CODE(MID(UPPER(A1296)&amp;"    ",1,1))-64))*19683+MAX(0,MIN(26,CODE(MID(UPPER(A1296)&amp;"    ",2,1))-64))*729+MAX(0,MIN(26,CODE(MID(UPPER(A1296)&amp;"    ",3,1))-64))*27+MAX(0,MIN(26,CODE(MID(UPPER(A1296)&amp;"    ",4,1))-64))*1)*10000+ROW(),""))</f>
        <v/>
      </c>
      <c r="N1296" s="80" t="str">
        <f t="shared" si="9"/>
        <v/>
      </c>
      <c r="O1296" s="80" t="str">
        <f t="array" ref="O1296">IF(A1296="","",IFERROR(INDEX('Deck 5'!$A:$Z,ROW()-1250,'List Setup'!$J$7)&amp;"",""))</f>
        <v/>
      </c>
      <c r="P1296" s="2"/>
      <c r="Q1296" s="80" t="str">
        <f>IF(A1296="","",'List Setup'!$A$7)</f>
        <v/>
      </c>
      <c r="R1296" s="80" t="str">
        <f t="array" ref="R1296">IF(A1296="","",IFERROR(OR(INDEX(Binders!$J$6:$J$30,MATCH(Q1296,Binders!$I$6:$I$30,0))=TRUE(),UPPER(INDEX(Binders!$J$6:$J$30,MATCH(Q1296,Binders!$I$6:$I$30,0))&amp;"")="TRUE"),FALSE()))</f>
        <v/>
      </c>
    </row>
    <row r="1297" ht="15.75" customHeight="1">
      <c r="A1297" s="80" t="str">
        <f t="array" ref="A1297">IF(INDEX('Deck 5'!$A:$Z,ROW()-1250,'List Setup'!$D$7)="","",INDEX('Deck 5'!$A:$Z,ROW()-1250,'List Setup'!$D$7))</f>
        <v/>
      </c>
      <c r="B1297" s="80" t="str">
        <f t="array" ref="B1297">IF(A1297="","",IFERROR(INDEX('Binder Setup'!$B$2:$B$401,MIN(IF(ISNUMBER(SEARCH(CHAR(10)&amp;'Binder Setup'!$B$2:$B$401&amp;CHAR(10),$H1297)),'List Setup'!$Q$2:$Q$401,999),IF(ISNUMBER(SEARCH(CHAR(10)&amp;'Set Aliases'!$A$2:$A$501&amp;CHAR(10),$H1297)),'Set Aliases'!$C$2:$C$501,999))),"(none)"))</f>
        <v/>
      </c>
      <c r="C1297" s="80" t="str">
        <f t="shared" si="1"/>
        <v/>
      </c>
      <c r="D1297" s="80" t="str">
        <f t="array" ref="D1297">IF(A1297="","",IF(ISLOGICAL(INDEX('Deck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97" s="80" t="str">
        <f t="shared" si="2"/>
        <v/>
      </c>
      <c r="F1297" s="80" t="str">
        <f t="array" ref="F1297">IF(A1297="","",IF(ISNUMBER(J1297),J1297,IF(ISNUMBER(INDEX('Deck 5'!$A:$Z,ROW()-1250,'List Setup'!$F$7)),INDEX('Deck 5'!$A:$Z,ROW()-1250,'List Setup'!$F$7),0)))</f>
        <v/>
      </c>
      <c r="G1297" s="80" t="str">
        <f t="array" ref="G1297">IF(A1297="","",A1297&amp;IF(N(INDEX('Deck 5'!$A:$Z,ROW()-1250,'List Setup'!$C$7))&gt;1," (x"&amp;INDEX('Deck 5'!$A:$Z,ROW()-1250,'List Setup'!$C$7)&amp;")","")&amp;IF(COUNTIF(Binders!$J$6:$J$30,TRUE())&gt;1," ["&amp;Q1297&amp;"]",""))</f>
        <v/>
      </c>
      <c r="H1297" s="80" t="str">
        <f t="array" ref="H1297">IF(A1297="","",CHAR(10)&amp;INDEX('Deck 5'!$A:$Z,ROW()-1250,'List Setup'!$E$7)&amp;CHAR(10))</f>
        <v/>
      </c>
      <c r="I1297" s="80" t="str">
        <f t="array" ref="I1297">IF(OR(B1297="",B1297="(none)"),"",IF(ISNUMBER(SEARCH(CHAR(10)&amp;B1297&amp;CHAR(10),H1297)),B1297,IFERROR(INDEX('Set Aliases'!$A$2:$A$501,MATCH(1,('Set Aliases'!$B$2:$B$501=B1297)*ISNUMBER(SEARCH(CHAR(10)&amp;'Set Aliases'!$A$2:$A$501&amp;CHAR(10),H1297)),0)),"")))</f>
        <v/>
      </c>
      <c r="J1297" s="80" t="str">
        <f t="array" ref="J1297">IF(I1297="","",IFERROR(VALUE(TRIM(MID(SUBSTITUTE(INDEX('Deck 5'!$A:$Z,ROW()-1250,'List Setup'!$G$7),CHAR(10),REPT(" ",100)),((SEARCH(CHAR(10)&amp;I1297&amp;CHAR(10),H1297)-LEN(SUBSTITUTE(LEFT(H1297,SEARCH(CHAR(10)&amp;I1297&amp;CHAR(10),H1297)),CHAR(10),"")))-1)*100+1,100))),""))</f>
        <v/>
      </c>
      <c r="K1297" s="80" t="str">
        <f t="array" ref="K1297">IF(A1297="","",IF(ISNUMBER(SEARCH("Land",LEFT(IFERROR(INDEX('Deck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97" s="80" t="str">
        <f t="shared" si="3"/>
        <v/>
      </c>
      <c r="M1297" s="80" t="str">
        <f>IF(A1297="","",IF(AND(E1297="Y",B1297='Use at Shop'!$B$4),K1297*10000000000+(MAX(0,MIN(26,CODE(MID(UPPER(A1297)&amp;"    ",1,1))-64))*19683+MAX(0,MIN(26,CODE(MID(UPPER(A1297)&amp;"    ",2,1))-64))*729+MAX(0,MIN(26,CODE(MID(UPPER(A1297)&amp;"    ",3,1))-64))*27+MAX(0,MIN(26,CODE(MID(UPPER(A1297)&amp;"    ",4,1))-64))*1)*10000+ROW(),""))</f>
        <v/>
      </c>
      <c r="N1297" s="80" t="str">
        <f t="shared" si="9"/>
        <v/>
      </c>
      <c r="O1297" s="80" t="str">
        <f t="array" ref="O1297">IF(A1297="","",IFERROR(INDEX('Deck 5'!$A:$Z,ROW()-1250,'List Setup'!$J$7)&amp;"",""))</f>
        <v/>
      </c>
      <c r="P1297" s="2"/>
      <c r="Q1297" s="80" t="str">
        <f>IF(A1297="","",'List Setup'!$A$7)</f>
        <v/>
      </c>
      <c r="R1297" s="80" t="str">
        <f t="array" ref="R1297">IF(A1297="","",IFERROR(OR(INDEX(Binders!$J$6:$J$30,MATCH(Q1297,Binders!$I$6:$I$30,0))=TRUE(),UPPER(INDEX(Binders!$J$6:$J$30,MATCH(Q1297,Binders!$I$6:$I$30,0))&amp;"")="TRUE"),FALSE()))</f>
        <v/>
      </c>
    </row>
    <row r="1298" ht="15.75" customHeight="1">
      <c r="A1298" s="80" t="str">
        <f t="array" ref="A1298">IF(INDEX('Deck 5'!$A:$Z,ROW()-1250,'List Setup'!$D$7)="","",INDEX('Deck 5'!$A:$Z,ROW()-1250,'List Setup'!$D$7))</f>
        <v/>
      </c>
      <c r="B1298" s="80" t="str">
        <f t="array" ref="B1298">IF(A1298="","",IFERROR(INDEX('Binder Setup'!$B$2:$B$401,MIN(IF(ISNUMBER(SEARCH(CHAR(10)&amp;'Binder Setup'!$B$2:$B$401&amp;CHAR(10),$H1298)),'List Setup'!$Q$2:$Q$401,999),IF(ISNUMBER(SEARCH(CHAR(10)&amp;'Set Aliases'!$A$2:$A$501&amp;CHAR(10),$H1298)),'Set Aliases'!$C$2:$C$501,999))),"(none)"))</f>
        <v/>
      </c>
      <c r="C1298" s="80" t="str">
        <f t="shared" si="1"/>
        <v/>
      </c>
      <c r="D1298" s="80" t="str">
        <f t="array" ref="D1298">IF(A1298="","",IF(ISLOGICAL(INDEX('Deck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98" s="80" t="str">
        <f t="shared" si="2"/>
        <v/>
      </c>
      <c r="F1298" s="80" t="str">
        <f t="array" ref="F1298">IF(A1298="","",IF(ISNUMBER(J1298),J1298,IF(ISNUMBER(INDEX('Deck 5'!$A:$Z,ROW()-1250,'List Setup'!$F$7)),INDEX('Deck 5'!$A:$Z,ROW()-1250,'List Setup'!$F$7),0)))</f>
        <v/>
      </c>
      <c r="G1298" s="80" t="str">
        <f t="array" ref="G1298">IF(A1298="","",A1298&amp;IF(N(INDEX('Deck 5'!$A:$Z,ROW()-1250,'List Setup'!$C$7))&gt;1," (x"&amp;INDEX('Deck 5'!$A:$Z,ROW()-1250,'List Setup'!$C$7)&amp;")","")&amp;IF(COUNTIF(Binders!$J$6:$J$30,TRUE())&gt;1," ["&amp;Q1298&amp;"]",""))</f>
        <v/>
      </c>
      <c r="H1298" s="80" t="str">
        <f t="array" ref="H1298">IF(A1298="","",CHAR(10)&amp;INDEX('Deck 5'!$A:$Z,ROW()-1250,'List Setup'!$E$7)&amp;CHAR(10))</f>
        <v/>
      </c>
      <c r="I1298" s="80" t="str">
        <f t="array" ref="I1298">IF(OR(B1298="",B1298="(none)"),"",IF(ISNUMBER(SEARCH(CHAR(10)&amp;B1298&amp;CHAR(10),H1298)),B1298,IFERROR(INDEX('Set Aliases'!$A$2:$A$501,MATCH(1,('Set Aliases'!$B$2:$B$501=B1298)*ISNUMBER(SEARCH(CHAR(10)&amp;'Set Aliases'!$A$2:$A$501&amp;CHAR(10),H1298)),0)),"")))</f>
        <v/>
      </c>
      <c r="J1298" s="80" t="str">
        <f t="array" ref="J1298">IF(I1298="","",IFERROR(VALUE(TRIM(MID(SUBSTITUTE(INDEX('Deck 5'!$A:$Z,ROW()-1250,'List Setup'!$G$7),CHAR(10),REPT(" ",100)),((SEARCH(CHAR(10)&amp;I1298&amp;CHAR(10),H1298)-LEN(SUBSTITUTE(LEFT(H1298,SEARCH(CHAR(10)&amp;I1298&amp;CHAR(10),H1298)),CHAR(10),"")))-1)*100+1,100))),""))</f>
        <v/>
      </c>
      <c r="K1298" s="80" t="str">
        <f t="array" ref="K1298">IF(A1298="","",IF(ISNUMBER(SEARCH("Land",LEFT(IFERROR(INDEX('Deck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98" s="80" t="str">
        <f t="shared" si="3"/>
        <v/>
      </c>
      <c r="M1298" s="80" t="str">
        <f>IF(A1298="","",IF(AND(E1298="Y",B1298='Use at Shop'!$B$4),K1298*10000000000+(MAX(0,MIN(26,CODE(MID(UPPER(A1298)&amp;"    ",1,1))-64))*19683+MAX(0,MIN(26,CODE(MID(UPPER(A1298)&amp;"    ",2,1))-64))*729+MAX(0,MIN(26,CODE(MID(UPPER(A1298)&amp;"    ",3,1))-64))*27+MAX(0,MIN(26,CODE(MID(UPPER(A1298)&amp;"    ",4,1))-64))*1)*10000+ROW(),""))</f>
        <v/>
      </c>
      <c r="N1298" s="80" t="str">
        <f t="shared" si="9"/>
        <v/>
      </c>
      <c r="O1298" s="80" t="str">
        <f t="array" ref="O1298">IF(A1298="","",IFERROR(INDEX('Deck 5'!$A:$Z,ROW()-1250,'List Setup'!$J$7)&amp;"",""))</f>
        <v/>
      </c>
      <c r="P1298" s="2"/>
      <c r="Q1298" s="80" t="str">
        <f>IF(A1298="","",'List Setup'!$A$7)</f>
        <v/>
      </c>
      <c r="R1298" s="80" t="str">
        <f t="array" ref="R1298">IF(A1298="","",IFERROR(OR(INDEX(Binders!$J$6:$J$30,MATCH(Q1298,Binders!$I$6:$I$30,0))=TRUE(),UPPER(INDEX(Binders!$J$6:$J$30,MATCH(Q1298,Binders!$I$6:$I$30,0))&amp;"")="TRUE"),FALSE()))</f>
        <v/>
      </c>
    </row>
    <row r="1299" ht="15.75" customHeight="1">
      <c r="A1299" s="80" t="str">
        <f t="array" ref="A1299">IF(INDEX('Deck 5'!$A:$Z,ROW()-1250,'List Setup'!$D$7)="","",INDEX('Deck 5'!$A:$Z,ROW()-1250,'List Setup'!$D$7))</f>
        <v/>
      </c>
      <c r="B1299" s="80" t="str">
        <f t="array" ref="B1299">IF(A1299="","",IFERROR(INDEX('Binder Setup'!$B$2:$B$401,MIN(IF(ISNUMBER(SEARCH(CHAR(10)&amp;'Binder Setup'!$B$2:$B$401&amp;CHAR(10),$H1299)),'List Setup'!$Q$2:$Q$401,999),IF(ISNUMBER(SEARCH(CHAR(10)&amp;'Set Aliases'!$A$2:$A$501&amp;CHAR(10),$H1299)),'Set Aliases'!$C$2:$C$501,999))),"(none)"))</f>
        <v/>
      </c>
      <c r="C1299" s="80" t="str">
        <f t="shared" si="1"/>
        <v/>
      </c>
      <c r="D1299" s="80" t="str">
        <f t="array" ref="D1299">IF(A1299="","",IF(ISLOGICAL(INDEX('Deck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299" s="80" t="str">
        <f t="shared" si="2"/>
        <v/>
      </c>
      <c r="F1299" s="80" t="str">
        <f t="array" ref="F1299">IF(A1299="","",IF(ISNUMBER(J1299),J1299,IF(ISNUMBER(INDEX('Deck 5'!$A:$Z,ROW()-1250,'List Setup'!$F$7)),INDEX('Deck 5'!$A:$Z,ROW()-1250,'List Setup'!$F$7),0)))</f>
        <v/>
      </c>
      <c r="G1299" s="80" t="str">
        <f t="array" ref="G1299">IF(A1299="","",A1299&amp;IF(N(INDEX('Deck 5'!$A:$Z,ROW()-1250,'List Setup'!$C$7))&gt;1," (x"&amp;INDEX('Deck 5'!$A:$Z,ROW()-1250,'List Setup'!$C$7)&amp;")","")&amp;IF(COUNTIF(Binders!$J$6:$J$30,TRUE())&gt;1," ["&amp;Q1299&amp;"]",""))</f>
        <v/>
      </c>
      <c r="H1299" s="80" t="str">
        <f t="array" ref="H1299">IF(A1299="","",CHAR(10)&amp;INDEX('Deck 5'!$A:$Z,ROW()-1250,'List Setup'!$E$7)&amp;CHAR(10))</f>
        <v/>
      </c>
      <c r="I1299" s="80" t="str">
        <f t="array" ref="I1299">IF(OR(B1299="",B1299="(none)"),"",IF(ISNUMBER(SEARCH(CHAR(10)&amp;B1299&amp;CHAR(10),H1299)),B1299,IFERROR(INDEX('Set Aliases'!$A$2:$A$501,MATCH(1,('Set Aliases'!$B$2:$B$501=B1299)*ISNUMBER(SEARCH(CHAR(10)&amp;'Set Aliases'!$A$2:$A$501&amp;CHAR(10),H1299)),0)),"")))</f>
        <v/>
      </c>
      <c r="J1299" s="80" t="str">
        <f t="array" ref="J1299">IF(I1299="","",IFERROR(VALUE(TRIM(MID(SUBSTITUTE(INDEX('Deck 5'!$A:$Z,ROW()-1250,'List Setup'!$G$7),CHAR(10),REPT(" ",100)),((SEARCH(CHAR(10)&amp;I1299&amp;CHAR(10),H1299)-LEN(SUBSTITUTE(LEFT(H1299,SEARCH(CHAR(10)&amp;I1299&amp;CHAR(10),H1299)),CHAR(10),"")))-1)*100+1,100))),""))</f>
        <v/>
      </c>
      <c r="K1299" s="80" t="str">
        <f t="array" ref="K1299">IF(A1299="","",IF(ISNUMBER(SEARCH("Land",LEFT(IFERROR(INDEX('Deck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299" s="80" t="str">
        <f t="shared" si="3"/>
        <v/>
      </c>
      <c r="M1299" s="80" t="str">
        <f>IF(A1299="","",IF(AND(E1299="Y",B1299='Use at Shop'!$B$4),K1299*10000000000+(MAX(0,MIN(26,CODE(MID(UPPER(A1299)&amp;"    ",1,1))-64))*19683+MAX(0,MIN(26,CODE(MID(UPPER(A1299)&amp;"    ",2,1))-64))*729+MAX(0,MIN(26,CODE(MID(UPPER(A1299)&amp;"    ",3,1))-64))*27+MAX(0,MIN(26,CODE(MID(UPPER(A1299)&amp;"    ",4,1))-64))*1)*10000+ROW(),""))</f>
        <v/>
      </c>
      <c r="N1299" s="80" t="str">
        <f t="shared" si="9"/>
        <v/>
      </c>
      <c r="O1299" s="80" t="str">
        <f t="array" ref="O1299">IF(A1299="","",IFERROR(INDEX('Deck 5'!$A:$Z,ROW()-1250,'List Setup'!$J$7)&amp;"",""))</f>
        <v/>
      </c>
      <c r="P1299" s="2"/>
      <c r="Q1299" s="80" t="str">
        <f>IF(A1299="","",'List Setup'!$A$7)</f>
        <v/>
      </c>
      <c r="R1299" s="80" t="str">
        <f t="array" ref="R1299">IF(A1299="","",IFERROR(OR(INDEX(Binders!$J$6:$J$30,MATCH(Q1299,Binders!$I$6:$I$30,0))=TRUE(),UPPER(INDEX(Binders!$J$6:$J$30,MATCH(Q1299,Binders!$I$6:$I$30,0))&amp;"")="TRUE"),FALSE()))</f>
        <v/>
      </c>
    </row>
    <row r="1300" ht="15.75" customHeight="1">
      <c r="A1300" s="80" t="str">
        <f t="array" ref="A1300">IF(INDEX('Deck 5'!$A:$Z,ROW()-1250,'List Setup'!$D$7)="","",INDEX('Deck 5'!$A:$Z,ROW()-1250,'List Setup'!$D$7))</f>
        <v/>
      </c>
      <c r="B1300" s="80" t="str">
        <f t="array" ref="B1300">IF(A1300="","",IFERROR(INDEX('Binder Setup'!$B$2:$B$401,MIN(IF(ISNUMBER(SEARCH(CHAR(10)&amp;'Binder Setup'!$B$2:$B$401&amp;CHAR(10),$H1300)),'List Setup'!$Q$2:$Q$401,999),IF(ISNUMBER(SEARCH(CHAR(10)&amp;'Set Aliases'!$A$2:$A$501&amp;CHAR(10),$H1300)),'Set Aliases'!$C$2:$C$501,999))),"(none)"))</f>
        <v/>
      </c>
      <c r="C1300" s="80" t="str">
        <f t="shared" si="1"/>
        <v/>
      </c>
      <c r="D1300" s="80" t="str">
        <f t="array" ref="D1300">IF(A1300="","",IF(ISLOGICAL(INDEX('Deck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00" s="80" t="str">
        <f t="shared" si="2"/>
        <v/>
      </c>
      <c r="F1300" s="80" t="str">
        <f t="array" ref="F1300">IF(A1300="","",IF(ISNUMBER(J1300),J1300,IF(ISNUMBER(INDEX('Deck 5'!$A:$Z,ROW()-1250,'List Setup'!$F$7)),INDEX('Deck 5'!$A:$Z,ROW()-1250,'List Setup'!$F$7),0)))</f>
        <v/>
      </c>
      <c r="G1300" s="80" t="str">
        <f t="array" ref="G1300">IF(A1300="","",A1300&amp;IF(N(INDEX('Deck 5'!$A:$Z,ROW()-1250,'List Setup'!$C$7))&gt;1," (x"&amp;INDEX('Deck 5'!$A:$Z,ROW()-1250,'List Setup'!$C$7)&amp;")","")&amp;IF(COUNTIF(Binders!$J$6:$J$30,TRUE())&gt;1," ["&amp;Q1300&amp;"]",""))</f>
        <v/>
      </c>
      <c r="H1300" s="80" t="str">
        <f t="array" ref="H1300">IF(A1300="","",CHAR(10)&amp;INDEX('Deck 5'!$A:$Z,ROW()-1250,'List Setup'!$E$7)&amp;CHAR(10))</f>
        <v/>
      </c>
      <c r="I1300" s="80" t="str">
        <f t="array" ref="I1300">IF(OR(B1300="",B1300="(none)"),"",IF(ISNUMBER(SEARCH(CHAR(10)&amp;B1300&amp;CHAR(10),H1300)),B1300,IFERROR(INDEX('Set Aliases'!$A$2:$A$501,MATCH(1,('Set Aliases'!$B$2:$B$501=B1300)*ISNUMBER(SEARCH(CHAR(10)&amp;'Set Aliases'!$A$2:$A$501&amp;CHAR(10),H1300)),0)),"")))</f>
        <v/>
      </c>
      <c r="J1300" s="80" t="str">
        <f t="array" ref="J1300">IF(I1300="","",IFERROR(VALUE(TRIM(MID(SUBSTITUTE(INDEX('Deck 5'!$A:$Z,ROW()-1250,'List Setup'!$G$7),CHAR(10),REPT(" ",100)),((SEARCH(CHAR(10)&amp;I1300&amp;CHAR(10),H1300)-LEN(SUBSTITUTE(LEFT(H1300,SEARCH(CHAR(10)&amp;I1300&amp;CHAR(10),H1300)),CHAR(10),"")))-1)*100+1,100))),""))</f>
        <v/>
      </c>
      <c r="K1300" s="80" t="str">
        <f t="array" ref="K1300">IF(A1300="","",IF(ISNUMBER(SEARCH("Land",LEFT(IFERROR(INDEX('Deck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00" s="80" t="str">
        <f t="shared" si="3"/>
        <v/>
      </c>
      <c r="M1300" s="80" t="str">
        <f>IF(A1300="","",IF(AND(E1300="Y",B1300='Use at Shop'!$B$4),K1300*10000000000+(MAX(0,MIN(26,CODE(MID(UPPER(A1300)&amp;"    ",1,1))-64))*19683+MAX(0,MIN(26,CODE(MID(UPPER(A1300)&amp;"    ",2,1))-64))*729+MAX(0,MIN(26,CODE(MID(UPPER(A1300)&amp;"    ",3,1))-64))*27+MAX(0,MIN(26,CODE(MID(UPPER(A1300)&amp;"    ",4,1))-64))*1)*10000+ROW(),""))</f>
        <v/>
      </c>
      <c r="N1300" s="80" t="str">
        <f t="shared" si="9"/>
        <v/>
      </c>
      <c r="O1300" s="80" t="str">
        <f t="array" ref="O1300">IF(A1300="","",IFERROR(INDEX('Deck 5'!$A:$Z,ROW()-1250,'List Setup'!$J$7)&amp;"",""))</f>
        <v/>
      </c>
      <c r="P1300" s="2"/>
      <c r="Q1300" s="80" t="str">
        <f>IF(A1300="","",'List Setup'!$A$7)</f>
        <v/>
      </c>
      <c r="R1300" s="80" t="str">
        <f t="array" ref="R1300">IF(A1300="","",IFERROR(OR(INDEX(Binders!$J$6:$J$30,MATCH(Q1300,Binders!$I$6:$I$30,0))=TRUE(),UPPER(INDEX(Binders!$J$6:$J$30,MATCH(Q1300,Binders!$I$6:$I$30,0))&amp;"")="TRUE"),FALSE()))</f>
        <v/>
      </c>
    </row>
    <row r="1301" ht="15.75" customHeight="1">
      <c r="A1301" s="80" t="str">
        <f t="array" ref="A1301">IF(INDEX('Deck 5'!$A:$Z,ROW()-1250,'List Setup'!$D$7)="","",INDEX('Deck 5'!$A:$Z,ROW()-1250,'List Setup'!$D$7))</f>
        <v/>
      </c>
      <c r="B1301" s="80" t="str">
        <f t="array" ref="B1301">IF(A1301="","",IFERROR(INDEX('Binder Setup'!$B$2:$B$401,MIN(IF(ISNUMBER(SEARCH(CHAR(10)&amp;'Binder Setup'!$B$2:$B$401&amp;CHAR(10),$H1301)),'List Setup'!$Q$2:$Q$401,999),IF(ISNUMBER(SEARCH(CHAR(10)&amp;'Set Aliases'!$A$2:$A$501&amp;CHAR(10),$H1301)),'Set Aliases'!$C$2:$C$501,999))),"(none)"))</f>
        <v/>
      </c>
      <c r="C1301" s="80" t="str">
        <f t="shared" si="1"/>
        <v/>
      </c>
      <c r="D1301" s="80" t="str">
        <f t="array" ref="D1301">IF(A1301="","",IF(ISLOGICAL(INDEX('Deck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01" s="80" t="str">
        <f t="shared" si="2"/>
        <v/>
      </c>
      <c r="F1301" s="80" t="str">
        <f t="array" ref="F1301">IF(A1301="","",IF(ISNUMBER(J1301),J1301,IF(ISNUMBER(INDEX('Deck 5'!$A:$Z,ROW()-1250,'List Setup'!$F$7)),INDEX('Deck 5'!$A:$Z,ROW()-1250,'List Setup'!$F$7),0)))</f>
        <v/>
      </c>
      <c r="G1301" s="80" t="str">
        <f t="array" ref="G1301">IF(A1301="","",A1301&amp;IF(N(INDEX('Deck 5'!$A:$Z,ROW()-1250,'List Setup'!$C$7))&gt;1," (x"&amp;INDEX('Deck 5'!$A:$Z,ROW()-1250,'List Setup'!$C$7)&amp;")","")&amp;IF(COUNTIF(Binders!$J$6:$J$30,TRUE())&gt;1," ["&amp;Q1301&amp;"]",""))</f>
        <v/>
      </c>
      <c r="H1301" s="80" t="str">
        <f t="array" ref="H1301">IF(A1301="","",CHAR(10)&amp;INDEX('Deck 5'!$A:$Z,ROW()-1250,'List Setup'!$E$7)&amp;CHAR(10))</f>
        <v/>
      </c>
      <c r="I1301" s="80" t="str">
        <f t="array" ref="I1301">IF(OR(B1301="",B1301="(none)"),"",IF(ISNUMBER(SEARCH(CHAR(10)&amp;B1301&amp;CHAR(10),H1301)),B1301,IFERROR(INDEX('Set Aliases'!$A$2:$A$501,MATCH(1,('Set Aliases'!$B$2:$B$501=B1301)*ISNUMBER(SEARCH(CHAR(10)&amp;'Set Aliases'!$A$2:$A$501&amp;CHAR(10),H1301)),0)),"")))</f>
        <v/>
      </c>
      <c r="J1301" s="80" t="str">
        <f t="array" ref="J1301">IF(I1301="","",IFERROR(VALUE(TRIM(MID(SUBSTITUTE(INDEX('Deck 5'!$A:$Z,ROW()-1250,'List Setup'!$G$7),CHAR(10),REPT(" ",100)),((SEARCH(CHAR(10)&amp;I1301&amp;CHAR(10),H1301)-LEN(SUBSTITUTE(LEFT(H1301,SEARCH(CHAR(10)&amp;I1301&amp;CHAR(10),H1301)),CHAR(10),"")))-1)*100+1,100))),""))</f>
        <v/>
      </c>
      <c r="K1301" s="80" t="str">
        <f t="array" ref="K1301">IF(A1301="","",IF(ISNUMBER(SEARCH("Land",LEFT(IFERROR(INDEX('Deck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01" s="80" t="str">
        <f t="shared" si="3"/>
        <v/>
      </c>
      <c r="M1301" s="80" t="str">
        <f>IF(A1301="","",IF(AND(E1301="Y",B1301='Use at Shop'!$B$4),K1301*10000000000+(MAX(0,MIN(26,CODE(MID(UPPER(A1301)&amp;"    ",1,1))-64))*19683+MAX(0,MIN(26,CODE(MID(UPPER(A1301)&amp;"    ",2,1))-64))*729+MAX(0,MIN(26,CODE(MID(UPPER(A1301)&amp;"    ",3,1))-64))*27+MAX(0,MIN(26,CODE(MID(UPPER(A1301)&amp;"    ",4,1))-64))*1)*10000+ROW(),""))</f>
        <v/>
      </c>
      <c r="N1301" s="80" t="str">
        <f t="shared" si="9"/>
        <v/>
      </c>
      <c r="O1301" s="80" t="str">
        <f t="array" ref="O1301">IF(A1301="","",IFERROR(INDEX('Deck 5'!$A:$Z,ROW()-1250,'List Setup'!$J$7)&amp;"",""))</f>
        <v/>
      </c>
      <c r="P1301" s="2"/>
      <c r="Q1301" s="80" t="str">
        <f>IF(A1301="","",'List Setup'!$A$7)</f>
        <v/>
      </c>
      <c r="R1301" s="80" t="str">
        <f t="array" ref="R1301">IF(A1301="","",IFERROR(OR(INDEX(Binders!$J$6:$J$30,MATCH(Q1301,Binders!$I$6:$I$30,0))=TRUE(),UPPER(INDEX(Binders!$J$6:$J$30,MATCH(Q1301,Binders!$I$6:$I$30,0))&amp;"")="TRUE"),FALSE()))</f>
        <v/>
      </c>
    </row>
    <row r="1302" ht="15.75" customHeight="1">
      <c r="A1302" s="80" t="str">
        <f t="array" ref="A1302">IF(INDEX('Deck 5'!$A:$Z,ROW()-1250,'List Setup'!$D$7)="","",INDEX('Deck 5'!$A:$Z,ROW()-1250,'List Setup'!$D$7))</f>
        <v/>
      </c>
      <c r="B1302" s="80" t="str">
        <f t="array" ref="B1302">IF(A1302="","",IFERROR(INDEX('Binder Setup'!$B$2:$B$401,MIN(IF(ISNUMBER(SEARCH(CHAR(10)&amp;'Binder Setup'!$B$2:$B$401&amp;CHAR(10),$H1302)),'List Setup'!$Q$2:$Q$401,999),IF(ISNUMBER(SEARCH(CHAR(10)&amp;'Set Aliases'!$A$2:$A$501&amp;CHAR(10),$H1302)),'Set Aliases'!$C$2:$C$501,999))),"(none)"))</f>
        <v/>
      </c>
      <c r="C1302" s="80" t="str">
        <f t="shared" si="1"/>
        <v/>
      </c>
      <c r="D1302" s="80" t="str">
        <f t="array" ref="D1302">IF(A1302="","",IF(ISLOGICAL(INDEX('Deck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02" s="80" t="str">
        <f t="shared" si="2"/>
        <v/>
      </c>
      <c r="F1302" s="80" t="str">
        <f t="array" ref="F1302">IF(A1302="","",IF(ISNUMBER(J1302),J1302,IF(ISNUMBER(INDEX('Deck 5'!$A:$Z,ROW()-1250,'List Setup'!$F$7)),INDEX('Deck 5'!$A:$Z,ROW()-1250,'List Setup'!$F$7),0)))</f>
        <v/>
      </c>
      <c r="G1302" s="80" t="str">
        <f t="array" ref="G1302">IF(A1302="","",A1302&amp;IF(N(INDEX('Deck 5'!$A:$Z,ROW()-1250,'List Setup'!$C$7))&gt;1," (x"&amp;INDEX('Deck 5'!$A:$Z,ROW()-1250,'List Setup'!$C$7)&amp;")","")&amp;IF(COUNTIF(Binders!$J$6:$J$30,TRUE())&gt;1," ["&amp;Q1302&amp;"]",""))</f>
        <v/>
      </c>
      <c r="H1302" s="80" t="str">
        <f t="array" ref="H1302">IF(A1302="","",CHAR(10)&amp;INDEX('Deck 5'!$A:$Z,ROW()-1250,'List Setup'!$E$7)&amp;CHAR(10))</f>
        <v/>
      </c>
      <c r="I1302" s="80" t="str">
        <f t="array" ref="I1302">IF(OR(B1302="",B1302="(none)"),"",IF(ISNUMBER(SEARCH(CHAR(10)&amp;B1302&amp;CHAR(10),H1302)),B1302,IFERROR(INDEX('Set Aliases'!$A$2:$A$501,MATCH(1,('Set Aliases'!$B$2:$B$501=B1302)*ISNUMBER(SEARCH(CHAR(10)&amp;'Set Aliases'!$A$2:$A$501&amp;CHAR(10),H1302)),0)),"")))</f>
        <v/>
      </c>
      <c r="J1302" s="80" t="str">
        <f t="array" ref="J1302">IF(I1302="","",IFERROR(VALUE(TRIM(MID(SUBSTITUTE(INDEX('Deck 5'!$A:$Z,ROW()-1250,'List Setup'!$G$7),CHAR(10),REPT(" ",100)),((SEARCH(CHAR(10)&amp;I1302&amp;CHAR(10),H1302)-LEN(SUBSTITUTE(LEFT(H1302,SEARCH(CHAR(10)&amp;I1302&amp;CHAR(10),H1302)),CHAR(10),"")))-1)*100+1,100))),""))</f>
        <v/>
      </c>
      <c r="K1302" s="80" t="str">
        <f t="array" ref="K1302">IF(A1302="","",IF(ISNUMBER(SEARCH("Land",LEFT(IFERROR(INDEX('Deck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02" s="80" t="str">
        <f t="shared" si="3"/>
        <v/>
      </c>
      <c r="M1302" s="80" t="str">
        <f>IF(A1302="","",IF(AND(E1302="Y",B1302='Use at Shop'!$B$4),K1302*10000000000+(MAX(0,MIN(26,CODE(MID(UPPER(A1302)&amp;"    ",1,1))-64))*19683+MAX(0,MIN(26,CODE(MID(UPPER(A1302)&amp;"    ",2,1))-64))*729+MAX(0,MIN(26,CODE(MID(UPPER(A1302)&amp;"    ",3,1))-64))*27+MAX(0,MIN(26,CODE(MID(UPPER(A1302)&amp;"    ",4,1))-64))*1)*10000+ROW(),""))</f>
        <v/>
      </c>
      <c r="N1302" s="80" t="str">
        <f t="shared" si="9"/>
        <v/>
      </c>
      <c r="O1302" s="80" t="str">
        <f t="array" ref="O1302">IF(A1302="","",IFERROR(INDEX('Deck 5'!$A:$Z,ROW()-1250,'List Setup'!$J$7)&amp;"",""))</f>
        <v/>
      </c>
      <c r="P1302" s="2"/>
      <c r="Q1302" s="80" t="str">
        <f>IF(A1302="","",'List Setup'!$A$7)</f>
        <v/>
      </c>
      <c r="R1302" s="80" t="str">
        <f t="array" ref="R1302">IF(A1302="","",IFERROR(OR(INDEX(Binders!$J$6:$J$30,MATCH(Q1302,Binders!$I$6:$I$30,0))=TRUE(),UPPER(INDEX(Binders!$J$6:$J$30,MATCH(Q1302,Binders!$I$6:$I$30,0))&amp;"")="TRUE"),FALSE()))</f>
        <v/>
      </c>
    </row>
    <row r="1303" ht="15.75" customHeight="1">
      <c r="A1303" s="80" t="str">
        <f t="array" ref="A1303">IF(INDEX('Deck 5'!$A:$Z,ROW()-1250,'List Setup'!$D$7)="","",INDEX('Deck 5'!$A:$Z,ROW()-1250,'List Setup'!$D$7))</f>
        <v/>
      </c>
      <c r="B1303" s="80" t="str">
        <f t="array" ref="B1303">IF(A1303="","",IFERROR(INDEX('Binder Setup'!$B$2:$B$401,MIN(IF(ISNUMBER(SEARCH(CHAR(10)&amp;'Binder Setup'!$B$2:$B$401&amp;CHAR(10),$H1303)),'List Setup'!$Q$2:$Q$401,999),IF(ISNUMBER(SEARCH(CHAR(10)&amp;'Set Aliases'!$A$2:$A$501&amp;CHAR(10),$H1303)),'Set Aliases'!$C$2:$C$501,999))),"(none)"))</f>
        <v/>
      </c>
      <c r="C1303" s="80" t="str">
        <f t="shared" si="1"/>
        <v/>
      </c>
      <c r="D1303" s="80" t="str">
        <f t="array" ref="D1303">IF(A1303="","",IF(ISLOGICAL(INDEX('Deck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03" s="80" t="str">
        <f t="shared" si="2"/>
        <v/>
      </c>
      <c r="F1303" s="80" t="str">
        <f t="array" ref="F1303">IF(A1303="","",IF(ISNUMBER(J1303),J1303,IF(ISNUMBER(INDEX('Deck 5'!$A:$Z,ROW()-1250,'List Setup'!$F$7)),INDEX('Deck 5'!$A:$Z,ROW()-1250,'List Setup'!$F$7),0)))</f>
        <v/>
      </c>
      <c r="G1303" s="80" t="str">
        <f t="array" ref="G1303">IF(A1303="","",A1303&amp;IF(N(INDEX('Deck 5'!$A:$Z,ROW()-1250,'List Setup'!$C$7))&gt;1," (x"&amp;INDEX('Deck 5'!$A:$Z,ROW()-1250,'List Setup'!$C$7)&amp;")","")&amp;IF(COUNTIF(Binders!$J$6:$J$30,TRUE())&gt;1," ["&amp;Q1303&amp;"]",""))</f>
        <v/>
      </c>
      <c r="H1303" s="80" t="str">
        <f t="array" ref="H1303">IF(A1303="","",CHAR(10)&amp;INDEX('Deck 5'!$A:$Z,ROW()-1250,'List Setup'!$E$7)&amp;CHAR(10))</f>
        <v/>
      </c>
      <c r="I1303" s="80" t="str">
        <f t="array" ref="I1303">IF(OR(B1303="",B1303="(none)"),"",IF(ISNUMBER(SEARCH(CHAR(10)&amp;B1303&amp;CHAR(10),H1303)),B1303,IFERROR(INDEX('Set Aliases'!$A$2:$A$501,MATCH(1,('Set Aliases'!$B$2:$B$501=B1303)*ISNUMBER(SEARCH(CHAR(10)&amp;'Set Aliases'!$A$2:$A$501&amp;CHAR(10),H1303)),0)),"")))</f>
        <v/>
      </c>
      <c r="J1303" s="80" t="str">
        <f t="array" ref="J1303">IF(I1303="","",IFERROR(VALUE(TRIM(MID(SUBSTITUTE(INDEX('Deck 5'!$A:$Z,ROW()-1250,'List Setup'!$G$7),CHAR(10),REPT(" ",100)),((SEARCH(CHAR(10)&amp;I1303&amp;CHAR(10),H1303)-LEN(SUBSTITUTE(LEFT(H1303,SEARCH(CHAR(10)&amp;I1303&amp;CHAR(10),H1303)),CHAR(10),"")))-1)*100+1,100))),""))</f>
        <v/>
      </c>
      <c r="K1303" s="80" t="str">
        <f t="array" ref="K1303">IF(A1303="","",IF(ISNUMBER(SEARCH("Land",LEFT(IFERROR(INDEX('Deck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03" s="80" t="str">
        <f t="shared" si="3"/>
        <v/>
      </c>
      <c r="M1303" s="80" t="str">
        <f>IF(A1303="","",IF(AND(E1303="Y",B1303='Use at Shop'!$B$4),K1303*10000000000+(MAX(0,MIN(26,CODE(MID(UPPER(A1303)&amp;"    ",1,1))-64))*19683+MAX(0,MIN(26,CODE(MID(UPPER(A1303)&amp;"    ",2,1))-64))*729+MAX(0,MIN(26,CODE(MID(UPPER(A1303)&amp;"    ",3,1))-64))*27+MAX(0,MIN(26,CODE(MID(UPPER(A1303)&amp;"    ",4,1))-64))*1)*10000+ROW(),""))</f>
        <v/>
      </c>
      <c r="N1303" s="80" t="str">
        <f t="shared" si="9"/>
        <v/>
      </c>
      <c r="O1303" s="80" t="str">
        <f t="array" ref="O1303">IF(A1303="","",IFERROR(INDEX('Deck 5'!$A:$Z,ROW()-1250,'List Setup'!$J$7)&amp;"",""))</f>
        <v/>
      </c>
      <c r="P1303" s="2"/>
      <c r="Q1303" s="80" t="str">
        <f>IF(A1303="","",'List Setup'!$A$7)</f>
        <v/>
      </c>
      <c r="R1303" s="80" t="str">
        <f t="array" ref="R1303">IF(A1303="","",IFERROR(OR(INDEX(Binders!$J$6:$J$30,MATCH(Q1303,Binders!$I$6:$I$30,0))=TRUE(),UPPER(INDEX(Binders!$J$6:$J$30,MATCH(Q1303,Binders!$I$6:$I$30,0))&amp;"")="TRUE"),FALSE()))</f>
        <v/>
      </c>
    </row>
    <row r="1304" ht="15.75" customHeight="1">
      <c r="A1304" s="80" t="str">
        <f t="array" ref="A1304">IF(INDEX('Deck 5'!$A:$Z,ROW()-1250,'List Setup'!$D$7)="","",INDEX('Deck 5'!$A:$Z,ROW()-1250,'List Setup'!$D$7))</f>
        <v/>
      </c>
      <c r="B1304" s="80" t="str">
        <f t="array" ref="B1304">IF(A1304="","",IFERROR(INDEX('Binder Setup'!$B$2:$B$401,MIN(IF(ISNUMBER(SEARCH(CHAR(10)&amp;'Binder Setup'!$B$2:$B$401&amp;CHAR(10),$H1304)),'List Setup'!$Q$2:$Q$401,999),IF(ISNUMBER(SEARCH(CHAR(10)&amp;'Set Aliases'!$A$2:$A$501&amp;CHAR(10),$H1304)),'Set Aliases'!$C$2:$C$501,999))),"(none)"))</f>
        <v/>
      </c>
      <c r="C1304" s="80" t="str">
        <f t="shared" si="1"/>
        <v/>
      </c>
      <c r="D1304" s="80" t="str">
        <f t="array" ref="D1304">IF(A1304="","",IF(ISLOGICAL(INDEX('Deck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04" s="80" t="str">
        <f t="shared" si="2"/>
        <v/>
      </c>
      <c r="F1304" s="80" t="str">
        <f t="array" ref="F1304">IF(A1304="","",IF(ISNUMBER(J1304),J1304,IF(ISNUMBER(INDEX('Deck 5'!$A:$Z,ROW()-1250,'List Setup'!$F$7)),INDEX('Deck 5'!$A:$Z,ROW()-1250,'List Setup'!$F$7),0)))</f>
        <v/>
      </c>
      <c r="G1304" s="80" t="str">
        <f t="array" ref="G1304">IF(A1304="","",A1304&amp;IF(N(INDEX('Deck 5'!$A:$Z,ROW()-1250,'List Setup'!$C$7))&gt;1," (x"&amp;INDEX('Deck 5'!$A:$Z,ROW()-1250,'List Setup'!$C$7)&amp;")","")&amp;IF(COUNTIF(Binders!$J$6:$J$30,TRUE())&gt;1," ["&amp;Q1304&amp;"]",""))</f>
        <v/>
      </c>
      <c r="H1304" s="80" t="str">
        <f t="array" ref="H1304">IF(A1304="","",CHAR(10)&amp;INDEX('Deck 5'!$A:$Z,ROW()-1250,'List Setup'!$E$7)&amp;CHAR(10))</f>
        <v/>
      </c>
      <c r="I1304" s="80" t="str">
        <f t="array" ref="I1304">IF(OR(B1304="",B1304="(none)"),"",IF(ISNUMBER(SEARCH(CHAR(10)&amp;B1304&amp;CHAR(10),H1304)),B1304,IFERROR(INDEX('Set Aliases'!$A$2:$A$501,MATCH(1,('Set Aliases'!$B$2:$B$501=B1304)*ISNUMBER(SEARCH(CHAR(10)&amp;'Set Aliases'!$A$2:$A$501&amp;CHAR(10),H1304)),0)),"")))</f>
        <v/>
      </c>
      <c r="J1304" s="80" t="str">
        <f t="array" ref="J1304">IF(I1304="","",IFERROR(VALUE(TRIM(MID(SUBSTITUTE(INDEX('Deck 5'!$A:$Z,ROW()-1250,'List Setup'!$G$7),CHAR(10),REPT(" ",100)),((SEARCH(CHAR(10)&amp;I1304&amp;CHAR(10),H1304)-LEN(SUBSTITUTE(LEFT(H1304,SEARCH(CHAR(10)&amp;I1304&amp;CHAR(10),H1304)),CHAR(10),"")))-1)*100+1,100))),""))</f>
        <v/>
      </c>
      <c r="K1304" s="80" t="str">
        <f t="array" ref="K1304">IF(A1304="","",IF(ISNUMBER(SEARCH("Land",LEFT(IFERROR(INDEX('Deck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04" s="80" t="str">
        <f t="shared" si="3"/>
        <v/>
      </c>
      <c r="M1304" s="80" t="str">
        <f>IF(A1304="","",IF(AND(E1304="Y",B1304='Use at Shop'!$B$4),K1304*10000000000+(MAX(0,MIN(26,CODE(MID(UPPER(A1304)&amp;"    ",1,1))-64))*19683+MAX(0,MIN(26,CODE(MID(UPPER(A1304)&amp;"    ",2,1))-64))*729+MAX(0,MIN(26,CODE(MID(UPPER(A1304)&amp;"    ",3,1))-64))*27+MAX(0,MIN(26,CODE(MID(UPPER(A1304)&amp;"    ",4,1))-64))*1)*10000+ROW(),""))</f>
        <v/>
      </c>
      <c r="N1304" s="80" t="str">
        <f t="shared" si="9"/>
        <v/>
      </c>
      <c r="O1304" s="80" t="str">
        <f t="array" ref="O1304">IF(A1304="","",IFERROR(INDEX('Deck 5'!$A:$Z,ROW()-1250,'List Setup'!$J$7)&amp;"",""))</f>
        <v/>
      </c>
      <c r="P1304" s="2"/>
      <c r="Q1304" s="80" t="str">
        <f>IF(A1304="","",'List Setup'!$A$7)</f>
        <v/>
      </c>
      <c r="R1304" s="80" t="str">
        <f t="array" ref="R1304">IF(A1304="","",IFERROR(OR(INDEX(Binders!$J$6:$J$30,MATCH(Q1304,Binders!$I$6:$I$30,0))=TRUE(),UPPER(INDEX(Binders!$J$6:$J$30,MATCH(Q1304,Binders!$I$6:$I$30,0))&amp;"")="TRUE"),FALSE()))</f>
        <v/>
      </c>
    </row>
    <row r="1305" ht="15.75" customHeight="1">
      <c r="A1305" s="80" t="str">
        <f t="array" ref="A1305">IF(INDEX('Deck 5'!$A:$Z,ROW()-1250,'List Setup'!$D$7)="","",INDEX('Deck 5'!$A:$Z,ROW()-1250,'List Setup'!$D$7))</f>
        <v/>
      </c>
      <c r="B1305" s="80" t="str">
        <f t="array" ref="B1305">IF(A1305="","",IFERROR(INDEX('Binder Setup'!$B$2:$B$401,MIN(IF(ISNUMBER(SEARCH(CHAR(10)&amp;'Binder Setup'!$B$2:$B$401&amp;CHAR(10),$H1305)),'List Setup'!$Q$2:$Q$401,999),IF(ISNUMBER(SEARCH(CHAR(10)&amp;'Set Aliases'!$A$2:$A$501&amp;CHAR(10),$H1305)),'Set Aliases'!$C$2:$C$501,999))),"(none)"))</f>
        <v/>
      </c>
      <c r="C1305" s="80" t="str">
        <f t="shared" si="1"/>
        <v/>
      </c>
      <c r="D1305" s="80" t="str">
        <f t="array" ref="D1305">IF(A1305="","",IF(ISLOGICAL(INDEX('Deck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05" s="80" t="str">
        <f t="shared" si="2"/>
        <v/>
      </c>
      <c r="F1305" s="80" t="str">
        <f t="array" ref="F1305">IF(A1305="","",IF(ISNUMBER(J1305),J1305,IF(ISNUMBER(INDEX('Deck 5'!$A:$Z,ROW()-1250,'List Setup'!$F$7)),INDEX('Deck 5'!$A:$Z,ROW()-1250,'List Setup'!$F$7),0)))</f>
        <v/>
      </c>
      <c r="G1305" s="80" t="str">
        <f t="array" ref="G1305">IF(A1305="","",A1305&amp;IF(N(INDEX('Deck 5'!$A:$Z,ROW()-1250,'List Setup'!$C$7))&gt;1," (x"&amp;INDEX('Deck 5'!$A:$Z,ROW()-1250,'List Setup'!$C$7)&amp;")","")&amp;IF(COUNTIF(Binders!$J$6:$J$30,TRUE())&gt;1," ["&amp;Q1305&amp;"]",""))</f>
        <v/>
      </c>
      <c r="H1305" s="80" t="str">
        <f t="array" ref="H1305">IF(A1305="","",CHAR(10)&amp;INDEX('Deck 5'!$A:$Z,ROW()-1250,'List Setup'!$E$7)&amp;CHAR(10))</f>
        <v/>
      </c>
      <c r="I1305" s="80" t="str">
        <f t="array" ref="I1305">IF(OR(B1305="",B1305="(none)"),"",IF(ISNUMBER(SEARCH(CHAR(10)&amp;B1305&amp;CHAR(10),H1305)),B1305,IFERROR(INDEX('Set Aliases'!$A$2:$A$501,MATCH(1,('Set Aliases'!$B$2:$B$501=B1305)*ISNUMBER(SEARCH(CHAR(10)&amp;'Set Aliases'!$A$2:$A$501&amp;CHAR(10),H1305)),0)),"")))</f>
        <v/>
      </c>
      <c r="J1305" s="80" t="str">
        <f t="array" ref="J1305">IF(I1305="","",IFERROR(VALUE(TRIM(MID(SUBSTITUTE(INDEX('Deck 5'!$A:$Z,ROW()-1250,'List Setup'!$G$7),CHAR(10),REPT(" ",100)),((SEARCH(CHAR(10)&amp;I1305&amp;CHAR(10),H1305)-LEN(SUBSTITUTE(LEFT(H1305,SEARCH(CHAR(10)&amp;I1305&amp;CHAR(10),H1305)),CHAR(10),"")))-1)*100+1,100))),""))</f>
        <v/>
      </c>
      <c r="K1305" s="80" t="str">
        <f t="array" ref="K1305">IF(A1305="","",IF(ISNUMBER(SEARCH("Land",LEFT(IFERROR(INDEX('Deck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05" s="80" t="str">
        <f t="shared" si="3"/>
        <v/>
      </c>
      <c r="M1305" s="80" t="str">
        <f>IF(A1305="","",IF(AND(E1305="Y",B1305='Use at Shop'!$B$4),K1305*10000000000+(MAX(0,MIN(26,CODE(MID(UPPER(A1305)&amp;"    ",1,1))-64))*19683+MAX(0,MIN(26,CODE(MID(UPPER(A1305)&amp;"    ",2,1))-64))*729+MAX(0,MIN(26,CODE(MID(UPPER(A1305)&amp;"    ",3,1))-64))*27+MAX(0,MIN(26,CODE(MID(UPPER(A1305)&amp;"    ",4,1))-64))*1)*10000+ROW(),""))</f>
        <v/>
      </c>
      <c r="N1305" s="80" t="str">
        <f t="shared" si="9"/>
        <v/>
      </c>
      <c r="O1305" s="80" t="str">
        <f t="array" ref="O1305">IF(A1305="","",IFERROR(INDEX('Deck 5'!$A:$Z,ROW()-1250,'List Setup'!$J$7)&amp;"",""))</f>
        <v/>
      </c>
      <c r="P1305" s="2"/>
      <c r="Q1305" s="80" t="str">
        <f>IF(A1305="","",'List Setup'!$A$7)</f>
        <v/>
      </c>
      <c r="R1305" s="80" t="str">
        <f t="array" ref="R1305">IF(A1305="","",IFERROR(OR(INDEX(Binders!$J$6:$J$30,MATCH(Q1305,Binders!$I$6:$I$30,0))=TRUE(),UPPER(INDEX(Binders!$J$6:$J$30,MATCH(Q1305,Binders!$I$6:$I$30,0))&amp;"")="TRUE"),FALSE()))</f>
        <v/>
      </c>
    </row>
    <row r="1306" ht="15.75" customHeight="1">
      <c r="A1306" s="80" t="str">
        <f t="array" ref="A1306">IF(INDEX('Deck 5'!$A:$Z,ROW()-1250,'List Setup'!$D$7)="","",INDEX('Deck 5'!$A:$Z,ROW()-1250,'List Setup'!$D$7))</f>
        <v/>
      </c>
      <c r="B1306" s="80" t="str">
        <f t="array" ref="B1306">IF(A1306="","",IFERROR(INDEX('Binder Setup'!$B$2:$B$401,MIN(IF(ISNUMBER(SEARCH(CHAR(10)&amp;'Binder Setup'!$B$2:$B$401&amp;CHAR(10),$H1306)),'List Setup'!$Q$2:$Q$401,999),IF(ISNUMBER(SEARCH(CHAR(10)&amp;'Set Aliases'!$A$2:$A$501&amp;CHAR(10),$H1306)),'Set Aliases'!$C$2:$C$501,999))),"(none)"))</f>
        <v/>
      </c>
      <c r="C1306" s="80" t="str">
        <f t="shared" si="1"/>
        <v/>
      </c>
      <c r="D1306" s="80" t="str">
        <f t="array" ref="D1306">IF(A1306="","",IF(ISLOGICAL(INDEX('Deck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06" s="80" t="str">
        <f t="shared" si="2"/>
        <v/>
      </c>
      <c r="F1306" s="80" t="str">
        <f t="array" ref="F1306">IF(A1306="","",IF(ISNUMBER(J1306),J1306,IF(ISNUMBER(INDEX('Deck 5'!$A:$Z,ROW()-1250,'List Setup'!$F$7)),INDEX('Deck 5'!$A:$Z,ROW()-1250,'List Setup'!$F$7),0)))</f>
        <v/>
      </c>
      <c r="G1306" s="80" t="str">
        <f t="array" ref="G1306">IF(A1306="","",A1306&amp;IF(N(INDEX('Deck 5'!$A:$Z,ROW()-1250,'List Setup'!$C$7))&gt;1," (x"&amp;INDEX('Deck 5'!$A:$Z,ROW()-1250,'List Setup'!$C$7)&amp;")","")&amp;IF(COUNTIF(Binders!$J$6:$J$30,TRUE())&gt;1," ["&amp;Q1306&amp;"]",""))</f>
        <v/>
      </c>
      <c r="H1306" s="80" t="str">
        <f t="array" ref="H1306">IF(A1306="","",CHAR(10)&amp;INDEX('Deck 5'!$A:$Z,ROW()-1250,'List Setup'!$E$7)&amp;CHAR(10))</f>
        <v/>
      </c>
      <c r="I1306" s="80" t="str">
        <f t="array" ref="I1306">IF(OR(B1306="",B1306="(none)"),"",IF(ISNUMBER(SEARCH(CHAR(10)&amp;B1306&amp;CHAR(10),H1306)),B1306,IFERROR(INDEX('Set Aliases'!$A$2:$A$501,MATCH(1,('Set Aliases'!$B$2:$B$501=B1306)*ISNUMBER(SEARCH(CHAR(10)&amp;'Set Aliases'!$A$2:$A$501&amp;CHAR(10),H1306)),0)),"")))</f>
        <v/>
      </c>
      <c r="J1306" s="80" t="str">
        <f t="array" ref="J1306">IF(I1306="","",IFERROR(VALUE(TRIM(MID(SUBSTITUTE(INDEX('Deck 5'!$A:$Z,ROW()-1250,'List Setup'!$G$7),CHAR(10),REPT(" ",100)),((SEARCH(CHAR(10)&amp;I1306&amp;CHAR(10),H1306)-LEN(SUBSTITUTE(LEFT(H1306,SEARCH(CHAR(10)&amp;I1306&amp;CHAR(10),H1306)),CHAR(10),"")))-1)*100+1,100))),""))</f>
        <v/>
      </c>
      <c r="K1306" s="80" t="str">
        <f t="array" ref="K1306">IF(A1306="","",IF(ISNUMBER(SEARCH("Land",LEFT(IFERROR(INDEX('Deck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06" s="80" t="str">
        <f t="shared" si="3"/>
        <v/>
      </c>
      <c r="M1306" s="80" t="str">
        <f>IF(A1306="","",IF(AND(E1306="Y",B1306='Use at Shop'!$B$4),K1306*10000000000+(MAX(0,MIN(26,CODE(MID(UPPER(A1306)&amp;"    ",1,1))-64))*19683+MAX(0,MIN(26,CODE(MID(UPPER(A1306)&amp;"    ",2,1))-64))*729+MAX(0,MIN(26,CODE(MID(UPPER(A1306)&amp;"    ",3,1))-64))*27+MAX(0,MIN(26,CODE(MID(UPPER(A1306)&amp;"    ",4,1))-64))*1)*10000+ROW(),""))</f>
        <v/>
      </c>
      <c r="N1306" s="80" t="str">
        <f t="shared" si="9"/>
        <v/>
      </c>
      <c r="O1306" s="80" t="str">
        <f t="array" ref="O1306">IF(A1306="","",IFERROR(INDEX('Deck 5'!$A:$Z,ROW()-1250,'List Setup'!$J$7)&amp;"",""))</f>
        <v/>
      </c>
      <c r="P1306" s="2"/>
      <c r="Q1306" s="80" t="str">
        <f>IF(A1306="","",'List Setup'!$A$7)</f>
        <v/>
      </c>
      <c r="R1306" s="80" t="str">
        <f t="array" ref="R1306">IF(A1306="","",IFERROR(OR(INDEX(Binders!$J$6:$J$30,MATCH(Q1306,Binders!$I$6:$I$30,0))=TRUE(),UPPER(INDEX(Binders!$J$6:$J$30,MATCH(Q1306,Binders!$I$6:$I$30,0))&amp;"")="TRUE"),FALSE()))</f>
        <v/>
      </c>
    </row>
    <row r="1307" ht="15.75" customHeight="1">
      <c r="A1307" s="80" t="str">
        <f t="array" ref="A1307">IF(INDEX('Deck 5'!$A:$Z,ROW()-1250,'List Setup'!$D$7)="","",INDEX('Deck 5'!$A:$Z,ROW()-1250,'List Setup'!$D$7))</f>
        <v/>
      </c>
      <c r="B1307" s="80" t="str">
        <f t="array" ref="B1307">IF(A1307="","",IFERROR(INDEX('Binder Setup'!$B$2:$B$401,MIN(IF(ISNUMBER(SEARCH(CHAR(10)&amp;'Binder Setup'!$B$2:$B$401&amp;CHAR(10),$H1307)),'List Setup'!$Q$2:$Q$401,999),IF(ISNUMBER(SEARCH(CHAR(10)&amp;'Set Aliases'!$A$2:$A$501&amp;CHAR(10),$H1307)),'Set Aliases'!$C$2:$C$501,999))),"(none)"))</f>
        <v/>
      </c>
      <c r="C1307" s="80" t="str">
        <f t="shared" si="1"/>
        <v/>
      </c>
      <c r="D1307" s="80" t="str">
        <f t="array" ref="D1307">IF(A1307="","",IF(ISLOGICAL(INDEX('Deck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07" s="80" t="str">
        <f t="shared" si="2"/>
        <v/>
      </c>
      <c r="F1307" s="80" t="str">
        <f t="array" ref="F1307">IF(A1307="","",IF(ISNUMBER(J1307),J1307,IF(ISNUMBER(INDEX('Deck 5'!$A:$Z,ROW()-1250,'List Setup'!$F$7)),INDEX('Deck 5'!$A:$Z,ROW()-1250,'List Setup'!$F$7),0)))</f>
        <v/>
      </c>
      <c r="G1307" s="80" t="str">
        <f t="array" ref="G1307">IF(A1307="","",A1307&amp;IF(N(INDEX('Deck 5'!$A:$Z,ROW()-1250,'List Setup'!$C$7))&gt;1," (x"&amp;INDEX('Deck 5'!$A:$Z,ROW()-1250,'List Setup'!$C$7)&amp;")","")&amp;IF(COUNTIF(Binders!$J$6:$J$30,TRUE())&gt;1," ["&amp;Q1307&amp;"]",""))</f>
        <v/>
      </c>
      <c r="H1307" s="80" t="str">
        <f t="array" ref="H1307">IF(A1307="","",CHAR(10)&amp;INDEX('Deck 5'!$A:$Z,ROW()-1250,'List Setup'!$E$7)&amp;CHAR(10))</f>
        <v/>
      </c>
      <c r="I1307" s="80" t="str">
        <f t="array" ref="I1307">IF(OR(B1307="",B1307="(none)"),"",IF(ISNUMBER(SEARCH(CHAR(10)&amp;B1307&amp;CHAR(10),H1307)),B1307,IFERROR(INDEX('Set Aliases'!$A$2:$A$501,MATCH(1,('Set Aliases'!$B$2:$B$501=B1307)*ISNUMBER(SEARCH(CHAR(10)&amp;'Set Aliases'!$A$2:$A$501&amp;CHAR(10),H1307)),0)),"")))</f>
        <v/>
      </c>
      <c r="J1307" s="80" t="str">
        <f t="array" ref="J1307">IF(I1307="","",IFERROR(VALUE(TRIM(MID(SUBSTITUTE(INDEX('Deck 5'!$A:$Z,ROW()-1250,'List Setup'!$G$7),CHAR(10),REPT(" ",100)),((SEARCH(CHAR(10)&amp;I1307&amp;CHAR(10),H1307)-LEN(SUBSTITUTE(LEFT(H1307,SEARCH(CHAR(10)&amp;I1307&amp;CHAR(10),H1307)),CHAR(10),"")))-1)*100+1,100))),""))</f>
        <v/>
      </c>
      <c r="K1307" s="80" t="str">
        <f t="array" ref="K1307">IF(A1307="","",IF(ISNUMBER(SEARCH("Land",LEFT(IFERROR(INDEX('Deck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07" s="80" t="str">
        <f t="shared" si="3"/>
        <v/>
      </c>
      <c r="M1307" s="80" t="str">
        <f>IF(A1307="","",IF(AND(E1307="Y",B1307='Use at Shop'!$B$4),K1307*10000000000+(MAX(0,MIN(26,CODE(MID(UPPER(A1307)&amp;"    ",1,1))-64))*19683+MAX(0,MIN(26,CODE(MID(UPPER(A1307)&amp;"    ",2,1))-64))*729+MAX(0,MIN(26,CODE(MID(UPPER(A1307)&amp;"    ",3,1))-64))*27+MAX(0,MIN(26,CODE(MID(UPPER(A1307)&amp;"    ",4,1))-64))*1)*10000+ROW(),""))</f>
        <v/>
      </c>
      <c r="N1307" s="80" t="str">
        <f t="shared" si="9"/>
        <v/>
      </c>
      <c r="O1307" s="80" t="str">
        <f t="array" ref="O1307">IF(A1307="","",IFERROR(INDEX('Deck 5'!$A:$Z,ROW()-1250,'List Setup'!$J$7)&amp;"",""))</f>
        <v/>
      </c>
      <c r="P1307" s="2"/>
      <c r="Q1307" s="80" t="str">
        <f>IF(A1307="","",'List Setup'!$A$7)</f>
        <v/>
      </c>
      <c r="R1307" s="80" t="str">
        <f t="array" ref="R1307">IF(A1307="","",IFERROR(OR(INDEX(Binders!$J$6:$J$30,MATCH(Q1307,Binders!$I$6:$I$30,0))=TRUE(),UPPER(INDEX(Binders!$J$6:$J$30,MATCH(Q1307,Binders!$I$6:$I$30,0))&amp;"")="TRUE"),FALSE()))</f>
        <v/>
      </c>
    </row>
    <row r="1308" ht="15.75" customHeight="1">
      <c r="A1308" s="80" t="str">
        <f t="array" ref="A1308">IF(INDEX('Deck 5'!$A:$Z,ROW()-1250,'List Setup'!$D$7)="","",INDEX('Deck 5'!$A:$Z,ROW()-1250,'List Setup'!$D$7))</f>
        <v/>
      </c>
      <c r="B1308" s="80" t="str">
        <f t="array" ref="B1308">IF(A1308="","",IFERROR(INDEX('Binder Setup'!$B$2:$B$401,MIN(IF(ISNUMBER(SEARCH(CHAR(10)&amp;'Binder Setup'!$B$2:$B$401&amp;CHAR(10),$H1308)),'List Setup'!$Q$2:$Q$401,999),IF(ISNUMBER(SEARCH(CHAR(10)&amp;'Set Aliases'!$A$2:$A$501&amp;CHAR(10),$H1308)),'Set Aliases'!$C$2:$C$501,999))),"(none)"))</f>
        <v/>
      </c>
      <c r="C1308" s="80" t="str">
        <f t="shared" si="1"/>
        <v/>
      </c>
      <c r="D1308" s="80" t="str">
        <f t="array" ref="D1308">IF(A1308="","",IF(ISLOGICAL(INDEX('Deck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08" s="80" t="str">
        <f t="shared" si="2"/>
        <v/>
      </c>
      <c r="F1308" s="80" t="str">
        <f t="array" ref="F1308">IF(A1308="","",IF(ISNUMBER(J1308),J1308,IF(ISNUMBER(INDEX('Deck 5'!$A:$Z,ROW()-1250,'List Setup'!$F$7)),INDEX('Deck 5'!$A:$Z,ROW()-1250,'List Setup'!$F$7),0)))</f>
        <v/>
      </c>
      <c r="G1308" s="80" t="str">
        <f t="array" ref="G1308">IF(A1308="","",A1308&amp;IF(N(INDEX('Deck 5'!$A:$Z,ROW()-1250,'List Setup'!$C$7))&gt;1," (x"&amp;INDEX('Deck 5'!$A:$Z,ROW()-1250,'List Setup'!$C$7)&amp;")","")&amp;IF(COUNTIF(Binders!$J$6:$J$30,TRUE())&gt;1," ["&amp;Q1308&amp;"]",""))</f>
        <v/>
      </c>
      <c r="H1308" s="80" t="str">
        <f t="array" ref="H1308">IF(A1308="","",CHAR(10)&amp;INDEX('Deck 5'!$A:$Z,ROW()-1250,'List Setup'!$E$7)&amp;CHAR(10))</f>
        <v/>
      </c>
      <c r="I1308" s="80" t="str">
        <f t="array" ref="I1308">IF(OR(B1308="",B1308="(none)"),"",IF(ISNUMBER(SEARCH(CHAR(10)&amp;B1308&amp;CHAR(10),H1308)),B1308,IFERROR(INDEX('Set Aliases'!$A$2:$A$501,MATCH(1,('Set Aliases'!$B$2:$B$501=B1308)*ISNUMBER(SEARCH(CHAR(10)&amp;'Set Aliases'!$A$2:$A$501&amp;CHAR(10),H1308)),0)),"")))</f>
        <v/>
      </c>
      <c r="J1308" s="80" t="str">
        <f t="array" ref="J1308">IF(I1308="","",IFERROR(VALUE(TRIM(MID(SUBSTITUTE(INDEX('Deck 5'!$A:$Z,ROW()-1250,'List Setup'!$G$7),CHAR(10),REPT(" ",100)),((SEARCH(CHAR(10)&amp;I1308&amp;CHAR(10),H1308)-LEN(SUBSTITUTE(LEFT(H1308,SEARCH(CHAR(10)&amp;I1308&amp;CHAR(10),H1308)),CHAR(10),"")))-1)*100+1,100))),""))</f>
        <v/>
      </c>
      <c r="K1308" s="80" t="str">
        <f t="array" ref="K1308">IF(A1308="","",IF(ISNUMBER(SEARCH("Land",LEFT(IFERROR(INDEX('Deck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08" s="80" t="str">
        <f t="shared" si="3"/>
        <v/>
      </c>
      <c r="M1308" s="80" t="str">
        <f>IF(A1308="","",IF(AND(E1308="Y",B1308='Use at Shop'!$B$4),K1308*10000000000+(MAX(0,MIN(26,CODE(MID(UPPER(A1308)&amp;"    ",1,1))-64))*19683+MAX(0,MIN(26,CODE(MID(UPPER(A1308)&amp;"    ",2,1))-64))*729+MAX(0,MIN(26,CODE(MID(UPPER(A1308)&amp;"    ",3,1))-64))*27+MAX(0,MIN(26,CODE(MID(UPPER(A1308)&amp;"    ",4,1))-64))*1)*10000+ROW(),""))</f>
        <v/>
      </c>
      <c r="N1308" s="80" t="str">
        <f t="shared" si="9"/>
        <v/>
      </c>
      <c r="O1308" s="80" t="str">
        <f t="array" ref="O1308">IF(A1308="","",IFERROR(INDEX('Deck 5'!$A:$Z,ROW()-1250,'List Setup'!$J$7)&amp;"",""))</f>
        <v/>
      </c>
      <c r="P1308" s="2"/>
      <c r="Q1308" s="80" t="str">
        <f>IF(A1308="","",'List Setup'!$A$7)</f>
        <v/>
      </c>
      <c r="R1308" s="80" t="str">
        <f t="array" ref="R1308">IF(A1308="","",IFERROR(OR(INDEX(Binders!$J$6:$J$30,MATCH(Q1308,Binders!$I$6:$I$30,0))=TRUE(),UPPER(INDEX(Binders!$J$6:$J$30,MATCH(Q1308,Binders!$I$6:$I$30,0))&amp;"")="TRUE"),FALSE()))</f>
        <v/>
      </c>
    </row>
    <row r="1309" ht="15.75" customHeight="1">
      <c r="A1309" s="80" t="str">
        <f t="array" ref="A1309">IF(INDEX('Deck 5'!$A:$Z,ROW()-1250,'List Setup'!$D$7)="","",INDEX('Deck 5'!$A:$Z,ROW()-1250,'List Setup'!$D$7))</f>
        <v/>
      </c>
      <c r="B1309" s="80" t="str">
        <f t="array" ref="B1309">IF(A1309="","",IFERROR(INDEX('Binder Setup'!$B$2:$B$401,MIN(IF(ISNUMBER(SEARCH(CHAR(10)&amp;'Binder Setup'!$B$2:$B$401&amp;CHAR(10),$H1309)),'List Setup'!$Q$2:$Q$401,999),IF(ISNUMBER(SEARCH(CHAR(10)&amp;'Set Aliases'!$A$2:$A$501&amp;CHAR(10),$H1309)),'Set Aliases'!$C$2:$C$501,999))),"(none)"))</f>
        <v/>
      </c>
      <c r="C1309" s="80" t="str">
        <f t="shared" si="1"/>
        <v/>
      </c>
      <c r="D1309" s="80" t="str">
        <f t="array" ref="D1309">IF(A1309="","",IF(ISLOGICAL(INDEX('Deck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09" s="80" t="str">
        <f t="shared" si="2"/>
        <v/>
      </c>
      <c r="F1309" s="80" t="str">
        <f t="array" ref="F1309">IF(A1309="","",IF(ISNUMBER(J1309),J1309,IF(ISNUMBER(INDEX('Deck 5'!$A:$Z,ROW()-1250,'List Setup'!$F$7)),INDEX('Deck 5'!$A:$Z,ROW()-1250,'List Setup'!$F$7),0)))</f>
        <v/>
      </c>
      <c r="G1309" s="80" t="str">
        <f t="array" ref="G1309">IF(A1309="","",A1309&amp;IF(N(INDEX('Deck 5'!$A:$Z,ROW()-1250,'List Setup'!$C$7))&gt;1," (x"&amp;INDEX('Deck 5'!$A:$Z,ROW()-1250,'List Setup'!$C$7)&amp;")","")&amp;IF(COUNTIF(Binders!$J$6:$J$30,TRUE())&gt;1," ["&amp;Q1309&amp;"]",""))</f>
        <v/>
      </c>
      <c r="H1309" s="80" t="str">
        <f t="array" ref="H1309">IF(A1309="","",CHAR(10)&amp;INDEX('Deck 5'!$A:$Z,ROW()-1250,'List Setup'!$E$7)&amp;CHAR(10))</f>
        <v/>
      </c>
      <c r="I1309" s="80" t="str">
        <f t="array" ref="I1309">IF(OR(B1309="",B1309="(none)"),"",IF(ISNUMBER(SEARCH(CHAR(10)&amp;B1309&amp;CHAR(10),H1309)),B1309,IFERROR(INDEX('Set Aliases'!$A$2:$A$501,MATCH(1,('Set Aliases'!$B$2:$B$501=B1309)*ISNUMBER(SEARCH(CHAR(10)&amp;'Set Aliases'!$A$2:$A$501&amp;CHAR(10),H1309)),0)),"")))</f>
        <v/>
      </c>
      <c r="J1309" s="80" t="str">
        <f t="array" ref="J1309">IF(I1309="","",IFERROR(VALUE(TRIM(MID(SUBSTITUTE(INDEX('Deck 5'!$A:$Z,ROW()-1250,'List Setup'!$G$7),CHAR(10),REPT(" ",100)),((SEARCH(CHAR(10)&amp;I1309&amp;CHAR(10),H1309)-LEN(SUBSTITUTE(LEFT(H1309,SEARCH(CHAR(10)&amp;I1309&amp;CHAR(10),H1309)),CHAR(10),"")))-1)*100+1,100))),""))</f>
        <v/>
      </c>
      <c r="K1309" s="80" t="str">
        <f t="array" ref="K1309">IF(A1309="","",IF(ISNUMBER(SEARCH("Land",LEFT(IFERROR(INDEX('Deck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09" s="80" t="str">
        <f t="shared" si="3"/>
        <v/>
      </c>
      <c r="M1309" s="80" t="str">
        <f>IF(A1309="","",IF(AND(E1309="Y",B1309='Use at Shop'!$B$4),K1309*10000000000+(MAX(0,MIN(26,CODE(MID(UPPER(A1309)&amp;"    ",1,1))-64))*19683+MAX(0,MIN(26,CODE(MID(UPPER(A1309)&amp;"    ",2,1))-64))*729+MAX(0,MIN(26,CODE(MID(UPPER(A1309)&amp;"    ",3,1))-64))*27+MAX(0,MIN(26,CODE(MID(UPPER(A1309)&amp;"    ",4,1))-64))*1)*10000+ROW(),""))</f>
        <v/>
      </c>
      <c r="N1309" s="80" t="str">
        <f t="shared" si="9"/>
        <v/>
      </c>
      <c r="O1309" s="80" t="str">
        <f t="array" ref="O1309">IF(A1309="","",IFERROR(INDEX('Deck 5'!$A:$Z,ROW()-1250,'List Setup'!$J$7)&amp;"",""))</f>
        <v/>
      </c>
      <c r="P1309" s="2"/>
      <c r="Q1309" s="80" t="str">
        <f>IF(A1309="","",'List Setup'!$A$7)</f>
        <v/>
      </c>
      <c r="R1309" s="80" t="str">
        <f t="array" ref="R1309">IF(A1309="","",IFERROR(OR(INDEX(Binders!$J$6:$J$30,MATCH(Q1309,Binders!$I$6:$I$30,0))=TRUE(),UPPER(INDEX(Binders!$J$6:$J$30,MATCH(Q1309,Binders!$I$6:$I$30,0))&amp;"")="TRUE"),FALSE()))</f>
        <v/>
      </c>
    </row>
    <row r="1310" ht="15.75" customHeight="1">
      <c r="A1310" s="80" t="str">
        <f t="array" ref="A1310">IF(INDEX('Deck 5'!$A:$Z,ROW()-1250,'List Setup'!$D$7)="","",INDEX('Deck 5'!$A:$Z,ROW()-1250,'List Setup'!$D$7))</f>
        <v/>
      </c>
      <c r="B1310" s="80" t="str">
        <f t="array" ref="B1310">IF(A1310="","",IFERROR(INDEX('Binder Setup'!$B$2:$B$401,MIN(IF(ISNUMBER(SEARCH(CHAR(10)&amp;'Binder Setup'!$B$2:$B$401&amp;CHAR(10),$H1310)),'List Setup'!$Q$2:$Q$401,999),IF(ISNUMBER(SEARCH(CHAR(10)&amp;'Set Aliases'!$A$2:$A$501&amp;CHAR(10),$H1310)),'Set Aliases'!$C$2:$C$501,999))),"(none)"))</f>
        <v/>
      </c>
      <c r="C1310" s="80" t="str">
        <f t="shared" si="1"/>
        <v/>
      </c>
      <c r="D1310" s="80" t="str">
        <f t="array" ref="D1310">IF(A1310="","",IF(ISLOGICAL(INDEX('Deck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10" s="80" t="str">
        <f t="shared" si="2"/>
        <v/>
      </c>
      <c r="F1310" s="80" t="str">
        <f t="array" ref="F1310">IF(A1310="","",IF(ISNUMBER(J1310),J1310,IF(ISNUMBER(INDEX('Deck 5'!$A:$Z,ROW()-1250,'List Setup'!$F$7)),INDEX('Deck 5'!$A:$Z,ROW()-1250,'List Setup'!$F$7),0)))</f>
        <v/>
      </c>
      <c r="G1310" s="80" t="str">
        <f t="array" ref="G1310">IF(A1310="","",A1310&amp;IF(N(INDEX('Deck 5'!$A:$Z,ROW()-1250,'List Setup'!$C$7))&gt;1," (x"&amp;INDEX('Deck 5'!$A:$Z,ROW()-1250,'List Setup'!$C$7)&amp;")","")&amp;IF(COUNTIF(Binders!$J$6:$J$30,TRUE())&gt;1," ["&amp;Q1310&amp;"]",""))</f>
        <v/>
      </c>
      <c r="H1310" s="80" t="str">
        <f t="array" ref="H1310">IF(A1310="","",CHAR(10)&amp;INDEX('Deck 5'!$A:$Z,ROW()-1250,'List Setup'!$E$7)&amp;CHAR(10))</f>
        <v/>
      </c>
      <c r="I1310" s="80" t="str">
        <f t="array" ref="I1310">IF(OR(B1310="",B1310="(none)"),"",IF(ISNUMBER(SEARCH(CHAR(10)&amp;B1310&amp;CHAR(10),H1310)),B1310,IFERROR(INDEX('Set Aliases'!$A$2:$A$501,MATCH(1,('Set Aliases'!$B$2:$B$501=B1310)*ISNUMBER(SEARCH(CHAR(10)&amp;'Set Aliases'!$A$2:$A$501&amp;CHAR(10),H1310)),0)),"")))</f>
        <v/>
      </c>
      <c r="J1310" s="80" t="str">
        <f t="array" ref="J1310">IF(I1310="","",IFERROR(VALUE(TRIM(MID(SUBSTITUTE(INDEX('Deck 5'!$A:$Z,ROW()-1250,'List Setup'!$G$7),CHAR(10),REPT(" ",100)),((SEARCH(CHAR(10)&amp;I1310&amp;CHAR(10),H1310)-LEN(SUBSTITUTE(LEFT(H1310,SEARCH(CHAR(10)&amp;I1310&amp;CHAR(10),H1310)),CHAR(10),"")))-1)*100+1,100))),""))</f>
        <v/>
      </c>
      <c r="K1310" s="80" t="str">
        <f t="array" ref="K1310">IF(A1310="","",IF(ISNUMBER(SEARCH("Land",LEFT(IFERROR(INDEX('Deck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10" s="80" t="str">
        <f t="shared" si="3"/>
        <v/>
      </c>
      <c r="M1310" s="80" t="str">
        <f>IF(A1310="","",IF(AND(E1310="Y",B1310='Use at Shop'!$B$4),K1310*10000000000+(MAX(0,MIN(26,CODE(MID(UPPER(A1310)&amp;"    ",1,1))-64))*19683+MAX(0,MIN(26,CODE(MID(UPPER(A1310)&amp;"    ",2,1))-64))*729+MAX(0,MIN(26,CODE(MID(UPPER(A1310)&amp;"    ",3,1))-64))*27+MAX(0,MIN(26,CODE(MID(UPPER(A1310)&amp;"    ",4,1))-64))*1)*10000+ROW(),""))</f>
        <v/>
      </c>
      <c r="N1310" s="80" t="str">
        <f t="shared" si="9"/>
        <v/>
      </c>
      <c r="O1310" s="80" t="str">
        <f t="array" ref="O1310">IF(A1310="","",IFERROR(INDEX('Deck 5'!$A:$Z,ROW()-1250,'List Setup'!$J$7)&amp;"",""))</f>
        <v/>
      </c>
      <c r="P1310" s="2"/>
      <c r="Q1310" s="80" t="str">
        <f>IF(A1310="","",'List Setup'!$A$7)</f>
        <v/>
      </c>
      <c r="R1310" s="80" t="str">
        <f t="array" ref="R1310">IF(A1310="","",IFERROR(OR(INDEX(Binders!$J$6:$J$30,MATCH(Q1310,Binders!$I$6:$I$30,0))=TRUE(),UPPER(INDEX(Binders!$J$6:$J$30,MATCH(Q1310,Binders!$I$6:$I$30,0))&amp;"")="TRUE"),FALSE()))</f>
        <v/>
      </c>
    </row>
    <row r="1311" ht="15.75" customHeight="1">
      <c r="A1311" s="80" t="str">
        <f t="array" ref="A1311">IF(INDEX('Deck 5'!$A:$Z,ROW()-1250,'List Setup'!$D$7)="","",INDEX('Deck 5'!$A:$Z,ROW()-1250,'List Setup'!$D$7))</f>
        <v/>
      </c>
      <c r="B1311" s="80" t="str">
        <f t="array" ref="B1311">IF(A1311="","",IFERROR(INDEX('Binder Setup'!$B$2:$B$401,MIN(IF(ISNUMBER(SEARCH(CHAR(10)&amp;'Binder Setup'!$B$2:$B$401&amp;CHAR(10),$H1311)),'List Setup'!$Q$2:$Q$401,999),IF(ISNUMBER(SEARCH(CHAR(10)&amp;'Set Aliases'!$A$2:$A$501&amp;CHAR(10),$H1311)),'Set Aliases'!$C$2:$C$501,999))),"(none)"))</f>
        <v/>
      </c>
      <c r="C1311" s="80" t="str">
        <f t="shared" si="1"/>
        <v/>
      </c>
      <c r="D1311" s="80" t="str">
        <f t="array" ref="D1311">IF(A1311="","",IF(ISLOGICAL(INDEX('Deck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11" s="80" t="str">
        <f t="shared" si="2"/>
        <v/>
      </c>
      <c r="F1311" s="80" t="str">
        <f t="array" ref="F1311">IF(A1311="","",IF(ISNUMBER(J1311),J1311,IF(ISNUMBER(INDEX('Deck 5'!$A:$Z,ROW()-1250,'List Setup'!$F$7)),INDEX('Deck 5'!$A:$Z,ROW()-1250,'List Setup'!$F$7),0)))</f>
        <v/>
      </c>
      <c r="G1311" s="80" t="str">
        <f t="array" ref="G1311">IF(A1311="","",A1311&amp;IF(N(INDEX('Deck 5'!$A:$Z,ROW()-1250,'List Setup'!$C$7))&gt;1," (x"&amp;INDEX('Deck 5'!$A:$Z,ROW()-1250,'List Setup'!$C$7)&amp;")","")&amp;IF(COUNTIF(Binders!$J$6:$J$30,TRUE())&gt;1," ["&amp;Q1311&amp;"]",""))</f>
        <v/>
      </c>
      <c r="H1311" s="80" t="str">
        <f t="array" ref="H1311">IF(A1311="","",CHAR(10)&amp;INDEX('Deck 5'!$A:$Z,ROW()-1250,'List Setup'!$E$7)&amp;CHAR(10))</f>
        <v/>
      </c>
      <c r="I1311" s="80" t="str">
        <f t="array" ref="I1311">IF(OR(B1311="",B1311="(none)"),"",IF(ISNUMBER(SEARCH(CHAR(10)&amp;B1311&amp;CHAR(10),H1311)),B1311,IFERROR(INDEX('Set Aliases'!$A$2:$A$501,MATCH(1,('Set Aliases'!$B$2:$B$501=B1311)*ISNUMBER(SEARCH(CHAR(10)&amp;'Set Aliases'!$A$2:$A$501&amp;CHAR(10),H1311)),0)),"")))</f>
        <v/>
      </c>
      <c r="J1311" s="80" t="str">
        <f t="array" ref="J1311">IF(I1311="","",IFERROR(VALUE(TRIM(MID(SUBSTITUTE(INDEX('Deck 5'!$A:$Z,ROW()-1250,'List Setup'!$G$7),CHAR(10),REPT(" ",100)),((SEARCH(CHAR(10)&amp;I1311&amp;CHAR(10),H1311)-LEN(SUBSTITUTE(LEFT(H1311,SEARCH(CHAR(10)&amp;I1311&amp;CHAR(10),H1311)),CHAR(10),"")))-1)*100+1,100))),""))</f>
        <v/>
      </c>
      <c r="K1311" s="80" t="str">
        <f t="array" ref="K1311">IF(A1311="","",IF(ISNUMBER(SEARCH("Land",LEFT(IFERROR(INDEX('Deck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11" s="80" t="str">
        <f t="shared" si="3"/>
        <v/>
      </c>
      <c r="M1311" s="80" t="str">
        <f>IF(A1311="","",IF(AND(E1311="Y",B1311='Use at Shop'!$B$4),K1311*10000000000+(MAX(0,MIN(26,CODE(MID(UPPER(A1311)&amp;"    ",1,1))-64))*19683+MAX(0,MIN(26,CODE(MID(UPPER(A1311)&amp;"    ",2,1))-64))*729+MAX(0,MIN(26,CODE(MID(UPPER(A1311)&amp;"    ",3,1))-64))*27+MAX(0,MIN(26,CODE(MID(UPPER(A1311)&amp;"    ",4,1))-64))*1)*10000+ROW(),""))</f>
        <v/>
      </c>
      <c r="N1311" s="80" t="str">
        <f t="shared" si="9"/>
        <v/>
      </c>
      <c r="O1311" s="80" t="str">
        <f t="array" ref="O1311">IF(A1311="","",IFERROR(INDEX('Deck 5'!$A:$Z,ROW()-1250,'List Setup'!$J$7)&amp;"",""))</f>
        <v/>
      </c>
      <c r="P1311" s="2"/>
      <c r="Q1311" s="80" t="str">
        <f>IF(A1311="","",'List Setup'!$A$7)</f>
        <v/>
      </c>
      <c r="R1311" s="80" t="str">
        <f t="array" ref="R1311">IF(A1311="","",IFERROR(OR(INDEX(Binders!$J$6:$J$30,MATCH(Q1311,Binders!$I$6:$I$30,0))=TRUE(),UPPER(INDEX(Binders!$J$6:$J$30,MATCH(Q1311,Binders!$I$6:$I$30,0))&amp;"")="TRUE"),FALSE()))</f>
        <v/>
      </c>
    </row>
    <row r="1312" ht="15.75" customHeight="1">
      <c r="A1312" s="80" t="str">
        <f t="array" ref="A1312">IF(INDEX('Deck 5'!$A:$Z,ROW()-1250,'List Setup'!$D$7)="","",INDEX('Deck 5'!$A:$Z,ROW()-1250,'List Setup'!$D$7))</f>
        <v/>
      </c>
      <c r="B1312" s="80" t="str">
        <f t="array" ref="B1312">IF(A1312="","",IFERROR(INDEX('Binder Setup'!$B$2:$B$401,MIN(IF(ISNUMBER(SEARCH(CHAR(10)&amp;'Binder Setup'!$B$2:$B$401&amp;CHAR(10),$H1312)),'List Setup'!$Q$2:$Q$401,999),IF(ISNUMBER(SEARCH(CHAR(10)&amp;'Set Aliases'!$A$2:$A$501&amp;CHAR(10),$H1312)),'Set Aliases'!$C$2:$C$501,999))),"(none)"))</f>
        <v/>
      </c>
      <c r="C1312" s="80" t="str">
        <f t="shared" si="1"/>
        <v/>
      </c>
      <c r="D1312" s="80" t="str">
        <f t="array" ref="D1312">IF(A1312="","",IF(ISLOGICAL(INDEX('Deck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12" s="80" t="str">
        <f t="shared" si="2"/>
        <v/>
      </c>
      <c r="F1312" s="80" t="str">
        <f t="array" ref="F1312">IF(A1312="","",IF(ISNUMBER(J1312),J1312,IF(ISNUMBER(INDEX('Deck 5'!$A:$Z,ROW()-1250,'List Setup'!$F$7)),INDEX('Deck 5'!$A:$Z,ROW()-1250,'List Setup'!$F$7),0)))</f>
        <v/>
      </c>
      <c r="G1312" s="80" t="str">
        <f t="array" ref="G1312">IF(A1312="","",A1312&amp;IF(N(INDEX('Deck 5'!$A:$Z,ROW()-1250,'List Setup'!$C$7))&gt;1," (x"&amp;INDEX('Deck 5'!$A:$Z,ROW()-1250,'List Setup'!$C$7)&amp;")","")&amp;IF(COUNTIF(Binders!$J$6:$J$30,TRUE())&gt;1," ["&amp;Q1312&amp;"]",""))</f>
        <v/>
      </c>
      <c r="H1312" s="80" t="str">
        <f t="array" ref="H1312">IF(A1312="","",CHAR(10)&amp;INDEX('Deck 5'!$A:$Z,ROW()-1250,'List Setup'!$E$7)&amp;CHAR(10))</f>
        <v/>
      </c>
      <c r="I1312" s="80" t="str">
        <f t="array" ref="I1312">IF(OR(B1312="",B1312="(none)"),"",IF(ISNUMBER(SEARCH(CHAR(10)&amp;B1312&amp;CHAR(10),H1312)),B1312,IFERROR(INDEX('Set Aliases'!$A$2:$A$501,MATCH(1,('Set Aliases'!$B$2:$B$501=B1312)*ISNUMBER(SEARCH(CHAR(10)&amp;'Set Aliases'!$A$2:$A$501&amp;CHAR(10),H1312)),0)),"")))</f>
        <v/>
      </c>
      <c r="J1312" s="80" t="str">
        <f t="array" ref="J1312">IF(I1312="","",IFERROR(VALUE(TRIM(MID(SUBSTITUTE(INDEX('Deck 5'!$A:$Z,ROW()-1250,'List Setup'!$G$7),CHAR(10),REPT(" ",100)),((SEARCH(CHAR(10)&amp;I1312&amp;CHAR(10),H1312)-LEN(SUBSTITUTE(LEFT(H1312,SEARCH(CHAR(10)&amp;I1312&amp;CHAR(10),H1312)),CHAR(10),"")))-1)*100+1,100))),""))</f>
        <v/>
      </c>
      <c r="K1312" s="80" t="str">
        <f t="array" ref="K1312">IF(A1312="","",IF(ISNUMBER(SEARCH("Land",LEFT(IFERROR(INDEX('Deck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12" s="80" t="str">
        <f t="shared" si="3"/>
        <v/>
      </c>
      <c r="M1312" s="80" t="str">
        <f>IF(A1312="","",IF(AND(E1312="Y",B1312='Use at Shop'!$B$4),K1312*10000000000+(MAX(0,MIN(26,CODE(MID(UPPER(A1312)&amp;"    ",1,1))-64))*19683+MAX(0,MIN(26,CODE(MID(UPPER(A1312)&amp;"    ",2,1))-64))*729+MAX(0,MIN(26,CODE(MID(UPPER(A1312)&amp;"    ",3,1))-64))*27+MAX(0,MIN(26,CODE(MID(UPPER(A1312)&amp;"    ",4,1))-64))*1)*10000+ROW(),""))</f>
        <v/>
      </c>
      <c r="N1312" s="80" t="str">
        <f t="shared" si="9"/>
        <v/>
      </c>
      <c r="O1312" s="80" t="str">
        <f t="array" ref="O1312">IF(A1312="","",IFERROR(INDEX('Deck 5'!$A:$Z,ROW()-1250,'List Setup'!$J$7)&amp;"",""))</f>
        <v/>
      </c>
      <c r="P1312" s="2"/>
      <c r="Q1312" s="80" t="str">
        <f>IF(A1312="","",'List Setup'!$A$7)</f>
        <v/>
      </c>
      <c r="R1312" s="80" t="str">
        <f t="array" ref="R1312">IF(A1312="","",IFERROR(OR(INDEX(Binders!$J$6:$J$30,MATCH(Q1312,Binders!$I$6:$I$30,0))=TRUE(),UPPER(INDEX(Binders!$J$6:$J$30,MATCH(Q1312,Binders!$I$6:$I$30,0))&amp;"")="TRUE"),FALSE()))</f>
        <v/>
      </c>
    </row>
    <row r="1313" ht="15.75" customHeight="1">
      <c r="A1313" s="80" t="str">
        <f t="array" ref="A1313">IF(INDEX('Deck 5'!$A:$Z,ROW()-1250,'List Setup'!$D$7)="","",INDEX('Deck 5'!$A:$Z,ROW()-1250,'List Setup'!$D$7))</f>
        <v/>
      </c>
      <c r="B1313" s="80" t="str">
        <f t="array" ref="B1313">IF(A1313="","",IFERROR(INDEX('Binder Setup'!$B$2:$B$401,MIN(IF(ISNUMBER(SEARCH(CHAR(10)&amp;'Binder Setup'!$B$2:$B$401&amp;CHAR(10),$H1313)),'List Setup'!$Q$2:$Q$401,999),IF(ISNUMBER(SEARCH(CHAR(10)&amp;'Set Aliases'!$A$2:$A$501&amp;CHAR(10),$H1313)),'Set Aliases'!$C$2:$C$501,999))),"(none)"))</f>
        <v/>
      </c>
      <c r="C1313" s="80" t="str">
        <f t="shared" si="1"/>
        <v/>
      </c>
      <c r="D1313" s="80" t="str">
        <f t="array" ref="D1313">IF(A1313="","",IF(ISLOGICAL(INDEX('Deck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13" s="80" t="str">
        <f t="shared" si="2"/>
        <v/>
      </c>
      <c r="F1313" s="80" t="str">
        <f t="array" ref="F1313">IF(A1313="","",IF(ISNUMBER(J1313),J1313,IF(ISNUMBER(INDEX('Deck 5'!$A:$Z,ROW()-1250,'List Setup'!$F$7)),INDEX('Deck 5'!$A:$Z,ROW()-1250,'List Setup'!$F$7),0)))</f>
        <v/>
      </c>
      <c r="G1313" s="80" t="str">
        <f t="array" ref="G1313">IF(A1313="","",A1313&amp;IF(N(INDEX('Deck 5'!$A:$Z,ROW()-1250,'List Setup'!$C$7))&gt;1," (x"&amp;INDEX('Deck 5'!$A:$Z,ROW()-1250,'List Setup'!$C$7)&amp;")","")&amp;IF(COUNTIF(Binders!$J$6:$J$30,TRUE())&gt;1," ["&amp;Q1313&amp;"]",""))</f>
        <v/>
      </c>
      <c r="H1313" s="80" t="str">
        <f t="array" ref="H1313">IF(A1313="","",CHAR(10)&amp;INDEX('Deck 5'!$A:$Z,ROW()-1250,'List Setup'!$E$7)&amp;CHAR(10))</f>
        <v/>
      </c>
      <c r="I1313" s="80" t="str">
        <f t="array" ref="I1313">IF(OR(B1313="",B1313="(none)"),"",IF(ISNUMBER(SEARCH(CHAR(10)&amp;B1313&amp;CHAR(10),H1313)),B1313,IFERROR(INDEX('Set Aliases'!$A$2:$A$501,MATCH(1,('Set Aliases'!$B$2:$B$501=B1313)*ISNUMBER(SEARCH(CHAR(10)&amp;'Set Aliases'!$A$2:$A$501&amp;CHAR(10),H1313)),0)),"")))</f>
        <v/>
      </c>
      <c r="J1313" s="80" t="str">
        <f t="array" ref="J1313">IF(I1313="","",IFERROR(VALUE(TRIM(MID(SUBSTITUTE(INDEX('Deck 5'!$A:$Z,ROW()-1250,'List Setup'!$G$7),CHAR(10),REPT(" ",100)),((SEARCH(CHAR(10)&amp;I1313&amp;CHAR(10),H1313)-LEN(SUBSTITUTE(LEFT(H1313,SEARCH(CHAR(10)&amp;I1313&amp;CHAR(10),H1313)),CHAR(10),"")))-1)*100+1,100))),""))</f>
        <v/>
      </c>
      <c r="K1313" s="80" t="str">
        <f t="array" ref="K1313">IF(A1313="","",IF(ISNUMBER(SEARCH("Land",LEFT(IFERROR(INDEX('Deck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13" s="80" t="str">
        <f t="shared" si="3"/>
        <v/>
      </c>
      <c r="M1313" s="80" t="str">
        <f>IF(A1313="","",IF(AND(E1313="Y",B1313='Use at Shop'!$B$4),K1313*10000000000+(MAX(0,MIN(26,CODE(MID(UPPER(A1313)&amp;"    ",1,1))-64))*19683+MAX(0,MIN(26,CODE(MID(UPPER(A1313)&amp;"    ",2,1))-64))*729+MAX(0,MIN(26,CODE(MID(UPPER(A1313)&amp;"    ",3,1))-64))*27+MAX(0,MIN(26,CODE(MID(UPPER(A1313)&amp;"    ",4,1))-64))*1)*10000+ROW(),""))</f>
        <v/>
      </c>
      <c r="N1313" s="80" t="str">
        <f t="shared" si="9"/>
        <v/>
      </c>
      <c r="O1313" s="80" t="str">
        <f t="array" ref="O1313">IF(A1313="","",IFERROR(INDEX('Deck 5'!$A:$Z,ROW()-1250,'List Setup'!$J$7)&amp;"",""))</f>
        <v/>
      </c>
      <c r="P1313" s="2"/>
      <c r="Q1313" s="80" t="str">
        <f>IF(A1313="","",'List Setup'!$A$7)</f>
        <v/>
      </c>
      <c r="R1313" s="80" t="str">
        <f t="array" ref="R1313">IF(A1313="","",IFERROR(OR(INDEX(Binders!$J$6:$J$30,MATCH(Q1313,Binders!$I$6:$I$30,0))=TRUE(),UPPER(INDEX(Binders!$J$6:$J$30,MATCH(Q1313,Binders!$I$6:$I$30,0))&amp;"")="TRUE"),FALSE()))</f>
        <v/>
      </c>
    </row>
    <row r="1314" ht="15.75" customHeight="1">
      <c r="A1314" s="80" t="str">
        <f t="array" ref="A1314">IF(INDEX('Deck 5'!$A:$Z,ROW()-1250,'List Setup'!$D$7)="","",INDEX('Deck 5'!$A:$Z,ROW()-1250,'List Setup'!$D$7))</f>
        <v/>
      </c>
      <c r="B1314" s="80" t="str">
        <f t="array" ref="B1314">IF(A1314="","",IFERROR(INDEX('Binder Setup'!$B$2:$B$401,MIN(IF(ISNUMBER(SEARCH(CHAR(10)&amp;'Binder Setup'!$B$2:$B$401&amp;CHAR(10),$H1314)),'List Setup'!$Q$2:$Q$401,999),IF(ISNUMBER(SEARCH(CHAR(10)&amp;'Set Aliases'!$A$2:$A$501&amp;CHAR(10),$H1314)),'Set Aliases'!$C$2:$C$501,999))),"(none)"))</f>
        <v/>
      </c>
      <c r="C1314" s="80" t="str">
        <f t="shared" si="1"/>
        <v/>
      </c>
      <c r="D1314" s="80" t="str">
        <f t="array" ref="D1314">IF(A1314="","",IF(ISLOGICAL(INDEX('Deck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14" s="80" t="str">
        <f t="shared" si="2"/>
        <v/>
      </c>
      <c r="F1314" s="80" t="str">
        <f t="array" ref="F1314">IF(A1314="","",IF(ISNUMBER(J1314),J1314,IF(ISNUMBER(INDEX('Deck 5'!$A:$Z,ROW()-1250,'List Setup'!$F$7)),INDEX('Deck 5'!$A:$Z,ROW()-1250,'List Setup'!$F$7),0)))</f>
        <v/>
      </c>
      <c r="G1314" s="80" t="str">
        <f t="array" ref="G1314">IF(A1314="","",A1314&amp;IF(N(INDEX('Deck 5'!$A:$Z,ROW()-1250,'List Setup'!$C$7))&gt;1," (x"&amp;INDEX('Deck 5'!$A:$Z,ROW()-1250,'List Setup'!$C$7)&amp;")","")&amp;IF(COUNTIF(Binders!$J$6:$J$30,TRUE())&gt;1," ["&amp;Q1314&amp;"]",""))</f>
        <v/>
      </c>
      <c r="H1314" s="80" t="str">
        <f t="array" ref="H1314">IF(A1314="","",CHAR(10)&amp;INDEX('Deck 5'!$A:$Z,ROW()-1250,'List Setup'!$E$7)&amp;CHAR(10))</f>
        <v/>
      </c>
      <c r="I1314" s="80" t="str">
        <f t="array" ref="I1314">IF(OR(B1314="",B1314="(none)"),"",IF(ISNUMBER(SEARCH(CHAR(10)&amp;B1314&amp;CHAR(10),H1314)),B1314,IFERROR(INDEX('Set Aliases'!$A$2:$A$501,MATCH(1,('Set Aliases'!$B$2:$B$501=B1314)*ISNUMBER(SEARCH(CHAR(10)&amp;'Set Aliases'!$A$2:$A$501&amp;CHAR(10),H1314)),0)),"")))</f>
        <v/>
      </c>
      <c r="J1314" s="80" t="str">
        <f t="array" ref="J1314">IF(I1314="","",IFERROR(VALUE(TRIM(MID(SUBSTITUTE(INDEX('Deck 5'!$A:$Z,ROW()-1250,'List Setup'!$G$7),CHAR(10),REPT(" ",100)),((SEARCH(CHAR(10)&amp;I1314&amp;CHAR(10),H1314)-LEN(SUBSTITUTE(LEFT(H1314,SEARCH(CHAR(10)&amp;I1314&amp;CHAR(10),H1314)),CHAR(10),"")))-1)*100+1,100))),""))</f>
        <v/>
      </c>
      <c r="K1314" s="80" t="str">
        <f t="array" ref="K1314">IF(A1314="","",IF(ISNUMBER(SEARCH("Land",LEFT(IFERROR(INDEX('Deck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14" s="80" t="str">
        <f t="shared" si="3"/>
        <v/>
      </c>
      <c r="M1314" s="80" t="str">
        <f>IF(A1314="","",IF(AND(E1314="Y",B1314='Use at Shop'!$B$4),K1314*10000000000+(MAX(0,MIN(26,CODE(MID(UPPER(A1314)&amp;"    ",1,1))-64))*19683+MAX(0,MIN(26,CODE(MID(UPPER(A1314)&amp;"    ",2,1))-64))*729+MAX(0,MIN(26,CODE(MID(UPPER(A1314)&amp;"    ",3,1))-64))*27+MAX(0,MIN(26,CODE(MID(UPPER(A1314)&amp;"    ",4,1))-64))*1)*10000+ROW(),""))</f>
        <v/>
      </c>
      <c r="N1314" s="80" t="str">
        <f t="shared" si="9"/>
        <v/>
      </c>
      <c r="O1314" s="80" t="str">
        <f t="array" ref="O1314">IF(A1314="","",IFERROR(INDEX('Deck 5'!$A:$Z,ROW()-1250,'List Setup'!$J$7)&amp;"",""))</f>
        <v/>
      </c>
      <c r="P1314" s="2"/>
      <c r="Q1314" s="80" t="str">
        <f>IF(A1314="","",'List Setup'!$A$7)</f>
        <v/>
      </c>
      <c r="R1314" s="80" t="str">
        <f t="array" ref="R1314">IF(A1314="","",IFERROR(OR(INDEX(Binders!$J$6:$J$30,MATCH(Q1314,Binders!$I$6:$I$30,0))=TRUE(),UPPER(INDEX(Binders!$J$6:$J$30,MATCH(Q1314,Binders!$I$6:$I$30,0))&amp;"")="TRUE"),FALSE()))</f>
        <v/>
      </c>
    </row>
    <row r="1315" ht="15.75" customHeight="1">
      <c r="A1315" s="80" t="str">
        <f t="array" ref="A1315">IF(INDEX('Deck 5'!$A:$Z,ROW()-1250,'List Setup'!$D$7)="","",INDEX('Deck 5'!$A:$Z,ROW()-1250,'List Setup'!$D$7))</f>
        <v/>
      </c>
      <c r="B1315" s="80" t="str">
        <f t="array" ref="B1315">IF(A1315="","",IFERROR(INDEX('Binder Setup'!$B$2:$B$401,MIN(IF(ISNUMBER(SEARCH(CHAR(10)&amp;'Binder Setup'!$B$2:$B$401&amp;CHAR(10),$H1315)),'List Setup'!$Q$2:$Q$401,999),IF(ISNUMBER(SEARCH(CHAR(10)&amp;'Set Aliases'!$A$2:$A$501&amp;CHAR(10),$H1315)),'Set Aliases'!$C$2:$C$501,999))),"(none)"))</f>
        <v/>
      </c>
      <c r="C1315" s="80" t="str">
        <f t="shared" si="1"/>
        <v/>
      </c>
      <c r="D1315" s="80" t="str">
        <f t="array" ref="D1315">IF(A1315="","",IF(ISLOGICAL(INDEX('Deck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15" s="80" t="str">
        <f t="shared" si="2"/>
        <v/>
      </c>
      <c r="F1315" s="80" t="str">
        <f t="array" ref="F1315">IF(A1315="","",IF(ISNUMBER(J1315),J1315,IF(ISNUMBER(INDEX('Deck 5'!$A:$Z,ROW()-1250,'List Setup'!$F$7)),INDEX('Deck 5'!$A:$Z,ROW()-1250,'List Setup'!$F$7),0)))</f>
        <v/>
      </c>
      <c r="G1315" s="80" t="str">
        <f t="array" ref="G1315">IF(A1315="","",A1315&amp;IF(N(INDEX('Deck 5'!$A:$Z,ROW()-1250,'List Setup'!$C$7))&gt;1," (x"&amp;INDEX('Deck 5'!$A:$Z,ROW()-1250,'List Setup'!$C$7)&amp;")","")&amp;IF(COUNTIF(Binders!$J$6:$J$30,TRUE())&gt;1," ["&amp;Q1315&amp;"]",""))</f>
        <v/>
      </c>
      <c r="H1315" s="80" t="str">
        <f t="array" ref="H1315">IF(A1315="","",CHAR(10)&amp;INDEX('Deck 5'!$A:$Z,ROW()-1250,'List Setup'!$E$7)&amp;CHAR(10))</f>
        <v/>
      </c>
      <c r="I1315" s="80" t="str">
        <f t="array" ref="I1315">IF(OR(B1315="",B1315="(none)"),"",IF(ISNUMBER(SEARCH(CHAR(10)&amp;B1315&amp;CHAR(10),H1315)),B1315,IFERROR(INDEX('Set Aliases'!$A$2:$A$501,MATCH(1,('Set Aliases'!$B$2:$B$501=B1315)*ISNUMBER(SEARCH(CHAR(10)&amp;'Set Aliases'!$A$2:$A$501&amp;CHAR(10),H1315)),0)),"")))</f>
        <v/>
      </c>
      <c r="J1315" s="80" t="str">
        <f t="array" ref="J1315">IF(I1315="","",IFERROR(VALUE(TRIM(MID(SUBSTITUTE(INDEX('Deck 5'!$A:$Z,ROW()-1250,'List Setup'!$G$7),CHAR(10),REPT(" ",100)),((SEARCH(CHAR(10)&amp;I1315&amp;CHAR(10),H1315)-LEN(SUBSTITUTE(LEFT(H1315,SEARCH(CHAR(10)&amp;I1315&amp;CHAR(10),H1315)),CHAR(10),"")))-1)*100+1,100))),""))</f>
        <v/>
      </c>
      <c r="K1315" s="80" t="str">
        <f t="array" ref="K1315">IF(A1315="","",IF(ISNUMBER(SEARCH("Land",LEFT(IFERROR(INDEX('Deck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15" s="80" t="str">
        <f t="shared" si="3"/>
        <v/>
      </c>
      <c r="M1315" s="80" t="str">
        <f>IF(A1315="","",IF(AND(E1315="Y",B1315='Use at Shop'!$B$4),K1315*10000000000+(MAX(0,MIN(26,CODE(MID(UPPER(A1315)&amp;"    ",1,1))-64))*19683+MAX(0,MIN(26,CODE(MID(UPPER(A1315)&amp;"    ",2,1))-64))*729+MAX(0,MIN(26,CODE(MID(UPPER(A1315)&amp;"    ",3,1))-64))*27+MAX(0,MIN(26,CODE(MID(UPPER(A1315)&amp;"    ",4,1))-64))*1)*10000+ROW(),""))</f>
        <v/>
      </c>
      <c r="N1315" s="80" t="str">
        <f t="shared" si="9"/>
        <v/>
      </c>
      <c r="O1315" s="80" t="str">
        <f t="array" ref="O1315">IF(A1315="","",IFERROR(INDEX('Deck 5'!$A:$Z,ROW()-1250,'List Setup'!$J$7)&amp;"",""))</f>
        <v/>
      </c>
      <c r="P1315" s="2"/>
      <c r="Q1315" s="80" t="str">
        <f>IF(A1315="","",'List Setup'!$A$7)</f>
        <v/>
      </c>
      <c r="R1315" s="80" t="str">
        <f t="array" ref="R1315">IF(A1315="","",IFERROR(OR(INDEX(Binders!$J$6:$J$30,MATCH(Q1315,Binders!$I$6:$I$30,0))=TRUE(),UPPER(INDEX(Binders!$J$6:$J$30,MATCH(Q1315,Binders!$I$6:$I$30,0))&amp;"")="TRUE"),FALSE()))</f>
        <v/>
      </c>
    </row>
    <row r="1316" ht="15.75" customHeight="1">
      <c r="A1316" s="80" t="str">
        <f t="array" ref="A1316">IF(INDEX('Deck 5'!$A:$Z,ROW()-1250,'List Setup'!$D$7)="","",INDEX('Deck 5'!$A:$Z,ROW()-1250,'List Setup'!$D$7))</f>
        <v/>
      </c>
      <c r="B1316" s="80" t="str">
        <f t="array" ref="B1316">IF(A1316="","",IFERROR(INDEX('Binder Setup'!$B$2:$B$401,MIN(IF(ISNUMBER(SEARCH(CHAR(10)&amp;'Binder Setup'!$B$2:$B$401&amp;CHAR(10),$H1316)),'List Setup'!$Q$2:$Q$401,999),IF(ISNUMBER(SEARCH(CHAR(10)&amp;'Set Aliases'!$A$2:$A$501&amp;CHAR(10),$H1316)),'Set Aliases'!$C$2:$C$501,999))),"(none)"))</f>
        <v/>
      </c>
      <c r="C1316" s="80" t="str">
        <f t="shared" si="1"/>
        <v/>
      </c>
      <c r="D1316" s="80" t="str">
        <f t="array" ref="D1316">IF(A1316="","",IF(ISLOGICAL(INDEX('Deck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16" s="80" t="str">
        <f t="shared" si="2"/>
        <v/>
      </c>
      <c r="F1316" s="80" t="str">
        <f t="array" ref="F1316">IF(A1316="","",IF(ISNUMBER(J1316),J1316,IF(ISNUMBER(INDEX('Deck 5'!$A:$Z,ROW()-1250,'List Setup'!$F$7)),INDEX('Deck 5'!$A:$Z,ROW()-1250,'List Setup'!$F$7),0)))</f>
        <v/>
      </c>
      <c r="G1316" s="80" t="str">
        <f t="array" ref="G1316">IF(A1316="","",A1316&amp;IF(N(INDEX('Deck 5'!$A:$Z,ROW()-1250,'List Setup'!$C$7))&gt;1," (x"&amp;INDEX('Deck 5'!$A:$Z,ROW()-1250,'List Setup'!$C$7)&amp;")","")&amp;IF(COUNTIF(Binders!$J$6:$J$30,TRUE())&gt;1," ["&amp;Q1316&amp;"]",""))</f>
        <v/>
      </c>
      <c r="H1316" s="80" t="str">
        <f t="array" ref="H1316">IF(A1316="","",CHAR(10)&amp;INDEX('Deck 5'!$A:$Z,ROW()-1250,'List Setup'!$E$7)&amp;CHAR(10))</f>
        <v/>
      </c>
      <c r="I1316" s="80" t="str">
        <f t="array" ref="I1316">IF(OR(B1316="",B1316="(none)"),"",IF(ISNUMBER(SEARCH(CHAR(10)&amp;B1316&amp;CHAR(10),H1316)),B1316,IFERROR(INDEX('Set Aliases'!$A$2:$A$501,MATCH(1,('Set Aliases'!$B$2:$B$501=B1316)*ISNUMBER(SEARCH(CHAR(10)&amp;'Set Aliases'!$A$2:$A$501&amp;CHAR(10),H1316)),0)),"")))</f>
        <v/>
      </c>
      <c r="J1316" s="80" t="str">
        <f t="array" ref="J1316">IF(I1316="","",IFERROR(VALUE(TRIM(MID(SUBSTITUTE(INDEX('Deck 5'!$A:$Z,ROW()-1250,'List Setup'!$G$7),CHAR(10),REPT(" ",100)),((SEARCH(CHAR(10)&amp;I1316&amp;CHAR(10),H1316)-LEN(SUBSTITUTE(LEFT(H1316,SEARCH(CHAR(10)&amp;I1316&amp;CHAR(10),H1316)),CHAR(10),"")))-1)*100+1,100))),""))</f>
        <v/>
      </c>
      <c r="K1316" s="80" t="str">
        <f t="array" ref="K1316">IF(A1316="","",IF(ISNUMBER(SEARCH("Land",LEFT(IFERROR(INDEX('Deck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16" s="80" t="str">
        <f t="shared" si="3"/>
        <v/>
      </c>
      <c r="M1316" s="80" t="str">
        <f>IF(A1316="","",IF(AND(E1316="Y",B1316='Use at Shop'!$B$4),K1316*10000000000+(MAX(0,MIN(26,CODE(MID(UPPER(A1316)&amp;"    ",1,1))-64))*19683+MAX(0,MIN(26,CODE(MID(UPPER(A1316)&amp;"    ",2,1))-64))*729+MAX(0,MIN(26,CODE(MID(UPPER(A1316)&amp;"    ",3,1))-64))*27+MAX(0,MIN(26,CODE(MID(UPPER(A1316)&amp;"    ",4,1))-64))*1)*10000+ROW(),""))</f>
        <v/>
      </c>
      <c r="N1316" s="80" t="str">
        <f t="shared" si="9"/>
        <v/>
      </c>
      <c r="O1316" s="80" t="str">
        <f t="array" ref="O1316">IF(A1316="","",IFERROR(INDEX('Deck 5'!$A:$Z,ROW()-1250,'List Setup'!$J$7)&amp;"",""))</f>
        <v/>
      </c>
      <c r="P1316" s="2"/>
      <c r="Q1316" s="80" t="str">
        <f>IF(A1316="","",'List Setup'!$A$7)</f>
        <v/>
      </c>
      <c r="R1316" s="80" t="str">
        <f t="array" ref="R1316">IF(A1316="","",IFERROR(OR(INDEX(Binders!$J$6:$J$30,MATCH(Q1316,Binders!$I$6:$I$30,0))=TRUE(),UPPER(INDEX(Binders!$J$6:$J$30,MATCH(Q1316,Binders!$I$6:$I$30,0))&amp;"")="TRUE"),FALSE()))</f>
        <v/>
      </c>
    </row>
    <row r="1317" ht="15.75" customHeight="1">
      <c r="A1317" s="80" t="str">
        <f t="array" ref="A1317">IF(INDEX('Deck 5'!$A:$Z,ROW()-1250,'List Setup'!$D$7)="","",INDEX('Deck 5'!$A:$Z,ROW()-1250,'List Setup'!$D$7))</f>
        <v/>
      </c>
      <c r="B1317" s="80" t="str">
        <f t="array" ref="B1317">IF(A1317="","",IFERROR(INDEX('Binder Setup'!$B$2:$B$401,MIN(IF(ISNUMBER(SEARCH(CHAR(10)&amp;'Binder Setup'!$B$2:$B$401&amp;CHAR(10),$H1317)),'List Setup'!$Q$2:$Q$401,999),IF(ISNUMBER(SEARCH(CHAR(10)&amp;'Set Aliases'!$A$2:$A$501&amp;CHAR(10),$H1317)),'Set Aliases'!$C$2:$C$501,999))),"(none)"))</f>
        <v/>
      </c>
      <c r="C1317" s="80" t="str">
        <f t="shared" si="1"/>
        <v/>
      </c>
      <c r="D1317" s="80" t="str">
        <f t="array" ref="D1317">IF(A1317="","",IF(ISLOGICAL(INDEX('Deck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17" s="80" t="str">
        <f t="shared" si="2"/>
        <v/>
      </c>
      <c r="F1317" s="80" t="str">
        <f t="array" ref="F1317">IF(A1317="","",IF(ISNUMBER(J1317),J1317,IF(ISNUMBER(INDEX('Deck 5'!$A:$Z,ROW()-1250,'List Setup'!$F$7)),INDEX('Deck 5'!$A:$Z,ROW()-1250,'List Setup'!$F$7),0)))</f>
        <v/>
      </c>
      <c r="G1317" s="80" t="str">
        <f t="array" ref="G1317">IF(A1317="","",A1317&amp;IF(N(INDEX('Deck 5'!$A:$Z,ROW()-1250,'List Setup'!$C$7))&gt;1," (x"&amp;INDEX('Deck 5'!$A:$Z,ROW()-1250,'List Setup'!$C$7)&amp;")","")&amp;IF(COUNTIF(Binders!$J$6:$J$30,TRUE())&gt;1," ["&amp;Q1317&amp;"]",""))</f>
        <v/>
      </c>
      <c r="H1317" s="80" t="str">
        <f t="array" ref="H1317">IF(A1317="","",CHAR(10)&amp;INDEX('Deck 5'!$A:$Z,ROW()-1250,'List Setup'!$E$7)&amp;CHAR(10))</f>
        <v/>
      </c>
      <c r="I1317" s="80" t="str">
        <f t="array" ref="I1317">IF(OR(B1317="",B1317="(none)"),"",IF(ISNUMBER(SEARCH(CHAR(10)&amp;B1317&amp;CHAR(10),H1317)),B1317,IFERROR(INDEX('Set Aliases'!$A$2:$A$501,MATCH(1,('Set Aliases'!$B$2:$B$501=B1317)*ISNUMBER(SEARCH(CHAR(10)&amp;'Set Aliases'!$A$2:$A$501&amp;CHAR(10),H1317)),0)),"")))</f>
        <v/>
      </c>
      <c r="J1317" s="80" t="str">
        <f t="array" ref="J1317">IF(I1317="","",IFERROR(VALUE(TRIM(MID(SUBSTITUTE(INDEX('Deck 5'!$A:$Z,ROW()-1250,'List Setup'!$G$7),CHAR(10),REPT(" ",100)),((SEARCH(CHAR(10)&amp;I1317&amp;CHAR(10),H1317)-LEN(SUBSTITUTE(LEFT(H1317,SEARCH(CHAR(10)&amp;I1317&amp;CHAR(10),H1317)),CHAR(10),"")))-1)*100+1,100))),""))</f>
        <v/>
      </c>
      <c r="K1317" s="80" t="str">
        <f t="array" ref="K1317">IF(A1317="","",IF(ISNUMBER(SEARCH("Land",LEFT(IFERROR(INDEX('Deck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17" s="80" t="str">
        <f t="shared" si="3"/>
        <v/>
      </c>
      <c r="M1317" s="80" t="str">
        <f>IF(A1317="","",IF(AND(E1317="Y",B1317='Use at Shop'!$B$4),K1317*10000000000+(MAX(0,MIN(26,CODE(MID(UPPER(A1317)&amp;"    ",1,1))-64))*19683+MAX(0,MIN(26,CODE(MID(UPPER(A1317)&amp;"    ",2,1))-64))*729+MAX(0,MIN(26,CODE(MID(UPPER(A1317)&amp;"    ",3,1))-64))*27+MAX(0,MIN(26,CODE(MID(UPPER(A1317)&amp;"    ",4,1))-64))*1)*10000+ROW(),""))</f>
        <v/>
      </c>
      <c r="N1317" s="80" t="str">
        <f t="shared" si="9"/>
        <v/>
      </c>
      <c r="O1317" s="80" t="str">
        <f t="array" ref="O1317">IF(A1317="","",IFERROR(INDEX('Deck 5'!$A:$Z,ROW()-1250,'List Setup'!$J$7)&amp;"",""))</f>
        <v/>
      </c>
      <c r="P1317" s="2"/>
      <c r="Q1317" s="80" t="str">
        <f>IF(A1317="","",'List Setup'!$A$7)</f>
        <v/>
      </c>
      <c r="R1317" s="80" t="str">
        <f t="array" ref="R1317">IF(A1317="","",IFERROR(OR(INDEX(Binders!$J$6:$J$30,MATCH(Q1317,Binders!$I$6:$I$30,0))=TRUE(),UPPER(INDEX(Binders!$J$6:$J$30,MATCH(Q1317,Binders!$I$6:$I$30,0))&amp;"")="TRUE"),FALSE()))</f>
        <v/>
      </c>
    </row>
    <row r="1318" ht="15.75" customHeight="1">
      <c r="A1318" s="80" t="str">
        <f t="array" ref="A1318">IF(INDEX('Deck 5'!$A:$Z,ROW()-1250,'List Setup'!$D$7)="","",INDEX('Deck 5'!$A:$Z,ROW()-1250,'List Setup'!$D$7))</f>
        <v/>
      </c>
      <c r="B1318" s="80" t="str">
        <f t="array" ref="B1318">IF(A1318="","",IFERROR(INDEX('Binder Setup'!$B$2:$B$401,MIN(IF(ISNUMBER(SEARCH(CHAR(10)&amp;'Binder Setup'!$B$2:$B$401&amp;CHAR(10),$H1318)),'List Setup'!$Q$2:$Q$401,999),IF(ISNUMBER(SEARCH(CHAR(10)&amp;'Set Aliases'!$A$2:$A$501&amp;CHAR(10),$H1318)),'Set Aliases'!$C$2:$C$501,999))),"(none)"))</f>
        <v/>
      </c>
      <c r="C1318" s="80" t="str">
        <f t="shared" si="1"/>
        <v/>
      </c>
      <c r="D1318" s="80" t="str">
        <f t="array" ref="D1318">IF(A1318="","",IF(ISLOGICAL(INDEX('Deck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18" s="80" t="str">
        <f t="shared" si="2"/>
        <v/>
      </c>
      <c r="F1318" s="80" t="str">
        <f t="array" ref="F1318">IF(A1318="","",IF(ISNUMBER(J1318),J1318,IF(ISNUMBER(INDEX('Deck 5'!$A:$Z,ROW()-1250,'List Setup'!$F$7)),INDEX('Deck 5'!$A:$Z,ROW()-1250,'List Setup'!$F$7),0)))</f>
        <v/>
      </c>
      <c r="G1318" s="80" t="str">
        <f t="array" ref="G1318">IF(A1318="","",A1318&amp;IF(N(INDEX('Deck 5'!$A:$Z,ROW()-1250,'List Setup'!$C$7))&gt;1," (x"&amp;INDEX('Deck 5'!$A:$Z,ROW()-1250,'List Setup'!$C$7)&amp;")","")&amp;IF(COUNTIF(Binders!$J$6:$J$30,TRUE())&gt;1," ["&amp;Q1318&amp;"]",""))</f>
        <v/>
      </c>
      <c r="H1318" s="80" t="str">
        <f t="array" ref="H1318">IF(A1318="","",CHAR(10)&amp;INDEX('Deck 5'!$A:$Z,ROW()-1250,'List Setup'!$E$7)&amp;CHAR(10))</f>
        <v/>
      </c>
      <c r="I1318" s="80" t="str">
        <f t="array" ref="I1318">IF(OR(B1318="",B1318="(none)"),"",IF(ISNUMBER(SEARCH(CHAR(10)&amp;B1318&amp;CHAR(10),H1318)),B1318,IFERROR(INDEX('Set Aliases'!$A$2:$A$501,MATCH(1,('Set Aliases'!$B$2:$B$501=B1318)*ISNUMBER(SEARCH(CHAR(10)&amp;'Set Aliases'!$A$2:$A$501&amp;CHAR(10),H1318)),0)),"")))</f>
        <v/>
      </c>
      <c r="J1318" s="80" t="str">
        <f t="array" ref="J1318">IF(I1318="","",IFERROR(VALUE(TRIM(MID(SUBSTITUTE(INDEX('Deck 5'!$A:$Z,ROW()-1250,'List Setup'!$G$7),CHAR(10),REPT(" ",100)),((SEARCH(CHAR(10)&amp;I1318&amp;CHAR(10),H1318)-LEN(SUBSTITUTE(LEFT(H1318,SEARCH(CHAR(10)&amp;I1318&amp;CHAR(10),H1318)),CHAR(10),"")))-1)*100+1,100))),""))</f>
        <v/>
      </c>
      <c r="K1318" s="80" t="str">
        <f t="array" ref="K1318">IF(A1318="","",IF(ISNUMBER(SEARCH("Land",LEFT(IFERROR(INDEX('Deck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18" s="80" t="str">
        <f t="shared" si="3"/>
        <v/>
      </c>
      <c r="M1318" s="80" t="str">
        <f>IF(A1318="","",IF(AND(E1318="Y",B1318='Use at Shop'!$B$4),K1318*10000000000+(MAX(0,MIN(26,CODE(MID(UPPER(A1318)&amp;"    ",1,1))-64))*19683+MAX(0,MIN(26,CODE(MID(UPPER(A1318)&amp;"    ",2,1))-64))*729+MAX(0,MIN(26,CODE(MID(UPPER(A1318)&amp;"    ",3,1))-64))*27+MAX(0,MIN(26,CODE(MID(UPPER(A1318)&amp;"    ",4,1))-64))*1)*10000+ROW(),""))</f>
        <v/>
      </c>
      <c r="N1318" s="80" t="str">
        <f t="shared" si="9"/>
        <v/>
      </c>
      <c r="O1318" s="80" t="str">
        <f t="array" ref="O1318">IF(A1318="","",IFERROR(INDEX('Deck 5'!$A:$Z,ROW()-1250,'List Setup'!$J$7)&amp;"",""))</f>
        <v/>
      </c>
      <c r="P1318" s="2"/>
      <c r="Q1318" s="80" t="str">
        <f>IF(A1318="","",'List Setup'!$A$7)</f>
        <v/>
      </c>
      <c r="R1318" s="80" t="str">
        <f t="array" ref="R1318">IF(A1318="","",IFERROR(OR(INDEX(Binders!$J$6:$J$30,MATCH(Q1318,Binders!$I$6:$I$30,0))=TRUE(),UPPER(INDEX(Binders!$J$6:$J$30,MATCH(Q1318,Binders!$I$6:$I$30,0))&amp;"")="TRUE"),FALSE()))</f>
        <v/>
      </c>
    </row>
    <row r="1319" ht="15.75" customHeight="1">
      <c r="A1319" s="80" t="str">
        <f t="array" ref="A1319">IF(INDEX('Deck 5'!$A:$Z,ROW()-1250,'List Setup'!$D$7)="","",INDEX('Deck 5'!$A:$Z,ROW()-1250,'List Setup'!$D$7))</f>
        <v/>
      </c>
      <c r="B1319" s="80" t="str">
        <f t="array" ref="B1319">IF(A1319="","",IFERROR(INDEX('Binder Setup'!$B$2:$B$401,MIN(IF(ISNUMBER(SEARCH(CHAR(10)&amp;'Binder Setup'!$B$2:$B$401&amp;CHAR(10),$H1319)),'List Setup'!$Q$2:$Q$401,999),IF(ISNUMBER(SEARCH(CHAR(10)&amp;'Set Aliases'!$A$2:$A$501&amp;CHAR(10),$H1319)),'Set Aliases'!$C$2:$C$501,999))),"(none)"))</f>
        <v/>
      </c>
      <c r="C1319" s="80" t="str">
        <f t="shared" si="1"/>
        <v/>
      </c>
      <c r="D1319" s="80" t="str">
        <f t="array" ref="D1319">IF(A1319="","",IF(ISLOGICAL(INDEX('Deck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19" s="80" t="str">
        <f t="shared" si="2"/>
        <v/>
      </c>
      <c r="F1319" s="80" t="str">
        <f t="array" ref="F1319">IF(A1319="","",IF(ISNUMBER(J1319),J1319,IF(ISNUMBER(INDEX('Deck 5'!$A:$Z,ROW()-1250,'List Setup'!$F$7)),INDEX('Deck 5'!$A:$Z,ROW()-1250,'List Setup'!$F$7),0)))</f>
        <v/>
      </c>
      <c r="G1319" s="80" t="str">
        <f t="array" ref="G1319">IF(A1319="","",A1319&amp;IF(N(INDEX('Deck 5'!$A:$Z,ROW()-1250,'List Setup'!$C$7))&gt;1," (x"&amp;INDEX('Deck 5'!$A:$Z,ROW()-1250,'List Setup'!$C$7)&amp;")","")&amp;IF(COUNTIF(Binders!$J$6:$J$30,TRUE())&gt;1," ["&amp;Q1319&amp;"]",""))</f>
        <v/>
      </c>
      <c r="H1319" s="80" t="str">
        <f t="array" ref="H1319">IF(A1319="","",CHAR(10)&amp;INDEX('Deck 5'!$A:$Z,ROW()-1250,'List Setup'!$E$7)&amp;CHAR(10))</f>
        <v/>
      </c>
      <c r="I1319" s="80" t="str">
        <f t="array" ref="I1319">IF(OR(B1319="",B1319="(none)"),"",IF(ISNUMBER(SEARCH(CHAR(10)&amp;B1319&amp;CHAR(10),H1319)),B1319,IFERROR(INDEX('Set Aliases'!$A$2:$A$501,MATCH(1,('Set Aliases'!$B$2:$B$501=B1319)*ISNUMBER(SEARCH(CHAR(10)&amp;'Set Aliases'!$A$2:$A$501&amp;CHAR(10),H1319)),0)),"")))</f>
        <v/>
      </c>
      <c r="J1319" s="80" t="str">
        <f t="array" ref="J1319">IF(I1319="","",IFERROR(VALUE(TRIM(MID(SUBSTITUTE(INDEX('Deck 5'!$A:$Z,ROW()-1250,'List Setup'!$G$7),CHAR(10),REPT(" ",100)),((SEARCH(CHAR(10)&amp;I1319&amp;CHAR(10),H1319)-LEN(SUBSTITUTE(LEFT(H1319,SEARCH(CHAR(10)&amp;I1319&amp;CHAR(10),H1319)),CHAR(10),"")))-1)*100+1,100))),""))</f>
        <v/>
      </c>
      <c r="K1319" s="80" t="str">
        <f t="array" ref="K1319">IF(A1319="","",IF(ISNUMBER(SEARCH("Land",LEFT(IFERROR(INDEX('Deck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19" s="80" t="str">
        <f t="shared" si="3"/>
        <v/>
      </c>
      <c r="M1319" s="80" t="str">
        <f>IF(A1319="","",IF(AND(E1319="Y",B1319='Use at Shop'!$B$4),K1319*10000000000+(MAX(0,MIN(26,CODE(MID(UPPER(A1319)&amp;"    ",1,1))-64))*19683+MAX(0,MIN(26,CODE(MID(UPPER(A1319)&amp;"    ",2,1))-64))*729+MAX(0,MIN(26,CODE(MID(UPPER(A1319)&amp;"    ",3,1))-64))*27+MAX(0,MIN(26,CODE(MID(UPPER(A1319)&amp;"    ",4,1))-64))*1)*10000+ROW(),""))</f>
        <v/>
      </c>
      <c r="N1319" s="80" t="str">
        <f t="shared" si="9"/>
        <v/>
      </c>
      <c r="O1319" s="80" t="str">
        <f t="array" ref="O1319">IF(A1319="","",IFERROR(INDEX('Deck 5'!$A:$Z,ROW()-1250,'List Setup'!$J$7)&amp;"",""))</f>
        <v/>
      </c>
      <c r="P1319" s="2"/>
      <c r="Q1319" s="80" t="str">
        <f>IF(A1319="","",'List Setup'!$A$7)</f>
        <v/>
      </c>
      <c r="R1319" s="80" t="str">
        <f t="array" ref="R1319">IF(A1319="","",IFERROR(OR(INDEX(Binders!$J$6:$J$30,MATCH(Q1319,Binders!$I$6:$I$30,0))=TRUE(),UPPER(INDEX(Binders!$J$6:$J$30,MATCH(Q1319,Binders!$I$6:$I$30,0))&amp;"")="TRUE"),FALSE()))</f>
        <v/>
      </c>
    </row>
    <row r="1320" ht="15.75" customHeight="1">
      <c r="A1320" s="80" t="str">
        <f t="array" ref="A1320">IF(INDEX('Deck 5'!$A:$Z,ROW()-1250,'List Setup'!$D$7)="","",INDEX('Deck 5'!$A:$Z,ROW()-1250,'List Setup'!$D$7))</f>
        <v/>
      </c>
      <c r="B1320" s="80" t="str">
        <f t="array" ref="B1320">IF(A1320="","",IFERROR(INDEX('Binder Setup'!$B$2:$B$401,MIN(IF(ISNUMBER(SEARCH(CHAR(10)&amp;'Binder Setup'!$B$2:$B$401&amp;CHAR(10),$H1320)),'List Setup'!$Q$2:$Q$401,999),IF(ISNUMBER(SEARCH(CHAR(10)&amp;'Set Aliases'!$A$2:$A$501&amp;CHAR(10),$H1320)),'Set Aliases'!$C$2:$C$501,999))),"(none)"))</f>
        <v/>
      </c>
      <c r="C1320" s="80" t="str">
        <f t="shared" si="1"/>
        <v/>
      </c>
      <c r="D1320" s="80" t="str">
        <f t="array" ref="D1320">IF(A1320="","",IF(ISLOGICAL(INDEX('Deck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20" s="80" t="str">
        <f t="shared" si="2"/>
        <v/>
      </c>
      <c r="F1320" s="80" t="str">
        <f t="array" ref="F1320">IF(A1320="","",IF(ISNUMBER(J1320),J1320,IF(ISNUMBER(INDEX('Deck 5'!$A:$Z,ROW()-1250,'List Setup'!$F$7)),INDEX('Deck 5'!$A:$Z,ROW()-1250,'List Setup'!$F$7),0)))</f>
        <v/>
      </c>
      <c r="G1320" s="80" t="str">
        <f t="array" ref="G1320">IF(A1320="","",A1320&amp;IF(N(INDEX('Deck 5'!$A:$Z,ROW()-1250,'List Setup'!$C$7))&gt;1," (x"&amp;INDEX('Deck 5'!$A:$Z,ROW()-1250,'List Setup'!$C$7)&amp;")","")&amp;IF(COUNTIF(Binders!$J$6:$J$30,TRUE())&gt;1," ["&amp;Q1320&amp;"]",""))</f>
        <v/>
      </c>
      <c r="H1320" s="80" t="str">
        <f t="array" ref="H1320">IF(A1320="","",CHAR(10)&amp;INDEX('Deck 5'!$A:$Z,ROW()-1250,'List Setup'!$E$7)&amp;CHAR(10))</f>
        <v/>
      </c>
      <c r="I1320" s="80" t="str">
        <f t="array" ref="I1320">IF(OR(B1320="",B1320="(none)"),"",IF(ISNUMBER(SEARCH(CHAR(10)&amp;B1320&amp;CHAR(10),H1320)),B1320,IFERROR(INDEX('Set Aliases'!$A$2:$A$501,MATCH(1,('Set Aliases'!$B$2:$B$501=B1320)*ISNUMBER(SEARCH(CHAR(10)&amp;'Set Aliases'!$A$2:$A$501&amp;CHAR(10),H1320)),0)),"")))</f>
        <v/>
      </c>
      <c r="J1320" s="80" t="str">
        <f t="array" ref="J1320">IF(I1320="","",IFERROR(VALUE(TRIM(MID(SUBSTITUTE(INDEX('Deck 5'!$A:$Z,ROW()-1250,'List Setup'!$G$7),CHAR(10),REPT(" ",100)),((SEARCH(CHAR(10)&amp;I1320&amp;CHAR(10),H1320)-LEN(SUBSTITUTE(LEFT(H1320,SEARCH(CHAR(10)&amp;I1320&amp;CHAR(10),H1320)),CHAR(10),"")))-1)*100+1,100))),""))</f>
        <v/>
      </c>
      <c r="K1320" s="80" t="str">
        <f t="array" ref="K1320">IF(A1320="","",IF(ISNUMBER(SEARCH("Land",LEFT(IFERROR(INDEX('Deck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20" s="80" t="str">
        <f t="shared" si="3"/>
        <v/>
      </c>
      <c r="M1320" s="80" t="str">
        <f>IF(A1320="","",IF(AND(E1320="Y",B1320='Use at Shop'!$B$4),K1320*10000000000+(MAX(0,MIN(26,CODE(MID(UPPER(A1320)&amp;"    ",1,1))-64))*19683+MAX(0,MIN(26,CODE(MID(UPPER(A1320)&amp;"    ",2,1))-64))*729+MAX(0,MIN(26,CODE(MID(UPPER(A1320)&amp;"    ",3,1))-64))*27+MAX(0,MIN(26,CODE(MID(UPPER(A1320)&amp;"    ",4,1))-64))*1)*10000+ROW(),""))</f>
        <v/>
      </c>
      <c r="N1320" s="80" t="str">
        <f t="shared" si="9"/>
        <v/>
      </c>
      <c r="O1320" s="80" t="str">
        <f t="array" ref="O1320">IF(A1320="","",IFERROR(INDEX('Deck 5'!$A:$Z,ROW()-1250,'List Setup'!$J$7)&amp;"",""))</f>
        <v/>
      </c>
      <c r="P1320" s="2"/>
      <c r="Q1320" s="80" t="str">
        <f>IF(A1320="","",'List Setup'!$A$7)</f>
        <v/>
      </c>
      <c r="R1320" s="80" t="str">
        <f t="array" ref="R1320">IF(A1320="","",IFERROR(OR(INDEX(Binders!$J$6:$J$30,MATCH(Q1320,Binders!$I$6:$I$30,0))=TRUE(),UPPER(INDEX(Binders!$J$6:$J$30,MATCH(Q1320,Binders!$I$6:$I$30,0))&amp;"")="TRUE"),FALSE()))</f>
        <v/>
      </c>
    </row>
    <row r="1321" ht="15.75" customHeight="1">
      <c r="A1321" s="80" t="str">
        <f t="array" ref="A1321">IF(INDEX('Deck 5'!$A:$Z,ROW()-1250,'List Setup'!$D$7)="","",INDEX('Deck 5'!$A:$Z,ROW()-1250,'List Setup'!$D$7))</f>
        <v/>
      </c>
      <c r="B1321" s="80" t="str">
        <f t="array" ref="B1321">IF(A1321="","",IFERROR(INDEX('Binder Setup'!$B$2:$B$401,MIN(IF(ISNUMBER(SEARCH(CHAR(10)&amp;'Binder Setup'!$B$2:$B$401&amp;CHAR(10),$H1321)),'List Setup'!$Q$2:$Q$401,999),IF(ISNUMBER(SEARCH(CHAR(10)&amp;'Set Aliases'!$A$2:$A$501&amp;CHAR(10),$H1321)),'Set Aliases'!$C$2:$C$501,999))),"(none)"))</f>
        <v/>
      </c>
      <c r="C1321" s="80" t="str">
        <f t="shared" si="1"/>
        <v/>
      </c>
      <c r="D1321" s="80" t="str">
        <f t="array" ref="D1321">IF(A1321="","",IF(ISLOGICAL(INDEX('Deck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21" s="80" t="str">
        <f t="shared" si="2"/>
        <v/>
      </c>
      <c r="F1321" s="80" t="str">
        <f t="array" ref="F1321">IF(A1321="","",IF(ISNUMBER(J1321),J1321,IF(ISNUMBER(INDEX('Deck 5'!$A:$Z,ROW()-1250,'List Setup'!$F$7)),INDEX('Deck 5'!$A:$Z,ROW()-1250,'List Setup'!$F$7),0)))</f>
        <v/>
      </c>
      <c r="G1321" s="80" t="str">
        <f t="array" ref="G1321">IF(A1321="","",A1321&amp;IF(N(INDEX('Deck 5'!$A:$Z,ROW()-1250,'List Setup'!$C$7))&gt;1," (x"&amp;INDEX('Deck 5'!$A:$Z,ROW()-1250,'List Setup'!$C$7)&amp;")","")&amp;IF(COUNTIF(Binders!$J$6:$J$30,TRUE())&gt;1," ["&amp;Q1321&amp;"]",""))</f>
        <v/>
      </c>
      <c r="H1321" s="80" t="str">
        <f t="array" ref="H1321">IF(A1321="","",CHAR(10)&amp;INDEX('Deck 5'!$A:$Z,ROW()-1250,'List Setup'!$E$7)&amp;CHAR(10))</f>
        <v/>
      </c>
      <c r="I1321" s="80" t="str">
        <f t="array" ref="I1321">IF(OR(B1321="",B1321="(none)"),"",IF(ISNUMBER(SEARCH(CHAR(10)&amp;B1321&amp;CHAR(10),H1321)),B1321,IFERROR(INDEX('Set Aliases'!$A$2:$A$501,MATCH(1,('Set Aliases'!$B$2:$B$501=B1321)*ISNUMBER(SEARCH(CHAR(10)&amp;'Set Aliases'!$A$2:$A$501&amp;CHAR(10),H1321)),0)),"")))</f>
        <v/>
      </c>
      <c r="J1321" s="80" t="str">
        <f t="array" ref="J1321">IF(I1321="","",IFERROR(VALUE(TRIM(MID(SUBSTITUTE(INDEX('Deck 5'!$A:$Z,ROW()-1250,'List Setup'!$G$7),CHAR(10),REPT(" ",100)),((SEARCH(CHAR(10)&amp;I1321&amp;CHAR(10),H1321)-LEN(SUBSTITUTE(LEFT(H1321,SEARCH(CHAR(10)&amp;I1321&amp;CHAR(10),H1321)),CHAR(10),"")))-1)*100+1,100))),""))</f>
        <v/>
      </c>
      <c r="K1321" s="80" t="str">
        <f t="array" ref="K1321">IF(A1321="","",IF(ISNUMBER(SEARCH("Land",LEFT(IFERROR(INDEX('Deck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21" s="80" t="str">
        <f t="shared" si="3"/>
        <v/>
      </c>
      <c r="M1321" s="80" t="str">
        <f>IF(A1321="","",IF(AND(E1321="Y",B1321='Use at Shop'!$B$4),K1321*10000000000+(MAX(0,MIN(26,CODE(MID(UPPER(A1321)&amp;"    ",1,1))-64))*19683+MAX(0,MIN(26,CODE(MID(UPPER(A1321)&amp;"    ",2,1))-64))*729+MAX(0,MIN(26,CODE(MID(UPPER(A1321)&amp;"    ",3,1))-64))*27+MAX(0,MIN(26,CODE(MID(UPPER(A1321)&amp;"    ",4,1))-64))*1)*10000+ROW(),""))</f>
        <v/>
      </c>
      <c r="N1321" s="80" t="str">
        <f t="shared" si="9"/>
        <v/>
      </c>
      <c r="O1321" s="80" t="str">
        <f t="array" ref="O1321">IF(A1321="","",IFERROR(INDEX('Deck 5'!$A:$Z,ROW()-1250,'List Setup'!$J$7)&amp;"",""))</f>
        <v/>
      </c>
      <c r="P1321" s="2"/>
      <c r="Q1321" s="80" t="str">
        <f>IF(A1321="","",'List Setup'!$A$7)</f>
        <v/>
      </c>
      <c r="R1321" s="80" t="str">
        <f t="array" ref="R1321">IF(A1321="","",IFERROR(OR(INDEX(Binders!$J$6:$J$30,MATCH(Q1321,Binders!$I$6:$I$30,0))=TRUE(),UPPER(INDEX(Binders!$J$6:$J$30,MATCH(Q1321,Binders!$I$6:$I$30,0))&amp;"")="TRUE"),FALSE()))</f>
        <v/>
      </c>
    </row>
    <row r="1322" ht="15.75" customHeight="1">
      <c r="A1322" s="80" t="str">
        <f t="array" ref="A1322">IF(INDEX('Deck 5'!$A:$Z,ROW()-1250,'List Setup'!$D$7)="","",INDEX('Deck 5'!$A:$Z,ROW()-1250,'List Setup'!$D$7))</f>
        <v/>
      </c>
      <c r="B1322" s="80" t="str">
        <f t="array" ref="B1322">IF(A1322="","",IFERROR(INDEX('Binder Setup'!$B$2:$B$401,MIN(IF(ISNUMBER(SEARCH(CHAR(10)&amp;'Binder Setup'!$B$2:$B$401&amp;CHAR(10),$H1322)),'List Setup'!$Q$2:$Q$401,999),IF(ISNUMBER(SEARCH(CHAR(10)&amp;'Set Aliases'!$A$2:$A$501&amp;CHAR(10),$H1322)),'Set Aliases'!$C$2:$C$501,999))),"(none)"))</f>
        <v/>
      </c>
      <c r="C1322" s="80" t="str">
        <f t="shared" si="1"/>
        <v/>
      </c>
      <c r="D1322" s="80" t="str">
        <f t="array" ref="D1322">IF(A1322="","",IF(ISLOGICAL(INDEX('Deck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22" s="80" t="str">
        <f t="shared" si="2"/>
        <v/>
      </c>
      <c r="F1322" s="80" t="str">
        <f t="array" ref="F1322">IF(A1322="","",IF(ISNUMBER(J1322),J1322,IF(ISNUMBER(INDEX('Deck 5'!$A:$Z,ROW()-1250,'List Setup'!$F$7)),INDEX('Deck 5'!$A:$Z,ROW()-1250,'List Setup'!$F$7),0)))</f>
        <v/>
      </c>
      <c r="G1322" s="80" t="str">
        <f t="array" ref="G1322">IF(A1322="","",A1322&amp;IF(N(INDEX('Deck 5'!$A:$Z,ROW()-1250,'List Setup'!$C$7))&gt;1," (x"&amp;INDEX('Deck 5'!$A:$Z,ROW()-1250,'List Setup'!$C$7)&amp;")","")&amp;IF(COUNTIF(Binders!$J$6:$J$30,TRUE())&gt;1," ["&amp;Q1322&amp;"]",""))</f>
        <v/>
      </c>
      <c r="H1322" s="80" t="str">
        <f t="array" ref="H1322">IF(A1322="","",CHAR(10)&amp;INDEX('Deck 5'!$A:$Z,ROW()-1250,'List Setup'!$E$7)&amp;CHAR(10))</f>
        <v/>
      </c>
      <c r="I1322" s="80" t="str">
        <f t="array" ref="I1322">IF(OR(B1322="",B1322="(none)"),"",IF(ISNUMBER(SEARCH(CHAR(10)&amp;B1322&amp;CHAR(10),H1322)),B1322,IFERROR(INDEX('Set Aliases'!$A$2:$A$501,MATCH(1,('Set Aliases'!$B$2:$B$501=B1322)*ISNUMBER(SEARCH(CHAR(10)&amp;'Set Aliases'!$A$2:$A$501&amp;CHAR(10),H1322)),0)),"")))</f>
        <v/>
      </c>
      <c r="J1322" s="80" t="str">
        <f t="array" ref="J1322">IF(I1322="","",IFERROR(VALUE(TRIM(MID(SUBSTITUTE(INDEX('Deck 5'!$A:$Z,ROW()-1250,'List Setup'!$G$7),CHAR(10),REPT(" ",100)),((SEARCH(CHAR(10)&amp;I1322&amp;CHAR(10),H1322)-LEN(SUBSTITUTE(LEFT(H1322,SEARCH(CHAR(10)&amp;I1322&amp;CHAR(10),H1322)),CHAR(10),"")))-1)*100+1,100))),""))</f>
        <v/>
      </c>
      <c r="K1322" s="80" t="str">
        <f t="array" ref="K1322">IF(A1322="","",IF(ISNUMBER(SEARCH("Land",LEFT(IFERROR(INDEX('Deck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22" s="80" t="str">
        <f t="shared" si="3"/>
        <v/>
      </c>
      <c r="M1322" s="80" t="str">
        <f>IF(A1322="","",IF(AND(E1322="Y",B1322='Use at Shop'!$B$4),K1322*10000000000+(MAX(0,MIN(26,CODE(MID(UPPER(A1322)&amp;"    ",1,1))-64))*19683+MAX(0,MIN(26,CODE(MID(UPPER(A1322)&amp;"    ",2,1))-64))*729+MAX(0,MIN(26,CODE(MID(UPPER(A1322)&amp;"    ",3,1))-64))*27+MAX(0,MIN(26,CODE(MID(UPPER(A1322)&amp;"    ",4,1))-64))*1)*10000+ROW(),""))</f>
        <v/>
      </c>
      <c r="N1322" s="80" t="str">
        <f t="shared" si="9"/>
        <v/>
      </c>
      <c r="O1322" s="80" t="str">
        <f t="array" ref="O1322">IF(A1322="","",IFERROR(INDEX('Deck 5'!$A:$Z,ROW()-1250,'List Setup'!$J$7)&amp;"",""))</f>
        <v/>
      </c>
      <c r="P1322" s="2"/>
      <c r="Q1322" s="80" t="str">
        <f>IF(A1322="","",'List Setup'!$A$7)</f>
        <v/>
      </c>
      <c r="R1322" s="80" t="str">
        <f t="array" ref="R1322">IF(A1322="","",IFERROR(OR(INDEX(Binders!$J$6:$J$30,MATCH(Q1322,Binders!$I$6:$I$30,0))=TRUE(),UPPER(INDEX(Binders!$J$6:$J$30,MATCH(Q1322,Binders!$I$6:$I$30,0))&amp;"")="TRUE"),FALSE()))</f>
        <v/>
      </c>
    </row>
    <row r="1323" ht="15.75" customHeight="1">
      <c r="A1323" s="80" t="str">
        <f t="array" ref="A1323">IF(INDEX('Deck 5'!$A:$Z,ROW()-1250,'List Setup'!$D$7)="","",INDEX('Deck 5'!$A:$Z,ROW()-1250,'List Setup'!$D$7))</f>
        <v/>
      </c>
      <c r="B1323" s="80" t="str">
        <f t="array" ref="B1323">IF(A1323="","",IFERROR(INDEX('Binder Setup'!$B$2:$B$401,MIN(IF(ISNUMBER(SEARCH(CHAR(10)&amp;'Binder Setup'!$B$2:$B$401&amp;CHAR(10),$H1323)),'List Setup'!$Q$2:$Q$401,999),IF(ISNUMBER(SEARCH(CHAR(10)&amp;'Set Aliases'!$A$2:$A$501&amp;CHAR(10),$H1323)),'Set Aliases'!$C$2:$C$501,999))),"(none)"))</f>
        <v/>
      </c>
      <c r="C1323" s="80" t="str">
        <f t="shared" si="1"/>
        <v/>
      </c>
      <c r="D1323" s="80" t="str">
        <f t="array" ref="D1323">IF(A1323="","",IF(ISLOGICAL(INDEX('Deck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23" s="80" t="str">
        <f t="shared" si="2"/>
        <v/>
      </c>
      <c r="F1323" s="80" t="str">
        <f t="array" ref="F1323">IF(A1323="","",IF(ISNUMBER(J1323),J1323,IF(ISNUMBER(INDEX('Deck 5'!$A:$Z,ROW()-1250,'List Setup'!$F$7)),INDEX('Deck 5'!$A:$Z,ROW()-1250,'List Setup'!$F$7),0)))</f>
        <v/>
      </c>
      <c r="G1323" s="80" t="str">
        <f t="array" ref="G1323">IF(A1323="","",A1323&amp;IF(N(INDEX('Deck 5'!$A:$Z,ROW()-1250,'List Setup'!$C$7))&gt;1," (x"&amp;INDEX('Deck 5'!$A:$Z,ROW()-1250,'List Setup'!$C$7)&amp;")","")&amp;IF(COUNTIF(Binders!$J$6:$J$30,TRUE())&gt;1," ["&amp;Q1323&amp;"]",""))</f>
        <v/>
      </c>
      <c r="H1323" s="80" t="str">
        <f t="array" ref="H1323">IF(A1323="","",CHAR(10)&amp;INDEX('Deck 5'!$A:$Z,ROW()-1250,'List Setup'!$E$7)&amp;CHAR(10))</f>
        <v/>
      </c>
      <c r="I1323" s="80" t="str">
        <f t="array" ref="I1323">IF(OR(B1323="",B1323="(none)"),"",IF(ISNUMBER(SEARCH(CHAR(10)&amp;B1323&amp;CHAR(10),H1323)),B1323,IFERROR(INDEX('Set Aliases'!$A$2:$A$501,MATCH(1,('Set Aliases'!$B$2:$B$501=B1323)*ISNUMBER(SEARCH(CHAR(10)&amp;'Set Aliases'!$A$2:$A$501&amp;CHAR(10),H1323)),0)),"")))</f>
        <v/>
      </c>
      <c r="J1323" s="80" t="str">
        <f t="array" ref="J1323">IF(I1323="","",IFERROR(VALUE(TRIM(MID(SUBSTITUTE(INDEX('Deck 5'!$A:$Z,ROW()-1250,'List Setup'!$G$7),CHAR(10),REPT(" ",100)),((SEARCH(CHAR(10)&amp;I1323&amp;CHAR(10),H1323)-LEN(SUBSTITUTE(LEFT(H1323,SEARCH(CHAR(10)&amp;I1323&amp;CHAR(10),H1323)),CHAR(10),"")))-1)*100+1,100))),""))</f>
        <v/>
      </c>
      <c r="K1323" s="80" t="str">
        <f t="array" ref="K1323">IF(A1323="","",IF(ISNUMBER(SEARCH("Land",LEFT(IFERROR(INDEX('Deck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23" s="80" t="str">
        <f t="shared" si="3"/>
        <v/>
      </c>
      <c r="M1323" s="80" t="str">
        <f>IF(A1323="","",IF(AND(E1323="Y",B1323='Use at Shop'!$B$4),K1323*10000000000+(MAX(0,MIN(26,CODE(MID(UPPER(A1323)&amp;"    ",1,1))-64))*19683+MAX(0,MIN(26,CODE(MID(UPPER(A1323)&amp;"    ",2,1))-64))*729+MAX(0,MIN(26,CODE(MID(UPPER(A1323)&amp;"    ",3,1))-64))*27+MAX(0,MIN(26,CODE(MID(UPPER(A1323)&amp;"    ",4,1))-64))*1)*10000+ROW(),""))</f>
        <v/>
      </c>
      <c r="N1323" s="80" t="str">
        <f t="shared" si="9"/>
        <v/>
      </c>
      <c r="O1323" s="80" t="str">
        <f t="array" ref="O1323">IF(A1323="","",IFERROR(INDEX('Deck 5'!$A:$Z,ROW()-1250,'List Setup'!$J$7)&amp;"",""))</f>
        <v/>
      </c>
      <c r="P1323" s="2"/>
      <c r="Q1323" s="80" t="str">
        <f>IF(A1323="","",'List Setup'!$A$7)</f>
        <v/>
      </c>
      <c r="R1323" s="80" t="str">
        <f t="array" ref="R1323">IF(A1323="","",IFERROR(OR(INDEX(Binders!$J$6:$J$30,MATCH(Q1323,Binders!$I$6:$I$30,0))=TRUE(),UPPER(INDEX(Binders!$J$6:$J$30,MATCH(Q1323,Binders!$I$6:$I$30,0))&amp;"")="TRUE"),FALSE()))</f>
        <v/>
      </c>
    </row>
    <row r="1324" ht="15.75" customHeight="1">
      <c r="A1324" s="80" t="str">
        <f t="array" ref="A1324">IF(INDEX('Deck 5'!$A:$Z,ROW()-1250,'List Setup'!$D$7)="","",INDEX('Deck 5'!$A:$Z,ROW()-1250,'List Setup'!$D$7))</f>
        <v/>
      </c>
      <c r="B1324" s="80" t="str">
        <f t="array" ref="B1324">IF(A1324="","",IFERROR(INDEX('Binder Setup'!$B$2:$B$401,MIN(IF(ISNUMBER(SEARCH(CHAR(10)&amp;'Binder Setup'!$B$2:$B$401&amp;CHAR(10),$H1324)),'List Setup'!$Q$2:$Q$401,999),IF(ISNUMBER(SEARCH(CHAR(10)&amp;'Set Aliases'!$A$2:$A$501&amp;CHAR(10),$H1324)),'Set Aliases'!$C$2:$C$501,999))),"(none)"))</f>
        <v/>
      </c>
      <c r="C1324" s="80" t="str">
        <f t="shared" si="1"/>
        <v/>
      </c>
      <c r="D1324" s="80" t="str">
        <f t="array" ref="D1324">IF(A1324="","",IF(ISLOGICAL(INDEX('Deck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24" s="80" t="str">
        <f t="shared" si="2"/>
        <v/>
      </c>
      <c r="F1324" s="80" t="str">
        <f t="array" ref="F1324">IF(A1324="","",IF(ISNUMBER(J1324),J1324,IF(ISNUMBER(INDEX('Deck 5'!$A:$Z,ROW()-1250,'List Setup'!$F$7)),INDEX('Deck 5'!$A:$Z,ROW()-1250,'List Setup'!$F$7),0)))</f>
        <v/>
      </c>
      <c r="G1324" s="80" t="str">
        <f t="array" ref="G1324">IF(A1324="","",A1324&amp;IF(N(INDEX('Deck 5'!$A:$Z,ROW()-1250,'List Setup'!$C$7))&gt;1," (x"&amp;INDEX('Deck 5'!$A:$Z,ROW()-1250,'List Setup'!$C$7)&amp;")","")&amp;IF(COUNTIF(Binders!$J$6:$J$30,TRUE())&gt;1," ["&amp;Q1324&amp;"]",""))</f>
        <v/>
      </c>
      <c r="H1324" s="80" t="str">
        <f t="array" ref="H1324">IF(A1324="","",CHAR(10)&amp;INDEX('Deck 5'!$A:$Z,ROW()-1250,'List Setup'!$E$7)&amp;CHAR(10))</f>
        <v/>
      </c>
      <c r="I1324" s="80" t="str">
        <f t="array" ref="I1324">IF(OR(B1324="",B1324="(none)"),"",IF(ISNUMBER(SEARCH(CHAR(10)&amp;B1324&amp;CHAR(10),H1324)),B1324,IFERROR(INDEX('Set Aliases'!$A$2:$A$501,MATCH(1,('Set Aliases'!$B$2:$B$501=B1324)*ISNUMBER(SEARCH(CHAR(10)&amp;'Set Aliases'!$A$2:$A$501&amp;CHAR(10),H1324)),0)),"")))</f>
        <v/>
      </c>
      <c r="J1324" s="80" t="str">
        <f t="array" ref="J1324">IF(I1324="","",IFERROR(VALUE(TRIM(MID(SUBSTITUTE(INDEX('Deck 5'!$A:$Z,ROW()-1250,'List Setup'!$G$7),CHAR(10),REPT(" ",100)),((SEARCH(CHAR(10)&amp;I1324&amp;CHAR(10),H1324)-LEN(SUBSTITUTE(LEFT(H1324,SEARCH(CHAR(10)&amp;I1324&amp;CHAR(10),H1324)),CHAR(10),"")))-1)*100+1,100))),""))</f>
        <v/>
      </c>
      <c r="K1324" s="80" t="str">
        <f t="array" ref="K1324">IF(A1324="","",IF(ISNUMBER(SEARCH("Land",LEFT(IFERROR(INDEX('Deck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24" s="80" t="str">
        <f t="shared" si="3"/>
        <v/>
      </c>
      <c r="M1324" s="80" t="str">
        <f>IF(A1324="","",IF(AND(E1324="Y",B1324='Use at Shop'!$B$4),K1324*10000000000+(MAX(0,MIN(26,CODE(MID(UPPER(A1324)&amp;"    ",1,1))-64))*19683+MAX(0,MIN(26,CODE(MID(UPPER(A1324)&amp;"    ",2,1))-64))*729+MAX(0,MIN(26,CODE(MID(UPPER(A1324)&amp;"    ",3,1))-64))*27+MAX(0,MIN(26,CODE(MID(UPPER(A1324)&amp;"    ",4,1))-64))*1)*10000+ROW(),""))</f>
        <v/>
      </c>
      <c r="N1324" s="80" t="str">
        <f t="shared" si="9"/>
        <v/>
      </c>
      <c r="O1324" s="80" t="str">
        <f t="array" ref="O1324">IF(A1324="","",IFERROR(INDEX('Deck 5'!$A:$Z,ROW()-1250,'List Setup'!$J$7)&amp;"",""))</f>
        <v/>
      </c>
      <c r="P1324" s="2"/>
      <c r="Q1324" s="80" t="str">
        <f>IF(A1324="","",'List Setup'!$A$7)</f>
        <v/>
      </c>
      <c r="R1324" s="80" t="str">
        <f t="array" ref="R1324">IF(A1324="","",IFERROR(OR(INDEX(Binders!$J$6:$J$30,MATCH(Q1324,Binders!$I$6:$I$30,0))=TRUE(),UPPER(INDEX(Binders!$J$6:$J$30,MATCH(Q1324,Binders!$I$6:$I$30,0))&amp;"")="TRUE"),FALSE()))</f>
        <v/>
      </c>
    </row>
    <row r="1325" ht="15.75" customHeight="1">
      <c r="A1325" s="80" t="str">
        <f t="array" ref="A1325">IF(INDEX('Deck 5'!$A:$Z,ROW()-1250,'List Setup'!$D$7)="","",INDEX('Deck 5'!$A:$Z,ROW()-1250,'List Setup'!$D$7))</f>
        <v/>
      </c>
      <c r="B1325" s="80" t="str">
        <f t="array" ref="B1325">IF(A1325="","",IFERROR(INDEX('Binder Setup'!$B$2:$B$401,MIN(IF(ISNUMBER(SEARCH(CHAR(10)&amp;'Binder Setup'!$B$2:$B$401&amp;CHAR(10),$H1325)),'List Setup'!$Q$2:$Q$401,999),IF(ISNUMBER(SEARCH(CHAR(10)&amp;'Set Aliases'!$A$2:$A$501&amp;CHAR(10),$H1325)),'Set Aliases'!$C$2:$C$501,999))),"(none)"))</f>
        <v/>
      </c>
      <c r="C1325" s="80" t="str">
        <f t="shared" si="1"/>
        <v/>
      </c>
      <c r="D1325" s="80" t="str">
        <f t="array" ref="D1325">IF(A1325="","",IF(ISLOGICAL(INDEX('Deck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25" s="80" t="str">
        <f t="shared" si="2"/>
        <v/>
      </c>
      <c r="F1325" s="80" t="str">
        <f t="array" ref="F1325">IF(A1325="","",IF(ISNUMBER(J1325),J1325,IF(ISNUMBER(INDEX('Deck 5'!$A:$Z,ROW()-1250,'List Setup'!$F$7)),INDEX('Deck 5'!$A:$Z,ROW()-1250,'List Setup'!$F$7),0)))</f>
        <v/>
      </c>
      <c r="G1325" s="80" t="str">
        <f t="array" ref="G1325">IF(A1325="","",A1325&amp;IF(N(INDEX('Deck 5'!$A:$Z,ROW()-1250,'List Setup'!$C$7))&gt;1," (x"&amp;INDEX('Deck 5'!$A:$Z,ROW()-1250,'List Setup'!$C$7)&amp;")","")&amp;IF(COUNTIF(Binders!$J$6:$J$30,TRUE())&gt;1," ["&amp;Q1325&amp;"]",""))</f>
        <v/>
      </c>
      <c r="H1325" s="80" t="str">
        <f t="array" ref="H1325">IF(A1325="","",CHAR(10)&amp;INDEX('Deck 5'!$A:$Z,ROW()-1250,'List Setup'!$E$7)&amp;CHAR(10))</f>
        <v/>
      </c>
      <c r="I1325" s="80" t="str">
        <f t="array" ref="I1325">IF(OR(B1325="",B1325="(none)"),"",IF(ISNUMBER(SEARCH(CHAR(10)&amp;B1325&amp;CHAR(10),H1325)),B1325,IFERROR(INDEX('Set Aliases'!$A$2:$A$501,MATCH(1,('Set Aliases'!$B$2:$B$501=B1325)*ISNUMBER(SEARCH(CHAR(10)&amp;'Set Aliases'!$A$2:$A$501&amp;CHAR(10),H1325)),0)),"")))</f>
        <v/>
      </c>
      <c r="J1325" s="80" t="str">
        <f t="array" ref="J1325">IF(I1325="","",IFERROR(VALUE(TRIM(MID(SUBSTITUTE(INDEX('Deck 5'!$A:$Z,ROW()-1250,'List Setup'!$G$7),CHAR(10),REPT(" ",100)),((SEARCH(CHAR(10)&amp;I1325&amp;CHAR(10),H1325)-LEN(SUBSTITUTE(LEFT(H1325,SEARCH(CHAR(10)&amp;I1325&amp;CHAR(10),H1325)),CHAR(10),"")))-1)*100+1,100))),""))</f>
        <v/>
      </c>
      <c r="K1325" s="80" t="str">
        <f t="array" ref="K1325">IF(A1325="","",IF(ISNUMBER(SEARCH("Land",LEFT(IFERROR(INDEX('Deck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25" s="80" t="str">
        <f t="shared" si="3"/>
        <v/>
      </c>
      <c r="M1325" s="80" t="str">
        <f>IF(A1325="","",IF(AND(E1325="Y",B1325='Use at Shop'!$B$4),K1325*10000000000+(MAX(0,MIN(26,CODE(MID(UPPER(A1325)&amp;"    ",1,1))-64))*19683+MAX(0,MIN(26,CODE(MID(UPPER(A1325)&amp;"    ",2,1))-64))*729+MAX(0,MIN(26,CODE(MID(UPPER(A1325)&amp;"    ",3,1))-64))*27+MAX(0,MIN(26,CODE(MID(UPPER(A1325)&amp;"    ",4,1))-64))*1)*10000+ROW(),""))</f>
        <v/>
      </c>
      <c r="N1325" s="80" t="str">
        <f t="shared" si="9"/>
        <v/>
      </c>
      <c r="O1325" s="80" t="str">
        <f t="array" ref="O1325">IF(A1325="","",IFERROR(INDEX('Deck 5'!$A:$Z,ROW()-1250,'List Setup'!$J$7)&amp;"",""))</f>
        <v/>
      </c>
      <c r="P1325" s="2"/>
      <c r="Q1325" s="80" t="str">
        <f>IF(A1325="","",'List Setup'!$A$7)</f>
        <v/>
      </c>
      <c r="R1325" s="80" t="str">
        <f t="array" ref="R1325">IF(A1325="","",IFERROR(OR(INDEX(Binders!$J$6:$J$30,MATCH(Q1325,Binders!$I$6:$I$30,0))=TRUE(),UPPER(INDEX(Binders!$J$6:$J$30,MATCH(Q1325,Binders!$I$6:$I$30,0))&amp;"")="TRUE"),FALSE()))</f>
        <v/>
      </c>
    </row>
    <row r="1326" ht="15.75" customHeight="1">
      <c r="A1326" s="80" t="str">
        <f t="array" ref="A1326">IF(INDEX('Deck 5'!$A:$Z,ROW()-1250,'List Setup'!$D$7)="","",INDEX('Deck 5'!$A:$Z,ROW()-1250,'List Setup'!$D$7))</f>
        <v/>
      </c>
      <c r="B1326" s="80" t="str">
        <f t="array" ref="B1326">IF(A1326="","",IFERROR(INDEX('Binder Setup'!$B$2:$B$401,MIN(IF(ISNUMBER(SEARCH(CHAR(10)&amp;'Binder Setup'!$B$2:$B$401&amp;CHAR(10),$H1326)),'List Setup'!$Q$2:$Q$401,999),IF(ISNUMBER(SEARCH(CHAR(10)&amp;'Set Aliases'!$A$2:$A$501&amp;CHAR(10),$H1326)),'Set Aliases'!$C$2:$C$501,999))),"(none)"))</f>
        <v/>
      </c>
      <c r="C1326" s="80" t="str">
        <f t="shared" si="1"/>
        <v/>
      </c>
      <c r="D1326" s="80" t="str">
        <f t="array" ref="D1326">IF(A1326="","",IF(ISLOGICAL(INDEX('Deck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26" s="80" t="str">
        <f t="shared" si="2"/>
        <v/>
      </c>
      <c r="F1326" s="80" t="str">
        <f t="array" ref="F1326">IF(A1326="","",IF(ISNUMBER(J1326),J1326,IF(ISNUMBER(INDEX('Deck 5'!$A:$Z,ROW()-1250,'List Setup'!$F$7)),INDEX('Deck 5'!$A:$Z,ROW()-1250,'List Setup'!$F$7),0)))</f>
        <v/>
      </c>
      <c r="G1326" s="80" t="str">
        <f t="array" ref="G1326">IF(A1326="","",A1326&amp;IF(N(INDEX('Deck 5'!$A:$Z,ROW()-1250,'List Setup'!$C$7))&gt;1," (x"&amp;INDEX('Deck 5'!$A:$Z,ROW()-1250,'List Setup'!$C$7)&amp;")","")&amp;IF(COUNTIF(Binders!$J$6:$J$30,TRUE())&gt;1," ["&amp;Q1326&amp;"]",""))</f>
        <v/>
      </c>
      <c r="H1326" s="80" t="str">
        <f t="array" ref="H1326">IF(A1326="","",CHAR(10)&amp;INDEX('Deck 5'!$A:$Z,ROW()-1250,'List Setup'!$E$7)&amp;CHAR(10))</f>
        <v/>
      </c>
      <c r="I1326" s="80" t="str">
        <f t="array" ref="I1326">IF(OR(B1326="",B1326="(none)"),"",IF(ISNUMBER(SEARCH(CHAR(10)&amp;B1326&amp;CHAR(10),H1326)),B1326,IFERROR(INDEX('Set Aliases'!$A$2:$A$501,MATCH(1,('Set Aliases'!$B$2:$B$501=B1326)*ISNUMBER(SEARCH(CHAR(10)&amp;'Set Aliases'!$A$2:$A$501&amp;CHAR(10),H1326)),0)),"")))</f>
        <v/>
      </c>
      <c r="J1326" s="80" t="str">
        <f t="array" ref="J1326">IF(I1326="","",IFERROR(VALUE(TRIM(MID(SUBSTITUTE(INDEX('Deck 5'!$A:$Z,ROW()-1250,'List Setup'!$G$7),CHAR(10),REPT(" ",100)),((SEARCH(CHAR(10)&amp;I1326&amp;CHAR(10),H1326)-LEN(SUBSTITUTE(LEFT(H1326,SEARCH(CHAR(10)&amp;I1326&amp;CHAR(10),H1326)),CHAR(10),"")))-1)*100+1,100))),""))</f>
        <v/>
      </c>
      <c r="K1326" s="80" t="str">
        <f t="array" ref="K1326">IF(A1326="","",IF(ISNUMBER(SEARCH("Land",LEFT(IFERROR(INDEX('Deck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26" s="80" t="str">
        <f t="shared" si="3"/>
        <v/>
      </c>
      <c r="M1326" s="80" t="str">
        <f>IF(A1326="","",IF(AND(E1326="Y",B1326='Use at Shop'!$B$4),K1326*10000000000+(MAX(0,MIN(26,CODE(MID(UPPER(A1326)&amp;"    ",1,1))-64))*19683+MAX(0,MIN(26,CODE(MID(UPPER(A1326)&amp;"    ",2,1))-64))*729+MAX(0,MIN(26,CODE(MID(UPPER(A1326)&amp;"    ",3,1))-64))*27+MAX(0,MIN(26,CODE(MID(UPPER(A1326)&amp;"    ",4,1))-64))*1)*10000+ROW(),""))</f>
        <v/>
      </c>
      <c r="N1326" s="80" t="str">
        <f t="shared" si="9"/>
        <v/>
      </c>
      <c r="O1326" s="80" t="str">
        <f t="array" ref="O1326">IF(A1326="","",IFERROR(INDEX('Deck 5'!$A:$Z,ROW()-1250,'List Setup'!$J$7)&amp;"",""))</f>
        <v/>
      </c>
      <c r="P1326" s="2"/>
      <c r="Q1326" s="80" t="str">
        <f>IF(A1326="","",'List Setup'!$A$7)</f>
        <v/>
      </c>
      <c r="R1326" s="80" t="str">
        <f t="array" ref="R1326">IF(A1326="","",IFERROR(OR(INDEX(Binders!$J$6:$J$30,MATCH(Q1326,Binders!$I$6:$I$30,0))=TRUE(),UPPER(INDEX(Binders!$J$6:$J$30,MATCH(Q1326,Binders!$I$6:$I$30,0))&amp;"")="TRUE"),FALSE()))</f>
        <v/>
      </c>
    </row>
    <row r="1327" ht="15.75" customHeight="1">
      <c r="A1327" s="80" t="str">
        <f t="array" ref="A1327">IF(INDEX('Deck 5'!$A:$Z,ROW()-1250,'List Setup'!$D$7)="","",INDEX('Deck 5'!$A:$Z,ROW()-1250,'List Setup'!$D$7))</f>
        <v/>
      </c>
      <c r="B1327" s="80" t="str">
        <f t="array" ref="B1327">IF(A1327="","",IFERROR(INDEX('Binder Setup'!$B$2:$B$401,MIN(IF(ISNUMBER(SEARCH(CHAR(10)&amp;'Binder Setup'!$B$2:$B$401&amp;CHAR(10),$H1327)),'List Setup'!$Q$2:$Q$401,999),IF(ISNUMBER(SEARCH(CHAR(10)&amp;'Set Aliases'!$A$2:$A$501&amp;CHAR(10),$H1327)),'Set Aliases'!$C$2:$C$501,999))),"(none)"))</f>
        <v/>
      </c>
      <c r="C1327" s="80" t="str">
        <f t="shared" si="1"/>
        <v/>
      </c>
      <c r="D1327" s="80" t="str">
        <f t="array" ref="D1327">IF(A1327="","",IF(ISLOGICAL(INDEX('Deck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27" s="80" t="str">
        <f t="shared" si="2"/>
        <v/>
      </c>
      <c r="F1327" s="80" t="str">
        <f t="array" ref="F1327">IF(A1327="","",IF(ISNUMBER(J1327),J1327,IF(ISNUMBER(INDEX('Deck 5'!$A:$Z,ROW()-1250,'List Setup'!$F$7)),INDEX('Deck 5'!$A:$Z,ROW()-1250,'List Setup'!$F$7),0)))</f>
        <v/>
      </c>
      <c r="G1327" s="80" t="str">
        <f t="array" ref="G1327">IF(A1327="","",A1327&amp;IF(N(INDEX('Deck 5'!$A:$Z,ROW()-1250,'List Setup'!$C$7))&gt;1," (x"&amp;INDEX('Deck 5'!$A:$Z,ROW()-1250,'List Setup'!$C$7)&amp;")","")&amp;IF(COUNTIF(Binders!$J$6:$J$30,TRUE())&gt;1," ["&amp;Q1327&amp;"]",""))</f>
        <v/>
      </c>
      <c r="H1327" s="80" t="str">
        <f t="array" ref="H1327">IF(A1327="","",CHAR(10)&amp;INDEX('Deck 5'!$A:$Z,ROW()-1250,'List Setup'!$E$7)&amp;CHAR(10))</f>
        <v/>
      </c>
      <c r="I1327" s="80" t="str">
        <f t="array" ref="I1327">IF(OR(B1327="",B1327="(none)"),"",IF(ISNUMBER(SEARCH(CHAR(10)&amp;B1327&amp;CHAR(10),H1327)),B1327,IFERROR(INDEX('Set Aliases'!$A$2:$A$501,MATCH(1,('Set Aliases'!$B$2:$B$501=B1327)*ISNUMBER(SEARCH(CHAR(10)&amp;'Set Aliases'!$A$2:$A$501&amp;CHAR(10),H1327)),0)),"")))</f>
        <v/>
      </c>
      <c r="J1327" s="80" t="str">
        <f t="array" ref="J1327">IF(I1327="","",IFERROR(VALUE(TRIM(MID(SUBSTITUTE(INDEX('Deck 5'!$A:$Z,ROW()-1250,'List Setup'!$G$7),CHAR(10),REPT(" ",100)),((SEARCH(CHAR(10)&amp;I1327&amp;CHAR(10),H1327)-LEN(SUBSTITUTE(LEFT(H1327,SEARCH(CHAR(10)&amp;I1327&amp;CHAR(10),H1327)),CHAR(10),"")))-1)*100+1,100))),""))</f>
        <v/>
      </c>
      <c r="K1327" s="80" t="str">
        <f t="array" ref="K1327">IF(A1327="","",IF(ISNUMBER(SEARCH("Land",LEFT(IFERROR(INDEX('Deck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27" s="80" t="str">
        <f t="shared" si="3"/>
        <v/>
      </c>
      <c r="M1327" s="80" t="str">
        <f>IF(A1327="","",IF(AND(E1327="Y",B1327='Use at Shop'!$B$4),K1327*10000000000+(MAX(0,MIN(26,CODE(MID(UPPER(A1327)&amp;"    ",1,1))-64))*19683+MAX(0,MIN(26,CODE(MID(UPPER(A1327)&amp;"    ",2,1))-64))*729+MAX(0,MIN(26,CODE(MID(UPPER(A1327)&amp;"    ",3,1))-64))*27+MAX(0,MIN(26,CODE(MID(UPPER(A1327)&amp;"    ",4,1))-64))*1)*10000+ROW(),""))</f>
        <v/>
      </c>
      <c r="N1327" s="80" t="str">
        <f t="shared" si="9"/>
        <v/>
      </c>
      <c r="O1327" s="80" t="str">
        <f t="array" ref="O1327">IF(A1327="","",IFERROR(INDEX('Deck 5'!$A:$Z,ROW()-1250,'List Setup'!$J$7)&amp;"",""))</f>
        <v/>
      </c>
      <c r="P1327" s="2"/>
      <c r="Q1327" s="80" t="str">
        <f>IF(A1327="","",'List Setup'!$A$7)</f>
        <v/>
      </c>
      <c r="R1327" s="80" t="str">
        <f t="array" ref="R1327">IF(A1327="","",IFERROR(OR(INDEX(Binders!$J$6:$J$30,MATCH(Q1327,Binders!$I$6:$I$30,0))=TRUE(),UPPER(INDEX(Binders!$J$6:$J$30,MATCH(Q1327,Binders!$I$6:$I$30,0))&amp;"")="TRUE"),FALSE()))</f>
        <v/>
      </c>
    </row>
    <row r="1328" ht="15.75" customHeight="1">
      <c r="A1328" s="80" t="str">
        <f t="array" ref="A1328">IF(INDEX('Deck 5'!$A:$Z,ROW()-1250,'List Setup'!$D$7)="","",INDEX('Deck 5'!$A:$Z,ROW()-1250,'List Setup'!$D$7))</f>
        <v/>
      </c>
      <c r="B1328" s="80" t="str">
        <f t="array" ref="B1328">IF(A1328="","",IFERROR(INDEX('Binder Setup'!$B$2:$B$401,MIN(IF(ISNUMBER(SEARCH(CHAR(10)&amp;'Binder Setup'!$B$2:$B$401&amp;CHAR(10),$H1328)),'List Setup'!$Q$2:$Q$401,999),IF(ISNUMBER(SEARCH(CHAR(10)&amp;'Set Aliases'!$A$2:$A$501&amp;CHAR(10),$H1328)),'Set Aliases'!$C$2:$C$501,999))),"(none)"))</f>
        <v/>
      </c>
      <c r="C1328" s="80" t="str">
        <f t="shared" si="1"/>
        <v/>
      </c>
      <c r="D1328" s="80" t="str">
        <f t="array" ref="D1328">IF(A1328="","",IF(ISLOGICAL(INDEX('Deck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28" s="80" t="str">
        <f t="shared" si="2"/>
        <v/>
      </c>
      <c r="F1328" s="80" t="str">
        <f t="array" ref="F1328">IF(A1328="","",IF(ISNUMBER(J1328),J1328,IF(ISNUMBER(INDEX('Deck 5'!$A:$Z,ROW()-1250,'List Setup'!$F$7)),INDEX('Deck 5'!$A:$Z,ROW()-1250,'List Setup'!$F$7),0)))</f>
        <v/>
      </c>
      <c r="G1328" s="80" t="str">
        <f t="array" ref="G1328">IF(A1328="","",A1328&amp;IF(N(INDEX('Deck 5'!$A:$Z,ROW()-1250,'List Setup'!$C$7))&gt;1," (x"&amp;INDEX('Deck 5'!$A:$Z,ROW()-1250,'List Setup'!$C$7)&amp;")","")&amp;IF(COUNTIF(Binders!$J$6:$J$30,TRUE())&gt;1," ["&amp;Q1328&amp;"]",""))</f>
        <v/>
      </c>
      <c r="H1328" s="80" t="str">
        <f t="array" ref="H1328">IF(A1328="","",CHAR(10)&amp;INDEX('Deck 5'!$A:$Z,ROW()-1250,'List Setup'!$E$7)&amp;CHAR(10))</f>
        <v/>
      </c>
      <c r="I1328" s="80" t="str">
        <f t="array" ref="I1328">IF(OR(B1328="",B1328="(none)"),"",IF(ISNUMBER(SEARCH(CHAR(10)&amp;B1328&amp;CHAR(10),H1328)),B1328,IFERROR(INDEX('Set Aliases'!$A$2:$A$501,MATCH(1,('Set Aliases'!$B$2:$B$501=B1328)*ISNUMBER(SEARCH(CHAR(10)&amp;'Set Aliases'!$A$2:$A$501&amp;CHAR(10),H1328)),0)),"")))</f>
        <v/>
      </c>
      <c r="J1328" s="80" t="str">
        <f t="array" ref="J1328">IF(I1328="","",IFERROR(VALUE(TRIM(MID(SUBSTITUTE(INDEX('Deck 5'!$A:$Z,ROW()-1250,'List Setup'!$G$7),CHAR(10),REPT(" ",100)),((SEARCH(CHAR(10)&amp;I1328&amp;CHAR(10),H1328)-LEN(SUBSTITUTE(LEFT(H1328,SEARCH(CHAR(10)&amp;I1328&amp;CHAR(10),H1328)),CHAR(10),"")))-1)*100+1,100))),""))</f>
        <v/>
      </c>
      <c r="K1328" s="80" t="str">
        <f t="array" ref="K1328">IF(A1328="","",IF(ISNUMBER(SEARCH("Land",LEFT(IFERROR(INDEX('Deck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28" s="80" t="str">
        <f t="shared" si="3"/>
        <v/>
      </c>
      <c r="M1328" s="80" t="str">
        <f>IF(A1328="","",IF(AND(E1328="Y",B1328='Use at Shop'!$B$4),K1328*10000000000+(MAX(0,MIN(26,CODE(MID(UPPER(A1328)&amp;"    ",1,1))-64))*19683+MAX(0,MIN(26,CODE(MID(UPPER(A1328)&amp;"    ",2,1))-64))*729+MAX(0,MIN(26,CODE(MID(UPPER(A1328)&amp;"    ",3,1))-64))*27+MAX(0,MIN(26,CODE(MID(UPPER(A1328)&amp;"    ",4,1))-64))*1)*10000+ROW(),""))</f>
        <v/>
      </c>
      <c r="N1328" s="80" t="str">
        <f t="shared" si="9"/>
        <v/>
      </c>
      <c r="O1328" s="80" t="str">
        <f t="array" ref="O1328">IF(A1328="","",IFERROR(INDEX('Deck 5'!$A:$Z,ROW()-1250,'List Setup'!$J$7)&amp;"",""))</f>
        <v/>
      </c>
      <c r="P1328" s="2"/>
      <c r="Q1328" s="80" t="str">
        <f>IF(A1328="","",'List Setup'!$A$7)</f>
        <v/>
      </c>
      <c r="R1328" s="80" t="str">
        <f t="array" ref="R1328">IF(A1328="","",IFERROR(OR(INDEX(Binders!$J$6:$J$30,MATCH(Q1328,Binders!$I$6:$I$30,0))=TRUE(),UPPER(INDEX(Binders!$J$6:$J$30,MATCH(Q1328,Binders!$I$6:$I$30,0))&amp;"")="TRUE"),FALSE()))</f>
        <v/>
      </c>
    </row>
    <row r="1329" ht="15.75" customHeight="1">
      <c r="A1329" s="80" t="str">
        <f t="array" ref="A1329">IF(INDEX('Deck 5'!$A:$Z,ROW()-1250,'List Setup'!$D$7)="","",INDEX('Deck 5'!$A:$Z,ROW()-1250,'List Setup'!$D$7))</f>
        <v/>
      </c>
      <c r="B1329" s="80" t="str">
        <f t="array" ref="B1329">IF(A1329="","",IFERROR(INDEX('Binder Setup'!$B$2:$B$401,MIN(IF(ISNUMBER(SEARCH(CHAR(10)&amp;'Binder Setup'!$B$2:$B$401&amp;CHAR(10),$H1329)),'List Setup'!$Q$2:$Q$401,999),IF(ISNUMBER(SEARCH(CHAR(10)&amp;'Set Aliases'!$A$2:$A$501&amp;CHAR(10),$H1329)),'Set Aliases'!$C$2:$C$501,999))),"(none)"))</f>
        <v/>
      </c>
      <c r="C1329" s="80" t="str">
        <f t="shared" si="1"/>
        <v/>
      </c>
      <c r="D1329" s="80" t="str">
        <f t="array" ref="D1329">IF(A1329="","",IF(ISLOGICAL(INDEX('Deck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29" s="80" t="str">
        <f t="shared" si="2"/>
        <v/>
      </c>
      <c r="F1329" s="80" t="str">
        <f t="array" ref="F1329">IF(A1329="","",IF(ISNUMBER(J1329),J1329,IF(ISNUMBER(INDEX('Deck 5'!$A:$Z,ROW()-1250,'List Setup'!$F$7)),INDEX('Deck 5'!$A:$Z,ROW()-1250,'List Setup'!$F$7),0)))</f>
        <v/>
      </c>
      <c r="G1329" s="80" t="str">
        <f t="array" ref="G1329">IF(A1329="","",A1329&amp;IF(N(INDEX('Deck 5'!$A:$Z,ROW()-1250,'List Setup'!$C$7))&gt;1," (x"&amp;INDEX('Deck 5'!$A:$Z,ROW()-1250,'List Setup'!$C$7)&amp;")","")&amp;IF(COUNTIF(Binders!$J$6:$J$30,TRUE())&gt;1," ["&amp;Q1329&amp;"]",""))</f>
        <v/>
      </c>
      <c r="H1329" s="80" t="str">
        <f t="array" ref="H1329">IF(A1329="","",CHAR(10)&amp;INDEX('Deck 5'!$A:$Z,ROW()-1250,'List Setup'!$E$7)&amp;CHAR(10))</f>
        <v/>
      </c>
      <c r="I1329" s="80" t="str">
        <f t="array" ref="I1329">IF(OR(B1329="",B1329="(none)"),"",IF(ISNUMBER(SEARCH(CHAR(10)&amp;B1329&amp;CHAR(10),H1329)),B1329,IFERROR(INDEX('Set Aliases'!$A$2:$A$501,MATCH(1,('Set Aliases'!$B$2:$B$501=B1329)*ISNUMBER(SEARCH(CHAR(10)&amp;'Set Aliases'!$A$2:$A$501&amp;CHAR(10),H1329)),0)),"")))</f>
        <v/>
      </c>
      <c r="J1329" s="80" t="str">
        <f t="array" ref="J1329">IF(I1329="","",IFERROR(VALUE(TRIM(MID(SUBSTITUTE(INDEX('Deck 5'!$A:$Z,ROW()-1250,'List Setup'!$G$7),CHAR(10),REPT(" ",100)),((SEARCH(CHAR(10)&amp;I1329&amp;CHAR(10),H1329)-LEN(SUBSTITUTE(LEFT(H1329,SEARCH(CHAR(10)&amp;I1329&amp;CHAR(10),H1329)),CHAR(10),"")))-1)*100+1,100))),""))</f>
        <v/>
      </c>
      <c r="K1329" s="80" t="str">
        <f t="array" ref="K1329">IF(A1329="","",IF(ISNUMBER(SEARCH("Land",LEFT(IFERROR(INDEX('Deck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29" s="80" t="str">
        <f t="shared" si="3"/>
        <v/>
      </c>
      <c r="M1329" s="80" t="str">
        <f>IF(A1329="","",IF(AND(E1329="Y",B1329='Use at Shop'!$B$4),K1329*10000000000+(MAX(0,MIN(26,CODE(MID(UPPER(A1329)&amp;"    ",1,1))-64))*19683+MAX(0,MIN(26,CODE(MID(UPPER(A1329)&amp;"    ",2,1))-64))*729+MAX(0,MIN(26,CODE(MID(UPPER(A1329)&amp;"    ",3,1))-64))*27+MAX(0,MIN(26,CODE(MID(UPPER(A1329)&amp;"    ",4,1))-64))*1)*10000+ROW(),""))</f>
        <v/>
      </c>
      <c r="N1329" s="80" t="str">
        <f t="shared" si="9"/>
        <v/>
      </c>
      <c r="O1329" s="80" t="str">
        <f t="array" ref="O1329">IF(A1329="","",IFERROR(INDEX('Deck 5'!$A:$Z,ROW()-1250,'List Setup'!$J$7)&amp;"",""))</f>
        <v/>
      </c>
      <c r="P1329" s="2"/>
      <c r="Q1329" s="80" t="str">
        <f>IF(A1329="","",'List Setup'!$A$7)</f>
        <v/>
      </c>
      <c r="R1329" s="80" t="str">
        <f t="array" ref="R1329">IF(A1329="","",IFERROR(OR(INDEX(Binders!$J$6:$J$30,MATCH(Q1329,Binders!$I$6:$I$30,0))=TRUE(),UPPER(INDEX(Binders!$J$6:$J$30,MATCH(Q1329,Binders!$I$6:$I$30,0))&amp;"")="TRUE"),FALSE()))</f>
        <v/>
      </c>
    </row>
    <row r="1330" ht="15.75" customHeight="1">
      <c r="A1330" s="80" t="str">
        <f t="array" ref="A1330">IF(INDEX('Deck 5'!$A:$Z,ROW()-1250,'List Setup'!$D$7)="","",INDEX('Deck 5'!$A:$Z,ROW()-1250,'List Setup'!$D$7))</f>
        <v/>
      </c>
      <c r="B1330" s="80" t="str">
        <f t="array" ref="B1330">IF(A1330="","",IFERROR(INDEX('Binder Setup'!$B$2:$B$401,MIN(IF(ISNUMBER(SEARCH(CHAR(10)&amp;'Binder Setup'!$B$2:$B$401&amp;CHAR(10),$H1330)),'List Setup'!$Q$2:$Q$401,999),IF(ISNUMBER(SEARCH(CHAR(10)&amp;'Set Aliases'!$A$2:$A$501&amp;CHAR(10),$H1330)),'Set Aliases'!$C$2:$C$501,999))),"(none)"))</f>
        <v/>
      </c>
      <c r="C1330" s="80" t="str">
        <f t="shared" si="1"/>
        <v/>
      </c>
      <c r="D1330" s="80" t="str">
        <f t="array" ref="D1330">IF(A1330="","",IF(ISLOGICAL(INDEX('Deck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30" s="80" t="str">
        <f t="shared" si="2"/>
        <v/>
      </c>
      <c r="F1330" s="80" t="str">
        <f t="array" ref="F1330">IF(A1330="","",IF(ISNUMBER(J1330),J1330,IF(ISNUMBER(INDEX('Deck 5'!$A:$Z,ROW()-1250,'List Setup'!$F$7)),INDEX('Deck 5'!$A:$Z,ROW()-1250,'List Setup'!$F$7),0)))</f>
        <v/>
      </c>
      <c r="G1330" s="80" t="str">
        <f t="array" ref="G1330">IF(A1330="","",A1330&amp;IF(N(INDEX('Deck 5'!$A:$Z,ROW()-1250,'List Setup'!$C$7))&gt;1," (x"&amp;INDEX('Deck 5'!$A:$Z,ROW()-1250,'List Setup'!$C$7)&amp;")","")&amp;IF(COUNTIF(Binders!$J$6:$J$30,TRUE())&gt;1," ["&amp;Q1330&amp;"]",""))</f>
        <v/>
      </c>
      <c r="H1330" s="80" t="str">
        <f t="array" ref="H1330">IF(A1330="","",CHAR(10)&amp;INDEX('Deck 5'!$A:$Z,ROW()-1250,'List Setup'!$E$7)&amp;CHAR(10))</f>
        <v/>
      </c>
      <c r="I1330" s="80" t="str">
        <f t="array" ref="I1330">IF(OR(B1330="",B1330="(none)"),"",IF(ISNUMBER(SEARCH(CHAR(10)&amp;B1330&amp;CHAR(10),H1330)),B1330,IFERROR(INDEX('Set Aliases'!$A$2:$A$501,MATCH(1,('Set Aliases'!$B$2:$B$501=B1330)*ISNUMBER(SEARCH(CHAR(10)&amp;'Set Aliases'!$A$2:$A$501&amp;CHAR(10),H1330)),0)),"")))</f>
        <v/>
      </c>
      <c r="J1330" s="80" t="str">
        <f t="array" ref="J1330">IF(I1330="","",IFERROR(VALUE(TRIM(MID(SUBSTITUTE(INDEX('Deck 5'!$A:$Z,ROW()-1250,'List Setup'!$G$7),CHAR(10),REPT(" ",100)),((SEARCH(CHAR(10)&amp;I1330&amp;CHAR(10),H1330)-LEN(SUBSTITUTE(LEFT(H1330,SEARCH(CHAR(10)&amp;I1330&amp;CHAR(10),H1330)),CHAR(10),"")))-1)*100+1,100))),""))</f>
        <v/>
      </c>
      <c r="K1330" s="80" t="str">
        <f t="array" ref="K1330">IF(A1330="","",IF(ISNUMBER(SEARCH("Land",LEFT(IFERROR(INDEX('Deck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30" s="80" t="str">
        <f t="shared" si="3"/>
        <v/>
      </c>
      <c r="M1330" s="80" t="str">
        <f>IF(A1330="","",IF(AND(E1330="Y",B1330='Use at Shop'!$B$4),K1330*10000000000+(MAX(0,MIN(26,CODE(MID(UPPER(A1330)&amp;"    ",1,1))-64))*19683+MAX(0,MIN(26,CODE(MID(UPPER(A1330)&amp;"    ",2,1))-64))*729+MAX(0,MIN(26,CODE(MID(UPPER(A1330)&amp;"    ",3,1))-64))*27+MAX(0,MIN(26,CODE(MID(UPPER(A1330)&amp;"    ",4,1))-64))*1)*10000+ROW(),""))</f>
        <v/>
      </c>
      <c r="N1330" s="80" t="str">
        <f t="shared" si="9"/>
        <v/>
      </c>
      <c r="O1330" s="80" t="str">
        <f t="array" ref="O1330">IF(A1330="","",IFERROR(INDEX('Deck 5'!$A:$Z,ROW()-1250,'List Setup'!$J$7)&amp;"",""))</f>
        <v/>
      </c>
      <c r="P1330" s="2"/>
      <c r="Q1330" s="80" t="str">
        <f>IF(A1330="","",'List Setup'!$A$7)</f>
        <v/>
      </c>
      <c r="R1330" s="80" t="str">
        <f t="array" ref="R1330">IF(A1330="","",IFERROR(OR(INDEX(Binders!$J$6:$J$30,MATCH(Q1330,Binders!$I$6:$I$30,0))=TRUE(),UPPER(INDEX(Binders!$J$6:$J$30,MATCH(Q1330,Binders!$I$6:$I$30,0))&amp;"")="TRUE"),FALSE()))</f>
        <v/>
      </c>
    </row>
    <row r="1331" ht="15.75" customHeight="1">
      <c r="A1331" s="80" t="str">
        <f t="array" ref="A1331">IF(INDEX('Deck 5'!$A:$Z,ROW()-1250,'List Setup'!$D$7)="","",INDEX('Deck 5'!$A:$Z,ROW()-1250,'List Setup'!$D$7))</f>
        <v/>
      </c>
      <c r="B1331" s="80" t="str">
        <f t="array" ref="B1331">IF(A1331="","",IFERROR(INDEX('Binder Setup'!$B$2:$B$401,MIN(IF(ISNUMBER(SEARCH(CHAR(10)&amp;'Binder Setup'!$B$2:$B$401&amp;CHAR(10),$H1331)),'List Setup'!$Q$2:$Q$401,999),IF(ISNUMBER(SEARCH(CHAR(10)&amp;'Set Aliases'!$A$2:$A$501&amp;CHAR(10),$H1331)),'Set Aliases'!$C$2:$C$501,999))),"(none)"))</f>
        <v/>
      </c>
      <c r="C1331" s="80" t="str">
        <f t="shared" si="1"/>
        <v/>
      </c>
      <c r="D1331" s="80" t="str">
        <f t="array" ref="D1331">IF(A1331="","",IF(ISLOGICAL(INDEX('Deck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31" s="80" t="str">
        <f t="shared" si="2"/>
        <v/>
      </c>
      <c r="F1331" s="80" t="str">
        <f t="array" ref="F1331">IF(A1331="","",IF(ISNUMBER(J1331),J1331,IF(ISNUMBER(INDEX('Deck 5'!$A:$Z,ROW()-1250,'List Setup'!$F$7)),INDEX('Deck 5'!$A:$Z,ROW()-1250,'List Setup'!$F$7),0)))</f>
        <v/>
      </c>
      <c r="G1331" s="80" t="str">
        <f t="array" ref="G1331">IF(A1331="","",A1331&amp;IF(N(INDEX('Deck 5'!$A:$Z,ROW()-1250,'List Setup'!$C$7))&gt;1," (x"&amp;INDEX('Deck 5'!$A:$Z,ROW()-1250,'List Setup'!$C$7)&amp;")","")&amp;IF(COUNTIF(Binders!$J$6:$J$30,TRUE())&gt;1," ["&amp;Q1331&amp;"]",""))</f>
        <v/>
      </c>
      <c r="H1331" s="80" t="str">
        <f t="array" ref="H1331">IF(A1331="","",CHAR(10)&amp;INDEX('Deck 5'!$A:$Z,ROW()-1250,'List Setup'!$E$7)&amp;CHAR(10))</f>
        <v/>
      </c>
      <c r="I1331" s="80" t="str">
        <f t="array" ref="I1331">IF(OR(B1331="",B1331="(none)"),"",IF(ISNUMBER(SEARCH(CHAR(10)&amp;B1331&amp;CHAR(10),H1331)),B1331,IFERROR(INDEX('Set Aliases'!$A$2:$A$501,MATCH(1,('Set Aliases'!$B$2:$B$501=B1331)*ISNUMBER(SEARCH(CHAR(10)&amp;'Set Aliases'!$A$2:$A$501&amp;CHAR(10),H1331)),0)),"")))</f>
        <v/>
      </c>
      <c r="J1331" s="80" t="str">
        <f t="array" ref="J1331">IF(I1331="","",IFERROR(VALUE(TRIM(MID(SUBSTITUTE(INDEX('Deck 5'!$A:$Z,ROW()-1250,'List Setup'!$G$7),CHAR(10),REPT(" ",100)),((SEARCH(CHAR(10)&amp;I1331&amp;CHAR(10),H1331)-LEN(SUBSTITUTE(LEFT(H1331,SEARCH(CHAR(10)&amp;I1331&amp;CHAR(10),H1331)),CHAR(10),"")))-1)*100+1,100))),""))</f>
        <v/>
      </c>
      <c r="K1331" s="80" t="str">
        <f t="array" ref="K1331">IF(A1331="","",IF(ISNUMBER(SEARCH("Land",LEFT(IFERROR(INDEX('Deck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31" s="80" t="str">
        <f t="shared" si="3"/>
        <v/>
      </c>
      <c r="M1331" s="80" t="str">
        <f>IF(A1331="","",IF(AND(E1331="Y",B1331='Use at Shop'!$B$4),K1331*10000000000+(MAX(0,MIN(26,CODE(MID(UPPER(A1331)&amp;"    ",1,1))-64))*19683+MAX(0,MIN(26,CODE(MID(UPPER(A1331)&amp;"    ",2,1))-64))*729+MAX(0,MIN(26,CODE(MID(UPPER(A1331)&amp;"    ",3,1))-64))*27+MAX(0,MIN(26,CODE(MID(UPPER(A1331)&amp;"    ",4,1))-64))*1)*10000+ROW(),""))</f>
        <v/>
      </c>
      <c r="N1331" s="80" t="str">
        <f t="shared" si="9"/>
        <v/>
      </c>
      <c r="O1331" s="80" t="str">
        <f t="array" ref="O1331">IF(A1331="","",IFERROR(INDEX('Deck 5'!$A:$Z,ROW()-1250,'List Setup'!$J$7)&amp;"",""))</f>
        <v/>
      </c>
      <c r="P1331" s="2"/>
      <c r="Q1331" s="80" t="str">
        <f>IF(A1331="","",'List Setup'!$A$7)</f>
        <v/>
      </c>
      <c r="R1331" s="80" t="str">
        <f t="array" ref="R1331">IF(A1331="","",IFERROR(OR(INDEX(Binders!$J$6:$J$30,MATCH(Q1331,Binders!$I$6:$I$30,0))=TRUE(),UPPER(INDEX(Binders!$J$6:$J$30,MATCH(Q1331,Binders!$I$6:$I$30,0))&amp;"")="TRUE"),FALSE()))</f>
        <v/>
      </c>
    </row>
    <row r="1332" ht="15.75" customHeight="1">
      <c r="A1332" s="80" t="str">
        <f t="array" ref="A1332">IF(INDEX('Deck 5'!$A:$Z,ROW()-1250,'List Setup'!$D$7)="","",INDEX('Deck 5'!$A:$Z,ROW()-1250,'List Setup'!$D$7))</f>
        <v/>
      </c>
      <c r="B1332" s="80" t="str">
        <f t="array" ref="B1332">IF(A1332="","",IFERROR(INDEX('Binder Setup'!$B$2:$B$401,MIN(IF(ISNUMBER(SEARCH(CHAR(10)&amp;'Binder Setup'!$B$2:$B$401&amp;CHAR(10),$H1332)),'List Setup'!$Q$2:$Q$401,999),IF(ISNUMBER(SEARCH(CHAR(10)&amp;'Set Aliases'!$A$2:$A$501&amp;CHAR(10),$H1332)),'Set Aliases'!$C$2:$C$501,999))),"(none)"))</f>
        <v/>
      </c>
      <c r="C1332" s="80" t="str">
        <f t="shared" si="1"/>
        <v/>
      </c>
      <c r="D1332" s="80" t="str">
        <f t="array" ref="D1332">IF(A1332="","",IF(ISLOGICAL(INDEX('Deck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32" s="80" t="str">
        <f t="shared" si="2"/>
        <v/>
      </c>
      <c r="F1332" s="80" t="str">
        <f t="array" ref="F1332">IF(A1332="","",IF(ISNUMBER(J1332),J1332,IF(ISNUMBER(INDEX('Deck 5'!$A:$Z,ROW()-1250,'List Setup'!$F$7)),INDEX('Deck 5'!$A:$Z,ROW()-1250,'List Setup'!$F$7),0)))</f>
        <v/>
      </c>
      <c r="G1332" s="80" t="str">
        <f t="array" ref="G1332">IF(A1332="","",A1332&amp;IF(N(INDEX('Deck 5'!$A:$Z,ROW()-1250,'List Setup'!$C$7))&gt;1," (x"&amp;INDEX('Deck 5'!$A:$Z,ROW()-1250,'List Setup'!$C$7)&amp;")","")&amp;IF(COUNTIF(Binders!$J$6:$J$30,TRUE())&gt;1," ["&amp;Q1332&amp;"]",""))</f>
        <v/>
      </c>
      <c r="H1332" s="80" t="str">
        <f t="array" ref="H1332">IF(A1332="","",CHAR(10)&amp;INDEX('Deck 5'!$A:$Z,ROW()-1250,'List Setup'!$E$7)&amp;CHAR(10))</f>
        <v/>
      </c>
      <c r="I1332" s="80" t="str">
        <f t="array" ref="I1332">IF(OR(B1332="",B1332="(none)"),"",IF(ISNUMBER(SEARCH(CHAR(10)&amp;B1332&amp;CHAR(10),H1332)),B1332,IFERROR(INDEX('Set Aliases'!$A$2:$A$501,MATCH(1,('Set Aliases'!$B$2:$B$501=B1332)*ISNUMBER(SEARCH(CHAR(10)&amp;'Set Aliases'!$A$2:$A$501&amp;CHAR(10),H1332)),0)),"")))</f>
        <v/>
      </c>
      <c r="J1332" s="80" t="str">
        <f t="array" ref="J1332">IF(I1332="","",IFERROR(VALUE(TRIM(MID(SUBSTITUTE(INDEX('Deck 5'!$A:$Z,ROW()-1250,'List Setup'!$G$7),CHAR(10),REPT(" ",100)),((SEARCH(CHAR(10)&amp;I1332&amp;CHAR(10),H1332)-LEN(SUBSTITUTE(LEFT(H1332,SEARCH(CHAR(10)&amp;I1332&amp;CHAR(10),H1332)),CHAR(10),"")))-1)*100+1,100))),""))</f>
        <v/>
      </c>
      <c r="K1332" s="80" t="str">
        <f t="array" ref="K1332">IF(A1332="","",IF(ISNUMBER(SEARCH("Land",LEFT(IFERROR(INDEX('Deck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32" s="80" t="str">
        <f t="shared" si="3"/>
        <v/>
      </c>
      <c r="M1332" s="80" t="str">
        <f>IF(A1332="","",IF(AND(E1332="Y",B1332='Use at Shop'!$B$4),K1332*10000000000+(MAX(0,MIN(26,CODE(MID(UPPER(A1332)&amp;"    ",1,1))-64))*19683+MAX(0,MIN(26,CODE(MID(UPPER(A1332)&amp;"    ",2,1))-64))*729+MAX(0,MIN(26,CODE(MID(UPPER(A1332)&amp;"    ",3,1))-64))*27+MAX(0,MIN(26,CODE(MID(UPPER(A1332)&amp;"    ",4,1))-64))*1)*10000+ROW(),""))</f>
        <v/>
      </c>
      <c r="N1332" s="80" t="str">
        <f t="shared" si="9"/>
        <v/>
      </c>
      <c r="O1332" s="80" t="str">
        <f t="array" ref="O1332">IF(A1332="","",IFERROR(INDEX('Deck 5'!$A:$Z,ROW()-1250,'List Setup'!$J$7)&amp;"",""))</f>
        <v/>
      </c>
      <c r="P1332" s="2"/>
      <c r="Q1332" s="80" t="str">
        <f>IF(A1332="","",'List Setup'!$A$7)</f>
        <v/>
      </c>
      <c r="R1332" s="80" t="str">
        <f t="array" ref="R1332">IF(A1332="","",IFERROR(OR(INDEX(Binders!$J$6:$J$30,MATCH(Q1332,Binders!$I$6:$I$30,0))=TRUE(),UPPER(INDEX(Binders!$J$6:$J$30,MATCH(Q1332,Binders!$I$6:$I$30,0))&amp;"")="TRUE"),FALSE()))</f>
        <v/>
      </c>
    </row>
    <row r="1333" ht="15.75" customHeight="1">
      <c r="A1333" s="80" t="str">
        <f t="array" ref="A1333">IF(INDEX('Deck 5'!$A:$Z,ROW()-1250,'List Setup'!$D$7)="","",INDEX('Deck 5'!$A:$Z,ROW()-1250,'List Setup'!$D$7))</f>
        <v/>
      </c>
      <c r="B1333" s="80" t="str">
        <f t="array" ref="B1333">IF(A1333="","",IFERROR(INDEX('Binder Setup'!$B$2:$B$401,MIN(IF(ISNUMBER(SEARCH(CHAR(10)&amp;'Binder Setup'!$B$2:$B$401&amp;CHAR(10),$H1333)),'List Setup'!$Q$2:$Q$401,999),IF(ISNUMBER(SEARCH(CHAR(10)&amp;'Set Aliases'!$A$2:$A$501&amp;CHAR(10),$H1333)),'Set Aliases'!$C$2:$C$501,999))),"(none)"))</f>
        <v/>
      </c>
      <c r="C1333" s="80" t="str">
        <f t="shared" si="1"/>
        <v/>
      </c>
      <c r="D1333" s="80" t="str">
        <f t="array" ref="D1333">IF(A1333="","",IF(ISLOGICAL(INDEX('Deck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33" s="80" t="str">
        <f t="shared" si="2"/>
        <v/>
      </c>
      <c r="F1333" s="80" t="str">
        <f t="array" ref="F1333">IF(A1333="","",IF(ISNUMBER(J1333),J1333,IF(ISNUMBER(INDEX('Deck 5'!$A:$Z,ROW()-1250,'List Setup'!$F$7)),INDEX('Deck 5'!$A:$Z,ROW()-1250,'List Setup'!$F$7),0)))</f>
        <v/>
      </c>
      <c r="G1333" s="80" t="str">
        <f t="array" ref="G1333">IF(A1333="","",A1333&amp;IF(N(INDEX('Deck 5'!$A:$Z,ROW()-1250,'List Setup'!$C$7))&gt;1," (x"&amp;INDEX('Deck 5'!$A:$Z,ROW()-1250,'List Setup'!$C$7)&amp;")","")&amp;IF(COUNTIF(Binders!$J$6:$J$30,TRUE())&gt;1," ["&amp;Q1333&amp;"]",""))</f>
        <v/>
      </c>
      <c r="H1333" s="80" t="str">
        <f t="array" ref="H1333">IF(A1333="","",CHAR(10)&amp;INDEX('Deck 5'!$A:$Z,ROW()-1250,'List Setup'!$E$7)&amp;CHAR(10))</f>
        <v/>
      </c>
      <c r="I1333" s="80" t="str">
        <f t="array" ref="I1333">IF(OR(B1333="",B1333="(none)"),"",IF(ISNUMBER(SEARCH(CHAR(10)&amp;B1333&amp;CHAR(10),H1333)),B1333,IFERROR(INDEX('Set Aliases'!$A$2:$A$501,MATCH(1,('Set Aliases'!$B$2:$B$501=B1333)*ISNUMBER(SEARCH(CHAR(10)&amp;'Set Aliases'!$A$2:$A$501&amp;CHAR(10),H1333)),0)),"")))</f>
        <v/>
      </c>
      <c r="J1333" s="80" t="str">
        <f t="array" ref="J1333">IF(I1333="","",IFERROR(VALUE(TRIM(MID(SUBSTITUTE(INDEX('Deck 5'!$A:$Z,ROW()-1250,'List Setup'!$G$7),CHAR(10),REPT(" ",100)),((SEARCH(CHAR(10)&amp;I1333&amp;CHAR(10),H1333)-LEN(SUBSTITUTE(LEFT(H1333,SEARCH(CHAR(10)&amp;I1333&amp;CHAR(10),H1333)),CHAR(10),"")))-1)*100+1,100))),""))</f>
        <v/>
      </c>
      <c r="K1333" s="80" t="str">
        <f t="array" ref="K1333">IF(A1333="","",IF(ISNUMBER(SEARCH("Land",LEFT(IFERROR(INDEX('Deck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33" s="80" t="str">
        <f t="shared" si="3"/>
        <v/>
      </c>
      <c r="M1333" s="80" t="str">
        <f>IF(A1333="","",IF(AND(E1333="Y",B1333='Use at Shop'!$B$4),K1333*10000000000+(MAX(0,MIN(26,CODE(MID(UPPER(A1333)&amp;"    ",1,1))-64))*19683+MAX(0,MIN(26,CODE(MID(UPPER(A1333)&amp;"    ",2,1))-64))*729+MAX(0,MIN(26,CODE(MID(UPPER(A1333)&amp;"    ",3,1))-64))*27+MAX(0,MIN(26,CODE(MID(UPPER(A1333)&amp;"    ",4,1))-64))*1)*10000+ROW(),""))</f>
        <v/>
      </c>
      <c r="N1333" s="80" t="str">
        <f t="shared" si="9"/>
        <v/>
      </c>
      <c r="O1333" s="80" t="str">
        <f t="array" ref="O1333">IF(A1333="","",IFERROR(INDEX('Deck 5'!$A:$Z,ROW()-1250,'List Setup'!$J$7)&amp;"",""))</f>
        <v/>
      </c>
      <c r="P1333" s="2"/>
      <c r="Q1333" s="80" t="str">
        <f>IF(A1333="","",'List Setup'!$A$7)</f>
        <v/>
      </c>
      <c r="R1333" s="80" t="str">
        <f t="array" ref="R1333">IF(A1333="","",IFERROR(OR(INDEX(Binders!$J$6:$J$30,MATCH(Q1333,Binders!$I$6:$I$30,0))=TRUE(),UPPER(INDEX(Binders!$J$6:$J$30,MATCH(Q1333,Binders!$I$6:$I$30,0))&amp;"")="TRUE"),FALSE()))</f>
        <v/>
      </c>
    </row>
    <row r="1334" ht="15.75" customHeight="1">
      <c r="A1334" s="80" t="str">
        <f t="array" ref="A1334">IF(INDEX('Deck 5'!$A:$Z,ROW()-1250,'List Setup'!$D$7)="","",INDEX('Deck 5'!$A:$Z,ROW()-1250,'List Setup'!$D$7))</f>
        <v/>
      </c>
      <c r="B1334" s="80" t="str">
        <f t="array" ref="B1334">IF(A1334="","",IFERROR(INDEX('Binder Setup'!$B$2:$B$401,MIN(IF(ISNUMBER(SEARCH(CHAR(10)&amp;'Binder Setup'!$B$2:$B$401&amp;CHAR(10),$H1334)),'List Setup'!$Q$2:$Q$401,999),IF(ISNUMBER(SEARCH(CHAR(10)&amp;'Set Aliases'!$A$2:$A$501&amp;CHAR(10),$H1334)),'Set Aliases'!$C$2:$C$501,999))),"(none)"))</f>
        <v/>
      </c>
      <c r="C1334" s="80" t="str">
        <f t="shared" si="1"/>
        <v/>
      </c>
      <c r="D1334" s="80" t="str">
        <f t="array" ref="D1334">IF(A1334="","",IF(ISLOGICAL(INDEX('Deck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34" s="80" t="str">
        <f t="shared" si="2"/>
        <v/>
      </c>
      <c r="F1334" s="80" t="str">
        <f t="array" ref="F1334">IF(A1334="","",IF(ISNUMBER(J1334),J1334,IF(ISNUMBER(INDEX('Deck 5'!$A:$Z,ROW()-1250,'List Setup'!$F$7)),INDEX('Deck 5'!$A:$Z,ROW()-1250,'List Setup'!$F$7),0)))</f>
        <v/>
      </c>
      <c r="G1334" s="80" t="str">
        <f t="array" ref="G1334">IF(A1334="","",A1334&amp;IF(N(INDEX('Deck 5'!$A:$Z,ROW()-1250,'List Setup'!$C$7))&gt;1," (x"&amp;INDEX('Deck 5'!$A:$Z,ROW()-1250,'List Setup'!$C$7)&amp;")","")&amp;IF(COUNTIF(Binders!$J$6:$J$30,TRUE())&gt;1," ["&amp;Q1334&amp;"]",""))</f>
        <v/>
      </c>
      <c r="H1334" s="80" t="str">
        <f t="array" ref="H1334">IF(A1334="","",CHAR(10)&amp;INDEX('Deck 5'!$A:$Z,ROW()-1250,'List Setup'!$E$7)&amp;CHAR(10))</f>
        <v/>
      </c>
      <c r="I1334" s="80" t="str">
        <f t="array" ref="I1334">IF(OR(B1334="",B1334="(none)"),"",IF(ISNUMBER(SEARCH(CHAR(10)&amp;B1334&amp;CHAR(10),H1334)),B1334,IFERROR(INDEX('Set Aliases'!$A$2:$A$501,MATCH(1,('Set Aliases'!$B$2:$B$501=B1334)*ISNUMBER(SEARCH(CHAR(10)&amp;'Set Aliases'!$A$2:$A$501&amp;CHAR(10),H1334)),0)),"")))</f>
        <v/>
      </c>
      <c r="J1334" s="80" t="str">
        <f t="array" ref="J1334">IF(I1334="","",IFERROR(VALUE(TRIM(MID(SUBSTITUTE(INDEX('Deck 5'!$A:$Z,ROW()-1250,'List Setup'!$G$7),CHAR(10),REPT(" ",100)),((SEARCH(CHAR(10)&amp;I1334&amp;CHAR(10),H1334)-LEN(SUBSTITUTE(LEFT(H1334,SEARCH(CHAR(10)&amp;I1334&amp;CHAR(10),H1334)),CHAR(10),"")))-1)*100+1,100))),""))</f>
        <v/>
      </c>
      <c r="K1334" s="80" t="str">
        <f t="array" ref="K1334">IF(A1334="","",IF(ISNUMBER(SEARCH("Land",LEFT(IFERROR(INDEX('Deck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34" s="80" t="str">
        <f t="shared" si="3"/>
        <v/>
      </c>
      <c r="M1334" s="80" t="str">
        <f>IF(A1334="","",IF(AND(E1334="Y",B1334='Use at Shop'!$B$4),K1334*10000000000+(MAX(0,MIN(26,CODE(MID(UPPER(A1334)&amp;"    ",1,1))-64))*19683+MAX(0,MIN(26,CODE(MID(UPPER(A1334)&amp;"    ",2,1))-64))*729+MAX(0,MIN(26,CODE(MID(UPPER(A1334)&amp;"    ",3,1))-64))*27+MAX(0,MIN(26,CODE(MID(UPPER(A1334)&amp;"    ",4,1))-64))*1)*10000+ROW(),""))</f>
        <v/>
      </c>
      <c r="N1334" s="80" t="str">
        <f t="shared" si="9"/>
        <v/>
      </c>
      <c r="O1334" s="80" t="str">
        <f t="array" ref="O1334">IF(A1334="","",IFERROR(INDEX('Deck 5'!$A:$Z,ROW()-1250,'List Setup'!$J$7)&amp;"",""))</f>
        <v/>
      </c>
      <c r="P1334" s="2"/>
      <c r="Q1334" s="80" t="str">
        <f>IF(A1334="","",'List Setup'!$A$7)</f>
        <v/>
      </c>
      <c r="R1334" s="80" t="str">
        <f t="array" ref="R1334">IF(A1334="","",IFERROR(OR(INDEX(Binders!$J$6:$J$30,MATCH(Q1334,Binders!$I$6:$I$30,0))=TRUE(),UPPER(INDEX(Binders!$J$6:$J$30,MATCH(Q1334,Binders!$I$6:$I$30,0))&amp;"")="TRUE"),FALSE()))</f>
        <v/>
      </c>
    </row>
    <row r="1335" ht="15.75" customHeight="1">
      <c r="A1335" s="80" t="str">
        <f t="array" ref="A1335">IF(INDEX('Deck 5'!$A:$Z,ROW()-1250,'List Setup'!$D$7)="","",INDEX('Deck 5'!$A:$Z,ROW()-1250,'List Setup'!$D$7))</f>
        <v/>
      </c>
      <c r="B1335" s="80" t="str">
        <f t="array" ref="B1335">IF(A1335="","",IFERROR(INDEX('Binder Setup'!$B$2:$B$401,MIN(IF(ISNUMBER(SEARCH(CHAR(10)&amp;'Binder Setup'!$B$2:$B$401&amp;CHAR(10),$H1335)),'List Setup'!$Q$2:$Q$401,999),IF(ISNUMBER(SEARCH(CHAR(10)&amp;'Set Aliases'!$A$2:$A$501&amp;CHAR(10),$H1335)),'Set Aliases'!$C$2:$C$501,999))),"(none)"))</f>
        <v/>
      </c>
      <c r="C1335" s="80" t="str">
        <f t="shared" si="1"/>
        <v/>
      </c>
      <c r="D1335" s="80" t="str">
        <f t="array" ref="D1335">IF(A1335="","",IF(ISLOGICAL(INDEX('Deck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35" s="80" t="str">
        <f t="shared" si="2"/>
        <v/>
      </c>
      <c r="F1335" s="80" t="str">
        <f t="array" ref="F1335">IF(A1335="","",IF(ISNUMBER(J1335),J1335,IF(ISNUMBER(INDEX('Deck 5'!$A:$Z,ROW()-1250,'List Setup'!$F$7)),INDEX('Deck 5'!$A:$Z,ROW()-1250,'List Setup'!$F$7),0)))</f>
        <v/>
      </c>
      <c r="G1335" s="80" t="str">
        <f t="array" ref="G1335">IF(A1335="","",A1335&amp;IF(N(INDEX('Deck 5'!$A:$Z,ROW()-1250,'List Setup'!$C$7))&gt;1," (x"&amp;INDEX('Deck 5'!$A:$Z,ROW()-1250,'List Setup'!$C$7)&amp;")","")&amp;IF(COUNTIF(Binders!$J$6:$J$30,TRUE())&gt;1," ["&amp;Q1335&amp;"]",""))</f>
        <v/>
      </c>
      <c r="H1335" s="80" t="str">
        <f t="array" ref="H1335">IF(A1335="","",CHAR(10)&amp;INDEX('Deck 5'!$A:$Z,ROW()-1250,'List Setup'!$E$7)&amp;CHAR(10))</f>
        <v/>
      </c>
      <c r="I1335" s="80" t="str">
        <f t="array" ref="I1335">IF(OR(B1335="",B1335="(none)"),"",IF(ISNUMBER(SEARCH(CHAR(10)&amp;B1335&amp;CHAR(10),H1335)),B1335,IFERROR(INDEX('Set Aliases'!$A$2:$A$501,MATCH(1,('Set Aliases'!$B$2:$B$501=B1335)*ISNUMBER(SEARCH(CHAR(10)&amp;'Set Aliases'!$A$2:$A$501&amp;CHAR(10),H1335)),0)),"")))</f>
        <v/>
      </c>
      <c r="J1335" s="80" t="str">
        <f t="array" ref="J1335">IF(I1335="","",IFERROR(VALUE(TRIM(MID(SUBSTITUTE(INDEX('Deck 5'!$A:$Z,ROW()-1250,'List Setup'!$G$7),CHAR(10),REPT(" ",100)),((SEARCH(CHAR(10)&amp;I1335&amp;CHAR(10),H1335)-LEN(SUBSTITUTE(LEFT(H1335,SEARCH(CHAR(10)&amp;I1335&amp;CHAR(10),H1335)),CHAR(10),"")))-1)*100+1,100))),""))</f>
        <v/>
      </c>
      <c r="K1335" s="80" t="str">
        <f t="array" ref="K1335">IF(A1335="","",IF(ISNUMBER(SEARCH("Land",LEFT(IFERROR(INDEX('Deck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35" s="80" t="str">
        <f t="shared" si="3"/>
        <v/>
      </c>
      <c r="M1335" s="80" t="str">
        <f>IF(A1335="","",IF(AND(E1335="Y",B1335='Use at Shop'!$B$4),K1335*10000000000+(MAX(0,MIN(26,CODE(MID(UPPER(A1335)&amp;"    ",1,1))-64))*19683+MAX(0,MIN(26,CODE(MID(UPPER(A1335)&amp;"    ",2,1))-64))*729+MAX(0,MIN(26,CODE(MID(UPPER(A1335)&amp;"    ",3,1))-64))*27+MAX(0,MIN(26,CODE(MID(UPPER(A1335)&amp;"    ",4,1))-64))*1)*10000+ROW(),""))</f>
        <v/>
      </c>
      <c r="N1335" s="80" t="str">
        <f t="shared" si="9"/>
        <v/>
      </c>
      <c r="O1335" s="80" t="str">
        <f t="array" ref="O1335">IF(A1335="","",IFERROR(INDEX('Deck 5'!$A:$Z,ROW()-1250,'List Setup'!$J$7)&amp;"",""))</f>
        <v/>
      </c>
      <c r="P1335" s="2"/>
      <c r="Q1335" s="80" t="str">
        <f>IF(A1335="","",'List Setup'!$A$7)</f>
        <v/>
      </c>
      <c r="R1335" s="80" t="str">
        <f t="array" ref="R1335">IF(A1335="","",IFERROR(OR(INDEX(Binders!$J$6:$J$30,MATCH(Q1335,Binders!$I$6:$I$30,0))=TRUE(),UPPER(INDEX(Binders!$J$6:$J$30,MATCH(Q1335,Binders!$I$6:$I$30,0))&amp;"")="TRUE"),FALSE()))</f>
        <v/>
      </c>
    </row>
    <row r="1336" ht="15.75" customHeight="1">
      <c r="A1336" s="80" t="str">
        <f t="array" ref="A1336">IF(INDEX('Deck 5'!$A:$Z,ROW()-1250,'List Setup'!$D$7)="","",INDEX('Deck 5'!$A:$Z,ROW()-1250,'List Setup'!$D$7))</f>
        <v/>
      </c>
      <c r="B1336" s="80" t="str">
        <f t="array" ref="B1336">IF(A1336="","",IFERROR(INDEX('Binder Setup'!$B$2:$B$401,MIN(IF(ISNUMBER(SEARCH(CHAR(10)&amp;'Binder Setup'!$B$2:$B$401&amp;CHAR(10),$H1336)),'List Setup'!$Q$2:$Q$401,999),IF(ISNUMBER(SEARCH(CHAR(10)&amp;'Set Aliases'!$A$2:$A$501&amp;CHAR(10),$H1336)),'Set Aliases'!$C$2:$C$501,999))),"(none)"))</f>
        <v/>
      </c>
      <c r="C1336" s="80" t="str">
        <f t="shared" si="1"/>
        <v/>
      </c>
      <c r="D1336" s="80" t="str">
        <f t="array" ref="D1336">IF(A1336="","",IF(ISLOGICAL(INDEX('Deck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36" s="80" t="str">
        <f t="shared" si="2"/>
        <v/>
      </c>
      <c r="F1336" s="80" t="str">
        <f t="array" ref="F1336">IF(A1336="","",IF(ISNUMBER(J1336),J1336,IF(ISNUMBER(INDEX('Deck 5'!$A:$Z,ROW()-1250,'List Setup'!$F$7)),INDEX('Deck 5'!$A:$Z,ROW()-1250,'List Setup'!$F$7),0)))</f>
        <v/>
      </c>
      <c r="G1336" s="80" t="str">
        <f t="array" ref="G1336">IF(A1336="","",A1336&amp;IF(N(INDEX('Deck 5'!$A:$Z,ROW()-1250,'List Setup'!$C$7))&gt;1," (x"&amp;INDEX('Deck 5'!$A:$Z,ROW()-1250,'List Setup'!$C$7)&amp;")","")&amp;IF(COUNTIF(Binders!$J$6:$J$30,TRUE())&gt;1," ["&amp;Q1336&amp;"]",""))</f>
        <v/>
      </c>
      <c r="H1336" s="80" t="str">
        <f t="array" ref="H1336">IF(A1336="","",CHAR(10)&amp;INDEX('Deck 5'!$A:$Z,ROW()-1250,'List Setup'!$E$7)&amp;CHAR(10))</f>
        <v/>
      </c>
      <c r="I1336" s="80" t="str">
        <f t="array" ref="I1336">IF(OR(B1336="",B1336="(none)"),"",IF(ISNUMBER(SEARCH(CHAR(10)&amp;B1336&amp;CHAR(10),H1336)),B1336,IFERROR(INDEX('Set Aliases'!$A$2:$A$501,MATCH(1,('Set Aliases'!$B$2:$B$501=B1336)*ISNUMBER(SEARCH(CHAR(10)&amp;'Set Aliases'!$A$2:$A$501&amp;CHAR(10),H1336)),0)),"")))</f>
        <v/>
      </c>
      <c r="J1336" s="80" t="str">
        <f t="array" ref="J1336">IF(I1336="","",IFERROR(VALUE(TRIM(MID(SUBSTITUTE(INDEX('Deck 5'!$A:$Z,ROW()-1250,'List Setup'!$G$7),CHAR(10),REPT(" ",100)),((SEARCH(CHAR(10)&amp;I1336&amp;CHAR(10),H1336)-LEN(SUBSTITUTE(LEFT(H1336,SEARCH(CHAR(10)&amp;I1336&amp;CHAR(10),H1336)),CHAR(10),"")))-1)*100+1,100))),""))</f>
        <v/>
      </c>
      <c r="K1336" s="80" t="str">
        <f t="array" ref="K1336">IF(A1336="","",IF(ISNUMBER(SEARCH("Land",LEFT(IFERROR(INDEX('Deck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36" s="80" t="str">
        <f t="shared" si="3"/>
        <v/>
      </c>
      <c r="M1336" s="80" t="str">
        <f>IF(A1336="","",IF(AND(E1336="Y",B1336='Use at Shop'!$B$4),K1336*10000000000+(MAX(0,MIN(26,CODE(MID(UPPER(A1336)&amp;"    ",1,1))-64))*19683+MAX(0,MIN(26,CODE(MID(UPPER(A1336)&amp;"    ",2,1))-64))*729+MAX(0,MIN(26,CODE(MID(UPPER(A1336)&amp;"    ",3,1))-64))*27+MAX(0,MIN(26,CODE(MID(UPPER(A1336)&amp;"    ",4,1))-64))*1)*10000+ROW(),""))</f>
        <v/>
      </c>
      <c r="N1336" s="80" t="str">
        <f t="shared" si="9"/>
        <v/>
      </c>
      <c r="O1336" s="80" t="str">
        <f t="array" ref="O1336">IF(A1336="","",IFERROR(INDEX('Deck 5'!$A:$Z,ROW()-1250,'List Setup'!$J$7)&amp;"",""))</f>
        <v/>
      </c>
      <c r="P1336" s="2"/>
      <c r="Q1336" s="80" t="str">
        <f>IF(A1336="","",'List Setup'!$A$7)</f>
        <v/>
      </c>
      <c r="R1336" s="80" t="str">
        <f t="array" ref="R1336">IF(A1336="","",IFERROR(OR(INDEX(Binders!$J$6:$J$30,MATCH(Q1336,Binders!$I$6:$I$30,0))=TRUE(),UPPER(INDEX(Binders!$J$6:$J$30,MATCH(Q1336,Binders!$I$6:$I$30,0))&amp;"")="TRUE"),FALSE()))</f>
        <v/>
      </c>
    </row>
    <row r="1337" ht="15.75" customHeight="1">
      <c r="A1337" s="80" t="str">
        <f t="array" ref="A1337">IF(INDEX('Deck 5'!$A:$Z,ROW()-1250,'List Setup'!$D$7)="","",INDEX('Deck 5'!$A:$Z,ROW()-1250,'List Setup'!$D$7))</f>
        <v/>
      </c>
      <c r="B1337" s="80" t="str">
        <f t="array" ref="B1337">IF(A1337="","",IFERROR(INDEX('Binder Setup'!$B$2:$B$401,MIN(IF(ISNUMBER(SEARCH(CHAR(10)&amp;'Binder Setup'!$B$2:$B$401&amp;CHAR(10),$H1337)),'List Setup'!$Q$2:$Q$401,999),IF(ISNUMBER(SEARCH(CHAR(10)&amp;'Set Aliases'!$A$2:$A$501&amp;CHAR(10),$H1337)),'Set Aliases'!$C$2:$C$501,999))),"(none)"))</f>
        <v/>
      </c>
      <c r="C1337" s="80" t="str">
        <f t="shared" si="1"/>
        <v/>
      </c>
      <c r="D1337" s="80" t="str">
        <f t="array" ref="D1337">IF(A1337="","",IF(ISLOGICAL(INDEX('Deck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37" s="80" t="str">
        <f t="shared" si="2"/>
        <v/>
      </c>
      <c r="F1337" s="80" t="str">
        <f t="array" ref="F1337">IF(A1337="","",IF(ISNUMBER(J1337),J1337,IF(ISNUMBER(INDEX('Deck 5'!$A:$Z,ROW()-1250,'List Setup'!$F$7)),INDEX('Deck 5'!$A:$Z,ROW()-1250,'List Setup'!$F$7),0)))</f>
        <v/>
      </c>
      <c r="G1337" s="80" t="str">
        <f t="array" ref="G1337">IF(A1337="","",A1337&amp;IF(N(INDEX('Deck 5'!$A:$Z,ROW()-1250,'List Setup'!$C$7))&gt;1," (x"&amp;INDEX('Deck 5'!$A:$Z,ROW()-1250,'List Setup'!$C$7)&amp;")","")&amp;IF(COUNTIF(Binders!$J$6:$J$30,TRUE())&gt;1," ["&amp;Q1337&amp;"]",""))</f>
        <v/>
      </c>
      <c r="H1337" s="80" t="str">
        <f t="array" ref="H1337">IF(A1337="","",CHAR(10)&amp;INDEX('Deck 5'!$A:$Z,ROW()-1250,'List Setup'!$E$7)&amp;CHAR(10))</f>
        <v/>
      </c>
      <c r="I1337" s="80" t="str">
        <f t="array" ref="I1337">IF(OR(B1337="",B1337="(none)"),"",IF(ISNUMBER(SEARCH(CHAR(10)&amp;B1337&amp;CHAR(10),H1337)),B1337,IFERROR(INDEX('Set Aliases'!$A$2:$A$501,MATCH(1,('Set Aliases'!$B$2:$B$501=B1337)*ISNUMBER(SEARCH(CHAR(10)&amp;'Set Aliases'!$A$2:$A$501&amp;CHAR(10),H1337)),0)),"")))</f>
        <v/>
      </c>
      <c r="J1337" s="80" t="str">
        <f t="array" ref="J1337">IF(I1337="","",IFERROR(VALUE(TRIM(MID(SUBSTITUTE(INDEX('Deck 5'!$A:$Z,ROW()-1250,'List Setup'!$G$7),CHAR(10),REPT(" ",100)),((SEARCH(CHAR(10)&amp;I1337&amp;CHAR(10),H1337)-LEN(SUBSTITUTE(LEFT(H1337,SEARCH(CHAR(10)&amp;I1337&amp;CHAR(10),H1337)),CHAR(10),"")))-1)*100+1,100))),""))</f>
        <v/>
      </c>
      <c r="K1337" s="80" t="str">
        <f t="array" ref="K1337">IF(A1337="","",IF(ISNUMBER(SEARCH("Land",LEFT(IFERROR(INDEX('Deck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37" s="80" t="str">
        <f t="shared" si="3"/>
        <v/>
      </c>
      <c r="M1337" s="80" t="str">
        <f>IF(A1337="","",IF(AND(E1337="Y",B1337='Use at Shop'!$B$4),K1337*10000000000+(MAX(0,MIN(26,CODE(MID(UPPER(A1337)&amp;"    ",1,1))-64))*19683+MAX(0,MIN(26,CODE(MID(UPPER(A1337)&amp;"    ",2,1))-64))*729+MAX(0,MIN(26,CODE(MID(UPPER(A1337)&amp;"    ",3,1))-64))*27+MAX(0,MIN(26,CODE(MID(UPPER(A1337)&amp;"    ",4,1))-64))*1)*10000+ROW(),""))</f>
        <v/>
      </c>
      <c r="N1337" s="80" t="str">
        <f t="shared" si="9"/>
        <v/>
      </c>
      <c r="O1337" s="80" t="str">
        <f t="array" ref="O1337">IF(A1337="","",IFERROR(INDEX('Deck 5'!$A:$Z,ROW()-1250,'List Setup'!$J$7)&amp;"",""))</f>
        <v/>
      </c>
      <c r="P1337" s="2"/>
      <c r="Q1337" s="80" t="str">
        <f>IF(A1337="","",'List Setup'!$A$7)</f>
        <v/>
      </c>
      <c r="R1337" s="80" t="str">
        <f t="array" ref="R1337">IF(A1337="","",IFERROR(OR(INDEX(Binders!$J$6:$J$30,MATCH(Q1337,Binders!$I$6:$I$30,0))=TRUE(),UPPER(INDEX(Binders!$J$6:$J$30,MATCH(Q1337,Binders!$I$6:$I$30,0))&amp;"")="TRUE"),FALSE()))</f>
        <v/>
      </c>
    </row>
    <row r="1338" ht="15.75" customHeight="1">
      <c r="A1338" s="80" t="str">
        <f t="array" ref="A1338">IF(INDEX('Deck 5'!$A:$Z,ROW()-1250,'List Setup'!$D$7)="","",INDEX('Deck 5'!$A:$Z,ROW()-1250,'List Setup'!$D$7))</f>
        <v/>
      </c>
      <c r="B1338" s="80" t="str">
        <f t="array" ref="B1338">IF(A1338="","",IFERROR(INDEX('Binder Setup'!$B$2:$B$401,MIN(IF(ISNUMBER(SEARCH(CHAR(10)&amp;'Binder Setup'!$B$2:$B$401&amp;CHAR(10),$H1338)),'List Setup'!$Q$2:$Q$401,999),IF(ISNUMBER(SEARCH(CHAR(10)&amp;'Set Aliases'!$A$2:$A$501&amp;CHAR(10),$H1338)),'Set Aliases'!$C$2:$C$501,999))),"(none)"))</f>
        <v/>
      </c>
      <c r="C1338" s="80" t="str">
        <f t="shared" si="1"/>
        <v/>
      </c>
      <c r="D1338" s="80" t="str">
        <f t="array" ref="D1338">IF(A1338="","",IF(ISLOGICAL(INDEX('Deck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38" s="80" t="str">
        <f t="shared" si="2"/>
        <v/>
      </c>
      <c r="F1338" s="80" t="str">
        <f t="array" ref="F1338">IF(A1338="","",IF(ISNUMBER(J1338),J1338,IF(ISNUMBER(INDEX('Deck 5'!$A:$Z,ROW()-1250,'List Setup'!$F$7)),INDEX('Deck 5'!$A:$Z,ROW()-1250,'List Setup'!$F$7),0)))</f>
        <v/>
      </c>
      <c r="G1338" s="80" t="str">
        <f t="array" ref="G1338">IF(A1338="","",A1338&amp;IF(N(INDEX('Deck 5'!$A:$Z,ROW()-1250,'List Setup'!$C$7))&gt;1," (x"&amp;INDEX('Deck 5'!$A:$Z,ROW()-1250,'List Setup'!$C$7)&amp;")","")&amp;IF(COUNTIF(Binders!$J$6:$J$30,TRUE())&gt;1," ["&amp;Q1338&amp;"]",""))</f>
        <v/>
      </c>
      <c r="H1338" s="80" t="str">
        <f t="array" ref="H1338">IF(A1338="","",CHAR(10)&amp;INDEX('Deck 5'!$A:$Z,ROW()-1250,'List Setup'!$E$7)&amp;CHAR(10))</f>
        <v/>
      </c>
      <c r="I1338" s="80" t="str">
        <f t="array" ref="I1338">IF(OR(B1338="",B1338="(none)"),"",IF(ISNUMBER(SEARCH(CHAR(10)&amp;B1338&amp;CHAR(10),H1338)),B1338,IFERROR(INDEX('Set Aliases'!$A$2:$A$501,MATCH(1,('Set Aliases'!$B$2:$B$501=B1338)*ISNUMBER(SEARCH(CHAR(10)&amp;'Set Aliases'!$A$2:$A$501&amp;CHAR(10),H1338)),0)),"")))</f>
        <v/>
      </c>
      <c r="J1338" s="80" t="str">
        <f t="array" ref="J1338">IF(I1338="","",IFERROR(VALUE(TRIM(MID(SUBSTITUTE(INDEX('Deck 5'!$A:$Z,ROW()-1250,'List Setup'!$G$7),CHAR(10),REPT(" ",100)),((SEARCH(CHAR(10)&amp;I1338&amp;CHAR(10),H1338)-LEN(SUBSTITUTE(LEFT(H1338,SEARCH(CHAR(10)&amp;I1338&amp;CHAR(10),H1338)),CHAR(10),"")))-1)*100+1,100))),""))</f>
        <v/>
      </c>
      <c r="K1338" s="80" t="str">
        <f t="array" ref="K1338">IF(A1338="","",IF(ISNUMBER(SEARCH("Land",LEFT(IFERROR(INDEX('Deck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38" s="80" t="str">
        <f t="shared" si="3"/>
        <v/>
      </c>
      <c r="M1338" s="80" t="str">
        <f>IF(A1338="","",IF(AND(E1338="Y",B1338='Use at Shop'!$B$4),K1338*10000000000+(MAX(0,MIN(26,CODE(MID(UPPER(A1338)&amp;"    ",1,1))-64))*19683+MAX(0,MIN(26,CODE(MID(UPPER(A1338)&amp;"    ",2,1))-64))*729+MAX(0,MIN(26,CODE(MID(UPPER(A1338)&amp;"    ",3,1))-64))*27+MAX(0,MIN(26,CODE(MID(UPPER(A1338)&amp;"    ",4,1))-64))*1)*10000+ROW(),""))</f>
        <v/>
      </c>
      <c r="N1338" s="80" t="str">
        <f t="shared" si="9"/>
        <v/>
      </c>
      <c r="O1338" s="80" t="str">
        <f t="array" ref="O1338">IF(A1338="","",IFERROR(INDEX('Deck 5'!$A:$Z,ROW()-1250,'List Setup'!$J$7)&amp;"",""))</f>
        <v/>
      </c>
      <c r="P1338" s="2"/>
      <c r="Q1338" s="80" t="str">
        <f>IF(A1338="","",'List Setup'!$A$7)</f>
        <v/>
      </c>
      <c r="R1338" s="80" t="str">
        <f t="array" ref="R1338">IF(A1338="","",IFERROR(OR(INDEX(Binders!$J$6:$J$30,MATCH(Q1338,Binders!$I$6:$I$30,0))=TRUE(),UPPER(INDEX(Binders!$J$6:$J$30,MATCH(Q1338,Binders!$I$6:$I$30,0))&amp;"")="TRUE"),FALSE()))</f>
        <v/>
      </c>
    </row>
    <row r="1339" ht="15.75" customHeight="1">
      <c r="A1339" s="80" t="str">
        <f t="array" ref="A1339">IF(INDEX('Deck 5'!$A:$Z,ROW()-1250,'List Setup'!$D$7)="","",INDEX('Deck 5'!$A:$Z,ROW()-1250,'List Setup'!$D$7))</f>
        <v/>
      </c>
      <c r="B1339" s="80" t="str">
        <f t="array" ref="B1339">IF(A1339="","",IFERROR(INDEX('Binder Setup'!$B$2:$B$401,MIN(IF(ISNUMBER(SEARCH(CHAR(10)&amp;'Binder Setup'!$B$2:$B$401&amp;CHAR(10),$H1339)),'List Setup'!$Q$2:$Q$401,999),IF(ISNUMBER(SEARCH(CHAR(10)&amp;'Set Aliases'!$A$2:$A$501&amp;CHAR(10),$H1339)),'Set Aliases'!$C$2:$C$501,999))),"(none)"))</f>
        <v/>
      </c>
      <c r="C1339" s="80" t="str">
        <f t="shared" si="1"/>
        <v/>
      </c>
      <c r="D1339" s="80" t="str">
        <f t="array" ref="D1339">IF(A1339="","",IF(ISLOGICAL(INDEX('Deck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39" s="80" t="str">
        <f t="shared" si="2"/>
        <v/>
      </c>
      <c r="F1339" s="80" t="str">
        <f t="array" ref="F1339">IF(A1339="","",IF(ISNUMBER(J1339),J1339,IF(ISNUMBER(INDEX('Deck 5'!$A:$Z,ROW()-1250,'List Setup'!$F$7)),INDEX('Deck 5'!$A:$Z,ROW()-1250,'List Setup'!$F$7),0)))</f>
        <v/>
      </c>
      <c r="G1339" s="80" t="str">
        <f t="array" ref="G1339">IF(A1339="","",A1339&amp;IF(N(INDEX('Deck 5'!$A:$Z,ROW()-1250,'List Setup'!$C$7))&gt;1," (x"&amp;INDEX('Deck 5'!$A:$Z,ROW()-1250,'List Setup'!$C$7)&amp;")","")&amp;IF(COUNTIF(Binders!$J$6:$J$30,TRUE())&gt;1," ["&amp;Q1339&amp;"]",""))</f>
        <v/>
      </c>
      <c r="H1339" s="80" t="str">
        <f t="array" ref="H1339">IF(A1339="","",CHAR(10)&amp;INDEX('Deck 5'!$A:$Z,ROW()-1250,'List Setup'!$E$7)&amp;CHAR(10))</f>
        <v/>
      </c>
      <c r="I1339" s="80" t="str">
        <f t="array" ref="I1339">IF(OR(B1339="",B1339="(none)"),"",IF(ISNUMBER(SEARCH(CHAR(10)&amp;B1339&amp;CHAR(10),H1339)),B1339,IFERROR(INDEX('Set Aliases'!$A$2:$A$501,MATCH(1,('Set Aliases'!$B$2:$B$501=B1339)*ISNUMBER(SEARCH(CHAR(10)&amp;'Set Aliases'!$A$2:$A$501&amp;CHAR(10),H1339)),0)),"")))</f>
        <v/>
      </c>
      <c r="J1339" s="80" t="str">
        <f t="array" ref="J1339">IF(I1339="","",IFERROR(VALUE(TRIM(MID(SUBSTITUTE(INDEX('Deck 5'!$A:$Z,ROW()-1250,'List Setup'!$G$7),CHAR(10),REPT(" ",100)),((SEARCH(CHAR(10)&amp;I1339&amp;CHAR(10),H1339)-LEN(SUBSTITUTE(LEFT(H1339,SEARCH(CHAR(10)&amp;I1339&amp;CHAR(10),H1339)),CHAR(10),"")))-1)*100+1,100))),""))</f>
        <v/>
      </c>
      <c r="K1339" s="80" t="str">
        <f t="array" ref="K1339">IF(A1339="","",IF(ISNUMBER(SEARCH("Land",LEFT(IFERROR(INDEX('Deck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39" s="80" t="str">
        <f t="shared" si="3"/>
        <v/>
      </c>
      <c r="M1339" s="80" t="str">
        <f>IF(A1339="","",IF(AND(E1339="Y",B1339='Use at Shop'!$B$4),K1339*10000000000+(MAX(0,MIN(26,CODE(MID(UPPER(A1339)&amp;"    ",1,1))-64))*19683+MAX(0,MIN(26,CODE(MID(UPPER(A1339)&amp;"    ",2,1))-64))*729+MAX(0,MIN(26,CODE(MID(UPPER(A1339)&amp;"    ",3,1))-64))*27+MAX(0,MIN(26,CODE(MID(UPPER(A1339)&amp;"    ",4,1))-64))*1)*10000+ROW(),""))</f>
        <v/>
      </c>
      <c r="N1339" s="80" t="str">
        <f t="shared" si="9"/>
        <v/>
      </c>
      <c r="O1339" s="80" t="str">
        <f t="array" ref="O1339">IF(A1339="","",IFERROR(INDEX('Deck 5'!$A:$Z,ROW()-1250,'List Setup'!$J$7)&amp;"",""))</f>
        <v/>
      </c>
      <c r="P1339" s="2"/>
      <c r="Q1339" s="80" t="str">
        <f>IF(A1339="","",'List Setup'!$A$7)</f>
        <v/>
      </c>
      <c r="R1339" s="80" t="str">
        <f t="array" ref="R1339">IF(A1339="","",IFERROR(OR(INDEX(Binders!$J$6:$J$30,MATCH(Q1339,Binders!$I$6:$I$30,0))=TRUE(),UPPER(INDEX(Binders!$J$6:$J$30,MATCH(Q1339,Binders!$I$6:$I$30,0))&amp;"")="TRUE"),FALSE()))</f>
        <v/>
      </c>
    </row>
    <row r="1340" ht="15.75" customHeight="1">
      <c r="A1340" s="80" t="str">
        <f t="array" ref="A1340">IF(INDEX('Deck 5'!$A:$Z,ROW()-1250,'List Setup'!$D$7)="","",INDEX('Deck 5'!$A:$Z,ROW()-1250,'List Setup'!$D$7))</f>
        <v/>
      </c>
      <c r="B1340" s="80" t="str">
        <f t="array" ref="B1340">IF(A1340="","",IFERROR(INDEX('Binder Setup'!$B$2:$B$401,MIN(IF(ISNUMBER(SEARCH(CHAR(10)&amp;'Binder Setup'!$B$2:$B$401&amp;CHAR(10),$H1340)),'List Setup'!$Q$2:$Q$401,999),IF(ISNUMBER(SEARCH(CHAR(10)&amp;'Set Aliases'!$A$2:$A$501&amp;CHAR(10),$H1340)),'Set Aliases'!$C$2:$C$501,999))),"(none)"))</f>
        <v/>
      </c>
      <c r="C1340" s="80" t="str">
        <f t="shared" si="1"/>
        <v/>
      </c>
      <c r="D1340" s="80" t="str">
        <f t="array" ref="D1340">IF(A1340="","",IF(ISLOGICAL(INDEX('Deck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40" s="80" t="str">
        <f t="shared" si="2"/>
        <v/>
      </c>
      <c r="F1340" s="80" t="str">
        <f t="array" ref="F1340">IF(A1340="","",IF(ISNUMBER(J1340),J1340,IF(ISNUMBER(INDEX('Deck 5'!$A:$Z,ROW()-1250,'List Setup'!$F$7)),INDEX('Deck 5'!$A:$Z,ROW()-1250,'List Setup'!$F$7),0)))</f>
        <v/>
      </c>
      <c r="G1340" s="80" t="str">
        <f t="array" ref="G1340">IF(A1340="","",A1340&amp;IF(N(INDEX('Deck 5'!$A:$Z,ROW()-1250,'List Setup'!$C$7))&gt;1," (x"&amp;INDEX('Deck 5'!$A:$Z,ROW()-1250,'List Setup'!$C$7)&amp;")","")&amp;IF(COUNTIF(Binders!$J$6:$J$30,TRUE())&gt;1," ["&amp;Q1340&amp;"]",""))</f>
        <v/>
      </c>
      <c r="H1340" s="80" t="str">
        <f t="array" ref="H1340">IF(A1340="","",CHAR(10)&amp;INDEX('Deck 5'!$A:$Z,ROW()-1250,'List Setup'!$E$7)&amp;CHAR(10))</f>
        <v/>
      </c>
      <c r="I1340" s="80" t="str">
        <f t="array" ref="I1340">IF(OR(B1340="",B1340="(none)"),"",IF(ISNUMBER(SEARCH(CHAR(10)&amp;B1340&amp;CHAR(10),H1340)),B1340,IFERROR(INDEX('Set Aliases'!$A$2:$A$501,MATCH(1,('Set Aliases'!$B$2:$B$501=B1340)*ISNUMBER(SEARCH(CHAR(10)&amp;'Set Aliases'!$A$2:$A$501&amp;CHAR(10),H1340)),0)),"")))</f>
        <v/>
      </c>
      <c r="J1340" s="80" t="str">
        <f t="array" ref="J1340">IF(I1340="","",IFERROR(VALUE(TRIM(MID(SUBSTITUTE(INDEX('Deck 5'!$A:$Z,ROW()-1250,'List Setup'!$G$7),CHAR(10),REPT(" ",100)),((SEARCH(CHAR(10)&amp;I1340&amp;CHAR(10),H1340)-LEN(SUBSTITUTE(LEFT(H1340,SEARCH(CHAR(10)&amp;I1340&amp;CHAR(10),H1340)),CHAR(10),"")))-1)*100+1,100))),""))</f>
        <v/>
      </c>
      <c r="K1340" s="80" t="str">
        <f t="array" ref="K1340">IF(A1340="","",IF(ISNUMBER(SEARCH("Land",LEFT(IFERROR(INDEX('Deck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40" s="80" t="str">
        <f t="shared" si="3"/>
        <v/>
      </c>
      <c r="M1340" s="80" t="str">
        <f>IF(A1340="","",IF(AND(E1340="Y",B1340='Use at Shop'!$B$4),K1340*10000000000+(MAX(0,MIN(26,CODE(MID(UPPER(A1340)&amp;"    ",1,1))-64))*19683+MAX(0,MIN(26,CODE(MID(UPPER(A1340)&amp;"    ",2,1))-64))*729+MAX(0,MIN(26,CODE(MID(UPPER(A1340)&amp;"    ",3,1))-64))*27+MAX(0,MIN(26,CODE(MID(UPPER(A1340)&amp;"    ",4,1))-64))*1)*10000+ROW(),""))</f>
        <v/>
      </c>
      <c r="N1340" s="80" t="str">
        <f t="shared" si="9"/>
        <v/>
      </c>
      <c r="O1340" s="80" t="str">
        <f t="array" ref="O1340">IF(A1340="","",IFERROR(INDEX('Deck 5'!$A:$Z,ROW()-1250,'List Setup'!$J$7)&amp;"",""))</f>
        <v/>
      </c>
      <c r="P1340" s="2"/>
      <c r="Q1340" s="80" t="str">
        <f>IF(A1340="","",'List Setup'!$A$7)</f>
        <v/>
      </c>
      <c r="R1340" s="80" t="str">
        <f t="array" ref="R1340">IF(A1340="","",IFERROR(OR(INDEX(Binders!$J$6:$J$30,MATCH(Q1340,Binders!$I$6:$I$30,0))=TRUE(),UPPER(INDEX(Binders!$J$6:$J$30,MATCH(Q1340,Binders!$I$6:$I$30,0))&amp;"")="TRUE"),FALSE()))</f>
        <v/>
      </c>
    </row>
    <row r="1341" ht="15.75" customHeight="1">
      <c r="A1341" s="80" t="str">
        <f t="array" ref="A1341">IF(INDEX('Deck 5'!$A:$Z,ROW()-1250,'List Setup'!$D$7)="","",INDEX('Deck 5'!$A:$Z,ROW()-1250,'List Setup'!$D$7))</f>
        <v/>
      </c>
      <c r="B1341" s="80" t="str">
        <f t="array" ref="B1341">IF(A1341="","",IFERROR(INDEX('Binder Setup'!$B$2:$B$401,MIN(IF(ISNUMBER(SEARCH(CHAR(10)&amp;'Binder Setup'!$B$2:$B$401&amp;CHAR(10),$H1341)),'List Setup'!$Q$2:$Q$401,999),IF(ISNUMBER(SEARCH(CHAR(10)&amp;'Set Aliases'!$A$2:$A$501&amp;CHAR(10),$H1341)),'Set Aliases'!$C$2:$C$501,999))),"(none)"))</f>
        <v/>
      </c>
      <c r="C1341" s="80" t="str">
        <f t="shared" si="1"/>
        <v/>
      </c>
      <c r="D1341" s="80" t="str">
        <f t="array" ref="D1341">IF(A1341="","",IF(ISLOGICAL(INDEX('Deck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41" s="80" t="str">
        <f t="shared" si="2"/>
        <v/>
      </c>
      <c r="F1341" s="80" t="str">
        <f t="array" ref="F1341">IF(A1341="","",IF(ISNUMBER(J1341),J1341,IF(ISNUMBER(INDEX('Deck 5'!$A:$Z,ROW()-1250,'List Setup'!$F$7)),INDEX('Deck 5'!$A:$Z,ROW()-1250,'List Setup'!$F$7),0)))</f>
        <v/>
      </c>
      <c r="G1341" s="80" t="str">
        <f t="array" ref="G1341">IF(A1341="","",A1341&amp;IF(N(INDEX('Deck 5'!$A:$Z,ROW()-1250,'List Setup'!$C$7))&gt;1," (x"&amp;INDEX('Deck 5'!$A:$Z,ROW()-1250,'List Setup'!$C$7)&amp;")","")&amp;IF(COUNTIF(Binders!$J$6:$J$30,TRUE())&gt;1," ["&amp;Q1341&amp;"]",""))</f>
        <v/>
      </c>
      <c r="H1341" s="80" t="str">
        <f t="array" ref="H1341">IF(A1341="","",CHAR(10)&amp;INDEX('Deck 5'!$A:$Z,ROW()-1250,'List Setup'!$E$7)&amp;CHAR(10))</f>
        <v/>
      </c>
      <c r="I1341" s="80" t="str">
        <f t="array" ref="I1341">IF(OR(B1341="",B1341="(none)"),"",IF(ISNUMBER(SEARCH(CHAR(10)&amp;B1341&amp;CHAR(10),H1341)),B1341,IFERROR(INDEX('Set Aliases'!$A$2:$A$501,MATCH(1,('Set Aliases'!$B$2:$B$501=B1341)*ISNUMBER(SEARCH(CHAR(10)&amp;'Set Aliases'!$A$2:$A$501&amp;CHAR(10),H1341)),0)),"")))</f>
        <v/>
      </c>
      <c r="J1341" s="80" t="str">
        <f t="array" ref="J1341">IF(I1341="","",IFERROR(VALUE(TRIM(MID(SUBSTITUTE(INDEX('Deck 5'!$A:$Z,ROW()-1250,'List Setup'!$G$7),CHAR(10),REPT(" ",100)),((SEARCH(CHAR(10)&amp;I1341&amp;CHAR(10),H1341)-LEN(SUBSTITUTE(LEFT(H1341,SEARCH(CHAR(10)&amp;I1341&amp;CHAR(10),H1341)),CHAR(10),"")))-1)*100+1,100))),""))</f>
        <v/>
      </c>
      <c r="K1341" s="80" t="str">
        <f t="array" ref="K1341">IF(A1341="","",IF(ISNUMBER(SEARCH("Land",LEFT(IFERROR(INDEX('Deck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41" s="80" t="str">
        <f t="shared" si="3"/>
        <v/>
      </c>
      <c r="M1341" s="80" t="str">
        <f>IF(A1341="","",IF(AND(E1341="Y",B1341='Use at Shop'!$B$4),K1341*10000000000+(MAX(0,MIN(26,CODE(MID(UPPER(A1341)&amp;"    ",1,1))-64))*19683+MAX(0,MIN(26,CODE(MID(UPPER(A1341)&amp;"    ",2,1))-64))*729+MAX(0,MIN(26,CODE(MID(UPPER(A1341)&amp;"    ",3,1))-64))*27+MAX(0,MIN(26,CODE(MID(UPPER(A1341)&amp;"    ",4,1))-64))*1)*10000+ROW(),""))</f>
        <v/>
      </c>
      <c r="N1341" s="80" t="str">
        <f t="shared" si="9"/>
        <v/>
      </c>
      <c r="O1341" s="80" t="str">
        <f t="array" ref="O1341">IF(A1341="","",IFERROR(INDEX('Deck 5'!$A:$Z,ROW()-1250,'List Setup'!$J$7)&amp;"",""))</f>
        <v/>
      </c>
      <c r="P1341" s="2"/>
      <c r="Q1341" s="80" t="str">
        <f>IF(A1341="","",'List Setup'!$A$7)</f>
        <v/>
      </c>
      <c r="R1341" s="80" t="str">
        <f t="array" ref="R1341">IF(A1341="","",IFERROR(OR(INDEX(Binders!$J$6:$J$30,MATCH(Q1341,Binders!$I$6:$I$30,0))=TRUE(),UPPER(INDEX(Binders!$J$6:$J$30,MATCH(Q1341,Binders!$I$6:$I$30,0))&amp;"")="TRUE"),FALSE()))</f>
        <v/>
      </c>
    </row>
    <row r="1342" ht="15.75" customHeight="1">
      <c r="A1342" s="80" t="str">
        <f t="array" ref="A1342">IF(INDEX('Deck 5'!$A:$Z,ROW()-1250,'List Setup'!$D$7)="","",INDEX('Deck 5'!$A:$Z,ROW()-1250,'List Setup'!$D$7))</f>
        <v/>
      </c>
      <c r="B1342" s="80" t="str">
        <f t="array" ref="B1342">IF(A1342="","",IFERROR(INDEX('Binder Setup'!$B$2:$B$401,MIN(IF(ISNUMBER(SEARCH(CHAR(10)&amp;'Binder Setup'!$B$2:$B$401&amp;CHAR(10),$H1342)),'List Setup'!$Q$2:$Q$401,999),IF(ISNUMBER(SEARCH(CHAR(10)&amp;'Set Aliases'!$A$2:$A$501&amp;CHAR(10),$H1342)),'Set Aliases'!$C$2:$C$501,999))),"(none)"))</f>
        <v/>
      </c>
      <c r="C1342" s="80" t="str">
        <f t="shared" si="1"/>
        <v/>
      </c>
      <c r="D1342" s="80" t="str">
        <f t="array" ref="D1342">IF(A1342="","",IF(ISLOGICAL(INDEX('Deck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42" s="80" t="str">
        <f t="shared" si="2"/>
        <v/>
      </c>
      <c r="F1342" s="80" t="str">
        <f t="array" ref="F1342">IF(A1342="","",IF(ISNUMBER(J1342),J1342,IF(ISNUMBER(INDEX('Deck 5'!$A:$Z,ROW()-1250,'List Setup'!$F$7)),INDEX('Deck 5'!$A:$Z,ROW()-1250,'List Setup'!$F$7),0)))</f>
        <v/>
      </c>
      <c r="G1342" s="80" t="str">
        <f t="array" ref="G1342">IF(A1342="","",A1342&amp;IF(N(INDEX('Deck 5'!$A:$Z,ROW()-1250,'List Setup'!$C$7))&gt;1," (x"&amp;INDEX('Deck 5'!$A:$Z,ROW()-1250,'List Setup'!$C$7)&amp;")","")&amp;IF(COUNTIF(Binders!$J$6:$J$30,TRUE())&gt;1," ["&amp;Q1342&amp;"]",""))</f>
        <v/>
      </c>
      <c r="H1342" s="80" t="str">
        <f t="array" ref="H1342">IF(A1342="","",CHAR(10)&amp;INDEX('Deck 5'!$A:$Z,ROW()-1250,'List Setup'!$E$7)&amp;CHAR(10))</f>
        <v/>
      </c>
      <c r="I1342" s="80" t="str">
        <f t="array" ref="I1342">IF(OR(B1342="",B1342="(none)"),"",IF(ISNUMBER(SEARCH(CHAR(10)&amp;B1342&amp;CHAR(10),H1342)),B1342,IFERROR(INDEX('Set Aliases'!$A$2:$A$501,MATCH(1,('Set Aliases'!$B$2:$B$501=B1342)*ISNUMBER(SEARCH(CHAR(10)&amp;'Set Aliases'!$A$2:$A$501&amp;CHAR(10),H1342)),0)),"")))</f>
        <v/>
      </c>
      <c r="J1342" s="80" t="str">
        <f t="array" ref="J1342">IF(I1342="","",IFERROR(VALUE(TRIM(MID(SUBSTITUTE(INDEX('Deck 5'!$A:$Z,ROW()-1250,'List Setup'!$G$7),CHAR(10),REPT(" ",100)),((SEARCH(CHAR(10)&amp;I1342&amp;CHAR(10),H1342)-LEN(SUBSTITUTE(LEFT(H1342,SEARCH(CHAR(10)&amp;I1342&amp;CHAR(10),H1342)),CHAR(10),"")))-1)*100+1,100))),""))</f>
        <v/>
      </c>
      <c r="K1342" s="80" t="str">
        <f t="array" ref="K1342">IF(A1342="","",IF(ISNUMBER(SEARCH("Land",LEFT(IFERROR(INDEX('Deck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42" s="80" t="str">
        <f t="shared" si="3"/>
        <v/>
      </c>
      <c r="M1342" s="80" t="str">
        <f>IF(A1342="","",IF(AND(E1342="Y",B1342='Use at Shop'!$B$4),K1342*10000000000+(MAX(0,MIN(26,CODE(MID(UPPER(A1342)&amp;"    ",1,1))-64))*19683+MAX(0,MIN(26,CODE(MID(UPPER(A1342)&amp;"    ",2,1))-64))*729+MAX(0,MIN(26,CODE(MID(UPPER(A1342)&amp;"    ",3,1))-64))*27+MAX(0,MIN(26,CODE(MID(UPPER(A1342)&amp;"    ",4,1))-64))*1)*10000+ROW(),""))</f>
        <v/>
      </c>
      <c r="N1342" s="80" t="str">
        <f t="shared" si="9"/>
        <v/>
      </c>
      <c r="O1342" s="80" t="str">
        <f t="array" ref="O1342">IF(A1342="","",IFERROR(INDEX('Deck 5'!$A:$Z,ROW()-1250,'List Setup'!$J$7)&amp;"",""))</f>
        <v/>
      </c>
      <c r="P1342" s="2"/>
      <c r="Q1342" s="80" t="str">
        <f>IF(A1342="","",'List Setup'!$A$7)</f>
        <v/>
      </c>
      <c r="R1342" s="80" t="str">
        <f t="array" ref="R1342">IF(A1342="","",IFERROR(OR(INDEX(Binders!$J$6:$J$30,MATCH(Q1342,Binders!$I$6:$I$30,0))=TRUE(),UPPER(INDEX(Binders!$J$6:$J$30,MATCH(Q1342,Binders!$I$6:$I$30,0))&amp;"")="TRUE"),FALSE()))</f>
        <v/>
      </c>
    </row>
    <row r="1343" ht="15.75" customHeight="1">
      <c r="A1343" s="80" t="str">
        <f t="array" ref="A1343">IF(INDEX('Deck 5'!$A:$Z,ROW()-1250,'List Setup'!$D$7)="","",INDEX('Deck 5'!$A:$Z,ROW()-1250,'List Setup'!$D$7))</f>
        <v/>
      </c>
      <c r="B1343" s="80" t="str">
        <f t="array" ref="B1343">IF(A1343="","",IFERROR(INDEX('Binder Setup'!$B$2:$B$401,MIN(IF(ISNUMBER(SEARCH(CHAR(10)&amp;'Binder Setup'!$B$2:$B$401&amp;CHAR(10),$H1343)),'List Setup'!$Q$2:$Q$401,999),IF(ISNUMBER(SEARCH(CHAR(10)&amp;'Set Aliases'!$A$2:$A$501&amp;CHAR(10),$H1343)),'Set Aliases'!$C$2:$C$501,999))),"(none)"))</f>
        <v/>
      </c>
      <c r="C1343" s="80" t="str">
        <f t="shared" si="1"/>
        <v/>
      </c>
      <c r="D1343" s="80" t="str">
        <f t="array" ref="D1343">IF(A1343="","",IF(ISLOGICAL(INDEX('Deck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43" s="80" t="str">
        <f t="shared" si="2"/>
        <v/>
      </c>
      <c r="F1343" s="80" t="str">
        <f t="array" ref="F1343">IF(A1343="","",IF(ISNUMBER(J1343),J1343,IF(ISNUMBER(INDEX('Deck 5'!$A:$Z,ROW()-1250,'List Setup'!$F$7)),INDEX('Deck 5'!$A:$Z,ROW()-1250,'List Setup'!$F$7),0)))</f>
        <v/>
      </c>
      <c r="G1343" s="80" t="str">
        <f t="array" ref="G1343">IF(A1343="","",A1343&amp;IF(N(INDEX('Deck 5'!$A:$Z,ROW()-1250,'List Setup'!$C$7))&gt;1," (x"&amp;INDEX('Deck 5'!$A:$Z,ROW()-1250,'List Setup'!$C$7)&amp;")","")&amp;IF(COUNTIF(Binders!$J$6:$J$30,TRUE())&gt;1," ["&amp;Q1343&amp;"]",""))</f>
        <v/>
      </c>
      <c r="H1343" s="80" t="str">
        <f t="array" ref="H1343">IF(A1343="","",CHAR(10)&amp;INDEX('Deck 5'!$A:$Z,ROW()-1250,'List Setup'!$E$7)&amp;CHAR(10))</f>
        <v/>
      </c>
      <c r="I1343" s="80" t="str">
        <f t="array" ref="I1343">IF(OR(B1343="",B1343="(none)"),"",IF(ISNUMBER(SEARCH(CHAR(10)&amp;B1343&amp;CHAR(10),H1343)),B1343,IFERROR(INDEX('Set Aliases'!$A$2:$A$501,MATCH(1,('Set Aliases'!$B$2:$B$501=B1343)*ISNUMBER(SEARCH(CHAR(10)&amp;'Set Aliases'!$A$2:$A$501&amp;CHAR(10),H1343)),0)),"")))</f>
        <v/>
      </c>
      <c r="J1343" s="80" t="str">
        <f t="array" ref="J1343">IF(I1343="","",IFERROR(VALUE(TRIM(MID(SUBSTITUTE(INDEX('Deck 5'!$A:$Z,ROW()-1250,'List Setup'!$G$7),CHAR(10),REPT(" ",100)),((SEARCH(CHAR(10)&amp;I1343&amp;CHAR(10),H1343)-LEN(SUBSTITUTE(LEFT(H1343,SEARCH(CHAR(10)&amp;I1343&amp;CHAR(10),H1343)),CHAR(10),"")))-1)*100+1,100))),""))</f>
        <v/>
      </c>
      <c r="K1343" s="80" t="str">
        <f t="array" ref="K1343">IF(A1343="","",IF(ISNUMBER(SEARCH("Land",LEFT(IFERROR(INDEX('Deck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43" s="80" t="str">
        <f t="shared" si="3"/>
        <v/>
      </c>
      <c r="M1343" s="80" t="str">
        <f>IF(A1343="","",IF(AND(E1343="Y",B1343='Use at Shop'!$B$4),K1343*10000000000+(MAX(0,MIN(26,CODE(MID(UPPER(A1343)&amp;"    ",1,1))-64))*19683+MAX(0,MIN(26,CODE(MID(UPPER(A1343)&amp;"    ",2,1))-64))*729+MAX(0,MIN(26,CODE(MID(UPPER(A1343)&amp;"    ",3,1))-64))*27+MAX(0,MIN(26,CODE(MID(UPPER(A1343)&amp;"    ",4,1))-64))*1)*10000+ROW(),""))</f>
        <v/>
      </c>
      <c r="N1343" s="80" t="str">
        <f t="shared" si="9"/>
        <v/>
      </c>
      <c r="O1343" s="80" t="str">
        <f t="array" ref="O1343">IF(A1343="","",IFERROR(INDEX('Deck 5'!$A:$Z,ROW()-1250,'List Setup'!$J$7)&amp;"",""))</f>
        <v/>
      </c>
      <c r="P1343" s="2"/>
      <c r="Q1343" s="80" t="str">
        <f>IF(A1343="","",'List Setup'!$A$7)</f>
        <v/>
      </c>
      <c r="R1343" s="80" t="str">
        <f t="array" ref="R1343">IF(A1343="","",IFERROR(OR(INDEX(Binders!$J$6:$J$30,MATCH(Q1343,Binders!$I$6:$I$30,0))=TRUE(),UPPER(INDEX(Binders!$J$6:$J$30,MATCH(Q1343,Binders!$I$6:$I$30,0))&amp;"")="TRUE"),FALSE()))</f>
        <v/>
      </c>
    </row>
    <row r="1344" ht="15.75" customHeight="1">
      <c r="A1344" s="80" t="str">
        <f t="array" ref="A1344">IF(INDEX('Deck 5'!$A:$Z,ROW()-1250,'List Setup'!$D$7)="","",INDEX('Deck 5'!$A:$Z,ROW()-1250,'List Setup'!$D$7))</f>
        <v/>
      </c>
      <c r="B1344" s="80" t="str">
        <f t="array" ref="B1344">IF(A1344="","",IFERROR(INDEX('Binder Setup'!$B$2:$B$401,MIN(IF(ISNUMBER(SEARCH(CHAR(10)&amp;'Binder Setup'!$B$2:$B$401&amp;CHAR(10),$H1344)),'List Setup'!$Q$2:$Q$401,999),IF(ISNUMBER(SEARCH(CHAR(10)&amp;'Set Aliases'!$A$2:$A$501&amp;CHAR(10),$H1344)),'Set Aliases'!$C$2:$C$501,999))),"(none)"))</f>
        <v/>
      </c>
      <c r="C1344" s="80" t="str">
        <f t="shared" si="1"/>
        <v/>
      </c>
      <c r="D1344" s="80" t="str">
        <f t="array" ref="D1344">IF(A1344="","",IF(ISLOGICAL(INDEX('Deck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44" s="80" t="str">
        <f t="shared" si="2"/>
        <v/>
      </c>
      <c r="F1344" s="80" t="str">
        <f t="array" ref="F1344">IF(A1344="","",IF(ISNUMBER(J1344),J1344,IF(ISNUMBER(INDEX('Deck 5'!$A:$Z,ROW()-1250,'List Setup'!$F$7)),INDEX('Deck 5'!$A:$Z,ROW()-1250,'List Setup'!$F$7),0)))</f>
        <v/>
      </c>
      <c r="G1344" s="80" t="str">
        <f t="array" ref="G1344">IF(A1344="","",A1344&amp;IF(N(INDEX('Deck 5'!$A:$Z,ROW()-1250,'List Setup'!$C$7))&gt;1," (x"&amp;INDEX('Deck 5'!$A:$Z,ROW()-1250,'List Setup'!$C$7)&amp;")","")&amp;IF(COUNTIF(Binders!$J$6:$J$30,TRUE())&gt;1," ["&amp;Q1344&amp;"]",""))</f>
        <v/>
      </c>
      <c r="H1344" s="80" t="str">
        <f t="array" ref="H1344">IF(A1344="","",CHAR(10)&amp;INDEX('Deck 5'!$A:$Z,ROW()-1250,'List Setup'!$E$7)&amp;CHAR(10))</f>
        <v/>
      </c>
      <c r="I1344" s="80" t="str">
        <f t="array" ref="I1344">IF(OR(B1344="",B1344="(none)"),"",IF(ISNUMBER(SEARCH(CHAR(10)&amp;B1344&amp;CHAR(10),H1344)),B1344,IFERROR(INDEX('Set Aliases'!$A$2:$A$501,MATCH(1,('Set Aliases'!$B$2:$B$501=B1344)*ISNUMBER(SEARCH(CHAR(10)&amp;'Set Aliases'!$A$2:$A$501&amp;CHAR(10),H1344)),0)),"")))</f>
        <v/>
      </c>
      <c r="J1344" s="80" t="str">
        <f t="array" ref="J1344">IF(I1344="","",IFERROR(VALUE(TRIM(MID(SUBSTITUTE(INDEX('Deck 5'!$A:$Z,ROW()-1250,'List Setup'!$G$7),CHAR(10),REPT(" ",100)),((SEARCH(CHAR(10)&amp;I1344&amp;CHAR(10),H1344)-LEN(SUBSTITUTE(LEFT(H1344,SEARCH(CHAR(10)&amp;I1344&amp;CHAR(10),H1344)),CHAR(10),"")))-1)*100+1,100))),""))</f>
        <v/>
      </c>
      <c r="K1344" s="80" t="str">
        <f t="array" ref="K1344">IF(A1344="","",IF(ISNUMBER(SEARCH("Land",LEFT(IFERROR(INDEX('Deck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44" s="80" t="str">
        <f t="shared" si="3"/>
        <v/>
      </c>
      <c r="M1344" s="80" t="str">
        <f>IF(A1344="","",IF(AND(E1344="Y",B1344='Use at Shop'!$B$4),K1344*10000000000+(MAX(0,MIN(26,CODE(MID(UPPER(A1344)&amp;"    ",1,1))-64))*19683+MAX(0,MIN(26,CODE(MID(UPPER(A1344)&amp;"    ",2,1))-64))*729+MAX(0,MIN(26,CODE(MID(UPPER(A1344)&amp;"    ",3,1))-64))*27+MAX(0,MIN(26,CODE(MID(UPPER(A1344)&amp;"    ",4,1))-64))*1)*10000+ROW(),""))</f>
        <v/>
      </c>
      <c r="N1344" s="80" t="str">
        <f t="shared" si="9"/>
        <v/>
      </c>
      <c r="O1344" s="80" t="str">
        <f t="array" ref="O1344">IF(A1344="","",IFERROR(INDEX('Deck 5'!$A:$Z,ROW()-1250,'List Setup'!$J$7)&amp;"",""))</f>
        <v/>
      </c>
      <c r="P1344" s="2"/>
      <c r="Q1344" s="80" t="str">
        <f>IF(A1344="","",'List Setup'!$A$7)</f>
        <v/>
      </c>
      <c r="R1344" s="80" t="str">
        <f t="array" ref="R1344">IF(A1344="","",IFERROR(OR(INDEX(Binders!$J$6:$J$30,MATCH(Q1344,Binders!$I$6:$I$30,0))=TRUE(),UPPER(INDEX(Binders!$J$6:$J$30,MATCH(Q1344,Binders!$I$6:$I$30,0))&amp;"")="TRUE"),FALSE()))</f>
        <v/>
      </c>
    </row>
    <row r="1345" ht="15.75" customHeight="1">
      <c r="A1345" s="80" t="str">
        <f t="array" ref="A1345">IF(INDEX('Deck 5'!$A:$Z,ROW()-1250,'List Setup'!$D$7)="","",INDEX('Deck 5'!$A:$Z,ROW()-1250,'List Setup'!$D$7))</f>
        <v/>
      </c>
      <c r="B1345" s="80" t="str">
        <f t="array" ref="B1345">IF(A1345="","",IFERROR(INDEX('Binder Setup'!$B$2:$B$401,MIN(IF(ISNUMBER(SEARCH(CHAR(10)&amp;'Binder Setup'!$B$2:$B$401&amp;CHAR(10),$H1345)),'List Setup'!$Q$2:$Q$401,999),IF(ISNUMBER(SEARCH(CHAR(10)&amp;'Set Aliases'!$A$2:$A$501&amp;CHAR(10),$H1345)),'Set Aliases'!$C$2:$C$501,999))),"(none)"))</f>
        <v/>
      </c>
      <c r="C1345" s="80" t="str">
        <f t="shared" si="1"/>
        <v/>
      </c>
      <c r="D1345" s="80" t="str">
        <f t="array" ref="D1345">IF(A1345="","",IF(ISLOGICAL(INDEX('Deck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45" s="80" t="str">
        <f t="shared" si="2"/>
        <v/>
      </c>
      <c r="F1345" s="80" t="str">
        <f t="array" ref="F1345">IF(A1345="","",IF(ISNUMBER(J1345),J1345,IF(ISNUMBER(INDEX('Deck 5'!$A:$Z,ROW()-1250,'List Setup'!$F$7)),INDEX('Deck 5'!$A:$Z,ROW()-1250,'List Setup'!$F$7),0)))</f>
        <v/>
      </c>
      <c r="G1345" s="80" t="str">
        <f t="array" ref="G1345">IF(A1345="","",A1345&amp;IF(N(INDEX('Deck 5'!$A:$Z,ROW()-1250,'List Setup'!$C$7))&gt;1," (x"&amp;INDEX('Deck 5'!$A:$Z,ROW()-1250,'List Setup'!$C$7)&amp;")","")&amp;IF(COUNTIF(Binders!$J$6:$J$30,TRUE())&gt;1," ["&amp;Q1345&amp;"]",""))</f>
        <v/>
      </c>
      <c r="H1345" s="80" t="str">
        <f t="array" ref="H1345">IF(A1345="","",CHAR(10)&amp;INDEX('Deck 5'!$A:$Z,ROW()-1250,'List Setup'!$E$7)&amp;CHAR(10))</f>
        <v/>
      </c>
      <c r="I1345" s="80" t="str">
        <f t="array" ref="I1345">IF(OR(B1345="",B1345="(none)"),"",IF(ISNUMBER(SEARCH(CHAR(10)&amp;B1345&amp;CHAR(10),H1345)),B1345,IFERROR(INDEX('Set Aliases'!$A$2:$A$501,MATCH(1,('Set Aliases'!$B$2:$B$501=B1345)*ISNUMBER(SEARCH(CHAR(10)&amp;'Set Aliases'!$A$2:$A$501&amp;CHAR(10),H1345)),0)),"")))</f>
        <v/>
      </c>
      <c r="J1345" s="80" t="str">
        <f t="array" ref="J1345">IF(I1345="","",IFERROR(VALUE(TRIM(MID(SUBSTITUTE(INDEX('Deck 5'!$A:$Z,ROW()-1250,'List Setup'!$G$7),CHAR(10),REPT(" ",100)),((SEARCH(CHAR(10)&amp;I1345&amp;CHAR(10),H1345)-LEN(SUBSTITUTE(LEFT(H1345,SEARCH(CHAR(10)&amp;I1345&amp;CHAR(10),H1345)),CHAR(10),"")))-1)*100+1,100))),""))</f>
        <v/>
      </c>
      <c r="K1345" s="80" t="str">
        <f t="array" ref="K1345">IF(A1345="","",IF(ISNUMBER(SEARCH("Land",LEFT(IFERROR(INDEX('Deck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45" s="80" t="str">
        <f t="shared" si="3"/>
        <v/>
      </c>
      <c r="M1345" s="80" t="str">
        <f>IF(A1345="","",IF(AND(E1345="Y",B1345='Use at Shop'!$B$4),K1345*10000000000+(MAX(0,MIN(26,CODE(MID(UPPER(A1345)&amp;"    ",1,1))-64))*19683+MAX(0,MIN(26,CODE(MID(UPPER(A1345)&amp;"    ",2,1))-64))*729+MAX(0,MIN(26,CODE(MID(UPPER(A1345)&amp;"    ",3,1))-64))*27+MAX(0,MIN(26,CODE(MID(UPPER(A1345)&amp;"    ",4,1))-64))*1)*10000+ROW(),""))</f>
        <v/>
      </c>
      <c r="N1345" s="80" t="str">
        <f t="shared" si="9"/>
        <v/>
      </c>
      <c r="O1345" s="80" t="str">
        <f t="array" ref="O1345">IF(A1345="","",IFERROR(INDEX('Deck 5'!$A:$Z,ROW()-1250,'List Setup'!$J$7)&amp;"",""))</f>
        <v/>
      </c>
      <c r="P1345" s="2"/>
      <c r="Q1345" s="80" t="str">
        <f>IF(A1345="","",'List Setup'!$A$7)</f>
        <v/>
      </c>
      <c r="R1345" s="80" t="str">
        <f t="array" ref="R1345">IF(A1345="","",IFERROR(OR(INDEX(Binders!$J$6:$J$30,MATCH(Q1345,Binders!$I$6:$I$30,0))=TRUE(),UPPER(INDEX(Binders!$J$6:$J$30,MATCH(Q1345,Binders!$I$6:$I$30,0))&amp;"")="TRUE"),FALSE()))</f>
        <v/>
      </c>
    </row>
    <row r="1346" ht="15.75" customHeight="1">
      <c r="A1346" s="80" t="str">
        <f t="array" ref="A1346">IF(INDEX('Deck 5'!$A:$Z,ROW()-1250,'List Setup'!$D$7)="","",INDEX('Deck 5'!$A:$Z,ROW()-1250,'List Setup'!$D$7))</f>
        <v/>
      </c>
      <c r="B1346" s="80" t="str">
        <f t="array" ref="B1346">IF(A1346="","",IFERROR(INDEX('Binder Setup'!$B$2:$B$401,MIN(IF(ISNUMBER(SEARCH(CHAR(10)&amp;'Binder Setup'!$B$2:$B$401&amp;CHAR(10),$H1346)),'List Setup'!$Q$2:$Q$401,999),IF(ISNUMBER(SEARCH(CHAR(10)&amp;'Set Aliases'!$A$2:$A$501&amp;CHAR(10),$H1346)),'Set Aliases'!$C$2:$C$501,999))),"(none)"))</f>
        <v/>
      </c>
      <c r="C1346" s="80" t="str">
        <f t="shared" si="1"/>
        <v/>
      </c>
      <c r="D1346" s="80" t="str">
        <f t="array" ref="D1346">IF(A1346="","",IF(ISLOGICAL(INDEX('Deck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46" s="80" t="str">
        <f t="shared" si="2"/>
        <v/>
      </c>
      <c r="F1346" s="80" t="str">
        <f t="array" ref="F1346">IF(A1346="","",IF(ISNUMBER(J1346),J1346,IF(ISNUMBER(INDEX('Deck 5'!$A:$Z,ROW()-1250,'List Setup'!$F$7)),INDEX('Deck 5'!$A:$Z,ROW()-1250,'List Setup'!$F$7),0)))</f>
        <v/>
      </c>
      <c r="G1346" s="80" t="str">
        <f t="array" ref="G1346">IF(A1346="","",A1346&amp;IF(N(INDEX('Deck 5'!$A:$Z,ROW()-1250,'List Setup'!$C$7))&gt;1," (x"&amp;INDEX('Deck 5'!$A:$Z,ROW()-1250,'List Setup'!$C$7)&amp;")","")&amp;IF(COUNTIF(Binders!$J$6:$J$30,TRUE())&gt;1," ["&amp;Q1346&amp;"]",""))</f>
        <v/>
      </c>
      <c r="H1346" s="80" t="str">
        <f t="array" ref="H1346">IF(A1346="","",CHAR(10)&amp;INDEX('Deck 5'!$A:$Z,ROW()-1250,'List Setup'!$E$7)&amp;CHAR(10))</f>
        <v/>
      </c>
      <c r="I1346" s="80" t="str">
        <f t="array" ref="I1346">IF(OR(B1346="",B1346="(none)"),"",IF(ISNUMBER(SEARCH(CHAR(10)&amp;B1346&amp;CHAR(10),H1346)),B1346,IFERROR(INDEX('Set Aliases'!$A$2:$A$501,MATCH(1,('Set Aliases'!$B$2:$B$501=B1346)*ISNUMBER(SEARCH(CHAR(10)&amp;'Set Aliases'!$A$2:$A$501&amp;CHAR(10),H1346)),0)),"")))</f>
        <v/>
      </c>
      <c r="J1346" s="80" t="str">
        <f t="array" ref="J1346">IF(I1346="","",IFERROR(VALUE(TRIM(MID(SUBSTITUTE(INDEX('Deck 5'!$A:$Z,ROW()-1250,'List Setup'!$G$7),CHAR(10),REPT(" ",100)),((SEARCH(CHAR(10)&amp;I1346&amp;CHAR(10),H1346)-LEN(SUBSTITUTE(LEFT(H1346,SEARCH(CHAR(10)&amp;I1346&amp;CHAR(10),H1346)),CHAR(10),"")))-1)*100+1,100))),""))</f>
        <v/>
      </c>
      <c r="K1346" s="80" t="str">
        <f t="array" ref="K1346">IF(A1346="","",IF(ISNUMBER(SEARCH("Land",LEFT(IFERROR(INDEX('Deck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46" s="80" t="str">
        <f t="shared" si="3"/>
        <v/>
      </c>
      <c r="M1346" s="80" t="str">
        <f>IF(A1346="","",IF(AND(E1346="Y",B1346='Use at Shop'!$B$4),K1346*10000000000+(MAX(0,MIN(26,CODE(MID(UPPER(A1346)&amp;"    ",1,1))-64))*19683+MAX(0,MIN(26,CODE(MID(UPPER(A1346)&amp;"    ",2,1))-64))*729+MAX(0,MIN(26,CODE(MID(UPPER(A1346)&amp;"    ",3,1))-64))*27+MAX(0,MIN(26,CODE(MID(UPPER(A1346)&amp;"    ",4,1))-64))*1)*10000+ROW(),""))</f>
        <v/>
      </c>
      <c r="N1346" s="80" t="str">
        <f t="shared" si="9"/>
        <v/>
      </c>
      <c r="O1346" s="80" t="str">
        <f t="array" ref="O1346">IF(A1346="","",IFERROR(INDEX('Deck 5'!$A:$Z,ROW()-1250,'List Setup'!$J$7)&amp;"",""))</f>
        <v/>
      </c>
      <c r="P1346" s="2"/>
      <c r="Q1346" s="80" t="str">
        <f>IF(A1346="","",'List Setup'!$A$7)</f>
        <v/>
      </c>
      <c r="R1346" s="80" t="str">
        <f t="array" ref="R1346">IF(A1346="","",IFERROR(OR(INDEX(Binders!$J$6:$J$30,MATCH(Q1346,Binders!$I$6:$I$30,0))=TRUE(),UPPER(INDEX(Binders!$J$6:$J$30,MATCH(Q1346,Binders!$I$6:$I$30,0))&amp;"")="TRUE"),FALSE()))</f>
        <v/>
      </c>
    </row>
    <row r="1347" ht="15.75" customHeight="1">
      <c r="A1347" s="80" t="str">
        <f t="array" ref="A1347">IF(INDEX('Deck 5'!$A:$Z,ROW()-1250,'List Setup'!$D$7)="","",INDEX('Deck 5'!$A:$Z,ROW()-1250,'List Setup'!$D$7))</f>
        <v/>
      </c>
      <c r="B1347" s="80" t="str">
        <f t="array" ref="B1347">IF(A1347="","",IFERROR(INDEX('Binder Setup'!$B$2:$B$401,MIN(IF(ISNUMBER(SEARCH(CHAR(10)&amp;'Binder Setup'!$B$2:$B$401&amp;CHAR(10),$H1347)),'List Setup'!$Q$2:$Q$401,999),IF(ISNUMBER(SEARCH(CHAR(10)&amp;'Set Aliases'!$A$2:$A$501&amp;CHAR(10),$H1347)),'Set Aliases'!$C$2:$C$501,999))),"(none)"))</f>
        <v/>
      </c>
      <c r="C1347" s="80" t="str">
        <f t="shared" si="1"/>
        <v/>
      </c>
      <c r="D1347" s="80" t="str">
        <f t="array" ref="D1347">IF(A1347="","",IF(ISLOGICAL(INDEX('Deck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47" s="80" t="str">
        <f t="shared" si="2"/>
        <v/>
      </c>
      <c r="F1347" s="80" t="str">
        <f t="array" ref="F1347">IF(A1347="","",IF(ISNUMBER(J1347),J1347,IF(ISNUMBER(INDEX('Deck 5'!$A:$Z,ROW()-1250,'List Setup'!$F$7)),INDEX('Deck 5'!$A:$Z,ROW()-1250,'List Setup'!$F$7),0)))</f>
        <v/>
      </c>
      <c r="G1347" s="80" t="str">
        <f t="array" ref="G1347">IF(A1347="","",A1347&amp;IF(N(INDEX('Deck 5'!$A:$Z,ROW()-1250,'List Setup'!$C$7))&gt;1," (x"&amp;INDEX('Deck 5'!$A:$Z,ROW()-1250,'List Setup'!$C$7)&amp;")","")&amp;IF(COUNTIF(Binders!$J$6:$J$30,TRUE())&gt;1," ["&amp;Q1347&amp;"]",""))</f>
        <v/>
      </c>
      <c r="H1347" s="80" t="str">
        <f t="array" ref="H1347">IF(A1347="","",CHAR(10)&amp;INDEX('Deck 5'!$A:$Z,ROW()-1250,'List Setup'!$E$7)&amp;CHAR(10))</f>
        <v/>
      </c>
      <c r="I1347" s="80" t="str">
        <f t="array" ref="I1347">IF(OR(B1347="",B1347="(none)"),"",IF(ISNUMBER(SEARCH(CHAR(10)&amp;B1347&amp;CHAR(10),H1347)),B1347,IFERROR(INDEX('Set Aliases'!$A$2:$A$501,MATCH(1,('Set Aliases'!$B$2:$B$501=B1347)*ISNUMBER(SEARCH(CHAR(10)&amp;'Set Aliases'!$A$2:$A$501&amp;CHAR(10),H1347)),0)),"")))</f>
        <v/>
      </c>
      <c r="J1347" s="80" t="str">
        <f t="array" ref="J1347">IF(I1347="","",IFERROR(VALUE(TRIM(MID(SUBSTITUTE(INDEX('Deck 5'!$A:$Z,ROW()-1250,'List Setup'!$G$7),CHAR(10),REPT(" ",100)),((SEARCH(CHAR(10)&amp;I1347&amp;CHAR(10),H1347)-LEN(SUBSTITUTE(LEFT(H1347,SEARCH(CHAR(10)&amp;I1347&amp;CHAR(10),H1347)),CHAR(10),"")))-1)*100+1,100))),""))</f>
        <v/>
      </c>
      <c r="K1347" s="80" t="str">
        <f t="array" ref="K1347">IF(A1347="","",IF(ISNUMBER(SEARCH("Land",LEFT(IFERROR(INDEX('Deck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47" s="80" t="str">
        <f t="shared" si="3"/>
        <v/>
      </c>
      <c r="M1347" s="80" t="str">
        <f>IF(A1347="","",IF(AND(E1347="Y",B1347='Use at Shop'!$B$4),K1347*10000000000+(MAX(0,MIN(26,CODE(MID(UPPER(A1347)&amp;"    ",1,1))-64))*19683+MAX(0,MIN(26,CODE(MID(UPPER(A1347)&amp;"    ",2,1))-64))*729+MAX(0,MIN(26,CODE(MID(UPPER(A1347)&amp;"    ",3,1))-64))*27+MAX(0,MIN(26,CODE(MID(UPPER(A1347)&amp;"    ",4,1))-64))*1)*10000+ROW(),""))</f>
        <v/>
      </c>
      <c r="N1347" s="80" t="str">
        <f t="shared" si="9"/>
        <v/>
      </c>
      <c r="O1347" s="80" t="str">
        <f t="array" ref="O1347">IF(A1347="","",IFERROR(INDEX('Deck 5'!$A:$Z,ROW()-1250,'List Setup'!$J$7)&amp;"",""))</f>
        <v/>
      </c>
      <c r="P1347" s="2"/>
      <c r="Q1347" s="80" t="str">
        <f>IF(A1347="","",'List Setup'!$A$7)</f>
        <v/>
      </c>
      <c r="R1347" s="80" t="str">
        <f t="array" ref="R1347">IF(A1347="","",IFERROR(OR(INDEX(Binders!$J$6:$J$30,MATCH(Q1347,Binders!$I$6:$I$30,0))=TRUE(),UPPER(INDEX(Binders!$J$6:$J$30,MATCH(Q1347,Binders!$I$6:$I$30,0))&amp;"")="TRUE"),FALSE()))</f>
        <v/>
      </c>
    </row>
    <row r="1348" ht="15.75" customHeight="1">
      <c r="A1348" s="80" t="str">
        <f t="array" ref="A1348">IF(INDEX('Deck 5'!$A:$Z,ROW()-1250,'List Setup'!$D$7)="","",INDEX('Deck 5'!$A:$Z,ROW()-1250,'List Setup'!$D$7))</f>
        <v/>
      </c>
      <c r="B1348" s="80" t="str">
        <f t="array" ref="B1348">IF(A1348="","",IFERROR(INDEX('Binder Setup'!$B$2:$B$401,MIN(IF(ISNUMBER(SEARCH(CHAR(10)&amp;'Binder Setup'!$B$2:$B$401&amp;CHAR(10),$H1348)),'List Setup'!$Q$2:$Q$401,999),IF(ISNUMBER(SEARCH(CHAR(10)&amp;'Set Aliases'!$A$2:$A$501&amp;CHAR(10),$H1348)),'Set Aliases'!$C$2:$C$501,999))),"(none)"))</f>
        <v/>
      </c>
      <c r="C1348" s="80" t="str">
        <f t="shared" si="1"/>
        <v/>
      </c>
      <c r="D1348" s="80" t="str">
        <f t="array" ref="D1348">IF(A1348="","",IF(ISLOGICAL(INDEX('Deck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48" s="80" t="str">
        <f t="shared" si="2"/>
        <v/>
      </c>
      <c r="F1348" s="80" t="str">
        <f t="array" ref="F1348">IF(A1348="","",IF(ISNUMBER(J1348),J1348,IF(ISNUMBER(INDEX('Deck 5'!$A:$Z,ROW()-1250,'List Setup'!$F$7)),INDEX('Deck 5'!$A:$Z,ROW()-1250,'List Setup'!$F$7),0)))</f>
        <v/>
      </c>
      <c r="G1348" s="80" t="str">
        <f t="array" ref="G1348">IF(A1348="","",A1348&amp;IF(N(INDEX('Deck 5'!$A:$Z,ROW()-1250,'List Setup'!$C$7))&gt;1," (x"&amp;INDEX('Deck 5'!$A:$Z,ROW()-1250,'List Setup'!$C$7)&amp;")","")&amp;IF(COUNTIF(Binders!$J$6:$J$30,TRUE())&gt;1," ["&amp;Q1348&amp;"]",""))</f>
        <v/>
      </c>
      <c r="H1348" s="80" t="str">
        <f t="array" ref="H1348">IF(A1348="","",CHAR(10)&amp;INDEX('Deck 5'!$A:$Z,ROW()-1250,'List Setup'!$E$7)&amp;CHAR(10))</f>
        <v/>
      </c>
      <c r="I1348" s="80" t="str">
        <f t="array" ref="I1348">IF(OR(B1348="",B1348="(none)"),"",IF(ISNUMBER(SEARCH(CHAR(10)&amp;B1348&amp;CHAR(10),H1348)),B1348,IFERROR(INDEX('Set Aliases'!$A$2:$A$501,MATCH(1,('Set Aliases'!$B$2:$B$501=B1348)*ISNUMBER(SEARCH(CHAR(10)&amp;'Set Aliases'!$A$2:$A$501&amp;CHAR(10),H1348)),0)),"")))</f>
        <v/>
      </c>
      <c r="J1348" s="80" t="str">
        <f t="array" ref="J1348">IF(I1348="","",IFERROR(VALUE(TRIM(MID(SUBSTITUTE(INDEX('Deck 5'!$A:$Z,ROW()-1250,'List Setup'!$G$7),CHAR(10),REPT(" ",100)),((SEARCH(CHAR(10)&amp;I1348&amp;CHAR(10),H1348)-LEN(SUBSTITUTE(LEFT(H1348,SEARCH(CHAR(10)&amp;I1348&amp;CHAR(10),H1348)),CHAR(10),"")))-1)*100+1,100))),""))</f>
        <v/>
      </c>
      <c r="K1348" s="80" t="str">
        <f t="array" ref="K1348">IF(A1348="","",IF(ISNUMBER(SEARCH("Land",LEFT(IFERROR(INDEX('Deck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48" s="80" t="str">
        <f t="shared" si="3"/>
        <v/>
      </c>
      <c r="M1348" s="80" t="str">
        <f>IF(A1348="","",IF(AND(E1348="Y",B1348='Use at Shop'!$B$4),K1348*10000000000+(MAX(0,MIN(26,CODE(MID(UPPER(A1348)&amp;"    ",1,1))-64))*19683+MAX(0,MIN(26,CODE(MID(UPPER(A1348)&amp;"    ",2,1))-64))*729+MAX(0,MIN(26,CODE(MID(UPPER(A1348)&amp;"    ",3,1))-64))*27+MAX(0,MIN(26,CODE(MID(UPPER(A1348)&amp;"    ",4,1))-64))*1)*10000+ROW(),""))</f>
        <v/>
      </c>
      <c r="N1348" s="80" t="str">
        <f t="shared" si="9"/>
        <v/>
      </c>
      <c r="O1348" s="80" t="str">
        <f t="array" ref="O1348">IF(A1348="","",IFERROR(INDEX('Deck 5'!$A:$Z,ROW()-1250,'List Setup'!$J$7)&amp;"",""))</f>
        <v/>
      </c>
      <c r="P1348" s="2"/>
      <c r="Q1348" s="80" t="str">
        <f>IF(A1348="","",'List Setup'!$A$7)</f>
        <v/>
      </c>
      <c r="R1348" s="80" t="str">
        <f t="array" ref="R1348">IF(A1348="","",IFERROR(OR(INDEX(Binders!$J$6:$J$30,MATCH(Q1348,Binders!$I$6:$I$30,0))=TRUE(),UPPER(INDEX(Binders!$J$6:$J$30,MATCH(Q1348,Binders!$I$6:$I$30,0))&amp;"")="TRUE"),FALSE()))</f>
        <v/>
      </c>
    </row>
    <row r="1349" ht="15.75" customHeight="1">
      <c r="A1349" s="80" t="str">
        <f t="array" ref="A1349">IF(INDEX('Deck 5'!$A:$Z,ROW()-1250,'List Setup'!$D$7)="","",INDEX('Deck 5'!$A:$Z,ROW()-1250,'List Setup'!$D$7))</f>
        <v/>
      </c>
      <c r="B1349" s="80" t="str">
        <f t="array" ref="B1349">IF(A1349="","",IFERROR(INDEX('Binder Setup'!$B$2:$B$401,MIN(IF(ISNUMBER(SEARCH(CHAR(10)&amp;'Binder Setup'!$B$2:$B$401&amp;CHAR(10),$H1349)),'List Setup'!$Q$2:$Q$401,999),IF(ISNUMBER(SEARCH(CHAR(10)&amp;'Set Aliases'!$A$2:$A$501&amp;CHAR(10),$H1349)),'Set Aliases'!$C$2:$C$501,999))),"(none)"))</f>
        <v/>
      </c>
      <c r="C1349" s="80" t="str">
        <f t="shared" si="1"/>
        <v/>
      </c>
      <c r="D1349" s="80" t="str">
        <f t="array" ref="D1349">IF(A1349="","",IF(ISLOGICAL(INDEX('Deck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49" s="80" t="str">
        <f t="shared" si="2"/>
        <v/>
      </c>
      <c r="F1349" s="80" t="str">
        <f t="array" ref="F1349">IF(A1349="","",IF(ISNUMBER(J1349),J1349,IF(ISNUMBER(INDEX('Deck 5'!$A:$Z,ROW()-1250,'List Setup'!$F$7)),INDEX('Deck 5'!$A:$Z,ROW()-1250,'List Setup'!$F$7),0)))</f>
        <v/>
      </c>
      <c r="G1349" s="80" t="str">
        <f t="array" ref="G1349">IF(A1349="","",A1349&amp;IF(N(INDEX('Deck 5'!$A:$Z,ROW()-1250,'List Setup'!$C$7))&gt;1," (x"&amp;INDEX('Deck 5'!$A:$Z,ROW()-1250,'List Setup'!$C$7)&amp;")","")&amp;IF(COUNTIF(Binders!$J$6:$J$30,TRUE())&gt;1," ["&amp;Q1349&amp;"]",""))</f>
        <v/>
      </c>
      <c r="H1349" s="80" t="str">
        <f t="array" ref="H1349">IF(A1349="","",CHAR(10)&amp;INDEX('Deck 5'!$A:$Z,ROW()-1250,'List Setup'!$E$7)&amp;CHAR(10))</f>
        <v/>
      </c>
      <c r="I1349" s="80" t="str">
        <f t="array" ref="I1349">IF(OR(B1349="",B1349="(none)"),"",IF(ISNUMBER(SEARCH(CHAR(10)&amp;B1349&amp;CHAR(10),H1349)),B1349,IFERROR(INDEX('Set Aliases'!$A$2:$A$501,MATCH(1,('Set Aliases'!$B$2:$B$501=B1349)*ISNUMBER(SEARCH(CHAR(10)&amp;'Set Aliases'!$A$2:$A$501&amp;CHAR(10),H1349)),0)),"")))</f>
        <v/>
      </c>
      <c r="J1349" s="80" t="str">
        <f t="array" ref="J1349">IF(I1349="","",IFERROR(VALUE(TRIM(MID(SUBSTITUTE(INDEX('Deck 5'!$A:$Z,ROW()-1250,'List Setup'!$G$7),CHAR(10),REPT(" ",100)),((SEARCH(CHAR(10)&amp;I1349&amp;CHAR(10),H1349)-LEN(SUBSTITUTE(LEFT(H1349,SEARCH(CHAR(10)&amp;I1349&amp;CHAR(10),H1349)),CHAR(10),"")))-1)*100+1,100))),""))</f>
        <v/>
      </c>
      <c r="K1349" s="80" t="str">
        <f t="array" ref="K1349">IF(A1349="","",IF(ISNUMBER(SEARCH("Land",LEFT(IFERROR(INDEX('Deck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49" s="80" t="str">
        <f t="shared" si="3"/>
        <v/>
      </c>
      <c r="M1349" s="80" t="str">
        <f>IF(A1349="","",IF(AND(E1349="Y",B1349='Use at Shop'!$B$4),K1349*10000000000+(MAX(0,MIN(26,CODE(MID(UPPER(A1349)&amp;"    ",1,1))-64))*19683+MAX(0,MIN(26,CODE(MID(UPPER(A1349)&amp;"    ",2,1))-64))*729+MAX(0,MIN(26,CODE(MID(UPPER(A1349)&amp;"    ",3,1))-64))*27+MAX(0,MIN(26,CODE(MID(UPPER(A1349)&amp;"    ",4,1))-64))*1)*10000+ROW(),""))</f>
        <v/>
      </c>
      <c r="N1349" s="80" t="str">
        <f t="shared" si="9"/>
        <v/>
      </c>
      <c r="O1349" s="80" t="str">
        <f t="array" ref="O1349">IF(A1349="","",IFERROR(INDEX('Deck 5'!$A:$Z,ROW()-1250,'List Setup'!$J$7)&amp;"",""))</f>
        <v/>
      </c>
      <c r="P1349" s="2"/>
      <c r="Q1349" s="80" t="str">
        <f>IF(A1349="","",'List Setup'!$A$7)</f>
        <v/>
      </c>
      <c r="R1349" s="80" t="str">
        <f t="array" ref="R1349">IF(A1349="","",IFERROR(OR(INDEX(Binders!$J$6:$J$30,MATCH(Q1349,Binders!$I$6:$I$30,0))=TRUE(),UPPER(INDEX(Binders!$J$6:$J$30,MATCH(Q1349,Binders!$I$6:$I$30,0))&amp;"")="TRUE"),FALSE()))</f>
        <v/>
      </c>
    </row>
    <row r="1350" ht="15.75" customHeight="1">
      <c r="A1350" s="80" t="str">
        <f t="array" ref="A1350">IF(INDEX('Deck 5'!$A:$Z,ROW()-1250,'List Setup'!$D$7)="","",INDEX('Deck 5'!$A:$Z,ROW()-1250,'List Setup'!$D$7))</f>
        <v/>
      </c>
      <c r="B1350" s="80" t="str">
        <f t="array" ref="B1350">IF(A1350="","",IFERROR(INDEX('Binder Setup'!$B$2:$B$401,MIN(IF(ISNUMBER(SEARCH(CHAR(10)&amp;'Binder Setup'!$B$2:$B$401&amp;CHAR(10),$H1350)),'List Setup'!$Q$2:$Q$401,999),IF(ISNUMBER(SEARCH(CHAR(10)&amp;'Set Aliases'!$A$2:$A$501&amp;CHAR(10),$H1350)),'Set Aliases'!$C$2:$C$501,999))),"(none)"))</f>
        <v/>
      </c>
      <c r="C1350" s="80" t="str">
        <f t="shared" si="1"/>
        <v/>
      </c>
      <c r="D1350" s="80" t="str">
        <f t="array" ref="D1350">IF(A1350="","",IF(ISLOGICAL(INDEX('Deck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50" s="80" t="str">
        <f t="shared" si="2"/>
        <v/>
      </c>
      <c r="F1350" s="80" t="str">
        <f t="array" ref="F1350">IF(A1350="","",IF(ISNUMBER(J1350),J1350,IF(ISNUMBER(INDEX('Deck 5'!$A:$Z,ROW()-1250,'List Setup'!$F$7)),INDEX('Deck 5'!$A:$Z,ROW()-1250,'List Setup'!$F$7),0)))</f>
        <v/>
      </c>
      <c r="G1350" s="80" t="str">
        <f t="array" ref="G1350">IF(A1350="","",A1350&amp;IF(N(INDEX('Deck 5'!$A:$Z,ROW()-1250,'List Setup'!$C$7))&gt;1," (x"&amp;INDEX('Deck 5'!$A:$Z,ROW()-1250,'List Setup'!$C$7)&amp;")","")&amp;IF(COUNTIF(Binders!$J$6:$J$30,TRUE())&gt;1," ["&amp;Q1350&amp;"]",""))</f>
        <v/>
      </c>
      <c r="H1350" s="80" t="str">
        <f t="array" ref="H1350">IF(A1350="","",CHAR(10)&amp;INDEX('Deck 5'!$A:$Z,ROW()-1250,'List Setup'!$E$7)&amp;CHAR(10))</f>
        <v/>
      </c>
      <c r="I1350" s="80" t="str">
        <f t="array" ref="I1350">IF(OR(B1350="",B1350="(none)"),"",IF(ISNUMBER(SEARCH(CHAR(10)&amp;B1350&amp;CHAR(10),H1350)),B1350,IFERROR(INDEX('Set Aliases'!$A$2:$A$501,MATCH(1,('Set Aliases'!$B$2:$B$501=B1350)*ISNUMBER(SEARCH(CHAR(10)&amp;'Set Aliases'!$A$2:$A$501&amp;CHAR(10),H1350)),0)),"")))</f>
        <v/>
      </c>
      <c r="J1350" s="80" t="str">
        <f t="array" ref="J1350">IF(I1350="","",IFERROR(VALUE(TRIM(MID(SUBSTITUTE(INDEX('Deck 5'!$A:$Z,ROW()-1250,'List Setup'!$G$7),CHAR(10),REPT(" ",100)),((SEARCH(CHAR(10)&amp;I1350&amp;CHAR(10),H1350)-LEN(SUBSTITUTE(LEFT(H1350,SEARCH(CHAR(10)&amp;I1350&amp;CHAR(10),H1350)),CHAR(10),"")))-1)*100+1,100))),""))</f>
        <v/>
      </c>
      <c r="K1350" s="80" t="str">
        <f t="array" ref="K1350">IF(A1350="","",IF(ISNUMBER(SEARCH("Land",LEFT(IFERROR(INDEX('Deck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50" s="80" t="str">
        <f t="shared" si="3"/>
        <v/>
      </c>
      <c r="M1350" s="80" t="str">
        <f>IF(A1350="","",IF(AND(E1350="Y",B1350='Use at Shop'!$B$4),K1350*10000000000+(MAX(0,MIN(26,CODE(MID(UPPER(A1350)&amp;"    ",1,1))-64))*19683+MAX(0,MIN(26,CODE(MID(UPPER(A1350)&amp;"    ",2,1))-64))*729+MAX(0,MIN(26,CODE(MID(UPPER(A1350)&amp;"    ",3,1))-64))*27+MAX(0,MIN(26,CODE(MID(UPPER(A1350)&amp;"    ",4,1))-64))*1)*10000+ROW(),""))</f>
        <v/>
      </c>
      <c r="N1350" s="80" t="str">
        <f t="shared" si="9"/>
        <v/>
      </c>
      <c r="O1350" s="80" t="str">
        <f t="array" ref="O1350">IF(A1350="","",IFERROR(INDEX('Deck 5'!$A:$Z,ROW()-1250,'List Setup'!$J$7)&amp;"",""))</f>
        <v/>
      </c>
      <c r="P1350" s="2"/>
      <c r="Q1350" s="80" t="str">
        <f>IF(A1350="","",'List Setup'!$A$7)</f>
        <v/>
      </c>
      <c r="R1350" s="80" t="str">
        <f t="array" ref="R1350">IF(A1350="","",IFERROR(OR(INDEX(Binders!$J$6:$J$30,MATCH(Q1350,Binders!$I$6:$I$30,0))=TRUE(),UPPER(INDEX(Binders!$J$6:$J$30,MATCH(Q1350,Binders!$I$6:$I$30,0))&amp;"")="TRUE"),FALSE()))</f>
        <v/>
      </c>
    </row>
    <row r="1351" ht="15.75" customHeight="1">
      <c r="A1351" s="80" t="str">
        <f t="array" ref="A1351">IF(INDEX('Deck 5'!$A:$Z,ROW()-1250,'List Setup'!$D$7)="","",INDEX('Deck 5'!$A:$Z,ROW()-1250,'List Setup'!$D$7))</f>
        <v/>
      </c>
      <c r="B1351" s="80" t="str">
        <f t="array" ref="B1351">IF(A1351="","",IFERROR(INDEX('Binder Setup'!$B$2:$B$401,MIN(IF(ISNUMBER(SEARCH(CHAR(10)&amp;'Binder Setup'!$B$2:$B$401&amp;CHAR(10),$H1351)),'List Setup'!$Q$2:$Q$401,999),IF(ISNUMBER(SEARCH(CHAR(10)&amp;'Set Aliases'!$A$2:$A$501&amp;CHAR(10),$H1351)),'Set Aliases'!$C$2:$C$501,999))),"(none)"))</f>
        <v/>
      </c>
      <c r="C1351" s="80" t="str">
        <f t="shared" si="1"/>
        <v/>
      </c>
      <c r="D1351" s="80" t="str">
        <f t="array" ref="D1351">IF(A1351="","",IF(ISLOGICAL(INDEX('Deck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51" s="80" t="str">
        <f t="shared" si="2"/>
        <v/>
      </c>
      <c r="F1351" s="80" t="str">
        <f t="array" ref="F1351">IF(A1351="","",IF(ISNUMBER(J1351),J1351,IF(ISNUMBER(INDEX('Deck 5'!$A:$Z,ROW()-1250,'List Setup'!$F$7)),INDEX('Deck 5'!$A:$Z,ROW()-1250,'List Setup'!$F$7),0)))</f>
        <v/>
      </c>
      <c r="G1351" s="80" t="str">
        <f t="array" ref="G1351">IF(A1351="","",A1351&amp;IF(N(INDEX('Deck 5'!$A:$Z,ROW()-1250,'List Setup'!$C$7))&gt;1," (x"&amp;INDEX('Deck 5'!$A:$Z,ROW()-1250,'List Setup'!$C$7)&amp;")","")&amp;IF(COUNTIF(Binders!$J$6:$J$30,TRUE())&gt;1," ["&amp;Q1351&amp;"]",""))</f>
        <v/>
      </c>
      <c r="H1351" s="80" t="str">
        <f t="array" ref="H1351">IF(A1351="","",CHAR(10)&amp;INDEX('Deck 5'!$A:$Z,ROW()-1250,'List Setup'!$E$7)&amp;CHAR(10))</f>
        <v/>
      </c>
      <c r="I1351" s="80" t="str">
        <f t="array" ref="I1351">IF(OR(B1351="",B1351="(none)"),"",IF(ISNUMBER(SEARCH(CHAR(10)&amp;B1351&amp;CHAR(10),H1351)),B1351,IFERROR(INDEX('Set Aliases'!$A$2:$A$501,MATCH(1,('Set Aliases'!$B$2:$B$501=B1351)*ISNUMBER(SEARCH(CHAR(10)&amp;'Set Aliases'!$A$2:$A$501&amp;CHAR(10),H1351)),0)),"")))</f>
        <v/>
      </c>
      <c r="J1351" s="80" t="str">
        <f t="array" ref="J1351">IF(I1351="","",IFERROR(VALUE(TRIM(MID(SUBSTITUTE(INDEX('Deck 5'!$A:$Z,ROW()-1250,'List Setup'!$G$7),CHAR(10),REPT(" ",100)),((SEARCH(CHAR(10)&amp;I1351&amp;CHAR(10),H1351)-LEN(SUBSTITUTE(LEFT(H1351,SEARCH(CHAR(10)&amp;I1351&amp;CHAR(10),H1351)),CHAR(10),"")))-1)*100+1,100))),""))</f>
        <v/>
      </c>
      <c r="K1351" s="80" t="str">
        <f t="array" ref="K1351">IF(A1351="","",IF(ISNUMBER(SEARCH("Land",LEFT(IFERROR(INDEX('Deck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51" s="80" t="str">
        <f t="shared" si="3"/>
        <v/>
      </c>
      <c r="M1351" s="80" t="str">
        <f>IF(A1351="","",IF(AND(E1351="Y",B1351='Use at Shop'!$B$4),K1351*10000000000+(MAX(0,MIN(26,CODE(MID(UPPER(A1351)&amp;"    ",1,1))-64))*19683+MAX(0,MIN(26,CODE(MID(UPPER(A1351)&amp;"    ",2,1))-64))*729+MAX(0,MIN(26,CODE(MID(UPPER(A1351)&amp;"    ",3,1))-64))*27+MAX(0,MIN(26,CODE(MID(UPPER(A1351)&amp;"    ",4,1))-64))*1)*10000+ROW(),""))</f>
        <v/>
      </c>
      <c r="N1351" s="80" t="str">
        <f t="shared" si="9"/>
        <v/>
      </c>
      <c r="O1351" s="80" t="str">
        <f t="array" ref="O1351">IF(A1351="","",IFERROR(INDEX('Deck 5'!$A:$Z,ROW()-1250,'List Setup'!$J$7)&amp;"",""))</f>
        <v/>
      </c>
      <c r="P1351" s="2"/>
      <c r="Q1351" s="80" t="str">
        <f>IF(A1351="","",'List Setup'!$A$7)</f>
        <v/>
      </c>
      <c r="R1351" s="80" t="str">
        <f t="array" ref="R1351">IF(A1351="","",IFERROR(OR(INDEX(Binders!$J$6:$J$30,MATCH(Q1351,Binders!$I$6:$I$30,0))=TRUE(),UPPER(INDEX(Binders!$J$6:$J$30,MATCH(Q1351,Binders!$I$6:$I$30,0))&amp;"")="TRUE"),FALSE()))</f>
        <v/>
      </c>
    </row>
    <row r="1352" ht="15.75" customHeight="1">
      <c r="A1352" s="80" t="str">
        <f t="array" ref="A1352">IF(INDEX('Deck 5'!$A:$Z,ROW()-1250,'List Setup'!$D$7)="","",INDEX('Deck 5'!$A:$Z,ROW()-1250,'List Setup'!$D$7))</f>
        <v/>
      </c>
      <c r="B1352" s="80" t="str">
        <f t="array" ref="B1352">IF(A1352="","",IFERROR(INDEX('Binder Setup'!$B$2:$B$401,MIN(IF(ISNUMBER(SEARCH(CHAR(10)&amp;'Binder Setup'!$B$2:$B$401&amp;CHAR(10),$H1352)),'List Setup'!$Q$2:$Q$401,999),IF(ISNUMBER(SEARCH(CHAR(10)&amp;'Set Aliases'!$A$2:$A$501&amp;CHAR(10),$H1352)),'Set Aliases'!$C$2:$C$501,999))),"(none)"))</f>
        <v/>
      </c>
      <c r="C1352" s="80" t="str">
        <f t="shared" si="1"/>
        <v/>
      </c>
      <c r="D1352" s="80" t="str">
        <f t="array" ref="D1352">IF(A1352="","",IF(ISLOGICAL(INDEX('Deck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52" s="80" t="str">
        <f t="shared" si="2"/>
        <v/>
      </c>
      <c r="F1352" s="80" t="str">
        <f t="array" ref="F1352">IF(A1352="","",IF(ISNUMBER(J1352),J1352,IF(ISNUMBER(INDEX('Deck 5'!$A:$Z,ROW()-1250,'List Setup'!$F$7)),INDEX('Deck 5'!$A:$Z,ROW()-1250,'List Setup'!$F$7),0)))</f>
        <v/>
      </c>
      <c r="G1352" s="80" t="str">
        <f t="array" ref="G1352">IF(A1352="","",A1352&amp;IF(N(INDEX('Deck 5'!$A:$Z,ROW()-1250,'List Setup'!$C$7))&gt;1," (x"&amp;INDEX('Deck 5'!$A:$Z,ROW()-1250,'List Setup'!$C$7)&amp;")","")&amp;IF(COUNTIF(Binders!$J$6:$J$30,TRUE())&gt;1," ["&amp;Q1352&amp;"]",""))</f>
        <v/>
      </c>
      <c r="H1352" s="80" t="str">
        <f t="array" ref="H1352">IF(A1352="","",CHAR(10)&amp;INDEX('Deck 5'!$A:$Z,ROW()-1250,'List Setup'!$E$7)&amp;CHAR(10))</f>
        <v/>
      </c>
      <c r="I1352" s="80" t="str">
        <f t="array" ref="I1352">IF(OR(B1352="",B1352="(none)"),"",IF(ISNUMBER(SEARCH(CHAR(10)&amp;B1352&amp;CHAR(10),H1352)),B1352,IFERROR(INDEX('Set Aliases'!$A$2:$A$501,MATCH(1,('Set Aliases'!$B$2:$B$501=B1352)*ISNUMBER(SEARCH(CHAR(10)&amp;'Set Aliases'!$A$2:$A$501&amp;CHAR(10),H1352)),0)),"")))</f>
        <v/>
      </c>
      <c r="J1352" s="80" t="str">
        <f t="array" ref="J1352">IF(I1352="","",IFERROR(VALUE(TRIM(MID(SUBSTITUTE(INDEX('Deck 5'!$A:$Z,ROW()-1250,'List Setup'!$G$7),CHAR(10),REPT(" ",100)),((SEARCH(CHAR(10)&amp;I1352&amp;CHAR(10),H1352)-LEN(SUBSTITUTE(LEFT(H1352,SEARCH(CHAR(10)&amp;I1352&amp;CHAR(10),H1352)),CHAR(10),"")))-1)*100+1,100))),""))</f>
        <v/>
      </c>
      <c r="K1352" s="80" t="str">
        <f t="array" ref="K1352">IF(A1352="","",IF(ISNUMBER(SEARCH("Land",LEFT(IFERROR(INDEX('Deck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52" s="80" t="str">
        <f t="shared" si="3"/>
        <v/>
      </c>
      <c r="M1352" s="80" t="str">
        <f>IF(A1352="","",IF(AND(E1352="Y",B1352='Use at Shop'!$B$4),K1352*10000000000+(MAX(0,MIN(26,CODE(MID(UPPER(A1352)&amp;"    ",1,1))-64))*19683+MAX(0,MIN(26,CODE(MID(UPPER(A1352)&amp;"    ",2,1))-64))*729+MAX(0,MIN(26,CODE(MID(UPPER(A1352)&amp;"    ",3,1))-64))*27+MAX(0,MIN(26,CODE(MID(UPPER(A1352)&amp;"    ",4,1))-64))*1)*10000+ROW(),""))</f>
        <v/>
      </c>
      <c r="N1352" s="80" t="str">
        <f t="shared" si="9"/>
        <v/>
      </c>
      <c r="O1352" s="80" t="str">
        <f t="array" ref="O1352">IF(A1352="","",IFERROR(INDEX('Deck 5'!$A:$Z,ROW()-1250,'List Setup'!$J$7)&amp;"",""))</f>
        <v/>
      </c>
      <c r="P1352" s="2"/>
      <c r="Q1352" s="80" t="str">
        <f>IF(A1352="","",'List Setup'!$A$7)</f>
        <v/>
      </c>
      <c r="R1352" s="80" t="str">
        <f t="array" ref="R1352">IF(A1352="","",IFERROR(OR(INDEX(Binders!$J$6:$J$30,MATCH(Q1352,Binders!$I$6:$I$30,0))=TRUE(),UPPER(INDEX(Binders!$J$6:$J$30,MATCH(Q1352,Binders!$I$6:$I$30,0))&amp;"")="TRUE"),FALSE()))</f>
        <v/>
      </c>
    </row>
    <row r="1353" ht="15.75" customHeight="1">
      <c r="A1353" s="80" t="str">
        <f t="array" ref="A1353">IF(INDEX('Deck 5'!$A:$Z,ROW()-1250,'List Setup'!$D$7)="","",INDEX('Deck 5'!$A:$Z,ROW()-1250,'List Setup'!$D$7))</f>
        <v/>
      </c>
      <c r="B1353" s="80" t="str">
        <f t="array" ref="B1353">IF(A1353="","",IFERROR(INDEX('Binder Setup'!$B$2:$B$401,MIN(IF(ISNUMBER(SEARCH(CHAR(10)&amp;'Binder Setup'!$B$2:$B$401&amp;CHAR(10),$H1353)),'List Setup'!$Q$2:$Q$401,999),IF(ISNUMBER(SEARCH(CHAR(10)&amp;'Set Aliases'!$A$2:$A$501&amp;CHAR(10),$H1353)),'Set Aliases'!$C$2:$C$501,999))),"(none)"))</f>
        <v/>
      </c>
      <c r="C1353" s="80" t="str">
        <f t="shared" si="1"/>
        <v/>
      </c>
      <c r="D1353" s="80" t="str">
        <f t="array" ref="D1353">IF(A1353="","",IF(ISLOGICAL(INDEX('Deck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53" s="80" t="str">
        <f t="shared" si="2"/>
        <v/>
      </c>
      <c r="F1353" s="80" t="str">
        <f t="array" ref="F1353">IF(A1353="","",IF(ISNUMBER(J1353),J1353,IF(ISNUMBER(INDEX('Deck 5'!$A:$Z,ROW()-1250,'List Setup'!$F$7)),INDEX('Deck 5'!$A:$Z,ROW()-1250,'List Setup'!$F$7),0)))</f>
        <v/>
      </c>
      <c r="G1353" s="80" t="str">
        <f t="array" ref="G1353">IF(A1353="","",A1353&amp;IF(N(INDEX('Deck 5'!$A:$Z,ROW()-1250,'List Setup'!$C$7))&gt;1," (x"&amp;INDEX('Deck 5'!$A:$Z,ROW()-1250,'List Setup'!$C$7)&amp;")","")&amp;IF(COUNTIF(Binders!$J$6:$J$30,TRUE())&gt;1," ["&amp;Q1353&amp;"]",""))</f>
        <v/>
      </c>
      <c r="H1353" s="80" t="str">
        <f t="array" ref="H1353">IF(A1353="","",CHAR(10)&amp;INDEX('Deck 5'!$A:$Z,ROW()-1250,'List Setup'!$E$7)&amp;CHAR(10))</f>
        <v/>
      </c>
      <c r="I1353" s="80" t="str">
        <f t="array" ref="I1353">IF(OR(B1353="",B1353="(none)"),"",IF(ISNUMBER(SEARCH(CHAR(10)&amp;B1353&amp;CHAR(10),H1353)),B1353,IFERROR(INDEX('Set Aliases'!$A$2:$A$501,MATCH(1,('Set Aliases'!$B$2:$B$501=B1353)*ISNUMBER(SEARCH(CHAR(10)&amp;'Set Aliases'!$A$2:$A$501&amp;CHAR(10),H1353)),0)),"")))</f>
        <v/>
      </c>
      <c r="J1353" s="80" t="str">
        <f t="array" ref="J1353">IF(I1353="","",IFERROR(VALUE(TRIM(MID(SUBSTITUTE(INDEX('Deck 5'!$A:$Z,ROW()-1250,'List Setup'!$G$7),CHAR(10),REPT(" ",100)),((SEARCH(CHAR(10)&amp;I1353&amp;CHAR(10),H1353)-LEN(SUBSTITUTE(LEFT(H1353,SEARCH(CHAR(10)&amp;I1353&amp;CHAR(10),H1353)),CHAR(10),"")))-1)*100+1,100))),""))</f>
        <v/>
      </c>
      <c r="K1353" s="80" t="str">
        <f t="array" ref="K1353">IF(A1353="","",IF(ISNUMBER(SEARCH("Land",LEFT(IFERROR(INDEX('Deck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53" s="80" t="str">
        <f t="shared" si="3"/>
        <v/>
      </c>
      <c r="M1353" s="80" t="str">
        <f>IF(A1353="","",IF(AND(E1353="Y",B1353='Use at Shop'!$B$4),K1353*10000000000+(MAX(0,MIN(26,CODE(MID(UPPER(A1353)&amp;"    ",1,1))-64))*19683+MAX(0,MIN(26,CODE(MID(UPPER(A1353)&amp;"    ",2,1))-64))*729+MAX(0,MIN(26,CODE(MID(UPPER(A1353)&amp;"    ",3,1))-64))*27+MAX(0,MIN(26,CODE(MID(UPPER(A1353)&amp;"    ",4,1))-64))*1)*10000+ROW(),""))</f>
        <v/>
      </c>
      <c r="N1353" s="80" t="str">
        <f t="shared" si="9"/>
        <v/>
      </c>
      <c r="O1353" s="80" t="str">
        <f t="array" ref="O1353">IF(A1353="","",IFERROR(INDEX('Deck 5'!$A:$Z,ROW()-1250,'List Setup'!$J$7)&amp;"",""))</f>
        <v/>
      </c>
      <c r="P1353" s="2"/>
      <c r="Q1353" s="80" t="str">
        <f>IF(A1353="","",'List Setup'!$A$7)</f>
        <v/>
      </c>
      <c r="R1353" s="80" t="str">
        <f t="array" ref="R1353">IF(A1353="","",IFERROR(OR(INDEX(Binders!$J$6:$J$30,MATCH(Q1353,Binders!$I$6:$I$30,0))=TRUE(),UPPER(INDEX(Binders!$J$6:$J$30,MATCH(Q1353,Binders!$I$6:$I$30,0))&amp;"")="TRUE"),FALSE()))</f>
        <v/>
      </c>
    </row>
    <row r="1354" ht="15.75" customHeight="1">
      <c r="A1354" s="80" t="str">
        <f t="array" ref="A1354">IF(INDEX('Deck 5'!$A:$Z,ROW()-1250,'List Setup'!$D$7)="","",INDEX('Deck 5'!$A:$Z,ROW()-1250,'List Setup'!$D$7))</f>
        <v/>
      </c>
      <c r="B1354" s="80" t="str">
        <f t="array" ref="B1354">IF(A1354="","",IFERROR(INDEX('Binder Setup'!$B$2:$B$401,MIN(IF(ISNUMBER(SEARCH(CHAR(10)&amp;'Binder Setup'!$B$2:$B$401&amp;CHAR(10),$H1354)),'List Setup'!$Q$2:$Q$401,999),IF(ISNUMBER(SEARCH(CHAR(10)&amp;'Set Aliases'!$A$2:$A$501&amp;CHAR(10),$H1354)),'Set Aliases'!$C$2:$C$501,999))),"(none)"))</f>
        <v/>
      </c>
      <c r="C1354" s="80" t="str">
        <f t="shared" si="1"/>
        <v/>
      </c>
      <c r="D1354" s="80" t="str">
        <f t="array" ref="D1354">IF(A1354="","",IF(ISLOGICAL(INDEX('Deck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54" s="80" t="str">
        <f t="shared" si="2"/>
        <v/>
      </c>
      <c r="F1354" s="80" t="str">
        <f t="array" ref="F1354">IF(A1354="","",IF(ISNUMBER(J1354),J1354,IF(ISNUMBER(INDEX('Deck 5'!$A:$Z,ROW()-1250,'List Setup'!$F$7)),INDEX('Deck 5'!$A:$Z,ROW()-1250,'List Setup'!$F$7),0)))</f>
        <v/>
      </c>
      <c r="G1354" s="80" t="str">
        <f t="array" ref="G1354">IF(A1354="","",A1354&amp;IF(N(INDEX('Deck 5'!$A:$Z,ROW()-1250,'List Setup'!$C$7))&gt;1," (x"&amp;INDEX('Deck 5'!$A:$Z,ROW()-1250,'List Setup'!$C$7)&amp;")","")&amp;IF(COUNTIF(Binders!$J$6:$J$30,TRUE())&gt;1," ["&amp;Q1354&amp;"]",""))</f>
        <v/>
      </c>
      <c r="H1354" s="80" t="str">
        <f t="array" ref="H1354">IF(A1354="","",CHAR(10)&amp;INDEX('Deck 5'!$A:$Z,ROW()-1250,'List Setup'!$E$7)&amp;CHAR(10))</f>
        <v/>
      </c>
      <c r="I1354" s="80" t="str">
        <f t="array" ref="I1354">IF(OR(B1354="",B1354="(none)"),"",IF(ISNUMBER(SEARCH(CHAR(10)&amp;B1354&amp;CHAR(10),H1354)),B1354,IFERROR(INDEX('Set Aliases'!$A$2:$A$501,MATCH(1,('Set Aliases'!$B$2:$B$501=B1354)*ISNUMBER(SEARCH(CHAR(10)&amp;'Set Aliases'!$A$2:$A$501&amp;CHAR(10),H1354)),0)),"")))</f>
        <v/>
      </c>
      <c r="J1354" s="80" t="str">
        <f t="array" ref="J1354">IF(I1354="","",IFERROR(VALUE(TRIM(MID(SUBSTITUTE(INDEX('Deck 5'!$A:$Z,ROW()-1250,'List Setup'!$G$7),CHAR(10),REPT(" ",100)),((SEARCH(CHAR(10)&amp;I1354&amp;CHAR(10),H1354)-LEN(SUBSTITUTE(LEFT(H1354,SEARCH(CHAR(10)&amp;I1354&amp;CHAR(10),H1354)),CHAR(10),"")))-1)*100+1,100))),""))</f>
        <v/>
      </c>
      <c r="K1354" s="80" t="str">
        <f t="array" ref="K1354">IF(A1354="","",IF(ISNUMBER(SEARCH("Land",LEFT(IFERROR(INDEX('Deck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54" s="80" t="str">
        <f t="shared" si="3"/>
        <v/>
      </c>
      <c r="M1354" s="80" t="str">
        <f>IF(A1354="","",IF(AND(E1354="Y",B1354='Use at Shop'!$B$4),K1354*10000000000+(MAX(0,MIN(26,CODE(MID(UPPER(A1354)&amp;"    ",1,1))-64))*19683+MAX(0,MIN(26,CODE(MID(UPPER(A1354)&amp;"    ",2,1))-64))*729+MAX(0,MIN(26,CODE(MID(UPPER(A1354)&amp;"    ",3,1))-64))*27+MAX(0,MIN(26,CODE(MID(UPPER(A1354)&amp;"    ",4,1))-64))*1)*10000+ROW(),""))</f>
        <v/>
      </c>
      <c r="N1354" s="80" t="str">
        <f t="shared" si="9"/>
        <v/>
      </c>
      <c r="O1354" s="80" t="str">
        <f t="array" ref="O1354">IF(A1354="","",IFERROR(INDEX('Deck 5'!$A:$Z,ROW()-1250,'List Setup'!$J$7)&amp;"",""))</f>
        <v/>
      </c>
      <c r="P1354" s="2"/>
      <c r="Q1354" s="80" t="str">
        <f>IF(A1354="","",'List Setup'!$A$7)</f>
        <v/>
      </c>
      <c r="R1354" s="80" t="str">
        <f t="array" ref="R1354">IF(A1354="","",IFERROR(OR(INDEX(Binders!$J$6:$J$30,MATCH(Q1354,Binders!$I$6:$I$30,0))=TRUE(),UPPER(INDEX(Binders!$J$6:$J$30,MATCH(Q1354,Binders!$I$6:$I$30,0))&amp;"")="TRUE"),FALSE()))</f>
        <v/>
      </c>
    </row>
    <row r="1355" ht="15.75" customHeight="1">
      <c r="A1355" s="80" t="str">
        <f t="array" ref="A1355">IF(INDEX('Deck 5'!$A:$Z,ROW()-1250,'List Setup'!$D$7)="","",INDEX('Deck 5'!$A:$Z,ROW()-1250,'List Setup'!$D$7))</f>
        <v/>
      </c>
      <c r="B1355" s="80" t="str">
        <f t="array" ref="B1355">IF(A1355="","",IFERROR(INDEX('Binder Setup'!$B$2:$B$401,MIN(IF(ISNUMBER(SEARCH(CHAR(10)&amp;'Binder Setup'!$B$2:$B$401&amp;CHAR(10),$H1355)),'List Setup'!$Q$2:$Q$401,999),IF(ISNUMBER(SEARCH(CHAR(10)&amp;'Set Aliases'!$A$2:$A$501&amp;CHAR(10),$H1355)),'Set Aliases'!$C$2:$C$501,999))),"(none)"))</f>
        <v/>
      </c>
      <c r="C1355" s="80" t="str">
        <f t="shared" si="1"/>
        <v/>
      </c>
      <c r="D1355" s="80" t="str">
        <f t="array" ref="D1355">IF(A1355="","",IF(ISLOGICAL(INDEX('Deck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55" s="80" t="str">
        <f t="shared" si="2"/>
        <v/>
      </c>
      <c r="F1355" s="80" t="str">
        <f t="array" ref="F1355">IF(A1355="","",IF(ISNUMBER(J1355),J1355,IF(ISNUMBER(INDEX('Deck 5'!$A:$Z,ROW()-1250,'List Setup'!$F$7)),INDEX('Deck 5'!$A:$Z,ROW()-1250,'List Setup'!$F$7),0)))</f>
        <v/>
      </c>
      <c r="G1355" s="80" t="str">
        <f t="array" ref="G1355">IF(A1355="","",A1355&amp;IF(N(INDEX('Deck 5'!$A:$Z,ROW()-1250,'List Setup'!$C$7))&gt;1," (x"&amp;INDEX('Deck 5'!$A:$Z,ROW()-1250,'List Setup'!$C$7)&amp;")","")&amp;IF(COUNTIF(Binders!$J$6:$J$30,TRUE())&gt;1," ["&amp;Q1355&amp;"]",""))</f>
        <v/>
      </c>
      <c r="H1355" s="80" t="str">
        <f t="array" ref="H1355">IF(A1355="","",CHAR(10)&amp;INDEX('Deck 5'!$A:$Z,ROW()-1250,'List Setup'!$E$7)&amp;CHAR(10))</f>
        <v/>
      </c>
      <c r="I1355" s="80" t="str">
        <f t="array" ref="I1355">IF(OR(B1355="",B1355="(none)"),"",IF(ISNUMBER(SEARCH(CHAR(10)&amp;B1355&amp;CHAR(10),H1355)),B1355,IFERROR(INDEX('Set Aliases'!$A$2:$A$501,MATCH(1,('Set Aliases'!$B$2:$B$501=B1355)*ISNUMBER(SEARCH(CHAR(10)&amp;'Set Aliases'!$A$2:$A$501&amp;CHAR(10),H1355)),0)),"")))</f>
        <v/>
      </c>
      <c r="J1355" s="80" t="str">
        <f t="array" ref="J1355">IF(I1355="","",IFERROR(VALUE(TRIM(MID(SUBSTITUTE(INDEX('Deck 5'!$A:$Z,ROW()-1250,'List Setup'!$G$7),CHAR(10),REPT(" ",100)),((SEARCH(CHAR(10)&amp;I1355&amp;CHAR(10),H1355)-LEN(SUBSTITUTE(LEFT(H1355,SEARCH(CHAR(10)&amp;I1355&amp;CHAR(10),H1355)),CHAR(10),"")))-1)*100+1,100))),""))</f>
        <v/>
      </c>
      <c r="K1355" s="80" t="str">
        <f t="array" ref="K1355">IF(A1355="","",IF(ISNUMBER(SEARCH("Land",LEFT(IFERROR(INDEX('Deck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55" s="80" t="str">
        <f t="shared" si="3"/>
        <v/>
      </c>
      <c r="M1355" s="80" t="str">
        <f>IF(A1355="","",IF(AND(E1355="Y",B1355='Use at Shop'!$B$4),K1355*10000000000+(MAX(0,MIN(26,CODE(MID(UPPER(A1355)&amp;"    ",1,1))-64))*19683+MAX(0,MIN(26,CODE(MID(UPPER(A1355)&amp;"    ",2,1))-64))*729+MAX(0,MIN(26,CODE(MID(UPPER(A1355)&amp;"    ",3,1))-64))*27+MAX(0,MIN(26,CODE(MID(UPPER(A1355)&amp;"    ",4,1))-64))*1)*10000+ROW(),""))</f>
        <v/>
      </c>
      <c r="N1355" s="80" t="str">
        <f t="shared" si="9"/>
        <v/>
      </c>
      <c r="O1355" s="80" t="str">
        <f t="array" ref="O1355">IF(A1355="","",IFERROR(INDEX('Deck 5'!$A:$Z,ROW()-1250,'List Setup'!$J$7)&amp;"",""))</f>
        <v/>
      </c>
      <c r="P1355" s="2"/>
      <c r="Q1355" s="80" t="str">
        <f>IF(A1355="","",'List Setup'!$A$7)</f>
        <v/>
      </c>
      <c r="R1355" s="80" t="str">
        <f t="array" ref="R1355">IF(A1355="","",IFERROR(OR(INDEX(Binders!$J$6:$J$30,MATCH(Q1355,Binders!$I$6:$I$30,0))=TRUE(),UPPER(INDEX(Binders!$J$6:$J$30,MATCH(Q1355,Binders!$I$6:$I$30,0))&amp;"")="TRUE"),FALSE()))</f>
        <v/>
      </c>
    </row>
    <row r="1356" ht="15.75" customHeight="1">
      <c r="A1356" s="80" t="str">
        <f t="array" ref="A1356">IF(INDEX('Deck 5'!$A:$Z,ROW()-1250,'List Setup'!$D$7)="","",INDEX('Deck 5'!$A:$Z,ROW()-1250,'List Setup'!$D$7))</f>
        <v/>
      </c>
      <c r="B1356" s="80" t="str">
        <f t="array" ref="B1356">IF(A1356="","",IFERROR(INDEX('Binder Setup'!$B$2:$B$401,MIN(IF(ISNUMBER(SEARCH(CHAR(10)&amp;'Binder Setup'!$B$2:$B$401&amp;CHAR(10),$H1356)),'List Setup'!$Q$2:$Q$401,999),IF(ISNUMBER(SEARCH(CHAR(10)&amp;'Set Aliases'!$A$2:$A$501&amp;CHAR(10),$H1356)),'Set Aliases'!$C$2:$C$501,999))),"(none)"))</f>
        <v/>
      </c>
      <c r="C1356" s="80" t="str">
        <f t="shared" si="1"/>
        <v/>
      </c>
      <c r="D1356" s="80" t="str">
        <f t="array" ref="D1356">IF(A1356="","",IF(ISLOGICAL(INDEX('Deck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56" s="80" t="str">
        <f t="shared" si="2"/>
        <v/>
      </c>
      <c r="F1356" s="80" t="str">
        <f t="array" ref="F1356">IF(A1356="","",IF(ISNUMBER(J1356),J1356,IF(ISNUMBER(INDEX('Deck 5'!$A:$Z,ROW()-1250,'List Setup'!$F$7)),INDEX('Deck 5'!$A:$Z,ROW()-1250,'List Setup'!$F$7),0)))</f>
        <v/>
      </c>
      <c r="G1356" s="80" t="str">
        <f t="array" ref="G1356">IF(A1356="","",A1356&amp;IF(N(INDEX('Deck 5'!$A:$Z,ROW()-1250,'List Setup'!$C$7))&gt;1," (x"&amp;INDEX('Deck 5'!$A:$Z,ROW()-1250,'List Setup'!$C$7)&amp;")","")&amp;IF(COUNTIF(Binders!$J$6:$J$30,TRUE())&gt;1," ["&amp;Q1356&amp;"]",""))</f>
        <v/>
      </c>
      <c r="H1356" s="80" t="str">
        <f t="array" ref="H1356">IF(A1356="","",CHAR(10)&amp;INDEX('Deck 5'!$A:$Z,ROW()-1250,'List Setup'!$E$7)&amp;CHAR(10))</f>
        <v/>
      </c>
      <c r="I1356" s="80" t="str">
        <f t="array" ref="I1356">IF(OR(B1356="",B1356="(none)"),"",IF(ISNUMBER(SEARCH(CHAR(10)&amp;B1356&amp;CHAR(10),H1356)),B1356,IFERROR(INDEX('Set Aliases'!$A$2:$A$501,MATCH(1,('Set Aliases'!$B$2:$B$501=B1356)*ISNUMBER(SEARCH(CHAR(10)&amp;'Set Aliases'!$A$2:$A$501&amp;CHAR(10),H1356)),0)),"")))</f>
        <v/>
      </c>
      <c r="J1356" s="80" t="str">
        <f t="array" ref="J1356">IF(I1356="","",IFERROR(VALUE(TRIM(MID(SUBSTITUTE(INDEX('Deck 5'!$A:$Z,ROW()-1250,'List Setup'!$G$7),CHAR(10),REPT(" ",100)),((SEARCH(CHAR(10)&amp;I1356&amp;CHAR(10),H1356)-LEN(SUBSTITUTE(LEFT(H1356,SEARCH(CHAR(10)&amp;I1356&amp;CHAR(10),H1356)),CHAR(10),"")))-1)*100+1,100))),""))</f>
        <v/>
      </c>
      <c r="K1356" s="80" t="str">
        <f t="array" ref="K1356">IF(A1356="","",IF(ISNUMBER(SEARCH("Land",LEFT(IFERROR(INDEX('Deck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56" s="80" t="str">
        <f t="shared" si="3"/>
        <v/>
      </c>
      <c r="M1356" s="80" t="str">
        <f>IF(A1356="","",IF(AND(E1356="Y",B1356='Use at Shop'!$B$4),K1356*10000000000+(MAX(0,MIN(26,CODE(MID(UPPER(A1356)&amp;"    ",1,1))-64))*19683+MAX(0,MIN(26,CODE(MID(UPPER(A1356)&amp;"    ",2,1))-64))*729+MAX(0,MIN(26,CODE(MID(UPPER(A1356)&amp;"    ",3,1))-64))*27+MAX(0,MIN(26,CODE(MID(UPPER(A1356)&amp;"    ",4,1))-64))*1)*10000+ROW(),""))</f>
        <v/>
      </c>
      <c r="N1356" s="80" t="str">
        <f t="shared" si="9"/>
        <v/>
      </c>
      <c r="O1356" s="80" t="str">
        <f t="array" ref="O1356">IF(A1356="","",IFERROR(INDEX('Deck 5'!$A:$Z,ROW()-1250,'List Setup'!$J$7)&amp;"",""))</f>
        <v/>
      </c>
      <c r="P1356" s="2"/>
      <c r="Q1356" s="80" t="str">
        <f>IF(A1356="","",'List Setup'!$A$7)</f>
        <v/>
      </c>
      <c r="R1356" s="80" t="str">
        <f t="array" ref="R1356">IF(A1356="","",IFERROR(OR(INDEX(Binders!$J$6:$J$30,MATCH(Q1356,Binders!$I$6:$I$30,0))=TRUE(),UPPER(INDEX(Binders!$J$6:$J$30,MATCH(Q1356,Binders!$I$6:$I$30,0))&amp;"")="TRUE"),FALSE()))</f>
        <v/>
      </c>
    </row>
    <row r="1357" ht="15.75" customHeight="1">
      <c r="A1357" s="80" t="str">
        <f t="array" ref="A1357">IF(INDEX('Deck 5'!$A:$Z,ROW()-1250,'List Setup'!$D$7)="","",INDEX('Deck 5'!$A:$Z,ROW()-1250,'List Setup'!$D$7))</f>
        <v/>
      </c>
      <c r="B1357" s="80" t="str">
        <f t="array" ref="B1357">IF(A1357="","",IFERROR(INDEX('Binder Setup'!$B$2:$B$401,MIN(IF(ISNUMBER(SEARCH(CHAR(10)&amp;'Binder Setup'!$B$2:$B$401&amp;CHAR(10),$H1357)),'List Setup'!$Q$2:$Q$401,999),IF(ISNUMBER(SEARCH(CHAR(10)&amp;'Set Aliases'!$A$2:$A$501&amp;CHAR(10),$H1357)),'Set Aliases'!$C$2:$C$501,999))),"(none)"))</f>
        <v/>
      </c>
      <c r="C1357" s="80" t="str">
        <f t="shared" si="1"/>
        <v/>
      </c>
      <c r="D1357" s="80" t="str">
        <f t="array" ref="D1357">IF(A1357="","",IF(ISLOGICAL(INDEX('Deck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57" s="80" t="str">
        <f t="shared" si="2"/>
        <v/>
      </c>
      <c r="F1357" s="80" t="str">
        <f t="array" ref="F1357">IF(A1357="","",IF(ISNUMBER(J1357),J1357,IF(ISNUMBER(INDEX('Deck 5'!$A:$Z,ROW()-1250,'List Setup'!$F$7)),INDEX('Deck 5'!$A:$Z,ROW()-1250,'List Setup'!$F$7),0)))</f>
        <v/>
      </c>
      <c r="G1357" s="80" t="str">
        <f t="array" ref="G1357">IF(A1357="","",A1357&amp;IF(N(INDEX('Deck 5'!$A:$Z,ROW()-1250,'List Setup'!$C$7))&gt;1," (x"&amp;INDEX('Deck 5'!$A:$Z,ROW()-1250,'List Setup'!$C$7)&amp;")","")&amp;IF(COUNTIF(Binders!$J$6:$J$30,TRUE())&gt;1," ["&amp;Q1357&amp;"]",""))</f>
        <v/>
      </c>
      <c r="H1357" s="80" t="str">
        <f t="array" ref="H1357">IF(A1357="","",CHAR(10)&amp;INDEX('Deck 5'!$A:$Z,ROW()-1250,'List Setup'!$E$7)&amp;CHAR(10))</f>
        <v/>
      </c>
      <c r="I1357" s="80" t="str">
        <f t="array" ref="I1357">IF(OR(B1357="",B1357="(none)"),"",IF(ISNUMBER(SEARCH(CHAR(10)&amp;B1357&amp;CHAR(10),H1357)),B1357,IFERROR(INDEX('Set Aliases'!$A$2:$A$501,MATCH(1,('Set Aliases'!$B$2:$B$501=B1357)*ISNUMBER(SEARCH(CHAR(10)&amp;'Set Aliases'!$A$2:$A$501&amp;CHAR(10),H1357)),0)),"")))</f>
        <v/>
      </c>
      <c r="J1357" s="80" t="str">
        <f t="array" ref="J1357">IF(I1357="","",IFERROR(VALUE(TRIM(MID(SUBSTITUTE(INDEX('Deck 5'!$A:$Z,ROW()-1250,'List Setup'!$G$7),CHAR(10),REPT(" ",100)),((SEARCH(CHAR(10)&amp;I1357&amp;CHAR(10),H1357)-LEN(SUBSTITUTE(LEFT(H1357,SEARCH(CHAR(10)&amp;I1357&amp;CHAR(10),H1357)),CHAR(10),"")))-1)*100+1,100))),""))</f>
        <v/>
      </c>
      <c r="K1357" s="80" t="str">
        <f t="array" ref="K1357">IF(A1357="","",IF(ISNUMBER(SEARCH("Land",LEFT(IFERROR(INDEX('Deck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57" s="80" t="str">
        <f t="shared" si="3"/>
        <v/>
      </c>
      <c r="M1357" s="80" t="str">
        <f>IF(A1357="","",IF(AND(E1357="Y",B1357='Use at Shop'!$B$4),K1357*10000000000+(MAX(0,MIN(26,CODE(MID(UPPER(A1357)&amp;"    ",1,1))-64))*19683+MAX(0,MIN(26,CODE(MID(UPPER(A1357)&amp;"    ",2,1))-64))*729+MAX(0,MIN(26,CODE(MID(UPPER(A1357)&amp;"    ",3,1))-64))*27+MAX(0,MIN(26,CODE(MID(UPPER(A1357)&amp;"    ",4,1))-64))*1)*10000+ROW(),""))</f>
        <v/>
      </c>
      <c r="N1357" s="80" t="str">
        <f t="shared" si="9"/>
        <v/>
      </c>
      <c r="O1357" s="80" t="str">
        <f t="array" ref="O1357">IF(A1357="","",IFERROR(INDEX('Deck 5'!$A:$Z,ROW()-1250,'List Setup'!$J$7)&amp;"",""))</f>
        <v/>
      </c>
      <c r="P1357" s="2"/>
      <c r="Q1357" s="80" t="str">
        <f>IF(A1357="","",'List Setup'!$A$7)</f>
        <v/>
      </c>
      <c r="R1357" s="80" t="str">
        <f t="array" ref="R1357">IF(A1357="","",IFERROR(OR(INDEX(Binders!$J$6:$J$30,MATCH(Q1357,Binders!$I$6:$I$30,0))=TRUE(),UPPER(INDEX(Binders!$J$6:$J$30,MATCH(Q1357,Binders!$I$6:$I$30,0))&amp;"")="TRUE"),FALSE()))</f>
        <v/>
      </c>
    </row>
    <row r="1358" ht="15.75" customHeight="1">
      <c r="A1358" s="80" t="str">
        <f t="array" ref="A1358">IF(INDEX('Deck 5'!$A:$Z,ROW()-1250,'List Setup'!$D$7)="","",INDEX('Deck 5'!$A:$Z,ROW()-1250,'List Setup'!$D$7))</f>
        <v/>
      </c>
      <c r="B1358" s="80" t="str">
        <f t="array" ref="B1358">IF(A1358="","",IFERROR(INDEX('Binder Setup'!$B$2:$B$401,MIN(IF(ISNUMBER(SEARCH(CHAR(10)&amp;'Binder Setup'!$B$2:$B$401&amp;CHAR(10),$H1358)),'List Setup'!$Q$2:$Q$401,999),IF(ISNUMBER(SEARCH(CHAR(10)&amp;'Set Aliases'!$A$2:$A$501&amp;CHAR(10),$H1358)),'Set Aliases'!$C$2:$C$501,999))),"(none)"))</f>
        <v/>
      </c>
      <c r="C1358" s="80" t="str">
        <f t="shared" si="1"/>
        <v/>
      </c>
      <c r="D1358" s="80" t="str">
        <f t="array" ref="D1358">IF(A1358="","",IF(ISLOGICAL(INDEX('Deck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58" s="80" t="str">
        <f t="shared" si="2"/>
        <v/>
      </c>
      <c r="F1358" s="80" t="str">
        <f t="array" ref="F1358">IF(A1358="","",IF(ISNUMBER(J1358),J1358,IF(ISNUMBER(INDEX('Deck 5'!$A:$Z,ROW()-1250,'List Setup'!$F$7)),INDEX('Deck 5'!$A:$Z,ROW()-1250,'List Setup'!$F$7),0)))</f>
        <v/>
      </c>
      <c r="G1358" s="80" t="str">
        <f t="array" ref="G1358">IF(A1358="","",A1358&amp;IF(N(INDEX('Deck 5'!$A:$Z,ROW()-1250,'List Setup'!$C$7))&gt;1," (x"&amp;INDEX('Deck 5'!$A:$Z,ROW()-1250,'List Setup'!$C$7)&amp;")","")&amp;IF(COUNTIF(Binders!$J$6:$J$30,TRUE())&gt;1," ["&amp;Q1358&amp;"]",""))</f>
        <v/>
      </c>
      <c r="H1358" s="80" t="str">
        <f t="array" ref="H1358">IF(A1358="","",CHAR(10)&amp;INDEX('Deck 5'!$A:$Z,ROW()-1250,'List Setup'!$E$7)&amp;CHAR(10))</f>
        <v/>
      </c>
      <c r="I1358" s="80" t="str">
        <f t="array" ref="I1358">IF(OR(B1358="",B1358="(none)"),"",IF(ISNUMBER(SEARCH(CHAR(10)&amp;B1358&amp;CHAR(10),H1358)),B1358,IFERROR(INDEX('Set Aliases'!$A$2:$A$501,MATCH(1,('Set Aliases'!$B$2:$B$501=B1358)*ISNUMBER(SEARCH(CHAR(10)&amp;'Set Aliases'!$A$2:$A$501&amp;CHAR(10),H1358)),0)),"")))</f>
        <v/>
      </c>
      <c r="J1358" s="80" t="str">
        <f t="array" ref="J1358">IF(I1358="","",IFERROR(VALUE(TRIM(MID(SUBSTITUTE(INDEX('Deck 5'!$A:$Z,ROW()-1250,'List Setup'!$G$7),CHAR(10),REPT(" ",100)),((SEARCH(CHAR(10)&amp;I1358&amp;CHAR(10),H1358)-LEN(SUBSTITUTE(LEFT(H1358,SEARCH(CHAR(10)&amp;I1358&amp;CHAR(10),H1358)),CHAR(10),"")))-1)*100+1,100))),""))</f>
        <v/>
      </c>
      <c r="K1358" s="80" t="str">
        <f t="array" ref="K1358">IF(A1358="","",IF(ISNUMBER(SEARCH("Land",LEFT(IFERROR(INDEX('Deck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58" s="80" t="str">
        <f t="shared" si="3"/>
        <v/>
      </c>
      <c r="M1358" s="80" t="str">
        <f>IF(A1358="","",IF(AND(E1358="Y",B1358='Use at Shop'!$B$4),K1358*10000000000+(MAX(0,MIN(26,CODE(MID(UPPER(A1358)&amp;"    ",1,1))-64))*19683+MAX(0,MIN(26,CODE(MID(UPPER(A1358)&amp;"    ",2,1))-64))*729+MAX(0,MIN(26,CODE(MID(UPPER(A1358)&amp;"    ",3,1))-64))*27+MAX(0,MIN(26,CODE(MID(UPPER(A1358)&amp;"    ",4,1))-64))*1)*10000+ROW(),""))</f>
        <v/>
      </c>
      <c r="N1358" s="80" t="str">
        <f t="shared" si="9"/>
        <v/>
      </c>
      <c r="O1358" s="80" t="str">
        <f t="array" ref="O1358">IF(A1358="","",IFERROR(INDEX('Deck 5'!$A:$Z,ROW()-1250,'List Setup'!$J$7)&amp;"",""))</f>
        <v/>
      </c>
      <c r="P1358" s="2"/>
      <c r="Q1358" s="80" t="str">
        <f>IF(A1358="","",'List Setup'!$A$7)</f>
        <v/>
      </c>
      <c r="R1358" s="80" t="str">
        <f t="array" ref="R1358">IF(A1358="","",IFERROR(OR(INDEX(Binders!$J$6:$J$30,MATCH(Q1358,Binders!$I$6:$I$30,0))=TRUE(),UPPER(INDEX(Binders!$J$6:$J$30,MATCH(Q1358,Binders!$I$6:$I$30,0))&amp;"")="TRUE"),FALSE()))</f>
        <v/>
      </c>
    </row>
    <row r="1359" ht="15.75" customHeight="1">
      <c r="A1359" s="80" t="str">
        <f t="array" ref="A1359">IF(INDEX('Deck 5'!$A:$Z,ROW()-1250,'List Setup'!$D$7)="","",INDEX('Deck 5'!$A:$Z,ROW()-1250,'List Setup'!$D$7))</f>
        <v/>
      </c>
      <c r="B1359" s="80" t="str">
        <f t="array" ref="B1359">IF(A1359="","",IFERROR(INDEX('Binder Setup'!$B$2:$B$401,MIN(IF(ISNUMBER(SEARCH(CHAR(10)&amp;'Binder Setup'!$B$2:$B$401&amp;CHAR(10),$H1359)),'List Setup'!$Q$2:$Q$401,999),IF(ISNUMBER(SEARCH(CHAR(10)&amp;'Set Aliases'!$A$2:$A$501&amp;CHAR(10),$H1359)),'Set Aliases'!$C$2:$C$501,999))),"(none)"))</f>
        <v/>
      </c>
      <c r="C1359" s="80" t="str">
        <f t="shared" si="1"/>
        <v/>
      </c>
      <c r="D1359" s="80" t="str">
        <f t="array" ref="D1359">IF(A1359="","",IF(ISLOGICAL(INDEX('Deck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59" s="80" t="str">
        <f t="shared" si="2"/>
        <v/>
      </c>
      <c r="F1359" s="80" t="str">
        <f t="array" ref="F1359">IF(A1359="","",IF(ISNUMBER(J1359),J1359,IF(ISNUMBER(INDEX('Deck 5'!$A:$Z,ROW()-1250,'List Setup'!$F$7)),INDEX('Deck 5'!$A:$Z,ROW()-1250,'List Setup'!$F$7),0)))</f>
        <v/>
      </c>
      <c r="G1359" s="80" t="str">
        <f t="array" ref="G1359">IF(A1359="","",A1359&amp;IF(N(INDEX('Deck 5'!$A:$Z,ROW()-1250,'List Setup'!$C$7))&gt;1," (x"&amp;INDEX('Deck 5'!$A:$Z,ROW()-1250,'List Setup'!$C$7)&amp;")","")&amp;IF(COUNTIF(Binders!$J$6:$J$30,TRUE())&gt;1," ["&amp;Q1359&amp;"]",""))</f>
        <v/>
      </c>
      <c r="H1359" s="80" t="str">
        <f t="array" ref="H1359">IF(A1359="","",CHAR(10)&amp;INDEX('Deck 5'!$A:$Z,ROW()-1250,'List Setup'!$E$7)&amp;CHAR(10))</f>
        <v/>
      </c>
      <c r="I1359" s="80" t="str">
        <f t="array" ref="I1359">IF(OR(B1359="",B1359="(none)"),"",IF(ISNUMBER(SEARCH(CHAR(10)&amp;B1359&amp;CHAR(10),H1359)),B1359,IFERROR(INDEX('Set Aliases'!$A$2:$A$501,MATCH(1,('Set Aliases'!$B$2:$B$501=B1359)*ISNUMBER(SEARCH(CHAR(10)&amp;'Set Aliases'!$A$2:$A$501&amp;CHAR(10),H1359)),0)),"")))</f>
        <v/>
      </c>
      <c r="J1359" s="80" t="str">
        <f t="array" ref="J1359">IF(I1359="","",IFERROR(VALUE(TRIM(MID(SUBSTITUTE(INDEX('Deck 5'!$A:$Z,ROW()-1250,'List Setup'!$G$7),CHAR(10),REPT(" ",100)),((SEARCH(CHAR(10)&amp;I1359&amp;CHAR(10),H1359)-LEN(SUBSTITUTE(LEFT(H1359,SEARCH(CHAR(10)&amp;I1359&amp;CHAR(10),H1359)),CHAR(10),"")))-1)*100+1,100))),""))</f>
        <v/>
      </c>
      <c r="K1359" s="80" t="str">
        <f t="array" ref="K1359">IF(A1359="","",IF(ISNUMBER(SEARCH("Land",LEFT(IFERROR(INDEX('Deck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59" s="80" t="str">
        <f t="shared" si="3"/>
        <v/>
      </c>
      <c r="M1359" s="80" t="str">
        <f>IF(A1359="","",IF(AND(E1359="Y",B1359='Use at Shop'!$B$4),K1359*10000000000+(MAX(0,MIN(26,CODE(MID(UPPER(A1359)&amp;"    ",1,1))-64))*19683+MAX(0,MIN(26,CODE(MID(UPPER(A1359)&amp;"    ",2,1))-64))*729+MAX(0,MIN(26,CODE(MID(UPPER(A1359)&amp;"    ",3,1))-64))*27+MAX(0,MIN(26,CODE(MID(UPPER(A1359)&amp;"    ",4,1))-64))*1)*10000+ROW(),""))</f>
        <v/>
      </c>
      <c r="N1359" s="80" t="str">
        <f t="shared" si="9"/>
        <v/>
      </c>
      <c r="O1359" s="80" t="str">
        <f t="array" ref="O1359">IF(A1359="","",IFERROR(INDEX('Deck 5'!$A:$Z,ROW()-1250,'List Setup'!$J$7)&amp;"",""))</f>
        <v/>
      </c>
      <c r="P1359" s="2"/>
      <c r="Q1359" s="80" t="str">
        <f>IF(A1359="","",'List Setup'!$A$7)</f>
        <v/>
      </c>
      <c r="R1359" s="80" t="str">
        <f t="array" ref="R1359">IF(A1359="","",IFERROR(OR(INDEX(Binders!$J$6:$J$30,MATCH(Q1359,Binders!$I$6:$I$30,0))=TRUE(),UPPER(INDEX(Binders!$J$6:$J$30,MATCH(Q1359,Binders!$I$6:$I$30,0))&amp;"")="TRUE"),FALSE()))</f>
        <v/>
      </c>
    </row>
    <row r="1360" ht="15.75" customHeight="1">
      <c r="A1360" s="80" t="str">
        <f t="array" ref="A1360">IF(INDEX('Deck 5'!$A:$Z,ROW()-1250,'List Setup'!$D$7)="","",INDEX('Deck 5'!$A:$Z,ROW()-1250,'List Setup'!$D$7))</f>
        <v/>
      </c>
      <c r="B1360" s="80" t="str">
        <f t="array" ref="B1360">IF(A1360="","",IFERROR(INDEX('Binder Setup'!$B$2:$B$401,MIN(IF(ISNUMBER(SEARCH(CHAR(10)&amp;'Binder Setup'!$B$2:$B$401&amp;CHAR(10),$H1360)),'List Setup'!$Q$2:$Q$401,999),IF(ISNUMBER(SEARCH(CHAR(10)&amp;'Set Aliases'!$A$2:$A$501&amp;CHAR(10),$H1360)),'Set Aliases'!$C$2:$C$501,999))),"(none)"))</f>
        <v/>
      </c>
      <c r="C1360" s="80" t="str">
        <f t="shared" si="1"/>
        <v/>
      </c>
      <c r="D1360" s="80" t="str">
        <f t="array" ref="D1360">IF(A1360="","",IF(ISLOGICAL(INDEX('Deck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60" s="80" t="str">
        <f t="shared" si="2"/>
        <v/>
      </c>
      <c r="F1360" s="80" t="str">
        <f t="array" ref="F1360">IF(A1360="","",IF(ISNUMBER(J1360),J1360,IF(ISNUMBER(INDEX('Deck 5'!$A:$Z,ROW()-1250,'List Setup'!$F$7)),INDEX('Deck 5'!$A:$Z,ROW()-1250,'List Setup'!$F$7),0)))</f>
        <v/>
      </c>
      <c r="G1360" s="80" t="str">
        <f t="array" ref="G1360">IF(A1360="","",A1360&amp;IF(N(INDEX('Deck 5'!$A:$Z,ROW()-1250,'List Setup'!$C$7))&gt;1," (x"&amp;INDEX('Deck 5'!$A:$Z,ROW()-1250,'List Setup'!$C$7)&amp;")","")&amp;IF(COUNTIF(Binders!$J$6:$J$30,TRUE())&gt;1," ["&amp;Q1360&amp;"]",""))</f>
        <v/>
      </c>
      <c r="H1360" s="80" t="str">
        <f t="array" ref="H1360">IF(A1360="","",CHAR(10)&amp;INDEX('Deck 5'!$A:$Z,ROW()-1250,'List Setup'!$E$7)&amp;CHAR(10))</f>
        <v/>
      </c>
      <c r="I1360" s="80" t="str">
        <f t="array" ref="I1360">IF(OR(B1360="",B1360="(none)"),"",IF(ISNUMBER(SEARCH(CHAR(10)&amp;B1360&amp;CHAR(10),H1360)),B1360,IFERROR(INDEX('Set Aliases'!$A$2:$A$501,MATCH(1,('Set Aliases'!$B$2:$B$501=B1360)*ISNUMBER(SEARCH(CHAR(10)&amp;'Set Aliases'!$A$2:$A$501&amp;CHAR(10),H1360)),0)),"")))</f>
        <v/>
      </c>
      <c r="J1360" s="80" t="str">
        <f t="array" ref="J1360">IF(I1360="","",IFERROR(VALUE(TRIM(MID(SUBSTITUTE(INDEX('Deck 5'!$A:$Z,ROW()-1250,'List Setup'!$G$7),CHAR(10),REPT(" ",100)),((SEARCH(CHAR(10)&amp;I1360&amp;CHAR(10),H1360)-LEN(SUBSTITUTE(LEFT(H1360,SEARCH(CHAR(10)&amp;I1360&amp;CHAR(10),H1360)),CHAR(10),"")))-1)*100+1,100))),""))</f>
        <v/>
      </c>
      <c r="K1360" s="80" t="str">
        <f t="array" ref="K1360">IF(A1360="","",IF(ISNUMBER(SEARCH("Land",LEFT(IFERROR(INDEX('Deck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60" s="80" t="str">
        <f t="shared" si="3"/>
        <v/>
      </c>
      <c r="M1360" s="80" t="str">
        <f>IF(A1360="","",IF(AND(E1360="Y",B1360='Use at Shop'!$B$4),K1360*10000000000+(MAX(0,MIN(26,CODE(MID(UPPER(A1360)&amp;"    ",1,1))-64))*19683+MAX(0,MIN(26,CODE(MID(UPPER(A1360)&amp;"    ",2,1))-64))*729+MAX(0,MIN(26,CODE(MID(UPPER(A1360)&amp;"    ",3,1))-64))*27+MAX(0,MIN(26,CODE(MID(UPPER(A1360)&amp;"    ",4,1))-64))*1)*10000+ROW(),""))</f>
        <v/>
      </c>
      <c r="N1360" s="80" t="str">
        <f t="shared" si="9"/>
        <v/>
      </c>
      <c r="O1360" s="80" t="str">
        <f t="array" ref="O1360">IF(A1360="","",IFERROR(INDEX('Deck 5'!$A:$Z,ROW()-1250,'List Setup'!$J$7)&amp;"",""))</f>
        <v/>
      </c>
      <c r="P1360" s="2"/>
      <c r="Q1360" s="80" t="str">
        <f>IF(A1360="","",'List Setup'!$A$7)</f>
        <v/>
      </c>
      <c r="R1360" s="80" t="str">
        <f t="array" ref="R1360">IF(A1360="","",IFERROR(OR(INDEX(Binders!$J$6:$J$30,MATCH(Q1360,Binders!$I$6:$I$30,0))=TRUE(),UPPER(INDEX(Binders!$J$6:$J$30,MATCH(Q1360,Binders!$I$6:$I$30,0))&amp;"")="TRUE"),FALSE()))</f>
        <v/>
      </c>
    </row>
    <row r="1361" ht="15.75" customHeight="1">
      <c r="A1361" s="80" t="str">
        <f t="array" ref="A1361">IF(INDEX('Deck 5'!$A:$Z,ROW()-1250,'List Setup'!$D$7)="","",INDEX('Deck 5'!$A:$Z,ROW()-1250,'List Setup'!$D$7))</f>
        <v/>
      </c>
      <c r="B1361" s="80" t="str">
        <f t="array" ref="B1361">IF(A1361="","",IFERROR(INDEX('Binder Setup'!$B$2:$B$401,MIN(IF(ISNUMBER(SEARCH(CHAR(10)&amp;'Binder Setup'!$B$2:$B$401&amp;CHAR(10),$H1361)),'List Setup'!$Q$2:$Q$401,999),IF(ISNUMBER(SEARCH(CHAR(10)&amp;'Set Aliases'!$A$2:$A$501&amp;CHAR(10),$H1361)),'Set Aliases'!$C$2:$C$501,999))),"(none)"))</f>
        <v/>
      </c>
      <c r="C1361" s="80" t="str">
        <f t="shared" si="1"/>
        <v/>
      </c>
      <c r="D1361" s="80" t="str">
        <f t="array" ref="D1361">IF(A1361="","",IF(ISLOGICAL(INDEX('Deck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61" s="80" t="str">
        <f t="shared" si="2"/>
        <v/>
      </c>
      <c r="F1361" s="80" t="str">
        <f t="array" ref="F1361">IF(A1361="","",IF(ISNUMBER(J1361),J1361,IF(ISNUMBER(INDEX('Deck 5'!$A:$Z,ROW()-1250,'List Setup'!$F$7)),INDEX('Deck 5'!$A:$Z,ROW()-1250,'List Setup'!$F$7),0)))</f>
        <v/>
      </c>
      <c r="G1361" s="80" t="str">
        <f t="array" ref="G1361">IF(A1361="","",A1361&amp;IF(N(INDEX('Deck 5'!$A:$Z,ROW()-1250,'List Setup'!$C$7))&gt;1," (x"&amp;INDEX('Deck 5'!$A:$Z,ROW()-1250,'List Setup'!$C$7)&amp;")","")&amp;IF(COUNTIF(Binders!$J$6:$J$30,TRUE())&gt;1," ["&amp;Q1361&amp;"]",""))</f>
        <v/>
      </c>
      <c r="H1361" s="80" t="str">
        <f t="array" ref="H1361">IF(A1361="","",CHAR(10)&amp;INDEX('Deck 5'!$A:$Z,ROW()-1250,'List Setup'!$E$7)&amp;CHAR(10))</f>
        <v/>
      </c>
      <c r="I1361" s="80" t="str">
        <f t="array" ref="I1361">IF(OR(B1361="",B1361="(none)"),"",IF(ISNUMBER(SEARCH(CHAR(10)&amp;B1361&amp;CHAR(10),H1361)),B1361,IFERROR(INDEX('Set Aliases'!$A$2:$A$501,MATCH(1,('Set Aliases'!$B$2:$B$501=B1361)*ISNUMBER(SEARCH(CHAR(10)&amp;'Set Aliases'!$A$2:$A$501&amp;CHAR(10),H1361)),0)),"")))</f>
        <v/>
      </c>
      <c r="J1361" s="80" t="str">
        <f t="array" ref="J1361">IF(I1361="","",IFERROR(VALUE(TRIM(MID(SUBSTITUTE(INDEX('Deck 5'!$A:$Z,ROW()-1250,'List Setup'!$G$7),CHAR(10),REPT(" ",100)),((SEARCH(CHAR(10)&amp;I1361&amp;CHAR(10),H1361)-LEN(SUBSTITUTE(LEFT(H1361,SEARCH(CHAR(10)&amp;I1361&amp;CHAR(10),H1361)),CHAR(10),"")))-1)*100+1,100))),""))</f>
        <v/>
      </c>
      <c r="K1361" s="80" t="str">
        <f t="array" ref="K1361">IF(A1361="","",IF(ISNUMBER(SEARCH("Land",LEFT(IFERROR(INDEX('Deck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61" s="80" t="str">
        <f t="shared" si="3"/>
        <v/>
      </c>
      <c r="M1361" s="80" t="str">
        <f>IF(A1361="","",IF(AND(E1361="Y",B1361='Use at Shop'!$B$4),K1361*10000000000+(MAX(0,MIN(26,CODE(MID(UPPER(A1361)&amp;"    ",1,1))-64))*19683+MAX(0,MIN(26,CODE(MID(UPPER(A1361)&amp;"    ",2,1))-64))*729+MAX(0,MIN(26,CODE(MID(UPPER(A1361)&amp;"    ",3,1))-64))*27+MAX(0,MIN(26,CODE(MID(UPPER(A1361)&amp;"    ",4,1))-64))*1)*10000+ROW(),""))</f>
        <v/>
      </c>
      <c r="N1361" s="80" t="str">
        <f t="shared" si="9"/>
        <v/>
      </c>
      <c r="O1361" s="80" t="str">
        <f t="array" ref="O1361">IF(A1361="","",IFERROR(INDEX('Deck 5'!$A:$Z,ROW()-1250,'List Setup'!$J$7)&amp;"",""))</f>
        <v/>
      </c>
      <c r="P1361" s="2"/>
      <c r="Q1361" s="80" t="str">
        <f>IF(A1361="","",'List Setup'!$A$7)</f>
        <v/>
      </c>
      <c r="R1361" s="80" t="str">
        <f t="array" ref="R1361">IF(A1361="","",IFERROR(OR(INDEX(Binders!$J$6:$J$30,MATCH(Q1361,Binders!$I$6:$I$30,0))=TRUE(),UPPER(INDEX(Binders!$J$6:$J$30,MATCH(Q1361,Binders!$I$6:$I$30,0))&amp;"")="TRUE"),FALSE()))</f>
        <v/>
      </c>
    </row>
    <row r="1362" ht="15.75" customHeight="1">
      <c r="A1362" s="80" t="str">
        <f t="array" ref="A1362">IF(INDEX('Deck 5'!$A:$Z,ROW()-1250,'List Setup'!$D$7)="","",INDEX('Deck 5'!$A:$Z,ROW()-1250,'List Setup'!$D$7))</f>
        <v/>
      </c>
      <c r="B1362" s="80" t="str">
        <f t="array" ref="B1362">IF(A1362="","",IFERROR(INDEX('Binder Setup'!$B$2:$B$401,MIN(IF(ISNUMBER(SEARCH(CHAR(10)&amp;'Binder Setup'!$B$2:$B$401&amp;CHAR(10),$H1362)),'List Setup'!$Q$2:$Q$401,999),IF(ISNUMBER(SEARCH(CHAR(10)&amp;'Set Aliases'!$A$2:$A$501&amp;CHAR(10),$H1362)),'Set Aliases'!$C$2:$C$501,999))),"(none)"))</f>
        <v/>
      </c>
      <c r="C1362" s="80" t="str">
        <f t="shared" si="1"/>
        <v/>
      </c>
      <c r="D1362" s="80" t="str">
        <f t="array" ref="D1362">IF(A1362="","",IF(ISLOGICAL(INDEX('Deck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62" s="80" t="str">
        <f t="shared" si="2"/>
        <v/>
      </c>
      <c r="F1362" s="80" t="str">
        <f t="array" ref="F1362">IF(A1362="","",IF(ISNUMBER(J1362),J1362,IF(ISNUMBER(INDEX('Deck 5'!$A:$Z,ROW()-1250,'List Setup'!$F$7)),INDEX('Deck 5'!$A:$Z,ROW()-1250,'List Setup'!$F$7),0)))</f>
        <v/>
      </c>
      <c r="G1362" s="80" t="str">
        <f t="array" ref="G1362">IF(A1362="","",A1362&amp;IF(N(INDEX('Deck 5'!$A:$Z,ROW()-1250,'List Setup'!$C$7))&gt;1," (x"&amp;INDEX('Deck 5'!$A:$Z,ROW()-1250,'List Setup'!$C$7)&amp;")","")&amp;IF(COUNTIF(Binders!$J$6:$J$30,TRUE())&gt;1," ["&amp;Q1362&amp;"]",""))</f>
        <v/>
      </c>
      <c r="H1362" s="80" t="str">
        <f t="array" ref="H1362">IF(A1362="","",CHAR(10)&amp;INDEX('Deck 5'!$A:$Z,ROW()-1250,'List Setup'!$E$7)&amp;CHAR(10))</f>
        <v/>
      </c>
      <c r="I1362" s="80" t="str">
        <f t="array" ref="I1362">IF(OR(B1362="",B1362="(none)"),"",IF(ISNUMBER(SEARCH(CHAR(10)&amp;B1362&amp;CHAR(10),H1362)),B1362,IFERROR(INDEX('Set Aliases'!$A$2:$A$501,MATCH(1,('Set Aliases'!$B$2:$B$501=B1362)*ISNUMBER(SEARCH(CHAR(10)&amp;'Set Aliases'!$A$2:$A$501&amp;CHAR(10),H1362)),0)),"")))</f>
        <v/>
      </c>
      <c r="J1362" s="80" t="str">
        <f t="array" ref="J1362">IF(I1362="","",IFERROR(VALUE(TRIM(MID(SUBSTITUTE(INDEX('Deck 5'!$A:$Z,ROW()-1250,'List Setup'!$G$7),CHAR(10),REPT(" ",100)),((SEARCH(CHAR(10)&amp;I1362&amp;CHAR(10),H1362)-LEN(SUBSTITUTE(LEFT(H1362,SEARCH(CHAR(10)&amp;I1362&amp;CHAR(10),H1362)),CHAR(10),"")))-1)*100+1,100))),""))</f>
        <v/>
      </c>
      <c r="K1362" s="80" t="str">
        <f t="array" ref="K1362">IF(A1362="","",IF(ISNUMBER(SEARCH("Land",LEFT(IFERROR(INDEX('Deck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62" s="80" t="str">
        <f t="shared" si="3"/>
        <v/>
      </c>
      <c r="M1362" s="80" t="str">
        <f>IF(A1362="","",IF(AND(E1362="Y",B1362='Use at Shop'!$B$4),K1362*10000000000+(MAX(0,MIN(26,CODE(MID(UPPER(A1362)&amp;"    ",1,1))-64))*19683+MAX(0,MIN(26,CODE(MID(UPPER(A1362)&amp;"    ",2,1))-64))*729+MAX(0,MIN(26,CODE(MID(UPPER(A1362)&amp;"    ",3,1))-64))*27+MAX(0,MIN(26,CODE(MID(UPPER(A1362)&amp;"    ",4,1))-64))*1)*10000+ROW(),""))</f>
        <v/>
      </c>
      <c r="N1362" s="80" t="str">
        <f t="shared" si="9"/>
        <v/>
      </c>
      <c r="O1362" s="80" t="str">
        <f t="array" ref="O1362">IF(A1362="","",IFERROR(INDEX('Deck 5'!$A:$Z,ROW()-1250,'List Setup'!$J$7)&amp;"",""))</f>
        <v/>
      </c>
      <c r="P1362" s="2"/>
      <c r="Q1362" s="80" t="str">
        <f>IF(A1362="","",'List Setup'!$A$7)</f>
        <v/>
      </c>
      <c r="R1362" s="80" t="str">
        <f t="array" ref="R1362">IF(A1362="","",IFERROR(OR(INDEX(Binders!$J$6:$J$30,MATCH(Q1362,Binders!$I$6:$I$30,0))=TRUE(),UPPER(INDEX(Binders!$J$6:$J$30,MATCH(Q1362,Binders!$I$6:$I$30,0))&amp;"")="TRUE"),FALSE()))</f>
        <v/>
      </c>
    </row>
    <row r="1363" ht="15.75" customHeight="1">
      <c r="A1363" s="80" t="str">
        <f t="array" ref="A1363">IF(INDEX('Deck 5'!$A:$Z,ROW()-1250,'List Setup'!$D$7)="","",INDEX('Deck 5'!$A:$Z,ROW()-1250,'List Setup'!$D$7))</f>
        <v/>
      </c>
      <c r="B1363" s="80" t="str">
        <f t="array" ref="B1363">IF(A1363="","",IFERROR(INDEX('Binder Setup'!$B$2:$B$401,MIN(IF(ISNUMBER(SEARCH(CHAR(10)&amp;'Binder Setup'!$B$2:$B$401&amp;CHAR(10),$H1363)),'List Setup'!$Q$2:$Q$401,999),IF(ISNUMBER(SEARCH(CHAR(10)&amp;'Set Aliases'!$A$2:$A$501&amp;CHAR(10),$H1363)),'Set Aliases'!$C$2:$C$501,999))),"(none)"))</f>
        <v/>
      </c>
      <c r="C1363" s="80" t="str">
        <f t="shared" si="1"/>
        <v/>
      </c>
      <c r="D1363" s="80" t="str">
        <f t="array" ref="D1363">IF(A1363="","",IF(ISLOGICAL(INDEX('Deck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63" s="80" t="str">
        <f t="shared" si="2"/>
        <v/>
      </c>
      <c r="F1363" s="80" t="str">
        <f t="array" ref="F1363">IF(A1363="","",IF(ISNUMBER(J1363),J1363,IF(ISNUMBER(INDEX('Deck 5'!$A:$Z,ROW()-1250,'List Setup'!$F$7)),INDEX('Deck 5'!$A:$Z,ROW()-1250,'List Setup'!$F$7),0)))</f>
        <v/>
      </c>
      <c r="G1363" s="80" t="str">
        <f t="array" ref="G1363">IF(A1363="","",A1363&amp;IF(N(INDEX('Deck 5'!$A:$Z,ROW()-1250,'List Setup'!$C$7))&gt;1," (x"&amp;INDEX('Deck 5'!$A:$Z,ROW()-1250,'List Setup'!$C$7)&amp;")","")&amp;IF(COUNTIF(Binders!$J$6:$J$30,TRUE())&gt;1," ["&amp;Q1363&amp;"]",""))</f>
        <v/>
      </c>
      <c r="H1363" s="80" t="str">
        <f t="array" ref="H1363">IF(A1363="","",CHAR(10)&amp;INDEX('Deck 5'!$A:$Z,ROW()-1250,'List Setup'!$E$7)&amp;CHAR(10))</f>
        <v/>
      </c>
      <c r="I1363" s="80" t="str">
        <f t="array" ref="I1363">IF(OR(B1363="",B1363="(none)"),"",IF(ISNUMBER(SEARCH(CHAR(10)&amp;B1363&amp;CHAR(10),H1363)),B1363,IFERROR(INDEX('Set Aliases'!$A$2:$A$501,MATCH(1,('Set Aliases'!$B$2:$B$501=B1363)*ISNUMBER(SEARCH(CHAR(10)&amp;'Set Aliases'!$A$2:$A$501&amp;CHAR(10),H1363)),0)),"")))</f>
        <v/>
      </c>
      <c r="J1363" s="80" t="str">
        <f t="array" ref="J1363">IF(I1363="","",IFERROR(VALUE(TRIM(MID(SUBSTITUTE(INDEX('Deck 5'!$A:$Z,ROW()-1250,'List Setup'!$G$7),CHAR(10),REPT(" ",100)),((SEARCH(CHAR(10)&amp;I1363&amp;CHAR(10),H1363)-LEN(SUBSTITUTE(LEFT(H1363,SEARCH(CHAR(10)&amp;I1363&amp;CHAR(10),H1363)),CHAR(10),"")))-1)*100+1,100))),""))</f>
        <v/>
      </c>
      <c r="K1363" s="80" t="str">
        <f t="array" ref="K1363">IF(A1363="","",IF(ISNUMBER(SEARCH("Land",LEFT(IFERROR(INDEX('Deck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63" s="80" t="str">
        <f t="shared" si="3"/>
        <v/>
      </c>
      <c r="M1363" s="80" t="str">
        <f>IF(A1363="","",IF(AND(E1363="Y",B1363='Use at Shop'!$B$4),K1363*10000000000+(MAX(0,MIN(26,CODE(MID(UPPER(A1363)&amp;"    ",1,1))-64))*19683+MAX(0,MIN(26,CODE(MID(UPPER(A1363)&amp;"    ",2,1))-64))*729+MAX(0,MIN(26,CODE(MID(UPPER(A1363)&amp;"    ",3,1))-64))*27+MAX(0,MIN(26,CODE(MID(UPPER(A1363)&amp;"    ",4,1))-64))*1)*10000+ROW(),""))</f>
        <v/>
      </c>
      <c r="N1363" s="80" t="str">
        <f t="shared" si="9"/>
        <v/>
      </c>
      <c r="O1363" s="80" t="str">
        <f t="array" ref="O1363">IF(A1363="","",IFERROR(INDEX('Deck 5'!$A:$Z,ROW()-1250,'List Setup'!$J$7)&amp;"",""))</f>
        <v/>
      </c>
      <c r="P1363" s="2"/>
      <c r="Q1363" s="80" t="str">
        <f>IF(A1363="","",'List Setup'!$A$7)</f>
        <v/>
      </c>
      <c r="R1363" s="80" t="str">
        <f t="array" ref="R1363">IF(A1363="","",IFERROR(OR(INDEX(Binders!$J$6:$J$30,MATCH(Q1363,Binders!$I$6:$I$30,0))=TRUE(),UPPER(INDEX(Binders!$J$6:$J$30,MATCH(Q1363,Binders!$I$6:$I$30,0))&amp;"")="TRUE"),FALSE()))</f>
        <v/>
      </c>
    </row>
    <row r="1364" ht="15.75" customHeight="1">
      <c r="A1364" s="80" t="str">
        <f t="array" ref="A1364">IF(INDEX('Deck 5'!$A:$Z,ROW()-1250,'List Setup'!$D$7)="","",INDEX('Deck 5'!$A:$Z,ROW()-1250,'List Setup'!$D$7))</f>
        <v/>
      </c>
      <c r="B1364" s="80" t="str">
        <f t="array" ref="B1364">IF(A1364="","",IFERROR(INDEX('Binder Setup'!$B$2:$B$401,MIN(IF(ISNUMBER(SEARCH(CHAR(10)&amp;'Binder Setup'!$B$2:$B$401&amp;CHAR(10),$H1364)),'List Setup'!$Q$2:$Q$401,999),IF(ISNUMBER(SEARCH(CHAR(10)&amp;'Set Aliases'!$A$2:$A$501&amp;CHAR(10),$H1364)),'Set Aliases'!$C$2:$C$501,999))),"(none)"))</f>
        <v/>
      </c>
      <c r="C1364" s="80" t="str">
        <f t="shared" si="1"/>
        <v/>
      </c>
      <c r="D1364" s="80" t="str">
        <f t="array" ref="D1364">IF(A1364="","",IF(ISLOGICAL(INDEX('Deck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64" s="80" t="str">
        <f t="shared" si="2"/>
        <v/>
      </c>
      <c r="F1364" s="80" t="str">
        <f t="array" ref="F1364">IF(A1364="","",IF(ISNUMBER(J1364),J1364,IF(ISNUMBER(INDEX('Deck 5'!$A:$Z,ROW()-1250,'List Setup'!$F$7)),INDEX('Deck 5'!$A:$Z,ROW()-1250,'List Setup'!$F$7),0)))</f>
        <v/>
      </c>
      <c r="G1364" s="80" t="str">
        <f t="array" ref="G1364">IF(A1364="","",A1364&amp;IF(N(INDEX('Deck 5'!$A:$Z,ROW()-1250,'List Setup'!$C$7))&gt;1," (x"&amp;INDEX('Deck 5'!$A:$Z,ROW()-1250,'List Setup'!$C$7)&amp;")","")&amp;IF(COUNTIF(Binders!$J$6:$J$30,TRUE())&gt;1," ["&amp;Q1364&amp;"]",""))</f>
        <v/>
      </c>
      <c r="H1364" s="80" t="str">
        <f t="array" ref="H1364">IF(A1364="","",CHAR(10)&amp;INDEX('Deck 5'!$A:$Z,ROW()-1250,'List Setup'!$E$7)&amp;CHAR(10))</f>
        <v/>
      </c>
      <c r="I1364" s="80" t="str">
        <f t="array" ref="I1364">IF(OR(B1364="",B1364="(none)"),"",IF(ISNUMBER(SEARCH(CHAR(10)&amp;B1364&amp;CHAR(10),H1364)),B1364,IFERROR(INDEX('Set Aliases'!$A$2:$A$501,MATCH(1,('Set Aliases'!$B$2:$B$501=B1364)*ISNUMBER(SEARCH(CHAR(10)&amp;'Set Aliases'!$A$2:$A$501&amp;CHAR(10),H1364)),0)),"")))</f>
        <v/>
      </c>
      <c r="J1364" s="80" t="str">
        <f t="array" ref="J1364">IF(I1364="","",IFERROR(VALUE(TRIM(MID(SUBSTITUTE(INDEX('Deck 5'!$A:$Z,ROW()-1250,'List Setup'!$G$7),CHAR(10),REPT(" ",100)),((SEARCH(CHAR(10)&amp;I1364&amp;CHAR(10),H1364)-LEN(SUBSTITUTE(LEFT(H1364,SEARCH(CHAR(10)&amp;I1364&amp;CHAR(10),H1364)),CHAR(10),"")))-1)*100+1,100))),""))</f>
        <v/>
      </c>
      <c r="K1364" s="80" t="str">
        <f t="array" ref="K1364">IF(A1364="","",IF(ISNUMBER(SEARCH("Land",LEFT(IFERROR(INDEX('Deck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64" s="80" t="str">
        <f t="shared" si="3"/>
        <v/>
      </c>
      <c r="M1364" s="80" t="str">
        <f>IF(A1364="","",IF(AND(E1364="Y",B1364='Use at Shop'!$B$4),K1364*10000000000+(MAX(0,MIN(26,CODE(MID(UPPER(A1364)&amp;"    ",1,1))-64))*19683+MAX(0,MIN(26,CODE(MID(UPPER(A1364)&amp;"    ",2,1))-64))*729+MAX(0,MIN(26,CODE(MID(UPPER(A1364)&amp;"    ",3,1))-64))*27+MAX(0,MIN(26,CODE(MID(UPPER(A1364)&amp;"    ",4,1))-64))*1)*10000+ROW(),""))</f>
        <v/>
      </c>
      <c r="N1364" s="80" t="str">
        <f t="shared" si="9"/>
        <v/>
      </c>
      <c r="O1364" s="80" t="str">
        <f t="array" ref="O1364">IF(A1364="","",IFERROR(INDEX('Deck 5'!$A:$Z,ROW()-1250,'List Setup'!$J$7)&amp;"",""))</f>
        <v/>
      </c>
      <c r="P1364" s="2"/>
      <c r="Q1364" s="80" t="str">
        <f>IF(A1364="","",'List Setup'!$A$7)</f>
        <v/>
      </c>
      <c r="R1364" s="80" t="str">
        <f t="array" ref="R1364">IF(A1364="","",IFERROR(OR(INDEX(Binders!$J$6:$J$30,MATCH(Q1364,Binders!$I$6:$I$30,0))=TRUE(),UPPER(INDEX(Binders!$J$6:$J$30,MATCH(Q1364,Binders!$I$6:$I$30,0))&amp;"")="TRUE"),FALSE()))</f>
        <v/>
      </c>
    </row>
    <row r="1365" ht="15.75" customHeight="1">
      <c r="A1365" s="80" t="str">
        <f t="array" ref="A1365">IF(INDEX('Deck 5'!$A:$Z,ROW()-1250,'List Setup'!$D$7)="","",INDEX('Deck 5'!$A:$Z,ROW()-1250,'List Setup'!$D$7))</f>
        <v/>
      </c>
      <c r="B1365" s="80" t="str">
        <f t="array" ref="B1365">IF(A1365="","",IFERROR(INDEX('Binder Setup'!$B$2:$B$401,MIN(IF(ISNUMBER(SEARCH(CHAR(10)&amp;'Binder Setup'!$B$2:$B$401&amp;CHAR(10),$H1365)),'List Setup'!$Q$2:$Q$401,999),IF(ISNUMBER(SEARCH(CHAR(10)&amp;'Set Aliases'!$A$2:$A$501&amp;CHAR(10),$H1365)),'Set Aliases'!$C$2:$C$501,999))),"(none)"))</f>
        <v/>
      </c>
      <c r="C1365" s="80" t="str">
        <f t="shared" si="1"/>
        <v/>
      </c>
      <c r="D1365" s="80" t="str">
        <f t="array" ref="D1365">IF(A1365="","",IF(ISLOGICAL(INDEX('Deck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65" s="80" t="str">
        <f t="shared" si="2"/>
        <v/>
      </c>
      <c r="F1365" s="80" t="str">
        <f t="array" ref="F1365">IF(A1365="","",IF(ISNUMBER(J1365),J1365,IF(ISNUMBER(INDEX('Deck 5'!$A:$Z,ROW()-1250,'List Setup'!$F$7)),INDEX('Deck 5'!$A:$Z,ROW()-1250,'List Setup'!$F$7),0)))</f>
        <v/>
      </c>
      <c r="G1365" s="80" t="str">
        <f t="array" ref="G1365">IF(A1365="","",A1365&amp;IF(N(INDEX('Deck 5'!$A:$Z,ROW()-1250,'List Setup'!$C$7))&gt;1," (x"&amp;INDEX('Deck 5'!$A:$Z,ROW()-1250,'List Setup'!$C$7)&amp;")","")&amp;IF(COUNTIF(Binders!$J$6:$J$30,TRUE())&gt;1," ["&amp;Q1365&amp;"]",""))</f>
        <v/>
      </c>
      <c r="H1365" s="80" t="str">
        <f t="array" ref="H1365">IF(A1365="","",CHAR(10)&amp;INDEX('Deck 5'!$A:$Z,ROW()-1250,'List Setup'!$E$7)&amp;CHAR(10))</f>
        <v/>
      </c>
      <c r="I1365" s="80" t="str">
        <f t="array" ref="I1365">IF(OR(B1365="",B1365="(none)"),"",IF(ISNUMBER(SEARCH(CHAR(10)&amp;B1365&amp;CHAR(10),H1365)),B1365,IFERROR(INDEX('Set Aliases'!$A$2:$A$501,MATCH(1,('Set Aliases'!$B$2:$B$501=B1365)*ISNUMBER(SEARCH(CHAR(10)&amp;'Set Aliases'!$A$2:$A$501&amp;CHAR(10),H1365)),0)),"")))</f>
        <v/>
      </c>
      <c r="J1365" s="80" t="str">
        <f t="array" ref="J1365">IF(I1365="","",IFERROR(VALUE(TRIM(MID(SUBSTITUTE(INDEX('Deck 5'!$A:$Z,ROW()-1250,'List Setup'!$G$7),CHAR(10),REPT(" ",100)),((SEARCH(CHAR(10)&amp;I1365&amp;CHAR(10),H1365)-LEN(SUBSTITUTE(LEFT(H1365,SEARCH(CHAR(10)&amp;I1365&amp;CHAR(10),H1365)),CHAR(10),"")))-1)*100+1,100))),""))</f>
        <v/>
      </c>
      <c r="K1365" s="80" t="str">
        <f t="array" ref="K1365">IF(A1365="","",IF(ISNUMBER(SEARCH("Land",LEFT(IFERROR(INDEX('Deck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65" s="80" t="str">
        <f t="shared" si="3"/>
        <v/>
      </c>
      <c r="M1365" s="80" t="str">
        <f>IF(A1365="","",IF(AND(E1365="Y",B1365='Use at Shop'!$B$4),K1365*10000000000+(MAX(0,MIN(26,CODE(MID(UPPER(A1365)&amp;"    ",1,1))-64))*19683+MAX(0,MIN(26,CODE(MID(UPPER(A1365)&amp;"    ",2,1))-64))*729+MAX(0,MIN(26,CODE(MID(UPPER(A1365)&amp;"    ",3,1))-64))*27+MAX(0,MIN(26,CODE(MID(UPPER(A1365)&amp;"    ",4,1))-64))*1)*10000+ROW(),""))</f>
        <v/>
      </c>
      <c r="N1365" s="80" t="str">
        <f t="shared" si="9"/>
        <v/>
      </c>
      <c r="O1365" s="80" t="str">
        <f t="array" ref="O1365">IF(A1365="","",IFERROR(INDEX('Deck 5'!$A:$Z,ROW()-1250,'List Setup'!$J$7)&amp;"",""))</f>
        <v/>
      </c>
      <c r="P1365" s="2"/>
      <c r="Q1365" s="80" t="str">
        <f>IF(A1365="","",'List Setup'!$A$7)</f>
        <v/>
      </c>
      <c r="R1365" s="80" t="str">
        <f t="array" ref="R1365">IF(A1365="","",IFERROR(OR(INDEX(Binders!$J$6:$J$30,MATCH(Q1365,Binders!$I$6:$I$30,0))=TRUE(),UPPER(INDEX(Binders!$J$6:$J$30,MATCH(Q1365,Binders!$I$6:$I$30,0))&amp;"")="TRUE"),FALSE()))</f>
        <v/>
      </c>
    </row>
    <row r="1366" ht="15.75" customHeight="1">
      <c r="A1366" s="80" t="str">
        <f t="array" ref="A1366">IF(INDEX('Deck 5'!$A:$Z,ROW()-1250,'List Setup'!$D$7)="","",INDEX('Deck 5'!$A:$Z,ROW()-1250,'List Setup'!$D$7))</f>
        <v/>
      </c>
      <c r="B1366" s="80" t="str">
        <f t="array" ref="B1366">IF(A1366="","",IFERROR(INDEX('Binder Setup'!$B$2:$B$401,MIN(IF(ISNUMBER(SEARCH(CHAR(10)&amp;'Binder Setup'!$B$2:$B$401&amp;CHAR(10),$H1366)),'List Setup'!$Q$2:$Q$401,999),IF(ISNUMBER(SEARCH(CHAR(10)&amp;'Set Aliases'!$A$2:$A$501&amp;CHAR(10),$H1366)),'Set Aliases'!$C$2:$C$501,999))),"(none)"))</f>
        <v/>
      </c>
      <c r="C1366" s="80" t="str">
        <f t="shared" si="1"/>
        <v/>
      </c>
      <c r="D1366" s="80" t="str">
        <f t="array" ref="D1366">IF(A1366="","",IF(ISLOGICAL(INDEX('Deck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66" s="80" t="str">
        <f t="shared" si="2"/>
        <v/>
      </c>
      <c r="F1366" s="80" t="str">
        <f t="array" ref="F1366">IF(A1366="","",IF(ISNUMBER(J1366),J1366,IF(ISNUMBER(INDEX('Deck 5'!$A:$Z,ROW()-1250,'List Setup'!$F$7)),INDEX('Deck 5'!$A:$Z,ROW()-1250,'List Setup'!$F$7),0)))</f>
        <v/>
      </c>
      <c r="G1366" s="80" t="str">
        <f t="array" ref="G1366">IF(A1366="","",A1366&amp;IF(N(INDEX('Deck 5'!$A:$Z,ROW()-1250,'List Setup'!$C$7))&gt;1," (x"&amp;INDEX('Deck 5'!$A:$Z,ROW()-1250,'List Setup'!$C$7)&amp;")","")&amp;IF(COUNTIF(Binders!$J$6:$J$30,TRUE())&gt;1," ["&amp;Q1366&amp;"]",""))</f>
        <v/>
      </c>
      <c r="H1366" s="80" t="str">
        <f t="array" ref="H1366">IF(A1366="","",CHAR(10)&amp;INDEX('Deck 5'!$A:$Z,ROW()-1250,'List Setup'!$E$7)&amp;CHAR(10))</f>
        <v/>
      </c>
      <c r="I1366" s="80" t="str">
        <f t="array" ref="I1366">IF(OR(B1366="",B1366="(none)"),"",IF(ISNUMBER(SEARCH(CHAR(10)&amp;B1366&amp;CHAR(10),H1366)),B1366,IFERROR(INDEX('Set Aliases'!$A$2:$A$501,MATCH(1,('Set Aliases'!$B$2:$B$501=B1366)*ISNUMBER(SEARCH(CHAR(10)&amp;'Set Aliases'!$A$2:$A$501&amp;CHAR(10),H1366)),0)),"")))</f>
        <v/>
      </c>
      <c r="J1366" s="80" t="str">
        <f t="array" ref="J1366">IF(I1366="","",IFERROR(VALUE(TRIM(MID(SUBSTITUTE(INDEX('Deck 5'!$A:$Z,ROW()-1250,'List Setup'!$G$7),CHAR(10),REPT(" ",100)),((SEARCH(CHAR(10)&amp;I1366&amp;CHAR(10),H1366)-LEN(SUBSTITUTE(LEFT(H1366,SEARCH(CHAR(10)&amp;I1366&amp;CHAR(10),H1366)),CHAR(10),"")))-1)*100+1,100))),""))</f>
        <v/>
      </c>
      <c r="K1366" s="80" t="str">
        <f t="array" ref="K1366">IF(A1366="","",IF(ISNUMBER(SEARCH("Land",LEFT(IFERROR(INDEX('Deck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66" s="80" t="str">
        <f t="shared" si="3"/>
        <v/>
      </c>
      <c r="M1366" s="80" t="str">
        <f>IF(A1366="","",IF(AND(E1366="Y",B1366='Use at Shop'!$B$4),K1366*10000000000+(MAX(0,MIN(26,CODE(MID(UPPER(A1366)&amp;"    ",1,1))-64))*19683+MAX(0,MIN(26,CODE(MID(UPPER(A1366)&amp;"    ",2,1))-64))*729+MAX(0,MIN(26,CODE(MID(UPPER(A1366)&amp;"    ",3,1))-64))*27+MAX(0,MIN(26,CODE(MID(UPPER(A1366)&amp;"    ",4,1))-64))*1)*10000+ROW(),""))</f>
        <v/>
      </c>
      <c r="N1366" s="80" t="str">
        <f t="shared" si="9"/>
        <v/>
      </c>
      <c r="O1366" s="80" t="str">
        <f t="array" ref="O1366">IF(A1366="","",IFERROR(INDEX('Deck 5'!$A:$Z,ROW()-1250,'List Setup'!$J$7)&amp;"",""))</f>
        <v/>
      </c>
      <c r="P1366" s="2"/>
      <c r="Q1366" s="80" t="str">
        <f>IF(A1366="","",'List Setup'!$A$7)</f>
        <v/>
      </c>
      <c r="R1366" s="80" t="str">
        <f t="array" ref="R1366">IF(A1366="","",IFERROR(OR(INDEX(Binders!$J$6:$J$30,MATCH(Q1366,Binders!$I$6:$I$30,0))=TRUE(),UPPER(INDEX(Binders!$J$6:$J$30,MATCH(Q1366,Binders!$I$6:$I$30,0))&amp;"")="TRUE"),FALSE()))</f>
        <v/>
      </c>
    </row>
    <row r="1367" ht="15.75" customHeight="1">
      <c r="A1367" s="80" t="str">
        <f t="array" ref="A1367">IF(INDEX('Deck 5'!$A:$Z,ROW()-1250,'List Setup'!$D$7)="","",INDEX('Deck 5'!$A:$Z,ROW()-1250,'List Setup'!$D$7))</f>
        <v/>
      </c>
      <c r="B1367" s="80" t="str">
        <f t="array" ref="B1367">IF(A1367="","",IFERROR(INDEX('Binder Setup'!$B$2:$B$401,MIN(IF(ISNUMBER(SEARCH(CHAR(10)&amp;'Binder Setup'!$B$2:$B$401&amp;CHAR(10),$H1367)),'List Setup'!$Q$2:$Q$401,999),IF(ISNUMBER(SEARCH(CHAR(10)&amp;'Set Aliases'!$A$2:$A$501&amp;CHAR(10),$H1367)),'Set Aliases'!$C$2:$C$501,999))),"(none)"))</f>
        <v/>
      </c>
      <c r="C1367" s="80" t="str">
        <f t="shared" si="1"/>
        <v/>
      </c>
      <c r="D1367" s="80" t="str">
        <f t="array" ref="D1367">IF(A1367="","",IF(ISLOGICAL(INDEX('Deck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67" s="80" t="str">
        <f t="shared" si="2"/>
        <v/>
      </c>
      <c r="F1367" s="80" t="str">
        <f t="array" ref="F1367">IF(A1367="","",IF(ISNUMBER(J1367),J1367,IF(ISNUMBER(INDEX('Deck 5'!$A:$Z,ROW()-1250,'List Setup'!$F$7)),INDEX('Deck 5'!$A:$Z,ROW()-1250,'List Setup'!$F$7),0)))</f>
        <v/>
      </c>
      <c r="G1367" s="80" t="str">
        <f t="array" ref="G1367">IF(A1367="","",A1367&amp;IF(N(INDEX('Deck 5'!$A:$Z,ROW()-1250,'List Setup'!$C$7))&gt;1," (x"&amp;INDEX('Deck 5'!$A:$Z,ROW()-1250,'List Setup'!$C$7)&amp;")","")&amp;IF(COUNTIF(Binders!$J$6:$J$30,TRUE())&gt;1," ["&amp;Q1367&amp;"]",""))</f>
        <v/>
      </c>
      <c r="H1367" s="80" t="str">
        <f t="array" ref="H1367">IF(A1367="","",CHAR(10)&amp;INDEX('Deck 5'!$A:$Z,ROW()-1250,'List Setup'!$E$7)&amp;CHAR(10))</f>
        <v/>
      </c>
      <c r="I1367" s="80" t="str">
        <f t="array" ref="I1367">IF(OR(B1367="",B1367="(none)"),"",IF(ISNUMBER(SEARCH(CHAR(10)&amp;B1367&amp;CHAR(10),H1367)),B1367,IFERROR(INDEX('Set Aliases'!$A$2:$A$501,MATCH(1,('Set Aliases'!$B$2:$B$501=B1367)*ISNUMBER(SEARCH(CHAR(10)&amp;'Set Aliases'!$A$2:$A$501&amp;CHAR(10),H1367)),0)),"")))</f>
        <v/>
      </c>
      <c r="J1367" s="80" t="str">
        <f t="array" ref="J1367">IF(I1367="","",IFERROR(VALUE(TRIM(MID(SUBSTITUTE(INDEX('Deck 5'!$A:$Z,ROW()-1250,'List Setup'!$G$7),CHAR(10),REPT(" ",100)),((SEARCH(CHAR(10)&amp;I1367&amp;CHAR(10),H1367)-LEN(SUBSTITUTE(LEFT(H1367,SEARCH(CHAR(10)&amp;I1367&amp;CHAR(10),H1367)),CHAR(10),"")))-1)*100+1,100))),""))</f>
        <v/>
      </c>
      <c r="K1367" s="80" t="str">
        <f t="array" ref="K1367">IF(A1367="","",IF(ISNUMBER(SEARCH("Land",LEFT(IFERROR(INDEX('Deck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67" s="80" t="str">
        <f t="shared" si="3"/>
        <v/>
      </c>
      <c r="M1367" s="80" t="str">
        <f>IF(A1367="","",IF(AND(E1367="Y",B1367='Use at Shop'!$B$4),K1367*10000000000+(MAX(0,MIN(26,CODE(MID(UPPER(A1367)&amp;"    ",1,1))-64))*19683+MAX(0,MIN(26,CODE(MID(UPPER(A1367)&amp;"    ",2,1))-64))*729+MAX(0,MIN(26,CODE(MID(UPPER(A1367)&amp;"    ",3,1))-64))*27+MAX(0,MIN(26,CODE(MID(UPPER(A1367)&amp;"    ",4,1))-64))*1)*10000+ROW(),""))</f>
        <v/>
      </c>
      <c r="N1367" s="80" t="str">
        <f t="shared" si="9"/>
        <v/>
      </c>
      <c r="O1367" s="80" t="str">
        <f t="array" ref="O1367">IF(A1367="","",IFERROR(INDEX('Deck 5'!$A:$Z,ROW()-1250,'List Setup'!$J$7)&amp;"",""))</f>
        <v/>
      </c>
      <c r="P1367" s="2"/>
      <c r="Q1367" s="80" t="str">
        <f>IF(A1367="","",'List Setup'!$A$7)</f>
        <v/>
      </c>
      <c r="R1367" s="80" t="str">
        <f t="array" ref="R1367">IF(A1367="","",IFERROR(OR(INDEX(Binders!$J$6:$J$30,MATCH(Q1367,Binders!$I$6:$I$30,0))=TRUE(),UPPER(INDEX(Binders!$J$6:$J$30,MATCH(Q1367,Binders!$I$6:$I$30,0))&amp;"")="TRUE"),FALSE()))</f>
        <v/>
      </c>
    </row>
    <row r="1368" ht="15.75" customHeight="1">
      <c r="A1368" s="80" t="str">
        <f t="array" ref="A1368">IF(INDEX('Deck 5'!$A:$Z,ROW()-1250,'List Setup'!$D$7)="","",INDEX('Deck 5'!$A:$Z,ROW()-1250,'List Setup'!$D$7))</f>
        <v/>
      </c>
      <c r="B1368" s="80" t="str">
        <f t="array" ref="B1368">IF(A1368="","",IFERROR(INDEX('Binder Setup'!$B$2:$B$401,MIN(IF(ISNUMBER(SEARCH(CHAR(10)&amp;'Binder Setup'!$B$2:$B$401&amp;CHAR(10),$H1368)),'List Setup'!$Q$2:$Q$401,999),IF(ISNUMBER(SEARCH(CHAR(10)&amp;'Set Aliases'!$A$2:$A$501&amp;CHAR(10),$H1368)),'Set Aliases'!$C$2:$C$501,999))),"(none)"))</f>
        <v/>
      </c>
      <c r="C1368" s="80" t="str">
        <f t="shared" si="1"/>
        <v/>
      </c>
      <c r="D1368" s="80" t="str">
        <f t="array" ref="D1368">IF(A1368="","",IF(ISLOGICAL(INDEX('Deck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68" s="80" t="str">
        <f t="shared" si="2"/>
        <v/>
      </c>
      <c r="F1368" s="80" t="str">
        <f t="array" ref="F1368">IF(A1368="","",IF(ISNUMBER(J1368),J1368,IF(ISNUMBER(INDEX('Deck 5'!$A:$Z,ROW()-1250,'List Setup'!$F$7)),INDEX('Deck 5'!$A:$Z,ROW()-1250,'List Setup'!$F$7),0)))</f>
        <v/>
      </c>
      <c r="G1368" s="80" t="str">
        <f t="array" ref="G1368">IF(A1368="","",A1368&amp;IF(N(INDEX('Deck 5'!$A:$Z,ROW()-1250,'List Setup'!$C$7))&gt;1," (x"&amp;INDEX('Deck 5'!$A:$Z,ROW()-1250,'List Setup'!$C$7)&amp;")","")&amp;IF(COUNTIF(Binders!$J$6:$J$30,TRUE())&gt;1," ["&amp;Q1368&amp;"]",""))</f>
        <v/>
      </c>
      <c r="H1368" s="80" t="str">
        <f t="array" ref="H1368">IF(A1368="","",CHAR(10)&amp;INDEX('Deck 5'!$A:$Z,ROW()-1250,'List Setup'!$E$7)&amp;CHAR(10))</f>
        <v/>
      </c>
      <c r="I1368" s="80" t="str">
        <f t="array" ref="I1368">IF(OR(B1368="",B1368="(none)"),"",IF(ISNUMBER(SEARCH(CHAR(10)&amp;B1368&amp;CHAR(10),H1368)),B1368,IFERROR(INDEX('Set Aliases'!$A$2:$A$501,MATCH(1,('Set Aliases'!$B$2:$B$501=B1368)*ISNUMBER(SEARCH(CHAR(10)&amp;'Set Aliases'!$A$2:$A$501&amp;CHAR(10),H1368)),0)),"")))</f>
        <v/>
      </c>
      <c r="J1368" s="80" t="str">
        <f t="array" ref="J1368">IF(I1368="","",IFERROR(VALUE(TRIM(MID(SUBSTITUTE(INDEX('Deck 5'!$A:$Z,ROW()-1250,'List Setup'!$G$7),CHAR(10),REPT(" ",100)),((SEARCH(CHAR(10)&amp;I1368&amp;CHAR(10),H1368)-LEN(SUBSTITUTE(LEFT(H1368,SEARCH(CHAR(10)&amp;I1368&amp;CHAR(10),H1368)),CHAR(10),"")))-1)*100+1,100))),""))</f>
        <v/>
      </c>
      <c r="K1368" s="80" t="str">
        <f t="array" ref="K1368">IF(A1368="","",IF(ISNUMBER(SEARCH("Land",LEFT(IFERROR(INDEX('Deck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68" s="80" t="str">
        <f t="shared" si="3"/>
        <v/>
      </c>
      <c r="M1368" s="80" t="str">
        <f>IF(A1368="","",IF(AND(E1368="Y",B1368='Use at Shop'!$B$4),K1368*10000000000+(MAX(0,MIN(26,CODE(MID(UPPER(A1368)&amp;"    ",1,1))-64))*19683+MAX(0,MIN(26,CODE(MID(UPPER(A1368)&amp;"    ",2,1))-64))*729+MAX(0,MIN(26,CODE(MID(UPPER(A1368)&amp;"    ",3,1))-64))*27+MAX(0,MIN(26,CODE(MID(UPPER(A1368)&amp;"    ",4,1))-64))*1)*10000+ROW(),""))</f>
        <v/>
      </c>
      <c r="N1368" s="80" t="str">
        <f t="shared" si="9"/>
        <v/>
      </c>
      <c r="O1368" s="80" t="str">
        <f t="array" ref="O1368">IF(A1368="","",IFERROR(INDEX('Deck 5'!$A:$Z,ROW()-1250,'List Setup'!$J$7)&amp;"",""))</f>
        <v/>
      </c>
      <c r="P1368" s="2"/>
      <c r="Q1368" s="80" t="str">
        <f>IF(A1368="","",'List Setup'!$A$7)</f>
        <v/>
      </c>
      <c r="R1368" s="80" t="str">
        <f t="array" ref="R1368">IF(A1368="","",IFERROR(OR(INDEX(Binders!$J$6:$J$30,MATCH(Q1368,Binders!$I$6:$I$30,0))=TRUE(),UPPER(INDEX(Binders!$J$6:$J$30,MATCH(Q1368,Binders!$I$6:$I$30,0))&amp;"")="TRUE"),FALSE()))</f>
        <v/>
      </c>
    </row>
    <row r="1369" ht="15.75" customHeight="1">
      <c r="A1369" s="80" t="str">
        <f t="array" ref="A1369">IF(INDEX('Deck 5'!$A:$Z,ROW()-1250,'List Setup'!$D$7)="","",INDEX('Deck 5'!$A:$Z,ROW()-1250,'List Setup'!$D$7))</f>
        <v/>
      </c>
      <c r="B1369" s="80" t="str">
        <f t="array" ref="B1369">IF(A1369="","",IFERROR(INDEX('Binder Setup'!$B$2:$B$401,MIN(IF(ISNUMBER(SEARCH(CHAR(10)&amp;'Binder Setup'!$B$2:$B$401&amp;CHAR(10),$H1369)),'List Setup'!$Q$2:$Q$401,999),IF(ISNUMBER(SEARCH(CHAR(10)&amp;'Set Aliases'!$A$2:$A$501&amp;CHAR(10),$H1369)),'Set Aliases'!$C$2:$C$501,999))),"(none)"))</f>
        <v/>
      </c>
      <c r="C1369" s="80" t="str">
        <f t="shared" si="1"/>
        <v/>
      </c>
      <c r="D1369" s="80" t="str">
        <f t="array" ref="D1369">IF(A1369="","",IF(ISLOGICAL(INDEX('Deck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69" s="80" t="str">
        <f t="shared" si="2"/>
        <v/>
      </c>
      <c r="F1369" s="80" t="str">
        <f t="array" ref="F1369">IF(A1369="","",IF(ISNUMBER(J1369),J1369,IF(ISNUMBER(INDEX('Deck 5'!$A:$Z,ROW()-1250,'List Setup'!$F$7)),INDEX('Deck 5'!$A:$Z,ROW()-1250,'List Setup'!$F$7),0)))</f>
        <v/>
      </c>
      <c r="G1369" s="80" t="str">
        <f t="array" ref="G1369">IF(A1369="","",A1369&amp;IF(N(INDEX('Deck 5'!$A:$Z,ROW()-1250,'List Setup'!$C$7))&gt;1," (x"&amp;INDEX('Deck 5'!$A:$Z,ROW()-1250,'List Setup'!$C$7)&amp;")","")&amp;IF(COUNTIF(Binders!$J$6:$J$30,TRUE())&gt;1," ["&amp;Q1369&amp;"]",""))</f>
        <v/>
      </c>
      <c r="H1369" s="80" t="str">
        <f t="array" ref="H1369">IF(A1369="","",CHAR(10)&amp;INDEX('Deck 5'!$A:$Z,ROW()-1250,'List Setup'!$E$7)&amp;CHAR(10))</f>
        <v/>
      </c>
      <c r="I1369" s="80" t="str">
        <f t="array" ref="I1369">IF(OR(B1369="",B1369="(none)"),"",IF(ISNUMBER(SEARCH(CHAR(10)&amp;B1369&amp;CHAR(10),H1369)),B1369,IFERROR(INDEX('Set Aliases'!$A$2:$A$501,MATCH(1,('Set Aliases'!$B$2:$B$501=B1369)*ISNUMBER(SEARCH(CHAR(10)&amp;'Set Aliases'!$A$2:$A$501&amp;CHAR(10),H1369)),0)),"")))</f>
        <v/>
      </c>
      <c r="J1369" s="80" t="str">
        <f t="array" ref="J1369">IF(I1369="","",IFERROR(VALUE(TRIM(MID(SUBSTITUTE(INDEX('Deck 5'!$A:$Z,ROW()-1250,'List Setup'!$G$7),CHAR(10),REPT(" ",100)),((SEARCH(CHAR(10)&amp;I1369&amp;CHAR(10),H1369)-LEN(SUBSTITUTE(LEFT(H1369,SEARCH(CHAR(10)&amp;I1369&amp;CHAR(10),H1369)),CHAR(10),"")))-1)*100+1,100))),""))</f>
        <v/>
      </c>
      <c r="K1369" s="80" t="str">
        <f t="array" ref="K1369">IF(A1369="","",IF(ISNUMBER(SEARCH("Land",LEFT(IFERROR(INDEX('Deck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69" s="80" t="str">
        <f t="shared" si="3"/>
        <v/>
      </c>
      <c r="M1369" s="80" t="str">
        <f>IF(A1369="","",IF(AND(E1369="Y",B1369='Use at Shop'!$B$4),K1369*10000000000+(MAX(0,MIN(26,CODE(MID(UPPER(A1369)&amp;"    ",1,1))-64))*19683+MAX(0,MIN(26,CODE(MID(UPPER(A1369)&amp;"    ",2,1))-64))*729+MAX(0,MIN(26,CODE(MID(UPPER(A1369)&amp;"    ",3,1))-64))*27+MAX(0,MIN(26,CODE(MID(UPPER(A1369)&amp;"    ",4,1))-64))*1)*10000+ROW(),""))</f>
        <v/>
      </c>
      <c r="N1369" s="80" t="str">
        <f t="shared" si="9"/>
        <v/>
      </c>
      <c r="O1369" s="80" t="str">
        <f t="array" ref="O1369">IF(A1369="","",IFERROR(INDEX('Deck 5'!$A:$Z,ROW()-1250,'List Setup'!$J$7)&amp;"",""))</f>
        <v/>
      </c>
      <c r="P1369" s="2"/>
      <c r="Q1369" s="80" t="str">
        <f>IF(A1369="","",'List Setup'!$A$7)</f>
        <v/>
      </c>
      <c r="R1369" s="80" t="str">
        <f t="array" ref="R1369">IF(A1369="","",IFERROR(OR(INDEX(Binders!$J$6:$J$30,MATCH(Q1369,Binders!$I$6:$I$30,0))=TRUE(),UPPER(INDEX(Binders!$J$6:$J$30,MATCH(Q1369,Binders!$I$6:$I$30,0))&amp;"")="TRUE"),FALSE()))</f>
        <v/>
      </c>
    </row>
    <row r="1370" ht="15.75" customHeight="1">
      <c r="A1370" s="80" t="str">
        <f t="array" ref="A1370">IF(INDEX('Deck 5'!$A:$Z,ROW()-1250,'List Setup'!$D$7)="","",INDEX('Deck 5'!$A:$Z,ROW()-1250,'List Setup'!$D$7))</f>
        <v/>
      </c>
      <c r="B1370" s="80" t="str">
        <f t="array" ref="B1370">IF(A1370="","",IFERROR(INDEX('Binder Setup'!$B$2:$B$401,MIN(IF(ISNUMBER(SEARCH(CHAR(10)&amp;'Binder Setup'!$B$2:$B$401&amp;CHAR(10),$H1370)),'List Setup'!$Q$2:$Q$401,999),IF(ISNUMBER(SEARCH(CHAR(10)&amp;'Set Aliases'!$A$2:$A$501&amp;CHAR(10),$H1370)),'Set Aliases'!$C$2:$C$501,999))),"(none)"))</f>
        <v/>
      </c>
      <c r="C1370" s="80" t="str">
        <f t="shared" si="1"/>
        <v/>
      </c>
      <c r="D1370" s="80" t="str">
        <f t="array" ref="D1370">IF(A1370="","",IF(ISLOGICAL(INDEX('Deck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70" s="80" t="str">
        <f t="shared" si="2"/>
        <v/>
      </c>
      <c r="F1370" s="80" t="str">
        <f t="array" ref="F1370">IF(A1370="","",IF(ISNUMBER(J1370),J1370,IF(ISNUMBER(INDEX('Deck 5'!$A:$Z,ROW()-1250,'List Setup'!$F$7)),INDEX('Deck 5'!$A:$Z,ROW()-1250,'List Setup'!$F$7),0)))</f>
        <v/>
      </c>
      <c r="G1370" s="80" t="str">
        <f t="array" ref="G1370">IF(A1370="","",A1370&amp;IF(N(INDEX('Deck 5'!$A:$Z,ROW()-1250,'List Setup'!$C$7))&gt;1," (x"&amp;INDEX('Deck 5'!$A:$Z,ROW()-1250,'List Setup'!$C$7)&amp;")","")&amp;IF(COUNTIF(Binders!$J$6:$J$30,TRUE())&gt;1," ["&amp;Q1370&amp;"]",""))</f>
        <v/>
      </c>
      <c r="H1370" s="80" t="str">
        <f t="array" ref="H1370">IF(A1370="","",CHAR(10)&amp;INDEX('Deck 5'!$A:$Z,ROW()-1250,'List Setup'!$E$7)&amp;CHAR(10))</f>
        <v/>
      </c>
      <c r="I1370" s="80" t="str">
        <f t="array" ref="I1370">IF(OR(B1370="",B1370="(none)"),"",IF(ISNUMBER(SEARCH(CHAR(10)&amp;B1370&amp;CHAR(10),H1370)),B1370,IFERROR(INDEX('Set Aliases'!$A$2:$A$501,MATCH(1,('Set Aliases'!$B$2:$B$501=B1370)*ISNUMBER(SEARCH(CHAR(10)&amp;'Set Aliases'!$A$2:$A$501&amp;CHAR(10),H1370)),0)),"")))</f>
        <v/>
      </c>
      <c r="J1370" s="80" t="str">
        <f t="array" ref="J1370">IF(I1370="","",IFERROR(VALUE(TRIM(MID(SUBSTITUTE(INDEX('Deck 5'!$A:$Z,ROW()-1250,'List Setup'!$G$7),CHAR(10),REPT(" ",100)),((SEARCH(CHAR(10)&amp;I1370&amp;CHAR(10),H1370)-LEN(SUBSTITUTE(LEFT(H1370,SEARCH(CHAR(10)&amp;I1370&amp;CHAR(10),H1370)),CHAR(10),"")))-1)*100+1,100))),""))</f>
        <v/>
      </c>
      <c r="K1370" s="80" t="str">
        <f t="array" ref="K1370">IF(A1370="","",IF(ISNUMBER(SEARCH("Land",LEFT(IFERROR(INDEX('Deck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70" s="80" t="str">
        <f t="shared" si="3"/>
        <v/>
      </c>
      <c r="M1370" s="80" t="str">
        <f>IF(A1370="","",IF(AND(E1370="Y",B1370='Use at Shop'!$B$4),K1370*10000000000+(MAX(0,MIN(26,CODE(MID(UPPER(A1370)&amp;"    ",1,1))-64))*19683+MAX(0,MIN(26,CODE(MID(UPPER(A1370)&amp;"    ",2,1))-64))*729+MAX(0,MIN(26,CODE(MID(UPPER(A1370)&amp;"    ",3,1))-64))*27+MAX(0,MIN(26,CODE(MID(UPPER(A1370)&amp;"    ",4,1))-64))*1)*10000+ROW(),""))</f>
        <v/>
      </c>
      <c r="N1370" s="80" t="str">
        <f t="shared" si="9"/>
        <v/>
      </c>
      <c r="O1370" s="80" t="str">
        <f t="array" ref="O1370">IF(A1370="","",IFERROR(INDEX('Deck 5'!$A:$Z,ROW()-1250,'List Setup'!$J$7)&amp;"",""))</f>
        <v/>
      </c>
      <c r="P1370" s="2"/>
      <c r="Q1370" s="80" t="str">
        <f>IF(A1370="","",'List Setup'!$A$7)</f>
        <v/>
      </c>
      <c r="R1370" s="80" t="str">
        <f t="array" ref="R1370">IF(A1370="","",IFERROR(OR(INDEX(Binders!$J$6:$J$30,MATCH(Q1370,Binders!$I$6:$I$30,0))=TRUE(),UPPER(INDEX(Binders!$J$6:$J$30,MATCH(Q1370,Binders!$I$6:$I$30,0))&amp;"")="TRUE"),FALSE()))</f>
        <v/>
      </c>
    </row>
    <row r="1371" ht="15.75" customHeight="1">
      <c r="A1371" s="80" t="str">
        <f t="array" ref="A1371">IF(INDEX('Deck 5'!$A:$Z,ROW()-1250,'List Setup'!$D$7)="","",INDEX('Deck 5'!$A:$Z,ROW()-1250,'List Setup'!$D$7))</f>
        <v/>
      </c>
      <c r="B1371" s="80" t="str">
        <f t="array" ref="B1371">IF(A1371="","",IFERROR(INDEX('Binder Setup'!$B$2:$B$401,MIN(IF(ISNUMBER(SEARCH(CHAR(10)&amp;'Binder Setup'!$B$2:$B$401&amp;CHAR(10),$H1371)),'List Setup'!$Q$2:$Q$401,999),IF(ISNUMBER(SEARCH(CHAR(10)&amp;'Set Aliases'!$A$2:$A$501&amp;CHAR(10),$H1371)),'Set Aliases'!$C$2:$C$501,999))),"(none)"))</f>
        <v/>
      </c>
      <c r="C1371" s="80" t="str">
        <f t="shared" si="1"/>
        <v/>
      </c>
      <c r="D1371" s="80" t="str">
        <f t="array" ref="D1371">IF(A1371="","",IF(ISLOGICAL(INDEX('Deck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71" s="80" t="str">
        <f t="shared" si="2"/>
        <v/>
      </c>
      <c r="F1371" s="80" t="str">
        <f t="array" ref="F1371">IF(A1371="","",IF(ISNUMBER(J1371),J1371,IF(ISNUMBER(INDEX('Deck 5'!$A:$Z,ROW()-1250,'List Setup'!$F$7)),INDEX('Deck 5'!$A:$Z,ROW()-1250,'List Setup'!$F$7),0)))</f>
        <v/>
      </c>
      <c r="G1371" s="80" t="str">
        <f t="array" ref="G1371">IF(A1371="","",A1371&amp;IF(N(INDEX('Deck 5'!$A:$Z,ROW()-1250,'List Setup'!$C$7))&gt;1," (x"&amp;INDEX('Deck 5'!$A:$Z,ROW()-1250,'List Setup'!$C$7)&amp;")","")&amp;IF(COUNTIF(Binders!$J$6:$J$30,TRUE())&gt;1," ["&amp;Q1371&amp;"]",""))</f>
        <v/>
      </c>
      <c r="H1371" s="80" t="str">
        <f t="array" ref="H1371">IF(A1371="","",CHAR(10)&amp;INDEX('Deck 5'!$A:$Z,ROW()-1250,'List Setup'!$E$7)&amp;CHAR(10))</f>
        <v/>
      </c>
      <c r="I1371" s="80" t="str">
        <f t="array" ref="I1371">IF(OR(B1371="",B1371="(none)"),"",IF(ISNUMBER(SEARCH(CHAR(10)&amp;B1371&amp;CHAR(10),H1371)),B1371,IFERROR(INDEX('Set Aliases'!$A$2:$A$501,MATCH(1,('Set Aliases'!$B$2:$B$501=B1371)*ISNUMBER(SEARCH(CHAR(10)&amp;'Set Aliases'!$A$2:$A$501&amp;CHAR(10),H1371)),0)),"")))</f>
        <v/>
      </c>
      <c r="J1371" s="80" t="str">
        <f t="array" ref="J1371">IF(I1371="","",IFERROR(VALUE(TRIM(MID(SUBSTITUTE(INDEX('Deck 5'!$A:$Z,ROW()-1250,'List Setup'!$G$7),CHAR(10),REPT(" ",100)),((SEARCH(CHAR(10)&amp;I1371&amp;CHAR(10),H1371)-LEN(SUBSTITUTE(LEFT(H1371,SEARCH(CHAR(10)&amp;I1371&amp;CHAR(10),H1371)),CHAR(10),"")))-1)*100+1,100))),""))</f>
        <v/>
      </c>
      <c r="K1371" s="80" t="str">
        <f t="array" ref="K1371">IF(A1371="","",IF(ISNUMBER(SEARCH("Land",LEFT(IFERROR(INDEX('Deck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71" s="80" t="str">
        <f t="shared" si="3"/>
        <v/>
      </c>
      <c r="M1371" s="80" t="str">
        <f>IF(A1371="","",IF(AND(E1371="Y",B1371='Use at Shop'!$B$4),K1371*10000000000+(MAX(0,MIN(26,CODE(MID(UPPER(A1371)&amp;"    ",1,1))-64))*19683+MAX(0,MIN(26,CODE(MID(UPPER(A1371)&amp;"    ",2,1))-64))*729+MAX(0,MIN(26,CODE(MID(UPPER(A1371)&amp;"    ",3,1))-64))*27+MAX(0,MIN(26,CODE(MID(UPPER(A1371)&amp;"    ",4,1))-64))*1)*10000+ROW(),""))</f>
        <v/>
      </c>
      <c r="N1371" s="80" t="str">
        <f t="shared" si="9"/>
        <v/>
      </c>
      <c r="O1371" s="80" t="str">
        <f t="array" ref="O1371">IF(A1371="","",IFERROR(INDEX('Deck 5'!$A:$Z,ROW()-1250,'List Setup'!$J$7)&amp;"",""))</f>
        <v/>
      </c>
      <c r="P1371" s="2"/>
      <c r="Q1371" s="80" t="str">
        <f>IF(A1371="","",'List Setup'!$A$7)</f>
        <v/>
      </c>
      <c r="R1371" s="80" t="str">
        <f t="array" ref="R1371">IF(A1371="","",IFERROR(OR(INDEX(Binders!$J$6:$J$30,MATCH(Q1371,Binders!$I$6:$I$30,0))=TRUE(),UPPER(INDEX(Binders!$J$6:$J$30,MATCH(Q1371,Binders!$I$6:$I$30,0))&amp;"")="TRUE"),FALSE()))</f>
        <v/>
      </c>
    </row>
    <row r="1372" ht="15.75" customHeight="1">
      <c r="A1372" s="80" t="str">
        <f t="array" ref="A1372">IF(INDEX('Deck 5'!$A:$Z,ROW()-1250,'List Setup'!$D$7)="","",INDEX('Deck 5'!$A:$Z,ROW()-1250,'List Setup'!$D$7))</f>
        <v/>
      </c>
      <c r="B1372" s="80" t="str">
        <f t="array" ref="B1372">IF(A1372="","",IFERROR(INDEX('Binder Setup'!$B$2:$B$401,MIN(IF(ISNUMBER(SEARCH(CHAR(10)&amp;'Binder Setup'!$B$2:$B$401&amp;CHAR(10),$H1372)),'List Setup'!$Q$2:$Q$401,999),IF(ISNUMBER(SEARCH(CHAR(10)&amp;'Set Aliases'!$A$2:$A$501&amp;CHAR(10),$H1372)),'Set Aliases'!$C$2:$C$501,999))),"(none)"))</f>
        <v/>
      </c>
      <c r="C1372" s="80" t="str">
        <f t="shared" si="1"/>
        <v/>
      </c>
      <c r="D1372" s="80" t="str">
        <f t="array" ref="D1372">IF(A1372="","",IF(ISLOGICAL(INDEX('Deck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72" s="80" t="str">
        <f t="shared" si="2"/>
        <v/>
      </c>
      <c r="F1372" s="80" t="str">
        <f t="array" ref="F1372">IF(A1372="","",IF(ISNUMBER(J1372),J1372,IF(ISNUMBER(INDEX('Deck 5'!$A:$Z,ROW()-1250,'List Setup'!$F$7)),INDEX('Deck 5'!$A:$Z,ROW()-1250,'List Setup'!$F$7),0)))</f>
        <v/>
      </c>
      <c r="G1372" s="80" t="str">
        <f t="array" ref="G1372">IF(A1372="","",A1372&amp;IF(N(INDEX('Deck 5'!$A:$Z,ROW()-1250,'List Setup'!$C$7))&gt;1," (x"&amp;INDEX('Deck 5'!$A:$Z,ROW()-1250,'List Setup'!$C$7)&amp;")","")&amp;IF(COUNTIF(Binders!$J$6:$J$30,TRUE())&gt;1," ["&amp;Q1372&amp;"]",""))</f>
        <v/>
      </c>
      <c r="H1372" s="80" t="str">
        <f t="array" ref="H1372">IF(A1372="","",CHAR(10)&amp;INDEX('Deck 5'!$A:$Z,ROW()-1250,'List Setup'!$E$7)&amp;CHAR(10))</f>
        <v/>
      </c>
      <c r="I1372" s="80" t="str">
        <f t="array" ref="I1372">IF(OR(B1372="",B1372="(none)"),"",IF(ISNUMBER(SEARCH(CHAR(10)&amp;B1372&amp;CHAR(10),H1372)),B1372,IFERROR(INDEX('Set Aliases'!$A$2:$A$501,MATCH(1,('Set Aliases'!$B$2:$B$501=B1372)*ISNUMBER(SEARCH(CHAR(10)&amp;'Set Aliases'!$A$2:$A$501&amp;CHAR(10),H1372)),0)),"")))</f>
        <v/>
      </c>
      <c r="J1372" s="80" t="str">
        <f t="array" ref="J1372">IF(I1372="","",IFERROR(VALUE(TRIM(MID(SUBSTITUTE(INDEX('Deck 5'!$A:$Z,ROW()-1250,'List Setup'!$G$7),CHAR(10),REPT(" ",100)),((SEARCH(CHAR(10)&amp;I1372&amp;CHAR(10),H1372)-LEN(SUBSTITUTE(LEFT(H1372,SEARCH(CHAR(10)&amp;I1372&amp;CHAR(10),H1372)),CHAR(10),"")))-1)*100+1,100))),""))</f>
        <v/>
      </c>
      <c r="K1372" s="80" t="str">
        <f t="array" ref="K1372">IF(A1372="","",IF(ISNUMBER(SEARCH("Land",LEFT(IFERROR(INDEX('Deck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72" s="80" t="str">
        <f t="shared" si="3"/>
        <v/>
      </c>
      <c r="M1372" s="80" t="str">
        <f>IF(A1372="","",IF(AND(E1372="Y",B1372='Use at Shop'!$B$4),K1372*10000000000+(MAX(0,MIN(26,CODE(MID(UPPER(A1372)&amp;"    ",1,1))-64))*19683+MAX(0,MIN(26,CODE(MID(UPPER(A1372)&amp;"    ",2,1))-64))*729+MAX(0,MIN(26,CODE(MID(UPPER(A1372)&amp;"    ",3,1))-64))*27+MAX(0,MIN(26,CODE(MID(UPPER(A1372)&amp;"    ",4,1))-64))*1)*10000+ROW(),""))</f>
        <v/>
      </c>
      <c r="N1372" s="80" t="str">
        <f t="shared" si="9"/>
        <v/>
      </c>
      <c r="O1372" s="80" t="str">
        <f t="array" ref="O1372">IF(A1372="","",IFERROR(INDEX('Deck 5'!$A:$Z,ROW()-1250,'List Setup'!$J$7)&amp;"",""))</f>
        <v/>
      </c>
      <c r="P1372" s="2"/>
      <c r="Q1372" s="80" t="str">
        <f>IF(A1372="","",'List Setup'!$A$7)</f>
        <v/>
      </c>
      <c r="R1372" s="80" t="str">
        <f t="array" ref="R1372">IF(A1372="","",IFERROR(OR(INDEX(Binders!$J$6:$J$30,MATCH(Q1372,Binders!$I$6:$I$30,0))=TRUE(),UPPER(INDEX(Binders!$J$6:$J$30,MATCH(Q1372,Binders!$I$6:$I$30,0))&amp;"")="TRUE"),FALSE()))</f>
        <v/>
      </c>
    </row>
    <row r="1373" ht="15.75" customHeight="1">
      <c r="A1373" s="80" t="str">
        <f t="array" ref="A1373">IF(INDEX('Deck 5'!$A:$Z,ROW()-1250,'List Setup'!$D$7)="","",INDEX('Deck 5'!$A:$Z,ROW()-1250,'List Setup'!$D$7))</f>
        <v/>
      </c>
      <c r="B1373" s="80" t="str">
        <f t="array" ref="B1373">IF(A1373="","",IFERROR(INDEX('Binder Setup'!$B$2:$B$401,MIN(IF(ISNUMBER(SEARCH(CHAR(10)&amp;'Binder Setup'!$B$2:$B$401&amp;CHAR(10),$H1373)),'List Setup'!$Q$2:$Q$401,999),IF(ISNUMBER(SEARCH(CHAR(10)&amp;'Set Aliases'!$A$2:$A$501&amp;CHAR(10),$H1373)),'Set Aliases'!$C$2:$C$501,999))),"(none)"))</f>
        <v/>
      </c>
      <c r="C1373" s="80" t="str">
        <f t="shared" si="1"/>
        <v/>
      </c>
      <c r="D1373" s="80" t="str">
        <f t="array" ref="D1373">IF(A1373="","",IF(ISLOGICAL(INDEX('Deck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73" s="80" t="str">
        <f t="shared" si="2"/>
        <v/>
      </c>
      <c r="F1373" s="80" t="str">
        <f t="array" ref="F1373">IF(A1373="","",IF(ISNUMBER(J1373),J1373,IF(ISNUMBER(INDEX('Deck 5'!$A:$Z,ROW()-1250,'List Setup'!$F$7)),INDEX('Deck 5'!$A:$Z,ROW()-1250,'List Setup'!$F$7),0)))</f>
        <v/>
      </c>
      <c r="G1373" s="80" t="str">
        <f t="array" ref="G1373">IF(A1373="","",A1373&amp;IF(N(INDEX('Deck 5'!$A:$Z,ROW()-1250,'List Setup'!$C$7))&gt;1," (x"&amp;INDEX('Deck 5'!$A:$Z,ROW()-1250,'List Setup'!$C$7)&amp;")","")&amp;IF(COUNTIF(Binders!$J$6:$J$30,TRUE())&gt;1," ["&amp;Q1373&amp;"]",""))</f>
        <v/>
      </c>
      <c r="H1373" s="80" t="str">
        <f t="array" ref="H1373">IF(A1373="","",CHAR(10)&amp;INDEX('Deck 5'!$A:$Z,ROW()-1250,'List Setup'!$E$7)&amp;CHAR(10))</f>
        <v/>
      </c>
      <c r="I1373" s="80" t="str">
        <f t="array" ref="I1373">IF(OR(B1373="",B1373="(none)"),"",IF(ISNUMBER(SEARCH(CHAR(10)&amp;B1373&amp;CHAR(10),H1373)),B1373,IFERROR(INDEX('Set Aliases'!$A$2:$A$501,MATCH(1,('Set Aliases'!$B$2:$B$501=B1373)*ISNUMBER(SEARCH(CHAR(10)&amp;'Set Aliases'!$A$2:$A$501&amp;CHAR(10),H1373)),0)),"")))</f>
        <v/>
      </c>
      <c r="J1373" s="80" t="str">
        <f t="array" ref="J1373">IF(I1373="","",IFERROR(VALUE(TRIM(MID(SUBSTITUTE(INDEX('Deck 5'!$A:$Z,ROW()-1250,'List Setup'!$G$7),CHAR(10),REPT(" ",100)),((SEARCH(CHAR(10)&amp;I1373&amp;CHAR(10),H1373)-LEN(SUBSTITUTE(LEFT(H1373,SEARCH(CHAR(10)&amp;I1373&amp;CHAR(10),H1373)),CHAR(10),"")))-1)*100+1,100))),""))</f>
        <v/>
      </c>
      <c r="K1373" s="80" t="str">
        <f t="array" ref="K1373">IF(A1373="","",IF(ISNUMBER(SEARCH("Land",LEFT(IFERROR(INDEX('Deck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73" s="80" t="str">
        <f t="shared" si="3"/>
        <v/>
      </c>
      <c r="M1373" s="80" t="str">
        <f>IF(A1373="","",IF(AND(E1373="Y",B1373='Use at Shop'!$B$4),K1373*10000000000+(MAX(0,MIN(26,CODE(MID(UPPER(A1373)&amp;"    ",1,1))-64))*19683+MAX(0,MIN(26,CODE(MID(UPPER(A1373)&amp;"    ",2,1))-64))*729+MAX(0,MIN(26,CODE(MID(UPPER(A1373)&amp;"    ",3,1))-64))*27+MAX(0,MIN(26,CODE(MID(UPPER(A1373)&amp;"    ",4,1))-64))*1)*10000+ROW(),""))</f>
        <v/>
      </c>
      <c r="N1373" s="80" t="str">
        <f t="shared" si="9"/>
        <v/>
      </c>
      <c r="O1373" s="80" t="str">
        <f t="array" ref="O1373">IF(A1373="","",IFERROR(INDEX('Deck 5'!$A:$Z,ROW()-1250,'List Setup'!$J$7)&amp;"",""))</f>
        <v/>
      </c>
      <c r="P1373" s="2"/>
      <c r="Q1373" s="80" t="str">
        <f>IF(A1373="","",'List Setup'!$A$7)</f>
        <v/>
      </c>
      <c r="R1373" s="80" t="str">
        <f t="array" ref="R1373">IF(A1373="","",IFERROR(OR(INDEX(Binders!$J$6:$J$30,MATCH(Q1373,Binders!$I$6:$I$30,0))=TRUE(),UPPER(INDEX(Binders!$J$6:$J$30,MATCH(Q1373,Binders!$I$6:$I$30,0))&amp;"")="TRUE"),FALSE()))</f>
        <v/>
      </c>
    </row>
    <row r="1374" ht="15.75" customHeight="1">
      <c r="A1374" s="80" t="str">
        <f t="array" ref="A1374">IF(INDEX('Deck 5'!$A:$Z,ROW()-1250,'List Setup'!$D$7)="","",INDEX('Deck 5'!$A:$Z,ROW()-1250,'List Setup'!$D$7))</f>
        <v/>
      </c>
      <c r="B1374" s="80" t="str">
        <f t="array" ref="B1374">IF(A1374="","",IFERROR(INDEX('Binder Setup'!$B$2:$B$401,MIN(IF(ISNUMBER(SEARCH(CHAR(10)&amp;'Binder Setup'!$B$2:$B$401&amp;CHAR(10),$H1374)),'List Setup'!$Q$2:$Q$401,999),IF(ISNUMBER(SEARCH(CHAR(10)&amp;'Set Aliases'!$A$2:$A$501&amp;CHAR(10),$H1374)),'Set Aliases'!$C$2:$C$501,999))),"(none)"))</f>
        <v/>
      </c>
      <c r="C1374" s="80" t="str">
        <f t="shared" si="1"/>
        <v/>
      </c>
      <c r="D1374" s="80" t="str">
        <f t="array" ref="D1374">IF(A1374="","",IF(ISLOGICAL(INDEX('Deck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74" s="80" t="str">
        <f t="shared" si="2"/>
        <v/>
      </c>
      <c r="F1374" s="80" t="str">
        <f t="array" ref="F1374">IF(A1374="","",IF(ISNUMBER(J1374),J1374,IF(ISNUMBER(INDEX('Deck 5'!$A:$Z,ROW()-1250,'List Setup'!$F$7)),INDEX('Deck 5'!$A:$Z,ROW()-1250,'List Setup'!$F$7),0)))</f>
        <v/>
      </c>
      <c r="G1374" s="80" t="str">
        <f t="array" ref="G1374">IF(A1374="","",A1374&amp;IF(N(INDEX('Deck 5'!$A:$Z,ROW()-1250,'List Setup'!$C$7))&gt;1," (x"&amp;INDEX('Deck 5'!$A:$Z,ROW()-1250,'List Setup'!$C$7)&amp;")","")&amp;IF(COUNTIF(Binders!$J$6:$J$30,TRUE())&gt;1," ["&amp;Q1374&amp;"]",""))</f>
        <v/>
      </c>
      <c r="H1374" s="80" t="str">
        <f t="array" ref="H1374">IF(A1374="","",CHAR(10)&amp;INDEX('Deck 5'!$A:$Z,ROW()-1250,'List Setup'!$E$7)&amp;CHAR(10))</f>
        <v/>
      </c>
      <c r="I1374" s="80" t="str">
        <f t="array" ref="I1374">IF(OR(B1374="",B1374="(none)"),"",IF(ISNUMBER(SEARCH(CHAR(10)&amp;B1374&amp;CHAR(10),H1374)),B1374,IFERROR(INDEX('Set Aliases'!$A$2:$A$501,MATCH(1,('Set Aliases'!$B$2:$B$501=B1374)*ISNUMBER(SEARCH(CHAR(10)&amp;'Set Aliases'!$A$2:$A$501&amp;CHAR(10),H1374)),0)),"")))</f>
        <v/>
      </c>
      <c r="J1374" s="80" t="str">
        <f t="array" ref="J1374">IF(I1374="","",IFERROR(VALUE(TRIM(MID(SUBSTITUTE(INDEX('Deck 5'!$A:$Z,ROW()-1250,'List Setup'!$G$7),CHAR(10),REPT(" ",100)),((SEARCH(CHAR(10)&amp;I1374&amp;CHAR(10),H1374)-LEN(SUBSTITUTE(LEFT(H1374,SEARCH(CHAR(10)&amp;I1374&amp;CHAR(10),H1374)),CHAR(10),"")))-1)*100+1,100))),""))</f>
        <v/>
      </c>
      <c r="K1374" s="80" t="str">
        <f t="array" ref="K1374">IF(A1374="","",IF(ISNUMBER(SEARCH("Land",LEFT(IFERROR(INDEX('Deck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74" s="80" t="str">
        <f t="shared" si="3"/>
        <v/>
      </c>
      <c r="M1374" s="80" t="str">
        <f>IF(A1374="","",IF(AND(E1374="Y",B1374='Use at Shop'!$B$4),K1374*10000000000+(MAX(0,MIN(26,CODE(MID(UPPER(A1374)&amp;"    ",1,1))-64))*19683+MAX(0,MIN(26,CODE(MID(UPPER(A1374)&amp;"    ",2,1))-64))*729+MAX(0,MIN(26,CODE(MID(UPPER(A1374)&amp;"    ",3,1))-64))*27+MAX(0,MIN(26,CODE(MID(UPPER(A1374)&amp;"    ",4,1))-64))*1)*10000+ROW(),""))</f>
        <v/>
      </c>
      <c r="N1374" s="80" t="str">
        <f t="shared" si="9"/>
        <v/>
      </c>
      <c r="O1374" s="80" t="str">
        <f t="array" ref="O1374">IF(A1374="","",IFERROR(INDEX('Deck 5'!$A:$Z,ROW()-1250,'List Setup'!$J$7)&amp;"",""))</f>
        <v/>
      </c>
      <c r="P1374" s="2"/>
      <c r="Q1374" s="80" t="str">
        <f>IF(A1374="","",'List Setup'!$A$7)</f>
        <v/>
      </c>
      <c r="R1374" s="80" t="str">
        <f t="array" ref="R1374">IF(A1374="","",IFERROR(OR(INDEX(Binders!$J$6:$J$30,MATCH(Q1374,Binders!$I$6:$I$30,0))=TRUE(),UPPER(INDEX(Binders!$J$6:$J$30,MATCH(Q1374,Binders!$I$6:$I$30,0))&amp;"")="TRUE"),FALSE()))</f>
        <v/>
      </c>
    </row>
    <row r="1375" ht="15.75" customHeight="1">
      <c r="A1375" s="80" t="str">
        <f t="array" ref="A1375">IF(INDEX('Deck 5'!$A:$Z,ROW()-1250,'List Setup'!$D$7)="","",INDEX('Deck 5'!$A:$Z,ROW()-1250,'List Setup'!$D$7))</f>
        <v/>
      </c>
      <c r="B1375" s="80" t="str">
        <f t="array" ref="B1375">IF(A1375="","",IFERROR(INDEX('Binder Setup'!$B$2:$B$401,MIN(IF(ISNUMBER(SEARCH(CHAR(10)&amp;'Binder Setup'!$B$2:$B$401&amp;CHAR(10),$H1375)),'List Setup'!$Q$2:$Q$401,999),IF(ISNUMBER(SEARCH(CHAR(10)&amp;'Set Aliases'!$A$2:$A$501&amp;CHAR(10),$H1375)),'Set Aliases'!$C$2:$C$501,999))),"(none)"))</f>
        <v/>
      </c>
      <c r="C1375" s="80" t="str">
        <f t="shared" si="1"/>
        <v/>
      </c>
      <c r="D1375" s="80" t="str">
        <f t="array" ref="D1375">IF(A1375="","",IF(ISLOGICAL(INDEX('Deck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75" s="80" t="str">
        <f t="shared" si="2"/>
        <v/>
      </c>
      <c r="F1375" s="80" t="str">
        <f t="array" ref="F1375">IF(A1375="","",IF(ISNUMBER(J1375),J1375,IF(ISNUMBER(INDEX('Deck 5'!$A:$Z,ROW()-1250,'List Setup'!$F$7)),INDEX('Deck 5'!$A:$Z,ROW()-1250,'List Setup'!$F$7),0)))</f>
        <v/>
      </c>
      <c r="G1375" s="80" t="str">
        <f t="array" ref="G1375">IF(A1375="","",A1375&amp;IF(N(INDEX('Deck 5'!$A:$Z,ROW()-1250,'List Setup'!$C$7))&gt;1," (x"&amp;INDEX('Deck 5'!$A:$Z,ROW()-1250,'List Setup'!$C$7)&amp;")","")&amp;IF(COUNTIF(Binders!$J$6:$J$30,TRUE())&gt;1," ["&amp;Q1375&amp;"]",""))</f>
        <v/>
      </c>
      <c r="H1375" s="80" t="str">
        <f t="array" ref="H1375">IF(A1375="","",CHAR(10)&amp;INDEX('Deck 5'!$A:$Z,ROW()-1250,'List Setup'!$E$7)&amp;CHAR(10))</f>
        <v/>
      </c>
      <c r="I1375" s="80" t="str">
        <f t="array" ref="I1375">IF(OR(B1375="",B1375="(none)"),"",IF(ISNUMBER(SEARCH(CHAR(10)&amp;B1375&amp;CHAR(10),H1375)),B1375,IFERROR(INDEX('Set Aliases'!$A$2:$A$501,MATCH(1,('Set Aliases'!$B$2:$B$501=B1375)*ISNUMBER(SEARCH(CHAR(10)&amp;'Set Aliases'!$A$2:$A$501&amp;CHAR(10),H1375)),0)),"")))</f>
        <v/>
      </c>
      <c r="J1375" s="80" t="str">
        <f t="array" ref="J1375">IF(I1375="","",IFERROR(VALUE(TRIM(MID(SUBSTITUTE(INDEX('Deck 5'!$A:$Z,ROW()-1250,'List Setup'!$G$7),CHAR(10),REPT(" ",100)),((SEARCH(CHAR(10)&amp;I1375&amp;CHAR(10),H1375)-LEN(SUBSTITUTE(LEFT(H1375,SEARCH(CHAR(10)&amp;I1375&amp;CHAR(10),H1375)),CHAR(10),"")))-1)*100+1,100))),""))</f>
        <v/>
      </c>
      <c r="K1375" s="80" t="str">
        <f t="array" ref="K1375">IF(A1375="","",IF(ISNUMBER(SEARCH("Land",LEFT(IFERROR(INDEX('Deck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75" s="80" t="str">
        <f t="shared" si="3"/>
        <v/>
      </c>
      <c r="M1375" s="80" t="str">
        <f>IF(A1375="","",IF(AND(E1375="Y",B1375='Use at Shop'!$B$4),K1375*10000000000+(MAX(0,MIN(26,CODE(MID(UPPER(A1375)&amp;"    ",1,1))-64))*19683+MAX(0,MIN(26,CODE(MID(UPPER(A1375)&amp;"    ",2,1))-64))*729+MAX(0,MIN(26,CODE(MID(UPPER(A1375)&amp;"    ",3,1))-64))*27+MAX(0,MIN(26,CODE(MID(UPPER(A1375)&amp;"    ",4,1))-64))*1)*10000+ROW(),""))</f>
        <v/>
      </c>
      <c r="N1375" s="80" t="str">
        <f t="shared" si="9"/>
        <v/>
      </c>
      <c r="O1375" s="80" t="str">
        <f t="array" ref="O1375">IF(A1375="","",IFERROR(INDEX('Deck 5'!$A:$Z,ROW()-1250,'List Setup'!$J$7)&amp;"",""))</f>
        <v/>
      </c>
      <c r="P1375" s="2"/>
      <c r="Q1375" s="80" t="str">
        <f>IF(A1375="","",'List Setup'!$A$7)</f>
        <v/>
      </c>
      <c r="R1375" s="80" t="str">
        <f t="array" ref="R1375">IF(A1375="","",IFERROR(OR(INDEX(Binders!$J$6:$J$30,MATCH(Q1375,Binders!$I$6:$I$30,0))=TRUE(),UPPER(INDEX(Binders!$J$6:$J$30,MATCH(Q1375,Binders!$I$6:$I$30,0))&amp;"")="TRUE"),FALSE()))</f>
        <v/>
      </c>
    </row>
    <row r="1376" ht="15.75" customHeight="1">
      <c r="A1376" s="80" t="str">
        <f t="array" ref="A1376">IF(INDEX('Deck 5'!$A:$Z,ROW()-1250,'List Setup'!$D$7)="","",INDEX('Deck 5'!$A:$Z,ROW()-1250,'List Setup'!$D$7))</f>
        <v/>
      </c>
      <c r="B1376" s="80" t="str">
        <f t="array" ref="B1376">IF(A1376="","",IFERROR(INDEX('Binder Setup'!$B$2:$B$401,MIN(IF(ISNUMBER(SEARCH(CHAR(10)&amp;'Binder Setup'!$B$2:$B$401&amp;CHAR(10),$H1376)),'List Setup'!$Q$2:$Q$401,999),IF(ISNUMBER(SEARCH(CHAR(10)&amp;'Set Aliases'!$A$2:$A$501&amp;CHAR(10),$H1376)),'Set Aliases'!$C$2:$C$501,999))),"(none)"))</f>
        <v/>
      </c>
      <c r="C1376" s="80" t="str">
        <f t="shared" si="1"/>
        <v/>
      </c>
      <c r="D1376" s="80" t="str">
        <f t="array" ref="D1376">IF(A1376="","",IF(ISLOGICAL(INDEX('Deck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76" s="80" t="str">
        <f t="shared" si="2"/>
        <v/>
      </c>
      <c r="F1376" s="80" t="str">
        <f t="array" ref="F1376">IF(A1376="","",IF(ISNUMBER(J1376),J1376,IF(ISNUMBER(INDEX('Deck 5'!$A:$Z,ROW()-1250,'List Setup'!$F$7)),INDEX('Deck 5'!$A:$Z,ROW()-1250,'List Setup'!$F$7),0)))</f>
        <v/>
      </c>
      <c r="G1376" s="80" t="str">
        <f t="array" ref="G1376">IF(A1376="","",A1376&amp;IF(N(INDEX('Deck 5'!$A:$Z,ROW()-1250,'List Setup'!$C$7))&gt;1," (x"&amp;INDEX('Deck 5'!$A:$Z,ROW()-1250,'List Setup'!$C$7)&amp;")","")&amp;IF(COUNTIF(Binders!$J$6:$J$30,TRUE())&gt;1," ["&amp;Q1376&amp;"]",""))</f>
        <v/>
      </c>
      <c r="H1376" s="80" t="str">
        <f t="array" ref="H1376">IF(A1376="","",CHAR(10)&amp;INDEX('Deck 5'!$A:$Z,ROW()-1250,'List Setup'!$E$7)&amp;CHAR(10))</f>
        <v/>
      </c>
      <c r="I1376" s="80" t="str">
        <f t="array" ref="I1376">IF(OR(B1376="",B1376="(none)"),"",IF(ISNUMBER(SEARCH(CHAR(10)&amp;B1376&amp;CHAR(10),H1376)),B1376,IFERROR(INDEX('Set Aliases'!$A$2:$A$501,MATCH(1,('Set Aliases'!$B$2:$B$501=B1376)*ISNUMBER(SEARCH(CHAR(10)&amp;'Set Aliases'!$A$2:$A$501&amp;CHAR(10),H1376)),0)),"")))</f>
        <v/>
      </c>
      <c r="J1376" s="80" t="str">
        <f t="array" ref="J1376">IF(I1376="","",IFERROR(VALUE(TRIM(MID(SUBSTITUTE(INDEX('Deck 5'!$A:$Z,ROW()-1250,'List Setup'!$G$7),CHAR(10),REPT(" ",100)),((SEARCH(CHAR(10)&amp;I1376&amp;CHAR(10),H1376)-LEN(SUBSTITUTE(LEFT(H1376,SEARCH(CHAR(10)&amp;I1376&amp;CHAR(10),H1376)),CHAR(10),"")))-1)*100+1,100))),""))</f>
        <v/>
      </c>
      <c r="K1376" s="80" t="str">
        <f t="array" ref="K1376">IF(A1376="","",IF(ISNUMBER(SEARCH("Land",LEFT(IFERROR(INDEX('Deck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76" s="80" t="str">
        <f t="shared" si="3"/>
        <v/>
      </c>
      <c r="M1376" s="80" t="str">
        <f>IF(A1376="","",IF(AND(E1376="Y",B1376='Use at Shop'!$B$4),K1376*10000000000+(MAX(0,MIN(26,CODE(MID(UPPER(A1376)&amp;"    ",1,1))-64))*19683+MAX(0,MIN(26,CODE(MID(UPPER(A1376)&amp;"    ",2,1))-64))*729+MAX(0,MIN(26,CODE(MID(UPPER(A1376)&amp;"    ",3,1))-64))*27+MAX(0,MIN(26,CODE(MID(UPPER(A1376)&amp;"    ",4,1))-64))*1)*10000+ROW(),""))</f>
        <v/>
      </c>
      <c r="N1376" s="80" t="str">
        <f t="shared" si="9"/>
        <v/>
      </c>
      <c r="O1376" s="80" t="str">
        <f t="array" ref="O1376">IF(A1376="","",IFERROR(INDEX('Deck 5'!$A:$Z,ROW()-1250,'List Setup'!$J$7)&amp;"",""))</f>
        <v/>
      </c>
      <c r="P1376" s="2"/>
      <c r="Q1376" s="80" t="str">
        <f>IF(A1376="","",'List Setup'!$A$7)</f>
        <v/>
      </c>
      <c r="R1376" s="80" t="str">
        <f t="array" ref="R1376">IF(A1376="","",IFERROR(OR(INDEX(Binders!$J$6:$J$30,MATCH(Q1376,Binders!$I$6:$I$30,0))=TRUE(),UPPER(INDEX(Binders!$J$6:$J$30,MATCH(Q1376,Binders!$I$6:$I$30,0))&amp;"")="TRUE"),FALSE()))</f>
        <v/>
      </c>
    </row>
    <row r="1377" ht="15.75" customHeight="1">
      <c r="A1377" s="80" t="str">
        <f t="array" ref="A1377">IF(INDEX('Deck 5'!$A:$Z,ROW()-1250,'List Setup'!$D$7)="","",INDEX('Deck 5'!$A:$Z,ROW()-1250,'List Setup'!$D$7))</f>
        <v/>
      </c>
      <c r="B1377" s="80" t="str">
        <f t="array" ref="B1377">IF(A1377="","",IFERROR(INDEX('Binder Setup'!$B$2:$B$401,MIN(IF(ISNUMBER(SEARCH(CHAR(10)&amp;'Binder Setup'!$B$2:$B$401&amp;CHAR(10),$H1377)),'List Setup'!$Q$2:$Q$401,999),IF(ISNUMBER(SEARCH(CHAR(10)&amp;'Set Aliases'!$A$2:$A$501&amp;CHAR(10),$H1377)),'Set Aliases'!$C$2:$C$501,999))),"(none)"))</f>
        <v/>
      </c>
      <c r="C1377" s="80" t="str">
        <f t="shared" si="1"/>
        <v/>
      </c>
      <c r="D1377" s="80" t="str">
        <f t="array" ref="D1377">IF(A1377="","",IF(ISLOGICAL(INDEX('Deck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77" s="80" t="str">
        <f t="shared" si="2"/>
        <v/>
      </c>
      <c r="F1377" s="80" t="str">
        <f t="array" ref="F1377">IF(A1377="","",IF(ISNUMBER(J1377),J1377,IF(ISNUMBER(INDEX('Deck 5'!$A:$Z,ROW()-1250,'List Setup'!$F$7)),INDEX('Deck 5'!$A:$Z,ROW()-1250,'List Setup'!$F$7),0)))</f>
        <v/>
      </c>
      <c r="G1377" s="80" t="str">
        <f t="array" ref="G1377">IF(A1377="","",A1377&amp;IF(N(INDEX('Deck 5'!$A:$Z,ROW()-1250,'List Setup'!$C$7))&gt;1," (x"&amp;INDEX('Deck 5'!$A:$Z,ROW()-1250,'List Setup'!$C$7)&amp;")","")&amp;IF(COUNTIF(Binders!$J$6:$J$30,TRUE())&gt;1," ["&amp;Q1377&amp;"]",""))</f>
        <v/>
      </c>
      <c r="H1377" s="80" t="str">
        <f t="array" ref="H1377">IF(A1377="","",CHAR(10)&amp;INDEX('Deck 5'!$A:$Z,ROW()-1250,'List Setup'!$E$7)&amp;CHAR(10))</f>
        <v/>
      </c>
      <c r="I1377" s="80" t="str">
        <f t="array" ref="I1377">IF(OR(B1377="",B1377="(none)"),"",IF(ISNUMBER(SEARCH(CHAR(10)&amp;B1377&amp;CHAR(10),H1377)),B1377,IFERROR(INDEX('Set Aliases'!$A$2:$A$501,MATCH(1,('Set Aliases'!$B$2:$B$501=B1377)*ISNUMBER(SEARCH(CHAR(10)&amp;'Set Aliases'!$A$2:$A$501&amp;CHAR(10),H1377)),0)),"")))</f>
        <v/>
      </c>
      <c r="J1377" s="80" t="str">
        <f t="array" ref="J1377">IF(I1377="","",IFERROR(VALUE(TRIM(MID(SUBSTITUTE(INDEX('Deck 5'!$A:$Z,ROW()-1250,'List Setup'!$G$7),CHAR(10),REPT(" ",100)),((SEARCH(CHAR(10)&amp;I1377&amp;CHAR(10),H1377)-LEN(SUBSTITUTE(LEFT(H1377,SEARCH(CHAR(10)&amp;I1377&amp;CHAR(10),H1377)),CHAR(10),"")))-1)*100+1,100))),""))</f>
        <v/>
      </c>
      <c r="K1377" s="80" t="str">
        <f t="array" ref="K1377">IF(A1377="","",IF(ISNUMBER(SEARCH("Land",LEFT(IFERROR(INDEX('Deck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77" s="80" t="str">
        <f t="shared" si="3"/>
        <v/>
      </c>
      <c r="M1377" s="80" t="str">
        <f>IF(A1377="","",IF(AND(E1377="Y",B1377='Use at Shop'!$B$4),K1377*10000000000+(MAX(0,MIN(26,CODE(MID(UPPER(A1377)&amp;"    ",1,1))-64))*19683+MAX(0,MIN(26,CODE(MID(UPPER(A1377)&amp;"    ",2,1))-64))*729+MAX(0,MIN(26,CODE(MID(UPPER(A1377)&amp;"    ",3,1))-64))*27+MAX(0,MIN(26,CODE(MID(UPPER(A1377)&amp;"    ",4,1))-64))*1)*10000+ROW(),""))</f>
        <v/>
      </c>
      <c r="N1377" s="80" t="str">
        <f t="shared" si="9"/>
        <v/>
      </c>
      <c r="O1377" s="80" t="str">
        <f t="array" ref="O1377">IF(A1377="","",IFERROR(INDEX('Deck 5'!$A:$Z,ROW()-1250,'List Setup'!$J$7)&amp;"",""))</f>
        <v/>
      </c>
      <c r="P1377" s="2"/>
      <c r="Q1377" s="80" t="str">
        <f>IF(A1377="","",'List Setup'!$A$7)</f>
        <v/>
      </c>
      <c r="R1377" s="80" t="str">
        <f t="array" ref="R1377">IF(A1377="","",IFERROR(OR(INDEX(Binders!$J$6:$J$30,MATCH(Q1377,Binders!$I$6:$I$30,0))=TRUE(),UPPER(INDEX(Binders!$J$6:$J$30,MATCH(Q1377,Binders!$I$6:$I$30,0))&amp;"")="TRUE"),FALSE()))</f>
        <v/>
      </c>
    </row>
    <row r="1378" ht="15.75" customHeight="1">
      <c r="A1378" s="80" t="str">
        <f t="array" ref="A1378">IF(INDEX('Deck 5'!$A:$Z,ROW()-1250,'List Setup'!$D$7)="","",INDEX('Deck 5'!$A:$Z,ROW()-1250,'List Setup'!$D$7))</f>
        <v/>
      </c>
      <c r="B1378" s="80" t="str">
        <f t="array" ref="B1378">IF(A1378="","",IFERROR(INDEX('Binder Setup'!$B$2:$B$401,MIN(IF(ISNUMBER(SEARCH(CHAR(10)&amp;'Binder Setup'!$B$2:$B$401&amp;CHAR(10),$H1378)),'List Setup'!$Q$2:$Q$401,999),IF(ISNUMBER(SEARCH(CHAR(10)&amp;'Set Aliases'!$A$2:$A$501&amp;CHAR(10),$H1378)),'Set Aliases'!$C$2:$C$501,999))),"(none)"))</f>
        <v/>
      </c>
      <c r="C1378" s="80" t="str">
        <f t="shared" si="1"/>
        <v/>
      </c>
      <c r="D1378" s="80" t="str">
        <f t="array" ref="D1378">IF(A1378="","",IF(ISLOGICAL(INDEX('Deck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78" s="80" t="str">
        <f t="shared" si="2"/>
        <v/>
      </c>
      <c r="F1378" s="80" t="str">
        <f t="array" ref="F1378">IF(A1378="","",IF(ISNUMBER(J1378),J1378,IF(ISNUMBER(INDEX('Deck 5'!$A:$Z,ROW()-1250,'List Setup'!$F$7)),INDEX('Deck 5'!$A:$Z,ROW()-1250,'List Setup'!$F$7),0)))</f>
        <v/>
      </c>
      <c r="G1378" s="80" t="str">
        <f t="array" ref="G1378">IF(A1378="","",A1378&amp;IF(N(INDEX('Deck 5'!$A:$Z,ROW()-1250,'List Setup'!$C$7))&gt;1," (x"&amp;INDEX('Deck 5'!$A:$Z,ROW()-1250,'List Setup'!$C$7)&amp;")","")&amp;IF(COUNTIF(Binders!$J$6:$J$30,TRUE())&gt;1," ["&amp;Q1378&amp;"]",""))</f>
        <v/>
      </c>
      <c r="H1378" s="80" t="str">
        <f t="array" ref="H1378">IF(A1378="","",CHAR(10)&amp;INDEX('Deck 5'!$A:$Z,ROW()-1250,'List Setup'!$E$7)&amp;CHAR(10))</f>
        <v/>
      </c>
      <c r="I1378" s="80" t="str">
        <f t="array" ref="I1378">IF(OR(B1378="",B1378="(none)"),"",IF(ISNUMBER(SEARCH(CHAR(10)&amp;B1378&amp;CHAR(10),H1378)),B1378,IFERROR(INDEX('Set Aliases'!$A$2:$A$501,MATCH(1,('Set Aliases'!$B$2:$B$501=B1378)*ISNUMBER(SEARCH(CHAR(10)&amp;'Set Aliases'!$A$2:$A$501&amp;CHAR(10),H1378)),0)),"")))</f>
        <v/>
      </c>
      <c r="J1378" s="80" t="str">
        <f t="array" ref="J1378">IF(I1378="","",IFERROR(VALUE(TRIM(MID(SUBSTITUTE(INDEX('Deck 5'!$A:$Z,ROW()-1250,'List Setup'!$G$7),CHAR(10),REPT(" ",100)),((SEARCH(CHAR(10)&amp;I1378&amp;CHAR(10),H1378)-LEN(SUBSTITUTE(LEFT(H1378,SEARCH(CHAR(10)&amp;I1378&amp;CHAR(10),H1378)),CHAR(10),"")))-1)*100+1,100))),""))</f>
        <v/>
      </c>
      <c r="K1378" s="80" t="str">
        <f t="array" ref="K1378">IF(A1378="","",IF(ISNUMBER(SEARCH("Land",LEFT(IFERROR(INDEX('Deck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78" s="80" t="str">
        <f t="shared" si="3"/>
        <v/>
      </c>
      <c r="M1378" s="80" t="str">
        <f>IF(A1378="","",IF(AND(E1378="Y",B1378='Use at Shop'!$B$4),K1378*10000000000+(MAX(0,MIN(26,CODE(MID(UPPER(A1378)&amp;"    ",1,1))-64))*19683+MAX(0,MIN(26,CODE(MID(UPPER(A1378)&amp;"    ",2,1))-64))*729+MAX(0,MIN(26,CODE(MID(UPPER(A1378)&amp;"    ",3,1))-64))*27+MAX(0,MIN(26,CODE(MID(UPPER(A1378)&amp;"    ",4,1))-64))*1)*10000+ROW(),""))</f>
        <v/>
      </c>
      <c r="N1378" s="80" t="str">
        <f t="shared" si="9"/>
        <v/>
      </c>
      <c r="O1378" s="80" t="str">
        <f t="array" ref="O1378">IF(A1378="","",IFERROR(INDEX('Deck 5'!$A:$Z,ROW()-1250,'List Setup'!$J$7)&amp;"",""))</f>
        <v/>
      </c>
      <c r="P1378" s="2"/>
      <c r="Q1378" s="80" t="str">
        <f>IF(A1378="","",'List Setup'!$A$7)</f>
        <v/>
      </c>
      <c r="R1378" s="80" t="str">
        <f t="array" ref="R1378">IF(A1378="","",IFERROR(OR(INDEX(Binders!$J$6:$J$30,MATCH(Q1378,Binders!$I$6:$I$30,0))=TRUE(),UPPER(INDEX(Binders!$J$6:$J$30,MATCH(Q1378,Binders!$I$6:$I$30,0))&amp;"")="TRUE"),FALSE()))</f>
        <v/>
      </c>
    </row>
    <row r="1379" ht="15.75" customHeight="1">
      <c r="A1379" s="80" t="str">
        <f t="array" ref="A1379">IF(INDEX('Deck 5'!$A:$Z,ROW()-1250,'List Setup'!$D$7)="","",INDEX('Deck 5'!$A:$Z,ROW()-1250,'List Setup'!$D$7))</f>
        <v/>
      </c>
      <c r="B1379" s="80" t="str">
        <f t="array" ref="B1379">IF(A1379="","",IFERROR(INDEX('Binder Setup'!$B$2:$B$401,MIN(IF(ISNUMBER(SEARCH(CHAR(10)&amp;'Binder Setup'!$B$2:$B$401&amp;CHAR(10),$H1379)),'List Setup'!$Q$2:$Q$401,999),IF(ISNUMBER(SEARCH(CHAR(10)&amp;'Set Aliases'!$A$2:$A$501&amp;CHAR(10),$H1379)),'Set Aliases'!$C$2:$C$501,999))),"(none)"))</f>
        <v/>
      </c>
      <c r="C1379" s="80" t="str">
        <f t="shared" si="1"/>
        <v/>
      </c>
      <c r="D1379" s="80" t="str">
        <f t="array" ref="D1379">IF(A1379="","",IF(ISLOGICAL(INDEX('Deck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79" s="80" t="str">
        <f t="shared" si="2"/>
        <v/>
      </c>
      <c r="F1379" s="80" t="str">
        <f t="array" ref="F1379">IF(A1379="","",IF(ISNUMBER(J1379),J1379,IF(ISNUMBER(INDEX('Deck 5'!$A:$Z,ROW()-1250,'List Setup'!$F$7)),INDEX('Deck 5'!$A:$Z,ROW()-1250,'List Setup'!$F$7),0)))</f>
        <v/>
      </c>
      <c r="G1379" s="80" t="str">
        <f t="array" ref="G1379">IF(A1379="","",A1379&amp;IF(N(INDEX('Deck 5'!$A:$Z,ROW()-1250,'List Setup'!$C$7))&gt;1," (x"&amp;INDEX('Deck 5'!$A:$Z,ROW()-1250,'List Setup'!$C$7)&amp;")","")&amp;IF(COUNTIF(Binders!$J$6:$J$30,TRUE())&gt;1," ["&amp;Q1379&amp;"]",""))</f>
        <v/>
      </c>
      <c r="H1379" s="80" t="str">
        <f t="array" ref="H1379">IF(A1379="","",CHAR(10)&amp;INDEX('Deck 5'!$A:$Z,ROW()-1250,'List Setup'!$E$7)&amp;CHAR(10))</f>
        <v/>
      </c>
      <c r="I1379" s="80" t="str">
        <f t="array" ref="I1379">IF(OR(B1379="",B1379="(none)"),"",IF(ISNUMBER(SEARCH(CHAR(10)&amp;B1379&amp;CHAR(10),H1379)),B1379,IFERROR(INDEX('Set Aliases'!$A$2:$A$501,MATCH(1,('Set Aliases'!$B$2:$B$501=B1379)*ISNUMBER(SEARCH(CHAR(10)&amp;'Set Aliases'!$A$2:$A$501&amp;CHAR(10),H1379)),0)),"")))</f>
        <v/>
      </c>
      <c r="J1379" s="80" t="str">
        <f t="array" ref="J1379">IF(I1379="","",IFERROR(VALUE(TRIM(MID(SUBSTITUTE(INDEX('Deck 5'!$A:$Z,ROW()-1250,'List Setup'!$G$7),CHAR(10),REPT(" ",100)),((SEARCH(CHAR(10)&amp;I1379&amp;CHAR(10),H1379)-LEN(SUBSTITUTE(LEFT(H1379,SEARCH(CHAR(10)&amp;I1379&amp;CHAR(10),H1379)),CHAR(10),"")))-1)*100+1,100))),""))</f>
        <v/>
      </c>
      <c r="K1379" s="80" t="str">
        <f t="array" ref="K1379">IF(A1379="","",IF(ISNUMBER(SEARCH("Land",LEFT(IFERROR(INDEX('Deck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79" s="80" t="str">
        <f t="shared" si="3"/>
        <v/>
      </c>
      <c r="M1379" s="80" t="str">
        <f>IF(A1379="","",IF(AND(E1379="Y",B1379='Use at Shop'!$B$4),K1379*10000000000+(MAX(0,MIN(26,CODE(MID(UPPER(A1379)&amp;"    ",1,1))-64))*19683+MAX(0,MIN(26,CODE(MID(UPPER(A1379)&amp;"    ",2,1))-64))*729+MAX(0,MIN(26,CODE(MID(UPPER(A1379)&amp;"    ",3,1))-64))*27+MAX(0,MIN(26,CODE(MID(UPPER(A1379)&amp;"    ",4,1))-64))*1)*10000+ROW(),""))</f>
        <v/>
      </c>
      <c r="N1379" s="80" t="str">
        <f t="shared" si="9"/>
        <v/>
      </c>
      <c r="O1379" s="80" t="str">
        <f t="array" ref="O1379">IF(A1379="","",IFERROR(INDEX('Deck 5'!$A:$Z,ROW()-1250,'List Setup'!$J$7)&amp;"",""))</f>
        <v/>
      </c>
      <c r="P1379" s="2"/>
      <c r="Q1379" s="80" t="str">
        <f>IF(A1379="","",'List Setup'!$A$7)</f>
        <v/>
      </c>
      <c r="R1379" s="80" t="str">
        <f t="array" ref="R1379">IF(A1379="","",IFERROR(OR(INDEX(Binders!$J$6:$J$30,MATCH(Q1379,Binders!$I$6:$I$30,0))=TRUE(),UPPER(INDEX(Binders!$J$6:$J$30,MATCH(Q1379,Binders!$I$6:$I$30,0))&amp;"")="TRUE"),FALSE()))</f>
        <v/>
      </c>
    </row>
    <row r="1380" ht="15.75" customHeight="1">
      <c r="A1380" s="80" t="str">
        <f t="array" ref="A1380">IF(INDEX('Deck 5'!$A:$Z,ROW()-1250,'List Setup'!$D$7)="","",INDEX('Deck 5'!$A:$Z,ROW()-1250,'List Setup'!$D$7))</f>
        <v/>
      </c>
      <c r="B1380" s="80" t="str">
        <f t="array" ref="B1380">IF(A1380="","",IFERROR(INDEX('Binder Setup'!$B$2:$B$401,MIN(IF(ISNUMBER(SEARCH(CHAR(10)&amp;'Binder Setup'!$B$2:$B$401&amp;CHAR(10),$H1380)),'List Setup'!$Q$2:$Q$401,999),IF(ISNUMBER(SEARCH(CHAR(10)&amp;'Set Aliases'!$A$2:$A$501&amp;CHAR(10),$H1380)),'Set Aliases'!$C$2:$C$501,999))),"(none)"))</f>
        <v/>
      </c>
      <c r="C1380" s="80" t="str">
        <f t="shared" si="1"/>
        <v/>
      </c>
      <c r="D1380" s="80" t="str">
        <f t="array" ref="D1380">IF(A1380="","",IF(ISLOGICAL(INDEX('Deck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80" s="80" t="str">
        <f t="shared" si="2"/>
        <v/>
      </c>
      <c r="F1380" s="80" t="str">
        <f t="array" ref="F1380">IF(A1380="","",IF(ISNUMBER(J1380),J1380,IF(ISNUMBER(INDEX('Deck 5'!$A:$Z,ROW()-1250,'List Setup'!$F$7)),INDEX('Deck 5'!$A:$Z,ROW()-1250,'List Setup'!$F$7),0)))</f>
        <v/>
      </c>
      <c r="G1380" s="80" t="str">
        <f t="array" ref="G1380">IF(A1380="","",A1380&amp;IF(N(INDEX('Deck 5'!$A:$Z,ROW()-1250,'List Setup'!$C$7))&gt;1," (x"&amp;INDEX('Deck 5'!$A:$Z,ROW()-1250,'List Setup'!$C$7)&amp;")","")&amp;IF(COUNTIF(Binders!$J$6:$J$30,TRUE())&gt;1," ["&amp;Q1380&amp;"]",""))</f>
        <v/>
      </c>
      <c r="H1380" s="80" t="str">
        <f t="array" ref="H1380">IF(A1380="","",CHAR(10)&amp;INDEX('Deck 5'!$A:$Z,ROW()-1250,'List Setup'!$E$7)&amp;CHAR(10))</f>
        <v/>
      </c>
      <c r="I1380" s="80" t="str">
        <f t="array" ref="I1380">IF(OR(B1380="",B1380="(none)"),"",IF(ISNUMBER(SEARCH(CHAR(10)&amp;B1380&amp;CHAR(10),H1380)),B1380,IFERROR(INDEX('Set Aliases'!$A$2:$A$501,MATCH(1,('Set Aliases'!$B$2:$B$501=B1380)*ISNUMBER(SEARCH(CHAR(10)&amp;'Set Aliases'!$A$2:$A$501&amp;CHAR(10),H1380)),0)),"")))</f>
        <v/>
      </c>
      <c r="J1380" s="80" t="str">
        <f t="array" ref="J1380">IF(I1380="","",IFERROR(VALUE(TRIM(MID(SUBSTITUTE(INDEX('Deck 5'!$A:$Z,ROW()-1250,'List Setup'!$G$7),CHAR(10),REPT(" ",100)),((SEARCH(CHAR(10)&amp;I1380&amp;CHAR(10),H1380)-LEN(SUBSTITUTE(LEFT(H1380,SEARCH(CHAR(10)&amp;I1380&amp;CHAR(10),H1380)),CHAR(10),"")))-1)*100+1,100))),""))</f>
        <v/>
      </c>
      <c r="K1380" s="80" t="str">
        <f t="array" ref="K1380">IF(A1380="","",IF(ISNUMBER(SEARCH("Land",LEFT(IFERROR(INDEX('Deck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80" s="80" t="str">
        <f t="shared" si="3"/>
        <v/>
      </c>
      <c r="M1380" s="80" t="str">
        <f>IF(A1380="","",IF(AND(E1380="Y",B1380='Use at Shop'!$B$4),K1380*10000000000+(MAX(0,MIN(26,CODE(MID(UPPER(A1380)&amp;"    ",1,1))-64))*19683+MAX(0,MIN(26,CODE(MID(UPPER(A1380)&amp;"    ",2,1))-64))*729+MAX(0,MIN(26,CODE(MID(UPPER(A1380)&amp;"    ",3,1))-64))*27+MAX(0,MIN(26,CODE(MID(UPPER(A1380)&amp;"    ",4,1))-64))*1)*10000+ROW(),""))</f>
        <v/>
      </c>
      <c r="N1380" s="80" t="str">
        <f t="shared" si="9"/>
        <v/>
      </c>
      <c r="O1380" s="80" t="str">
        <f t="array" ref="O1380">IF(A1380="","",IFERROR(INDEX('Deck 5'!$A:$Z,ROW()-1250,'List Setup'!$J$7)&amp;"",""))</f>
        <v/>
      </c>
      <c r="P1380" s="2"/>
      <c r="Q1380" s="80" t="str">
        <f>IF(A1380="","",'List Setup'!$A$7)</f>
        <v/>
      </c>
      <c r="R1380" s="80" t="str">
        <f t="array" ref="R1380">IF(A1380="","",IFERROR(OR(INDEX(Binders!$J$6:$J$30,MATCH(Q1380,Binders!$I$6:$I$30,0))=TRUE(),UPPER(INDEX(Binders!$J$6:$J$30,MATCH(Q1380,Binders!$I$6:$I$30,0))&amp;"")="TRUE"),FALSE()))</f>
        <v/>
      </c>
    </row>
    <row r="1381" ht="15.75" customHeight="1">
      <c r="A1381" s="80" t="str">
        <f t="array" ref="A1381">IF(INDEX('Deck 5'!$A:$Z,ROW()-1250,'List Setup'!$D$7)="","",INDEX('Deck 5'!$A:$Z,ROW()-1250,'List Setup'!$D$7))</f>
        <v/>
      </c>
      <c r="B1381" s="80" t="str">
        <f t="array" ref="B1381">IF(A1381="","",IFERROR(INDEX('Binder Setup'!$B$2:$B$401,MIN(IF(ISNUMBER(SEARCH(CHAR(10)&amp;'Binder Setup'!$B$2:$B$401&amp;CHAR(10),$H1381)),'List Setup'!$Q$2:$Q$401,999),IF(ISNUMBER(SEARCH(CHAR(10)&amp;'Set Aliases'!$A$2:$A$501&amp;CHAR(10),$H1381)),'Set Aliases'!$C$2:$C$501,999))),"(none)"))</f>
        <v/>
      </c>
      <c r="C1381" s="80" t="str">
        <f t="shared" si="1"/>
        <v/>
      </c>
      <c r="D1381" s="80" t="str">
        <f t="array" ref="D1381">IF(A1381="","",IF(ISLOGICAL(INDEX('Deck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81" s="80" t="str">
        <f t="shared" si="2"/>
        <v/>
      </c>
      <c r="F1381" s="80" t="str">
        <f t="array" ref="F1381">IF(A1381="","",IF(ISNUMBER(J1381),J1381,IF(ISNUMBER(INDEX('Deck 5'!$A:$Z,ROW()-1250,'List Setup'!$F$7)),INDEX('Deck 5'!$A:$Z,ROW()-1250,'List Setup'!$F$7),0)))</f>
        <v/>
      </c>
      <c r="G1381" s="80" t="str">
        <f t="array" ref="G1381">IF(A1381="","",A1381&amp;IF(N(INDEX('Deck 5'!$A:$Z,ROW()-1250,'List Setup'!$C$7))&gt;1," (x"&amp;INDEX('Deck 5'!$A:$Z,ROW()-1250,'List Setup'!$C$7)&amp;")","")&amp;IF(COUNTIF(Binders!$J$6:$J$30,TRUE())&gt;1," ["&amp;Q1381&amp;"]",""))</f>
        <v/>
      </c>
      <c r="H1381" s="80" t="str">
        <f t="array" ref="H1381">IF(A1381="","",CHAR(10)&amp;INDEX('Deck 5'!$A:$Z,ROW()-1250,'List Setup'!$E$7)&amp;CHAR(10))</f>
        <v/>
      </c>
      <c r="I1381" s="80" t="str">
        <f t="array" ref="I1381">IF(OR(B1381="",B1381="(none)"),"",IF(ISNUMBER(SEARCH(CHAR(10)&amp;B1381&amp;CHAR(10),H1381)),B1381,IFERROR(INDEX('Set Aliases'!$A$2:$A$501,MATCH(1,('Set Aliases'!$B$2:$B$501=B1381)*ISNUMBER(SEARCH(CHAR(10)&amp;'Set Aliases'!$A$2:$A$501&amp;CHAR(10),H1381)),0)),"")))</f>
        <v/>
      </c>
      <c r="J1381" s="80" t="str">
        <f t="array" ref="J1381">IF(I1381="","",IFERROR(VALUE(TRIM(MID(SUBSTITUTE(INDEX('Deck 5'!$A:$Z,ROW()-1250,'List Setup'!$G$7),CHAR(10),REPT(" ",100)),((SEARCH(CHAR(10)&amp;I1381&amp;CHAR(10),H1381)-LEN(SUBSTITUTE(LEFT(H1381,SEARCH(CHAR(10)&amp;I1381&amp;CHAR(10),H1381)),CHAR(10),"")))-1)*100+1,100))),""))</f>
        <v/>
      </c>
      <c r="K1381" s="80" t="str">
        <f t="array" ref="K1381">IF(A1381="","",IF(ISNUMBER(SEARCH("Land",LEFT(IFERROR(INDEX('Deck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81" s="80" t="str">
        <f t="shared" si="3"/>
        <v/>
      </c>
      <c r="M1381" s="80" t="str">
        <f>IF(A1381="","",IF(AND(E1381="Y",B1381='Use at Shop'!$B$4),K1381*10000000000+(MAX(0,MIN(26,CODE(MID(UPPER(A1381)&amp;"    ",1,1))-64))*19683+MAX(0,MIN(26,CODE(MID(UPPER(A1381)&amp;"    ",2,1))-64))*729+MAX(0,MIN(26,CODE(MID(UPPER(A1381)&amp;"    ",3,1))-64))*27+MAX(0,MIN(26,CODE(MID(UPPER(A1381)&amp;"    ",4,1))-64))*1)*10000+ROW(),""))</f>
        <v/>
      </c>
      <c r="N1381" s="80" t="str">
        <f t="shared" si="9"/>
        <v/>
      </c>
      <c r="O1381" s="80" t="str">
        <f t="array" ref="O1381">IF(A1381="","",IFERROR(INDEX('Deck 5'!$A:$Z,ROW()-1250,'List Setup'!$J$7)&amp;"",""))</f>
        <v/>
      </c>
      <c r="P1381" s="2"/>
      <c r="Q1381" s="80" t="str">
        <f>IF(A1381="","",'List Setup'!$A$7)</f>
        <v/>
      </c>
      <c r="R1381" s="80" t="str">
        <f t="array" ref="R1381">IF(A1381="","",IFERROR(OR(INDEX(Binders!$J$6:$J$30,MATCH(Q1381,Binders!$I$6:$I$30,0))=TRUE(),UPPER(INDEX(Binders!$J$6:$J$30,MATCH(Q1381,Binders!$I$6:$I$30,0))&amp;"")="TRUE"),FALSE()))</f>
        <v/>
      </c>
    </row>
    <row r="1382" ht="15.75" customHeight="1">
      <c r="A1382" s="80" t="str">
        <f t="array" ref="A1382">IF(INDEX('Deck 5'!$A:$Z,ROW()-1250,'List Setup'!$D$7)="","",INDEX('Deck 5'!$A:$Z,ROW()-1250,'List Setup'!$D$7))</f>
        <v/>
      </c>
      <c r="B1382" s="80" t="str">
        <f t="array" ref="B1382">IF(A1382="","",IFERROR(INDEX('Binder Setup'!$B$2:$B$401,MIN(IF(ISNUMBER(SEARCH(CHAR(10)&amp;'Binder Setup'!$B$2:$B$401&amp;CHAR(10),$H1382)),'List Setup'!$Q$2:$Q$401,999),IF(ISNUMBER(SEARCH(CHAR(10)&amp;'Set Aliases'!$A$2:$A$501&amp;CHAR(10),$H1382)),'Set Aliases'!$C$2:$C$501,999))),"(none)"))</f>
        <v/>
      </c>
      <c r="C1382" s="80" t="str">
        <f t="shared" si="1"/>
        <v/>
      </c>
      <c r="D1382" s="80" t="str">
        <f t="array" ref="D1382">IF(A1382="","",IF(ISLOGICAL(INDEX('Deck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82" s="80" t="str">
        <f t="shared" si="2"/>
        <v/>
      </c>
      <c r="F1382" s="80" t="str">
        <f t="array" ref="F1382">IF(A1382="","",IF(ISNUMBER(J1382),J1382,IF(ISNUMBER(INDEX('Deck 5'!$A:$Z,ROW()-1250,'List Setup'!$F$7)),INDEX('Deck 5'!$A:$Z,ROW()-1250,'List Setup'!$F$7),0)))</f>
        <v/>
      </c>
      <c r="G1382" s="80" t="str">
        <f t="array" ref="G1382">IF(A1382="","",A1382&amp;IF(N(INDEX('Deck 5'!$A:$Z,ROW()-1250,'List Setup'!$C$7))&gt;1," (x"&amp;INDEX('Deck 5'!$A:$Z,ROW()-1250,'List Setup'!$C$7)&amp;")","")&amp;IF(COUNTIF(Binders!$J$6:$J$30,TRUE())&gt;1," ["&amp;Q1382&amp;"]",""))</f>
        <v/>
      </c>
      <c r="H1382" s="80" t="str">
        <f t="array" ref="H1382">IF(A1382="","",CHAR(10)&amp;INDEX('Deck 5'!$A:$Z,ROW()-1250,'List Setup'!$E$7)&amp;CHAR(10))</f>
        <v/>
      </c>
      <c r="I1382" s="80" t="str">
        <f t="array" ref="I1382">IF(OR(B1382="",B1382="(none)"),"",IF(ISNUMBER(SEARCH(CHAR(10)&amp;B1382&amp;CHAR(10),H1382)),B1382,IFERROR(INDEX('Set Aliases'!$A$2:$A$501,MATCH(1,('Set Aliases'!$B$2:$B$501=B1382)*ISNUMBER(SEARCH(CHAR(10)&amp;'Set Aliases'!$A$2:$A$501&amp;CHAR(10),H1382)),0)),"")))</f>
        <v/>
      </c>
      <c r="J1382" s="80" t="str">
        <f t="array" ref="J1382">IF(I1382="","",IFERROR(VALUE(TRIM(MID(SUBSTITUTE(INDEX('Deck 5'!$A:$Z,ROW()-1250,'List Setup'!$G$7),CHAR(10),REPT(" ",100)),((SEARCH(CHAR(10)&amp;I1382&amp;CHAR(10),H1382)-LEN(SUBSTITUTE(LEFT(H1382,SEARCH(CHAR(10)&amp;I1382&amp;CHAR(10),H1382)),CHAR(10),"")))-1)*100+1,100))),""))</f>
        <v/>
      </c>
      <c r="K1382" s="80" t="str">
        <f t="array" ref="K1382">IF(A1382="","",IF(ISNUMBER(SEARCH("Land",LEFT(IFERROR(INDEX('Deck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82" s="80" t="str">
        <f t="shared" si="3"/>
        <v/>
      </c>
      <c r="M1382" s="80" t="str">
        <f>IF(A1382="","",IF(AND(E1382="Y",B1382='Use at Shop'!$B$4),K1382*10000000000+(MAX(0,MIN(26,CODE(MID(UPPER(A1382)&amp;"    ",1,1))-64))*19683+MAX(0,MIN(26,CODE(MID(UPPER(A1382)&amp;"    ",2,1))-64))*729+MAX(0,MIN(26,CODE(MID(UPPER(A1382)&amp;"    ",3,1))-64))*27+MAX(0,MIN(26,CODE(MID(UPPER(A1382)&amp;"    ",4,1))-64))*1)*10000+ROW(),""))</f>
        <v/>
      </c>
      <c r="N1382" s="80" t="str">
        <f t="shared" si="9"/>
        <v/>
      </c>
      <c r="O1382" s="80" t="str">
        <f t="array" ref="O1382">IF(A1382="","",IFERROR(INDEX('Deck 5'!$A:$Z,ROW()-1250,'List Setup'!$J$7)&amp;"",""))</f>
        <v/>
      </c>
      <c r="P1382" s="2"/>
      <c r="Q1382" s="80" t="str">
        <f>IF(A1382="","",'List Setup'!$A$7)</f>
        <v/>
      </c>
      <c r="R1382" s="80" t="str">
        <f t="array" ref="R1382">IF(A1382="","",IFERROR(OR(INDEX(Binders!$J$6:$J$30,MATCH(Q1382,Binders!$I$6:$I$30,0))=TRUE(),UPPER(INDEX(Binders!$J$6:$J$30,MATCH(Q1382,Binders!$I$6:$I$30,0))&amp;"")="TRUE"),FALSE()))</f>
        <v/>
      </c>
    </row>
    <row r="1383" ht="15.75" customHeight="1">
      <c r="A1383" s="80" t="str">
        <f t="array" ref="A1383">IF(INDEX('Deck 5'!$A:$Z,ROW()-1250,'List Setup'!$D$7)="","",INDEX('Deck 5'!$A:$Z,ROW()-1250,'List Setup'!$D$7))</f>
        <v/>
      </c>
      <c r="B1383" s="80" t="str">
        <f t="array" ref="B1383">IF(A1383="","",IFERROR(INDEX('Binder Setup'!$B$2:$B$401,MIN(IF(ISNUMBER(SEARCH(CHAR(10)&amp;'Binder Setup'!$B$2:$B$401&amp;CHAR(10),$H1383)),'List Setup'!$Q$2:$Q$401,999),IF(ISNUMBER(SEARCH(CHAR(10)&amp;'Set Aliases'!$A$2:$A$501&amp;CHAR(10),$H1383)),'Set Aliases'!$C$2:$C$501,999))),"(none)"))</f>
        <v/>
      </c>
      <c r="C1383" s="80" t="str">
        <f t="shared" si="1"/>
        <v/>
      </c>
      <c r="D1383" s="80" t="str">
        <f t="array" ref="D1383">IF(A1383="","",IF(ISLOGICAL(INDEX('Deck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83" s="80" t="str">
        <f t="shared" si="2"/>
        <v/>
      </c>
      <c r="F1383" s="80" t="str">
        <f t="array" ref="F1383">IF(A1383="","",IF(ISNUMBER(J1383),J1383,IF(ISNUMBER(INDEX('Deck 5'!$A:$Z,ROW()-1250,'List Setup'!$F$7)),INDEX('Deck 5'!$A:$Z,ROW()-1250,'List Setup'!$F$7),0)))</f>
        <v/>
      </c>
      <c r="G1383" s="80" t="str">
        <f t="array" ref="G1383">IF(A1383="","",A1383&amp;IF(N(INDEX('Deck 5'!$A:$Z,ROW()-1250,'List Setup'!$C$7))&gt;1," (x"&amp;INDEX('Deck 5'!$A:$Z,ROW()-1250,'List Setup'!$C$7)&amp;")","")&amp;IF(COUNTIF(Binders!$J$6:$J$30,TRUE())&gt;1," ["&amp;Q1383&amp;"]",""))</f>
        <v/>
      </c>
      <c r="H1383" s="80" t="str">
        <f t="array" ref="H1383">IF(A1383="","",CHAR(10)&amp;INDEX('Deck 5'!$A:$Z,ROW()-1250,'List Setup'!$E$7)&amp;CHAR(10))</f>
        <v/>
      </c>
      <c r="I1383" s="80" t="str">
        <f t="array" ref="I1383">IF(OR(B1383="",B1383="(none)"),"",IF(ISNUMBER(SEARCH(CHAR(10)&amp;B1383&amp;CHAR(10),H1383)),B1383,IFERROR(INDEX('Set Aliases'!$A$2:$A$501,MATCH(1,('Set Aliases'!$B$2:$B$501=B1383)*ISNUMBER(SEARCH(CHAR(10)&amp;'Set Aliases'!$A$2:$A$501&amp;CHAR(10),H1383)),0)),"")))</f>
        <v/>
      </c>
      <c r="J1383" s="80" t="str">
        <f t="array" ref="J1383">IF(I1383="","",IFERROR(VALUE(TRIM(MID(SUBSTITUTE(INDEX('Deck 5'!$A:$Z,ROW()-1250,'List Setup'!$G$7),CHAR(10),REPT(" ",100)),((SEARCH(CHAR(10)&amp;I1383&amp;CHAR(10),H1383)-LEN(SUBSTITUTE(LEFT(H1383,SEARCH(CHAR(10)&amp;I1383&amp;CHAR(10),H1383)),CHAR(10),"")))-1)*100+1,100))),""))</f>
        <v/>
      </c>
      <c r="K1383" s="80" t="str">
        <f t="array" ref="K1383">IF(A1383="","",IF(ISNUMBER(SEARCH("Land",LEFT(IFERROR(INDEX('Deck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83" s="80" t="str">
        <f t="shared" si="3"/>
        <v/>
      </c>
      <c r="M1383" s="80" t="str">
        <f>IF(A1383="","",IF(AND(E1383="Y",B1383='Use at Shop'!$B$4),K1383*10000000000+(MAX(0,MIN(26,CODE(MID(UPPER(A1383)&amp;"    ",1,1))-64))*19683+MAX(0,MIN(26,CODE(MID(UPPER(A1383)&amp;"    ",2,1))-64))*729+MAX(0,MIN(26,CODE(MID(UPPER(A1383)&amp;"    ",3,1))-64))*27+MAX(0,MIN(26,CODE(MID(UPPER(A1383)&amp;"    ",4,1))-64))*1)*10000+ROW(),""))</f>
        <v/>
      </c>
      <c r="N1383" s="80" t="str">
        <f t="shared" si="9"/>
        <v/>
      </c>
      <c r="O1383" s="80" t="str">
        <f t="array" ref="O1383">IF(A1383="","",IFERROR(INDEX('Deck 5'!$A:$Z,ROW()-1250,'List Setup'!$J$7)&amp;"",""))</f>
        <v/>
      </c>
      <c r="P1383" s="2"/>
      <c r="Q1383" s="80" t="str">
        <f>IF(A1383="","",'List Setup'!$A$7)</f>
        <v/>
      </c>
      <c r="R1383" s="80" t="str">
        <f t="array" ref="R1383">IF(A1383="","",IFERROR(OR(INDEX(Binders!$J$6:$J$30,MATCH(Q1383,Binders!$I$6:$I$30,0))=TRUE(),UPPER(INDEX(Binders!$J$6:$J$30,MATCH(Q1383,Binders!$I$6:$I$30,0))&amp;"")="TRUE"),FALSE()))</f>
        <v/>
      </c>
    </row>
    <row r="1384" ht="15.75" customHeight="1">
      <c r="A1384" s="80" t="str">
        <f t="array" ref="A1384">IF(INDEX('Deck 5'!$A:$Z,ROW()-1250,'List Setup'!$D$7)="","",INDEX('Deck 5'!$A:$Z,ROW()-1250,'List Setup'!$D$7))</f>
        <v/>
      </c>
      <c r="B1384" s="80" t="str">
        <f t="array" ref="B1384">IF(A1384="","",IFERROR(INDEX('Binder Setup'!$B$2:$B$401,MIN(IF(ISNUMBER(SEARCH(CHAR(10)&amp;'Binder Setup'!$B$2:$B$401&amp;CHAR(10),$H1384)),'List Setup'!$Q$2:$Q$401,999),IF(ISNUMBER(SEARCH(CHAR(10)&amp;'Set Aliases'!$A$2:$A$501&amp;CHAR(10),$H1384)),'Set Aliases'!$C$2:$C$501,999))),"(none)"))</f>
        <v/>
      </c>
      <c r="C1384" s="80" t="str">
        <f t="shared" si="1"/>
        <v/>
      </c>
      <c r="D1384" s="80" t="str">
        <f t="array" ref="D1384">IF(A1384="","",IF(ISLOGICAL(INDEX('Deck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84" s="80" t="str">
        <f t="shared" si="2"/>
        <v/>
      </c>
      <c r="F1384" s="80" t="str">
        <f t="array" ref="F1384">IF(A1384="","",IF(ISNUMBER(J1384),J1384,IF(ISNUMBER(INDEX('Deck 5'!$A:$Z,ROW()-1250,'List Setup'!$F$7)),INDEX('Deck 5'!$A:$Z,ROW()-1250,'List Setup'!$F$7),0)))</f>
        <v/>
      </c>
      <c r="G1384" s="80" t="str">
        <f t="array" ref="G1384">IF(A1384="","",A1384&amp;IF(N(INDEX('Deck 5'!$A:$Z,ROW()-1250,'List Setup'!$C$7))&gt;1," (x"&amp;INDEX('Deck 5'!$A:$Z,ROW()-1250,'List Setup'!$C$7)&amp;")","")&amp;IF(COUNTIF(Binders!$J$6:$J$30,TRUE())&gt;1," ["&amp;Q1384&amp;"]",""))</f>
        <v/>
      </c>
      <c r="H1384" s="80" t="str">
        <f t="array" ref="H1384">IF(A1384="","",CHAR(10)&amp;INDEX('Deck 5'!$A:$Z,ROW()-1250,'List Setup'!$E$7)&amp;CHAR(10))</f>
        <v/>
      </c>
      <c r="I1384" s="80" t="str">
        <f t="array" ref="I1384">IF(OR(B1384="",B1384="(none)"),"",IF(ISNUMBER(SEARCH(CHAR(10)&amp;B1384&amp;CHAR(10),H1384)),B1384,IFERROR(INDEX('Set Aliases'!$A$2:$A$501,MATCH(1,('Set Aliases'!$B$2:$B$501=B1384)*ISNUMBER(SEARCH(CHAR(10)&amp;'Set Aliases'!$A$2:$A$501&amp;CHAR(10),H1384)),0)),"")))</f>
        <v/>
      </c>
      <c r="J1384" s="80" t="str">
        <f t="array" ref="J1384">IF(I1384="","",IFERROR(VALUE(TRIM(MID(SUBSTITUTE(INDEX('Deck 5'!$A:$Z,ROW()-1250,'List Setup'!$G$7),CHAR(10),REPT(" ",100)),((SEARCH(CHAR(10)&amp;I1384&amp;CHAR(10),H1384)-LEN(SUBSTITUTE(LEFT(H1384,SEARCH(CHAR(10)&amp;I1384&amp;CHAR(10),H1384)),CHAR(10),"")))-1)*100+1,100))),""))</f>
        <v/>
      </c>
      <c r="K1384" s="80" t="str">
        <f t="array" ref="K1384">IF(A1384="","",IF(ISNUMBER(SEARCH("Land",LEFT(IFERROR(INDEX('Deck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84" s="80" t="str">
        <f t="shared" si="3"/>
        <v/>
      </c>
      <c r="M1384" s="80" t="str">
        <f>IF(A1384="","",IF(AND(E1384="Y",B1384='Use at Shop'!$B$4),K1384*10000000000+(MAX(0,MIN(26,CODE(MID(UPPER(A1384)&amp;"    ",1,1))-64))*19683+MAX(0,MIN(26,CODE(MID(UPPER(A1384)&amp;"    ",2,1))-64))*729+MAX(0,MIN(26,CODE(MID(UPPER(A1384)&amp;"    ",3,1))-64))*27+MAX(0,MIN(26,CODE(MID(UPPER(A1384)&amp;"    ",4,1))-64))*1)*10000+ROW(),""))</f>
        <v/>
      </c>
      <c r="N1384" s="80" t="str">
        <f t="shared" si="9"/>
        <v/>
      </c>
      <c r="O1384" s="80" t="str">
        <f t="array" ref="O1384">IF(A1384="","",IFERROR(INDEX('Deck 5'!$A:$Z,ROW()-1250,'List Setup'!$J$7)&amp;"",""))</f>
        <v/>
      </c>
      <c r="P1384" s="2"/>
      <c r="Q1384" s="80" t="str">
        <f>IF(A1384="","",'List Setup'!$A$7)</f>
        <v/>
      </c>
      <c r="R1384" s="80" t="str">
        <f t="array" ref="R1384">IF(A1384="","",IFERROR(OR(INDEX(Binders!$J$6:$J$30,MATCH(Q1384,Binders!$I$6:$I$30,0))=TRUE(),UPPER(INDEX(Binders!$J$6:$J$30,MATCH(Q1384,Binders!$I$6:$I$30,0))&amp;"")="TRUE"),FALSE()))</f>
        <v/>
      </c>
    </row>
    <row r="1385" ht="15.75" customHeight="1">
      <c r="A1385" s="80" t="str">
        <f t="array" ref="A1385">IF(INDEX('Deck 5'!$A:$Z,ROW()-1250,'List Setup'!$D$7)="","",INDEX('Deck 5'!$A:$Z,ROW()-1250,'List Setup'!$D$7))</f>
        <v/>
      </c>
      <c r="B1385" s="80" t="str">
        <f t="array" ref="B1385">IF(A1385="","",IFERROR(INDEX('Binder Setup'!$B$2:$B$401,MIN(IF(ISNUMBER(SEARCH(CHAR(10)&amp;'Binder Setup'!$B$2:$B$401&amp;CHAR(10),$H1385)),'List Setup'!$Q$2:$Q$401,999),IF(ISNUMBER(SEARCH(CHAR(10)&amp;'Set Aliases'!$A$2:$A$501&amp;CHAR(10),$H1385)),'Set Aliases'!$C$2:$C$501,999))),"(none)"))</f>
        <v/>
      </c>
      <c r="C1385" s="80" t="str">
        <f t="shared" si="1"/>
        <v/>
      </c>
      <c r="D1385" s="80" t="str">
        <f t="array" ref="D1385">IF(A1385="","",IF(ISLOGICAL(INDEX('Deck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85" s="80" t="str">
        <f t="shared" si="2"/>
        <v/>
      </c>
      <c r="F1385" s="80" t="str">
        <f t="array" ref="F1385">IF(A1385="","",IF(ISNUMBER(J1385),J1385,IF(ISNUMBER(INDEX('Deck 5'!$A:$Z,ROW()-1250,'List Setup'!$F$7)),INDEX('Deck 5'!$A:$Z,ROW()-1250,'List Setup'!$F$7),0)))</f>
        <v/>
      </c>
      <c r="G1385" s="80" t="str">
        <f t="array" ref="G1385">IF(A1385="","",A1385&amp;IF(N(INDEX('Deck 5'!$A:$Z,ROW()-1250,'List Setup'!$C$7))&gt;1," (x"&amp;INDEX('Deck 5'!$A:$Z,ROW()-1250,'List Setup'!$C$7)&amp;")","")&amp;IF(COUNTIF(Binders!$J$6:$J$30,TRUE())&gt;1," ["&amp;Q1385&amp;"]",""))</f>
        <v/>
      </c>
      <c r="H1385" s="80" t="str">
        <f t="array" ref="H1385">IF(A1385="","",CHAR(10)&amp;INDEX('Deck 5'!$A:$Z,ROW()-1250,'List Setup'!$E$7)&amp;CHAR(10))</f>
        <v/>
      </c>
      <c r="I1385" s="80" t="str">
        <f t="array" ref="I1385">IF(OR(B1385="",B1385="(none)"),"",IF(ISNUMBER(SEARCH(CHAR(10)&amp;B1385&amp;CHAR(10),H1385)),B1385,IFERROR(INDEX('Set Aliases'!$A$2:$A$501,MATCH(1,('Set Aliases'!$B$2:$B$501=B1385)*ISNUMBER(SEARCH(CHAR(10)&amp;'Set Aliases'!$A$2:$A$501&amp;CHAR(10),H1385)),0)),"")))</f>
        <v/>
      </c>
      <c r="J1385" s="80" t="str">
        <f t="array" ref="J1385">IF(I1385="","",IFERROR(VALUE(TRIM(MID(SUBSTITUTE(INDEX('Deck 5'!$A:$Z,ROW()-1250,'List Setup'!$G$7),CHAR(10),REPT(" ",100)),((SEARCH(CHAR(10)&amp;I1385&amp;CHAR(10),H1385)-LEN(SUBSTITUTE(LEFT(H1385,SEARCH(CHAR(10)&amp;I1385&amp;CHAR(10),H1385)),CHAR(10),"")))-1)*100+1,100))),""))</f>
        <v/>
      </c>
      <c r="K1385" s="80" t="str">
        <f t="array" ref="K1385">IF(A1385="","",IF(ISNUMBER(SEARCH("Land",LEFT(IFERROR(INDEX('Deck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85" s="80" t="str">
        <f t="shared" si="3"/>
        <v/>
      </c>
      <c r="M1385" s="80" t="str">
        <f>IF(A1385="","",IF(AND(E1385="Y",B1385='Use at Shop'!$B$4),K1385*10000000000+(MAX(0,MIN(26,CODE(MID(UPPER(A1385)&amp;"    ",1,1))-64))*19683+MAX(0,MIN(26,CODE(MID(UPPER(A1385)&amp;"    ",2,1))-64))*729+MAX(0,MIN(26,CODE(MID(UPPER(A1385)&amp;"    ",3,1))-64))*27+MAX(0,MIN(26,CODE(MID(UPPER(A1385)&amp;"    ",4,1))-64))*1)*10000+ROW(),""))</f>
        <v/>
      </c>
      <c r="N1385" s="80" t="str">
        <f t="shared" si="9"/>
        <v/>
      </c>
      <c r="O1385" s="80" t="str">
        <f t="array" ref="O1385">IF(A1385="","",IFERROR(INDEX('Deck 5'!$A:$Z,ROW()-1250,'List Setup'!$J$7)&amp;"",""))</f>
        <v/>
      </c>
      <c r="P1385" s="2"/>
      <c r="Q1385" s="80" t="str">
        <f>IF(A1385="","",'List Setup'!$A$7)</f>
        <v/>
      </c>
      <c r="R1385" s="80" t="str">
        <f t="array" ref="R1385">IF(A1385="","",IFERROR(OR(INDEX(Binders!$J$6:$J$30,MATCH(Q1385,Binders!$I$6:$I$30,0))=TRUE(),UPPER(INDEX(Binders!$J$6:$J$30,MATCH(Q1385,Binders!$I$6:$I$30,0))&amp;"")="TRUE"),FALSE()))</f>
        <v/>
      </c>
    </row>
    <row r="1386" ht="15.75" customHeight="1">
      <c r="A1386" s="80" t="str">
        <f t="array" ref="A1386">IF(INDEX('Deck 5'!$A:$Z,ROW()-1250,'List Setup'!$D$7)="","",INDEX('Deck 5'!$A:$Z,ROW()-1250,'List Setup'!$D$7))</f>
        <v/>
      </c>
      <c r="B1386" s="80" t="str">
        <f t="array" ref="B1386">IF(A1386="","",IFERROR(INDEX('Binder Setup'!$B$2:$B$401,MIN(IF(ISNUMBER(SEARCH(CHAR(10)&amp;'Binder Setup'!$B$2:$B$401&amp;CHAR(10),$H1386)),'List Setup'!$Q$2:$Q$401,999),IF(ISNUMBER(SEARCH(CHAR(10)&amp;'Set Aliases'!$A$2:$A$501&amp;CHAR(10),$H1386)),'Set Aliases'!$C$2:$C$501,999))),"(none)"))</f>
        <v/>
      </c>
      <c r="C1386" s="80" t="str">
        <f t="shared" si="1"/>
        <v/>
      </c>
      <c r="D1386" s="80" t="str">
        <f t="array" ref="D1386">IF(A1386="","",IF(ISLOGICAL(INDEX('Deck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86" s="80" t="str">
        <f t="shared" si="2"/>
        <v/>
      </c>
      <c r="F1386" s="80" t="str">
        <f t="array" ref="F1386">IF(A1386="","",IF(ISNUMBER(J1386),J1386,IF(ISNUMBER(INDEX('Deck 5'!$A:$Z,ROW()-1250,'List Setup'!$F$7)),INDEX('Deck 5'!$A:$Z,ROW()-1250,'List Setup'!$F$7),0)))</f>
        <v/>
      </c>
      <c r="G1386" s="80" t="str">
        <f t="array" ref="G1386">IF(A1386="","",A1386&amp;IF(N(INDEX('Deck 5'!$A:$Z,ROW()-1250,'List Setup'!$C$7))&gt;1," (x"&amp;INDEX('Deck 5'!$A:$Z,ROW()-1250,'List Setup'!$C$7)&amp;")","")&amp;IF(COUNTIF(Binders!$J$6:$J$30,TRUE())&gt;1," ["&amp;Q1386&amp;"]",""))</f>
        <v/>
      </c>
      <c r="H1386" s="80" t="str">
        <f t="array" ref="H1386">IF(A1386="","",CHAR(10)&amp;INDEX('Deck 5'!$A:$Z,ROW()-1250,'List Setup'!$E$7)&amp;CHAR(10))</f>
        <v/>
      </c>
      <c r="I1386" s="80" t="str">
        <f t="array" ref="I1386">IF(OR(B1386="",B1386="(none)"),"",IF(ISNUMBER(SEARCH(CHAR(10)&amp;B1386&amp;CHAR(10),H1386)),B1386,IFERROR(INDEX('Set Aliases'!$A$2:$A$501,MATCH(1,('Set Aliases'!$B$2:$B$501=B1386)*ISNUMBER(SEARCH(CHAR(10)&amp;'Set Aliases'!$A$2:$A$501&amp;CHAR(10),H1386)),0)),"")))</f>
        <v/>
      </c>
      <c r="J1386" s="80" t="str">
        <f t="array" ref="J1386">IF(I1386="","",IFERROR(VALUE(TRIM(MID(SUBSTITUTE(INDEX('Deck 5'!$A:$Z,ROW()-1250,'List Setup'!$G$7),CHAR(10),REPT(" ",100)),((SEARCH(CHAR(10)&amp;I1386&amp;CHAR(10),H1386)-LEN(SUBSTITUTE(LEFT(H1386,SEARCH(CHAR(10)&amp;I1386&amp;CHAR(10),H1386)),CHAR(10),"")))-1)*100+1,100))),""))</f>
        <v/>
      </c>
      <c r="K1386" s="80" t="str">
        <f t="array" ref="K1386">IF(A1386="","",IF(ISNUMBER(SEARCH("Land",LEFT(IFERROR(INDEX('Deck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86" s="80" t="str">
        <f t="shared" si="3"/>
        <v/>
      </c>
      <c r="M1386" s="80" t="str">
        <f>IF(A1386="","",IF(AND(E1386="Y",B1386='Use at Shop'!$B$4),K1386*10000000000+(MAX(0,MIN(26,CODE(MID(UPPER(A1386)&amp;"    ",1,1))-64))*19683+MAX(0,MIN(26,CODE(MID(UPPER(A1386)&amp;"    ",2,1))-64))*729+MAX(0,MIN(26,CODE(MID(UPPER(A1386)&amp;"    ",3,1))-64))*27+MAX(0,MIN(26,CODE(MID(UPPER(A1386)&amp;"    ",4,1))-64))*1)*10000+ROW(),""))</f>
        <v/>
      </c>
      <c r="N1386" s="80" t="str">
        <f t="shared" si="9"/>
        <v/>
      </c>
      <c r="O1386" s="80" t="str">
        <f t="array" ref="O1386">IF(A1386="","",IFERROR(INDEX('Deck 5'!$A:$Z,ROW()-1250,'List Setup'!$J$7)&amp;"",""))</f>
        <v/>
      </c>
      <c r="P1386" s="2"/>
      <c r="Q1386" s="80" t="str">
        <f>IF(A1386="","",'List Setup'!$A$7)</f>
        <v/>
      </c>
      <c r="R1386" s="80" t="str">
        <f t="array" ref="R1386">IF(A1386="","",IFERROR(OR(INDEX(Binders!$J$6:$J$30,MATCH(Q1386,Binders!$I$6:$I$30,0))=TRUE(),UPPER(INDEX(Binders!$J$6:$J$30,MATCH(Q1386,Binders!$I$6:$I$30,0))&amp;"")="TRUE"),FALSE()))</f>
        <v/>
      </c>
    </row>
    <row r="1387" ht="15.75" customHeight="1">
      <c r="A1387" s="80" t="str">
        <f t="array" ref="A1387">IF(INDEX('Deck 5'!$A:$Z,ROW()-1250,'List Setup'!$D$7)="","",INDEX('Deck 5'!$A:$Z,ROW()-1250,'List Setup'!$D$7))</f>
        <v/>
      </c>
      <c r="B1387" s="80" t="str">
        <f t="array" ref="B1387">IF(A1387="","",IFERROR(INDEX('Binder Setup'!$B$2:$B$401,MIN(IF(ISNUMBER(SEARCH(CHAR(10)&amp;'Binder Setup'!$B$2:$B$401&amp;CHAR(10),$H1387)),'List Setup'!$Q$2:$Q$401,999),IF(ISNUMBER(SEARCH(CHAR(10)&amp;'Set Aliases'!$A$2:$A$501&amp;CHAR(10),$H1387)),'Set Aliases'!$C$2:$C$501,999))),"(none)"))</f>
        <v/>
      </c>
      <c r="C1387" s="80" t="str">
        <f t="shared" si="1"/>
        <v/>
      </c>
      <c r="D1387" s="80" t="str">
        <f t="array" ref="D1387">IF(A1387="","",IF(ISLOGICAL(INDEX('Deck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87" s="80" t="str">
        <f t="shared" si="2"/>
        <v/>
      </c>
      <c r="F1387" s="80" t="str">
        <f t="array" ref="F1387">IF(A1387="","",IF(ISNUMBER(J1387),J1387,IF(ISNUMBER(INDEX('Deck 5'!$A:$Z,ROW()-1250,'List Setup'!$F$7)),INDEX('Deck 5'!$A:$Z,ROW()-1250,'List Setup'!$F$7),0)))</f>
        <v/>
      </c>
      <c r="G1387" s="80" t="str">
        <f t="array" ref="G1387">IF(A1387="","",A1387&amp;IF(N(INDEX('Deck 5'!$A:$Z,ROW()-1250,'List Setup'!$C$7))&gt;1," (x"&amp;INDEX('Deck 5'!$A:$Z,ROW()-1250,'List Setup'!$C$7)&amp;")","")&amp;IF(COUNTIF(Binders!$J$6:$J$30,TRUE())&gt;1," ["&amp;Q1387&amp;"]",""))</f>
        <v/>
      </c>
      <c r="H1387" s="80" t="str">
        <f t="array" ref="H1387">IF(A1387="","",CHAR(10)&amp;INDEX('Deck 5'!$A:$Z,ROW()-1250,'List Setup'!$E$7)&amp;CHAR(10))</f>
        <v/>
      </c>
      <c r="I1387" s="80" t="str">
        <f t="array" ref="I1387">IF(OR(B1387="",B1387="(none)"),"",IF(ISNUMBER(SEARCH(CHAR(10)&amp;B1387&amp;CHAR(10),H1387)),B1387,IFERROR(INDEX('Set Aliases'!$A$2:$A$501,MATCH(1,('Set Aliases'!$B$2:$B$501=B1387)*ISNUMBER(SEARCH(CHAR(10)&amp;'Set Aliases'!$A$2:$A$501&amp;CHAR(10),H1387)),0)),"")))</f>
        <v/>
      </c>
      <c r="J1387" s="80" t="str">
        <f t="array" ref="J1387">IF(I1387="","",IFERROR(VALUE(TRIM(MID(SUBSTITUTE(INDEX('Deck 5'!$A:$Z,ROW()-1250,'List Setup'!$G$7),CHAR(10),REPT(" ",100)),((SEARCH(CHAR(10)&amp;I1387&amp;CHAR(10),H1387)-LEN(SUBSTITUTE(LEFT(H1387,SEARCH(CHAR(10)&amp;I1387&amp;CHAR(10),H1387)),CHAR(10),"")))-1)*100+1,100))),""))</f>
        <v/>
      </c>
      <c r="K1387" s="80" t="str">
        <f t="array" ref="K1387">IF(A1387="","",IF(ISNUMBER(SEARCH("Land",LEFT(IFERROR(INDEX('Deck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87" s="80" t="str">
        <f t="shared" si="3"/>
        <v/>
      </c>
      <c r="M1387" s="80" t="str">
        <f>IF(A1387="","",IF(AND(E1387="Y",B1387='Use at Shop'!$B$4),K1387*10000000000+(MAX(0,MIN(26,CODE(MID(UPPER(A1387)&amp;"    ",1,1))-64))*19683+MAX(0,MIN(26,CODE(MID(UPPER(A1387)&amp;"    ",2,1))-64))*729+MAX(0,MIN(26,CODE(MID(UPPER(A1387)&amp;"    ",3,1))-64))*27+MAX(0,MIN(26,CODE(MID(UPPER(A1387)&amp;"    ",4,1))-64))*1)*10000+ROW(),""))</f>
        <v/>
      </c>
      <c r="N1387" s="80" t="str">
        <f t="shared" si="9"/>
        <v/>
      </c>
      <c r="O1387" s="80" t="str">
        <f t="array" ref="O1387">IF(A1387="","",IFERROR(INDEX('Deck 5'!$A:$Z,ROW()-1250,'List Setup'!$J$7)&amp;"",""))</f>
        <v/>
      </c>
      <c r="P1387" s="2"/>
      <c r="Q1387" s="80" t="str">
        <f>IF(A1387="","",'List Setup'!$A$7)</f>
        <v/>
      </c>
      <c r="R1387" s="80" t="str">
        <f t="array" ref="R1387">IF(A1387="","",IFERROR(OR(INDEX(Binders!$J$6:$J$30,MATCH(Q1387,Binders!$I$6:$I$30,0))=TRUE(),UPPER(INDEX(Binders!$J$6:$J$30,MATCH(Q1387,Binders!$I$6:$I$30,0))&amp;"")="TRUE"),FALSE()))</f>
        <v/>
      </c>
    </row>
    <row r="1388" ht="15.75" customHeight="1">
      <c r="A1388" s="80" t="str">
        <f t="array" ref="A1388">IF(INDEX('Deck 5'!$A:$Z,ROW()-1250,'List Setup'!$D$7)="","",INDEX('Deck 5'!$A:$Z,ROW()-1250,'List Setup'!$D$7))</f>
        <v/>
      </c>
      <c r="B1388" s="80" t="str">
        <f t="array" ref="B1388">IF(A1388="","",IFERROR(INDEX('Binder Setup'!$B$2:$B$401,MIN(IF(ISNUMBER(SEARCH(CHAR(10)&amp;'Binder Setup'!$B$2:$B$401&amp;CHAR(10),$H1388)),'List Setup'!$Q$2:$Q$401,999),IF(ISNUMBER(SEARCH(CHAR(10)&amp;'Set Aliases'!$A$2:$A$501&amp;CHAR(10),$H1388)),'Set Aliases'!$C$2:$C$501,999))),"(none)"))</f>
        <v/>
      </c>
      <c r="C1388" s="80" t="str">
        <f t="shared" si="1"/>
        <v/>
      </c>
      <c r="D1388" s="80" t="str">
        <f t="array" ref="D1388">IF(A1388="","",IF(ISLOGICAL(INDEX('Deck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88" s="80" t="str">
        <f t="shared" si="2"/>
        <v/>
      </c>
      <c r="F1388" s="80" t="str">
        <f t="array" ref="F1388">IF(A1388="","",IF(ISNUMBER(J1388),J1388,IF(ISNUMBER(INDEX('Deck 5'!$A:$Z,ROW()-1250,'List Setup'!$F$7)),INDEX('Deck 5'!$A:$Z,ROW()-1250,'List Setup'!$F$7),0)))</f>
        <v/>
      </c>
      <c r="G1388" s="80" t="str">
        <f t="array" ref="G1388">IF(A1388="","",A1388&amp;IF(N(INDEX('Deck 5'!$A:$Z,ROW()-1250,'List Setup'!$C$7))&gt;1," (x"&amp;INDEX('Deck 5'!$A:$Z,ROW()-1250,'List Setup'!$C$7)&amp;")","")&amp;IF(COUNTIF(Binders!$J$6:$J$30,TRUE())&gt;1," ["&amp;Q1388&amp;"]",""))</f>
        <v/>
      </c>
      <c r="H1388" s="80" t="str">
        <f t="array" ref="H1388">IF(A1388="","",CHAR(10)&amp;INDEX('Deck 5'!$A:$Z,ROW()-1250,'List Setup'!$E$7)&amp;CHAR(10))</f>
        <v/>
      </c>
      <c r="I1388" s="80" t="str">
        <f t="array" ref="I1388">IF(OR(B1388="",B1388="(none)"),"",IF(ISNUMBER(SEARCH(CHAR(10)&amp;B1388&amp;CHAR(10),H1388)),B1388,IFERROR(INDEX('Set Aliases'!$A$2:$A$501,MATCH(1,('Set Aliases'!$B$2:$B$501=B1388)*ISNUMBER(SEARCH(CHAR(10)&amp;'Set Aliases'!$A$2:$A$501&amp;CHAR(10),H1388)),0)),"")))</f>
        <v/>
      </c>
      <c r="J1388" s="80" t="str">
        <f t="array" ref="J1388">IF(I1388="","",IFERROR(VALUE(TRIM(MID(SUBSTITUTE(INDEX('Deck 5'!$A:$Z,ROW()-1250,'List Setup'!$G$7),CHAR(10),REPT(" ",100)),((SEARCH(CHAR(10)&amp;I1388&amp;CHAR(10),H1388)-LEN(SUBSTITUTE(LEFT(H1388,SEARCH(CHAR(10)&amp;I1388&amp;CHAR(10),H1388)),CHAR(10),"")))-1)*100+1,100))),""))</f>
        <v/>
      </c>
      <c r="K1388" s="80" t="str">
        <f t="array" ref="K1388">IF(A1388="","",IF(ISNUMBER(SEARCH("Land",LEFT(IFERROR(INDEX('Deck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88" s="80" t="str">
        <f t="shared" si="3"/>
        <v/>
      </c>
      <c r="M1388" s="80" t="str">
        <f>IF(A1388="","",IF(AND(E1388="Y",B1388='Use at Shop'!$B$4),K1388*10000000000+(MAX(0,MIN(26,CODE(MID(UPPER(A1388)&amp;"    ",1,1))-64))*19683+MAX(0,MIN(26,CODE(MID(UPPER(A1388)&amp;"    ",2,1))-64))*729+MAX(0,MIN(26,CODE(MID(UPPER(A1388)&amp;"    ",3,1))-64))*27+MAX(0,MIN(26,CODE(MID(UPPER(A1388)&amp;"    ",4,1))-64))*1)*10000+ROW(),""))</f>
        <v/>
      </c>
      <c r="N1388" s="80" t="str">
        <f t="shared" si="9"/>
        <v/>
      </c>
      <c r="O1388" s="80" t="str">
        <f t="array" ref="O1388">IF(A1388="","",IFERROR(INDEX('Deck 5'!$A:$Z,ROW()-1250,'List Setup'!$J$7)&amp;"",""))</f>
        <v/>
      </c>
      <c r="P1388" s="2"/>
      <c r="Q1388" s="80" t="str">
        <f>IF(A1388="","",'List Setup'!$A$7)</f>
        <v/>
      </c>
      <c r="R1388" s="80" t="str">
        <f t="array" ref="R1388">IF(A1388="","",IFERROR(OR(INDEX(Binders!$J$6:$J$30,MATCH(Q1388,Binders!$I$6:$I$30,0))=TRUE(),UPPER(INDEX(Binders!$J$6:$J$30,MATCH(Q1388,Binders!$I$6:$I$30,0))&amp;"")="TRUE"),FALSE()))</f>
        <v/>
      </c>
    </row>
    <row r="1389" ht="15.75" customHeight="1">
      <c r="A1389" s="80" t="str">
        <f t="array" ref="A1389">IF(INDEX('Deck 5'!$A:$Z,ROW()-1250,'List Setup'!$D$7)="","",INDEX('Deck 5'!$A:$Z,ROW()-1250,'List Setup'!$D$7))</f>
        <v/>
      </c>
      <c r="B1389" s="80" t="str">
        <f t="array" ref="B1389">IF(A1389="","",IFERROR(INDEX('Binder Setup'!$B$2:$B$401,MIN(IF(ISNUMBER(SEARCH(CHAR(10)&amp;'Binder Setup'!$B$2:$B$401&amp;CHAR(10),$H1389)),'List Setup'!$Q$2:$Q$401,999),IF(ISNUMBER(SEARCH(CHAR(10)&amp;'Set Aliases'!$A$2:$A$501&amp;CHAR(10),$H1389)),'Set Aliases'!$C$2:$C$501,999))),"(none)"))</f>
        <v/>
      </c>
      <c r="C1389" s="80" t="str">
        <f t="shared" si="1"/>
        <v/>
      </c>
      <c r="D1389" s="80" t="str">
        <f t="array" ref="D1389">IF(A1389="","",IF(ISLOGICAL(INDEX('Deck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89" s="80" t="str">
        <f t="shared" si="2"/>
        <v/>
      </c>
      <c r="F1389" s="80" t="str">
        <f t="array" ref="F1389">IF(A1389="","",IF(ISNUMBER(J1389),J1389,IF(ISNUMBER(INDEX('Deck 5'!$A:$Z,ROW()-1250,'List Setup'!$F$7)),INDEX('Deck 5'!$A:$Z,ROW()-1250,'List Setup'!$F$7),0)))</f>
        <v/>
      </c>
      <c r="G1389" s="80" t="str">
        <f t="array" ref="G1389">IF(A1389="","",A1389&amp;IF(N(INDEX('Deck 5'!$A:$Z,ROW()-1250,'List Setup'!$C$7))&gt;1," (x"&amp;INDEX('Deck 5'!$A:$Z,ROW()-1250,'List Setup'!$C$7)&amp;")","")&amp;IF(COUNTIF(Binders!$J$6:$J$30,TRUE())&gt;1," ["&amp;Q1389&amp;"]",""))</f>
        <v/>
      </c>
      <c r="H1389" s="80" t="str">
        <f t="array" ref="H1389">IF(A1389="","",CHAR(10)&amp;INDEX('Deck 5'!$A:$Z,ROW()-1250,'List Setup'!$E$7)&amp;CHAR(10))</f>
        <v/>
      </c>
      <c r="I1389" s="80" t="str">
        <f t="array" ref="I1389">IF(OR(B1389="",B1389="(none)"),"",IF(ISNUMBER(SEARCH(CHAR(10)&amp;B1389&amp;CHAR(10),H1389)),B1389,IFERROR(INDEX('Set Aliases'!$A$2:$A$501,MATCH(1,('Set Aliases'!$B$2:$B$501=B1389)*ISNUMBER(SEARCH(CHAR(10)&amp;'Set Aliases'!$A$2:$A$501&amp;CHAR(10),H1389)),0)),"")))</f>
        <v/>
      </c>
      <c r="J1389" s="80" t="str">
        <f t="array" ref="J1389">IF(I1389="","",IFERROR(VALUE(TRIM(MID(SUBSTITUTE(INDEX('Deck 5'!$A:$Z,ROW()-1250,'List Setup'!$G$7),CHAR(10),REPT(" ",100)),((SEARCH(CHAR(10)&amp;I1389&amp;CHAR(10),H1389)-LEN(SUBSTITUTE(LEFT(H1389,SEARCH(CHAR(10)&amp;I1389&amp;CHAR(10),H1389)),CHAR(10),"")))-1)*100+1,100))),""))</f>
        <v/>
      </c>
      <c r="K1389" s="80" t="str">
        <f t="array" ref="K1389">IF(A1389="","",IF(ISNUMBER(SEARCH("Land",LEFT(IFERROR(INDEX('Deck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89" s="80" t="str">
        <f t="shared" si="3"/>
        <v/>
      </c>
      <c r="M1389" s="80" t="str">
        <f>IF(A1389="","",IF(AND(E1389="Y",B1389='Use at Shop'!$B$4),K1389*10000000000+(MAX(0,MIN(26,CODE(MID(UPPER(A1389)&amp;"    ",1,1))-64))*19683+MAX(0,MIN(26,CODE(MID(UPPER(A1389)&amp;"    ",2,1))-64))*729+MAX(0,MIN(26,CODE(MID(UPPER(A1389)&amp;"    ",3,1))-64))*27+MAX(0,MIN(26,CODE(MID(UPPER(A1389)&amp;"    ",4,1))-64))*1)*10000+ROW(),""))</f>
        <v/>
      </c>
      <c r="N1389" s="80" t="str">
        <f t="shared" si="9"/>
        <v/>
      </c>
      <c r="O1389" s="80" t="str">
        <f t="array" ref="O1389">IF(A1389="","",IFERROR(INDEX('Deck 5'!$A:$Z,ROW()-1250,'List Setup'!$J$7)&amp;"",""))</f>
        <v/>
      </c>
      <c r="P1389" s="2"/>
      <c r="Q1389" s="80" t="str">
        <f>IF(A1389="","",'List Setup'!$A$7)</f>
        <v/>
      </c>
      <c r="R1389" s="80" t="str">
        <f t="array" ref="R1389">IF(A1389="","",IFERROR(OR(INDEX(Binders!$J$6:$J$30,MATCH(Q1389,Binders!$I$6:$I$30,0))=TRUE(),UPPER(INDEX(Binders!$J$6:$J$30,MATCH(Q1389,Binders!$I$6:$I$30,0))&amp;"")="TRUE"),FALSE()))</f>
        <v/>
      </c>
    </row>
    <row r="1390" ht="15.75" customHeight="1">
      <c r="A1390" s="80" t="str">
        <f t="array" ref="A1390">IF(INDEX('Deck 5'!$A:$Z,ROW()-1250,'List Setup'!$D$7)="","",INDEX('Deck 5'!$A:$Z,ROW()-1250,'List Setup'!$D$7))</f>
        <v/>
      </c>
      <c r="B1390" s="80" t="str">
        <f t="array" ref="B1390">IF(A1390="","",IFERROR(INDEX('Binder Setup'!$B$2:$B$401,MIN(IF(ISNUMBER(SEARCH(CHAR(10)&amp;'Binder Setup'!$B$2:$B$401&amp;CHAR(10),$H1390)),'List Setup'!$Q$2:$Q$401,999),IF(ISNUMBER(SEARCH(CHAR(10)&amp;'Set Aliases'!$A$2:$A$501&amp;CHAR(10),$H1390)),'Set Aliases'!$C$2:$C$501,999))),"(none)"))</f>
        <v/>
      </c>
      <c r="C1390" s="80" t="str">
        <f t="shared" si="1"/>
        <v/>
      </c>
      <c r="D1390" s="80" t="str">
        <f t="array" ref="D1390">IF(A1390="","",IF(ISLOGICAL(INDEX('Deck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90" s="80" t="str">
        <f t="shared" si="2"/>
        <v/>
      </c>
      <c r="F1390" s="80" t="str">
        <f t="array" ref="F1390">IF(A1390="","",IF(ISNUMBER(J1390),J1390,IF(ISNUMBER(INDEX('Deck 5'!$A:$Z,ROW()-1250,'List Setup'!$F$7)),INDEX('Deck 5'!$A:$Z,ROW()-1250,'List Setup'!$F$7),0)))</f>
        <v/>
      </c>
      <c r="G1390" s="80" t="str">
        <f t="array" ref="G1390">IF(A1390="","",A1390&amp;IF(N(INDEX('Deck 5'!$A:$Z,ROW()-1250,'List Setup'!$C$7))&gt;1," (x"&amp;INDEX('Deck 5'!$A:$Z,ROW()-1250,'List Setup'!$C$7)&amp;")","")&amp;IF(COUNTIF(Binders!$J$6:$J$30,TRUE())&gt;1," ["&amp;Q1390&amp;"]",""))</f>
        <v/>
      </c>
      <c r="H1390" s="80" t="str">
        <f t="array" ref="H1390">IF(A1390="","",CHAR(10)&amp;INDEX('Deck 5'!$A:$Z,ROW()-1250,'List Setup'!$E$7)&amp;CHAR(10))</f>
        <v/>
      </c>
      <c r="I1390" s="80" t="str">
        <f t="array" ref="I1390">IF(OR(B1390="",B1390="(none)"),"",IF(ISNUMBER(SEARCH(CHAR(10)&amp;B1390&amp;CHAR(10),H1390)),B1390,IFERROR(INDEX('Set Aliases'!$A$2:$A$501,MATCH(1,('Set Aliases'!$B$2:$B$501=B1390)*ISNUMBER(SEARCH(CHAR(10)&amp;'Set Aliases'!$A$2:$A$501&amp;CHAR(10),H1390)),0)),"")))</f>
        <v/>
      </c>
      <c r="J1390" s="80" t="str">
        <f t="array" ref="J1390">IF(I1390="","",IFERROR(VALUE(TRIM(MID(SUBSTITUTE(INDEX('Deck 5'!$A:$Z,ROW()-1250,'List Setup'!$G$7),CHAR(10),REPT(" ",100)),((SEARCH(CHAR(10)&amp;I1390&amp;CHAR(10),H1390)-LEN(SUBSTITUTE(LEFT(H1390,SEARCH(CHAR(10)&amp;I1390&amp;CHAR(10),H1390)),CHAR(10),"")))-1)*100+1,100))),""))</f>
        <v/>
      </c>
      <c r="K1390" s="80" t="str">
        <f t="array" ref="K1390">IF(A1390="","",IF(ISNUMBER(SEARCH("Land",LEFT(IFERROR(INDEX('Deck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90" s="80" t="str">
        <f t="shared" si="3"/>
        <v/>
      </c>
      <c r="M1390" s="80" t="str">
        <f>IF(A1390="","",IF(AND(E1390="Y",B1390='Use at Shop'!$B$4),K1390*10000000000+(MAX(0,MIN(26,CODE(MID(UPPER(A1390)&amp;"    ",1,1))-64))*19683+MAX(0,MIN(26,CODE(MID(UPPER(A1390)&amp;"    ",2,1))-64))*729+MAX(0,MIN(26,CODE(MID(UPPER(A1390)&amp;"    ",3,1))-64))*27+MAX(0,MIN(26,CODE(MID(UPPER(A1390)&amp;"    ",4,1))-64))*1)*10000+ROW(),""))</f>
        <v/>
      </c>
      <c r="N1390" s="80" t="str">
        <f t="shared" si="9"/>
        <v/>
      </c>
      <c r="O1390" s="80" t="str">
        <f t="array" ref="O1390">IF(A1390="","",IFERROR(INDEX('Deck 5'!$A:$Z,ROW()-1250,'List Setup'!$J$7)&amp;"",""))</f>
        <v/>
      </c>
      <c r="P1390" s="2"/>
      <c r="Q1390" s="80" t="str">
        <f>IF(A1390="","",'List Setup'!$A$7)</f>
        <v/>
      </c>
      <c r="R1390" s="80" t="str">
        <f t="array" ref="R1390">IF(A1390="","",IFERROR(OR(INDEX(Binders!$J$6:$J$30,MATCH(Q1390,Binders!$I$6:$I$30,0))=TRUE(),UPPER(INDEX(Binders!$J$6:$J$30,MATCH(Q1390,Binders!$I$6:$I$30,0))&amp;"")="TRUE"),FALSE()))</f>
        <v/>
      </c>
    </row>
    <row r="1391" ht="15.75" customHeight="1">
      <c r="A1391" s="80" t="str">
        <f t="array" ref="A1391">IF(INDEX('Deck 5'!$A:$Z,ROW()-1250,'List Setup'!$D$7)="","",INDEX('Deck 5'!$A:$Z,ROW()-1250,'List Setup'!$D$7))</f>
        <v/>
      </c>
      <c r="B1391" s="80" t="str">
        <f t="array" ref="B1391">IF(A1391="","",IFERROR(INDEX('Binder Setup'!$B$2:$B$401,MIN(IF(ISNUMBER(SEARCH(CHAR(10)&amp;'Binder Setup'!$B$2:$B$401&amp;CHAR(10),$H1391)),'List Setup'!$Q$2:$Q$401,999),IF(ISNUMBER(SEARCH(CHAR(10)&amp;'Set Aliases'!$A$2:$A$501&amp;CHAR(10),$H1391)),'Set Aliases'!$C$2:$C$501,999))),"(none)"))</f>
        <v/>
      </c>
      <c r="C1391" s="80" t="str">
        <f t="shared" si="1"/>
        <v/>
      </c>
      <c r="D1391" s="80" t="str">
        <f t="array" ref="D1391">IF(A1391="","",IF(ISLOGICAL(INDEX('Deck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91" s="80" t="str">
        <f t="shared" si="2"/>
        <v/>
      </c>
      <c r="F1391" s="80" t="str">
        <f t="array" ref="F1391">IF(A1391="","",IF(ISNUMBER(J1391),J1391,IF(ISNUMBER(INDEX('Deck 5'!$A:$Z,ROW()-1250,'List Setup'!$F$7)),INDEX('Deck 5'!$A:$Z,ROW()-1250,'List Setup'!$F$7),0)))</f>
        <v/>
      </c>
      <c r="G1391" s="80" t="str">
        <f t="array" ref="G1391">IF(A1391="","",A1391&amp;IF(N(INDEX('Deck 5'!$A:$Z,ROW()-1250,'List Setup'!$C$7))&gt;1," (x"&amp;INDEX('Deck 5'!$A:$Z,ROW()-1250,'List Setup'!$C$7)&amp;")","")&amp;IF(COUNTIF(Binders!$J$6:$J$30,TRUE())&gt;1," ["&amp;Q1391&amp;"]",""))</f>
        <v/>
      </c>
      <c r="H1391" s="80" t="str">
        <f t="array" ref="H1391">IF(A1391="","",CHAR(10)&amp;INDEX('Deck 5'!$A:$Z,ROW()-1250,'List Setup'!$E$7)&amp;CHAR(10))</f>
        <v/>
      </c>
      <c r="I1391" s="80" t="str">
        <f t="array" ref="I1391">IF(OR(B1391="",B1391="(none)"),"",IF(ISNUMBER(SEARCH(CHAR(10)&amp;B1391&amp;CHAR(10),H1391)),B1391,IFERROR(INDEX('Set Aliases'!$A$2:$A$501,MATCH(1,('Set Aliases'!$B$2:$B$501=B1391)*ISNUMBER(SEARCH(CHAR(10)&amp;'Set Aliases'!$A$2:$A$501&amp;CHAR(10),H1391)),0)),"")))</f>
        <v/>
      </c>
      <c r="J1391" s="80" t="str">
        <f t="array" ref="J1391">IF(I1391="","",IFERROR(VALUE(TRIM(MID(SUBSTITUTE(INDEX('Deck 5'!$A:$Z,ROW()-1250,'List Setup'!$G$7),CHAR(10),REPT(" ",100)),((SEARCH(CHAR(10)&amp;I1391&amp;CHAR(10),H1391)-LEN(SUBSTITUTE(LEFT(H1391,SEARCH(CHAR(10)&amp;I1391&amp;CHAR(10),H1391)),CHAR(10),"")))-1)*100+1,100))),""))</f>
        <v/>
      </c>
      <c r="K1391" s="80" t="str">
        <f t="array" ref="K1391">IF(A1391="","",IF(ISNUMBER(SEARCH("Land",LEFT(IFERROR(INDEX('Deck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91" s="80" t="str">
        <f t="shared" si="3"/>
        <v/>
      </c>
      <c r="M1391" s="80" t="str">
        <f>IF(A1391="","",IF(AND(E1391="Y",B1391='Use at Shop'!$B$4),K1391*10000000000+(MAX(0,MIN(26,CODE(MID(UPPER(A1391)&amp;"    ",1,1))-64))*19683+MAX(0,MIN(26,CODE(MID(UPPER(A1391)&amp;"    ",2,1))-64))*729+MAX(0,MIN(26,CODE(MID(UPPER(A1391)&amp;"    ",3,1))-64))*27+MAX(0,MIN(26,CODE(MID(UPPER(A1391)&amp;"    ",4,1))-64))*1)*10000+ROW(),""))</f>
        <v/>
      </c>
      <c r="N1391" s="80" t="str">
        <f t="shared" si="9"/>
        <v/>
      </c>
      <c r="O1391" s="80" t="str">
        <f t="array" ref="O1391">IF(A1391="","",IFERROR(INDEX('Deck 5'!$A:$Z,ROW()-1250,'List Setup'!$J$7)&amp;"",""))</f>
        <v/>
      </c>
      <c r="P1391" s="2"/>
      <c r="Q1391" s="80" t="str">
        <f>IF(A1391="","",'List Setup'!$A$7)</f>
        <v/>
      </c>
      <c r="R1391" s="80" t="str">
        <f t="array" ref="R1391">IF(A1391="","",IFERROR(OR(INDEX(Binders!$J$6:$J$30,MATCH(Q1391,Binders!$I$6:$I$30,0))=TRUE(),UPPER(INDEX(Binders!$J$6:$J$30,MATCH(Q1391,Binders!$I$6:$I$30,0))&amp;"")="TRUE"),FALSE()))</f>
        <v/>
      </c>
    </row>
    <row r="1392" ht="15.75" customHeight="1">
      <c r="A1392" s="80" t="str">
        <f t="array" ref="A1392">IF(INDEX('Deck 5'!$A:$Z,ROW()-1250,'List Setup'!$D$7)="","",INDEX('Deck 5'!$A:$Z,ROW()-1250,'List Setup'!$D$7))</f>
        <v/>
      </c>
      <c r="B1392" s="80" t="str">
        <f t="array" ref="B1392">IF(A1392="","",IFERROR(INDEX('Binder Setup'!$B$2:$B$401,MIN(IF(ISNUMBER(SEARCH(CHAR(10)&amp;'Binder Setup'!$B$2:$B$401&amp;CHAR(10),$H1392)),'List Setup'!$Q$2:$Q$401,999),IF(ISNUMBER(SEARCH(CHAR(10)&amp;'Set Aliases'!$A$2:$A$501&amp;CHAR(10),$H1392)),'Set Aliases'!$C$2:$C$501,999))),"(none)"))</f>
        <v/>
      </c>
      <c r="C1392" s="80" t="str">
        <f t="shared" si="1"/>
        <v/>
      </c>
      <c r="D1392" s="80" t="str">
        <f t="array" ref="D1392">IF(A1392="","",IF(ISLOGICAL(INDEX('Deck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92" s="80" t="str">
        <f t="shared" si="2"/>
        <v/>
      </c>
      <c r="F1392" s="80" t="str">
        <f t="array" ref="F1392">IF(A1392="","",IF(ISNUMBER(J1392),J1392,IF(ISNUMBER(INDEX('Deck 5'!$A:$Z,ROW()-1250,'List Setup'!$F$7)),INDEX('Deck 5'!$A:$Z,ROW()-1250,'List Setup'!$F$7),0)))</f>
        <v/>
      </c>
      <c r="G1392" s="80" t="str">
        <f t="array" ref="G1392">IF(A1392="","",A1392&amp;IF(N(INDEX('Deck 5'!$A:$Z,ROW()-1250,'List Setup'!$C$7))&gt;1," (x"&amp;INDEX('Deck 5'!$A:$Z,ROW()-1250,'List Setup'!$C$7)&amp;")","")&amp;IF(COUNTIF(Binders!$J$6:$J$30,TRUE())&gt;1," ["&amp;Q1392&amp;"]",""))</f>
        <v/>
      </c>
      <c r="H1392" s="80" t="str">
        <f t="array" ref="H1392">IF(A1392="","",CHAR(10)&amp;INDEX('Deck 5'!$A:$Z,ROW()-1250,'List Setup'!$E$7)&amp;CHAR(10))</f>
        <v/>
      </c>
      <c r="I1392" s="80" t="str">
        <f t="array" ref="I1392">IF(OR(B1392="",B1392="(none)"),"",IF(ISNUMBER(SEARCH(CHAR(10)&amp;B1392&amp;CHAR(10),H1392)),B1392,IFERROR(INDEX('Set Aliases'!$A$2:$A$501,MATCH(1,('Set Aliases'!$B$2:$B$501=B1392)*ISNUMBER(SEARCH(CHAR(10)&amp;'Set Aliases'!$A$2:$A$501&amp;CHAR(10),H1392)),0)),"")))</f>
        <v/>
      </c>
      <c r="J1392" s="80" t="str">
        <f t="array" ref="J1392">IF(I1392="","",IFERROR(VALUE(TRIM(MID(SUBSTITUTE(INDEX('Deck 5'!$A:$Z,ROW()-1250,'List Setup'!$G$7),CHAR(10),REPT(" ",100)),((SEARCH(CHAR(10)&amp;I1392&amp;CHAR(10),H1392)-LEN(SUBSTITUTE(LEFT(H1392,SEARCH(CHAR(10)&amp;I1392&amp;CHAR(10),H1392)),CHAR(10),"")))-1)*100+1,100))),""))</f>
        <v/>
      </c>
      <c r="K1392" s="80" t="str">
        <f t="array" ref="K1392">IF(A1392="","",IF(ISNUMBER(SEARCH("Land",LEFT(IFERROR(INDEX('Deck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92" s="80" t="str">
        <f t="shared" si="3"/>
        <v/>
      </c>
      <c r="M1392" s="80" t="str">
        <f>IF(A1392="","",IF(AND(E1392="Y",B1392='Use at Shop'!$B$4),K1392*10000000000+(MAX(0,MIN(26,CODE(MID(UPPER(A1392)&amp;"    ",1,1))-64))*19683+MAX(0,MIN(26,CODE(MID(UPPER(A1392)&amp;"    ",2,1))-64))*729+MAX(0,MIN(26,CODE(MID(UPPER(A1392)&amp;"    ",3,1))-64))*27+MAX(0,MIN(26,CODE(MID(UPPER(A1392)&amp;"    ",4,1))-64))*1)*10000+ROW(),""))</f>
        <v/>
      </c>
      <c r="N1392" s="80" t="str">
        <f t="shared" si="9"/>
        <v/>
      </c>
      <c r="O1392" s="80" t="str">
        <f t="array" ref="O1392">IF(A1392="","",IFERROR(INDEX('Deck 5'!$A:$Z,ROW()-1250,'List Setup'!$J$7)&amp;"",""))</f>
        <v/>
      </c>
      <c r="P1392" s="2"/>
      <c r="Q1392" s="80" t="str">
        <f>IF(A1392="","",'List Setup'!$A$7)</f>
        <v/>
      </c>
      <c r="R1392" s="80" t="str">
        <f t="array" ref="R1392">IF(A1392="","",IFERROR(OR(INDEX(Binders!$J$6:$J$30,MATCH(Q1392,Binders!$I$6:$I$30,0))=TRUE(),UPPER(INDEX(Binders!$J$6:$J$30,MATCH(Q1392,Binders!$I$6:$I$30,0))&amp;"")="TRUE"),FALSE()))</f>
        <v/>
      </c>
    </row>
    <row r="1393" ht="15.75" customHeight="1">
      <c r="A1393" s="80" t="str">
        <f t="array" ref="A1393">IF(INDEX('Deck 5'!$A:$Z,ROW()-1250,'List Setup'!$D$7)="","",INDEX('Deck 5'!$A:$Z,ROW()-1250,'List Setup'!$D$7))</f>
        <v/>
      </c>
      <c r="B1393" s="80" t="str">
        <f t="array" ref="B1393">IF(A1393="","",IFERROR(INDEX('Binder Setup'!$B$2:$B$401,MIN(IF(ISNUMBER(SEARCH(CHAR(10)&amp;'Binder Setup'!$B$2:$B$401&amp;CHAR(10),$H1393)),'List Setup'!$Q$2:$Q$401,999),IF(ISNUMBER(SEARCH(CHAR(10)&amp;'Set Aliases'!$A$2:$A$501&amp;CHAR(10),$H1393)),'Set Aliases'!$C$2:$C$501,999))),"(none)"))</f>
        <v/>
      </c>
      <c r="C1393" s="80" t="str">
        <f t="shared" si="1"/>
        <v/>
      </c>
      <c r="D1393" s="80" t="str">
        <f t="array" ref="D1393">IF(A1393="","",IF(ISLOGICAL(INDEX('Deck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93" s="80" t="str">
        <f t="shared" si="2"/>
        <v/>
      </c>
      <c r="F1393" s="80" t="str">
        <f t="array" ref="F1393">IF(A1393="","",IF(ISNUMBER(J1393),J1393,IF(ISNUMBER(INDEX('Deck 5'!$A:$Z,ROW()-1250,'List Setup'!$F$7)),INDEX('Deck 5'!$A:$Z,ROW()-1250,'List Setup'!$F$7),0)))</f>
        <v/>
      </c>
      <c r="G1393" s="80" t="str">
        <f t="array" ref="G1393">IF(A1393="","",A1393&amp;IF(N(INDEX('Deck 5'!$A:$Z,ROW()-1250,'List Setup'!$C$7))&gt;1," (x"&amp;INDEX('Deck 5'!$A:$Z,ROW()-1250,'List Setup'!$C$7)&amp;")","")&amp;IF(COUNTIF(Binders!$J$6:$J$30,TRUE())&gt;1," ["&amp;Q1393&amp;"]",""))</f>
        <v/>
      </c>
      <c r="H1393" s="80" t="str">
        <f t="array" ref="H1393">IF(A1393="","",CHAR(10)&amp;INDEX('Deck 5'!$A:$Z,ROW()-1250,'List Setup'!$E$7)&amp;CHAR(10))</f>
        <v/>
      </c>
      <c r="I1393" s="80" t="str">
        <f t="array" ref="I1393">IF(OR(B1393="",B1393="(none)"),"",IF(ISNUMBER(SEARCH(CHAR(10)&amp;B1393&amp;CHAR(10),H1393)),B1393,IFERROR(INDEX('Set Aliases'!$A$2:$A$501,MATCH(1,('Set Aliases'!$B$2:$B$501=B1393)*ISNUMBER(SEARCH(CHAR(10)&amp;'Set Aliases'!$A$2:$A$501&amp;CHAR(10),H1393)),0)),"")))</f>
        <v/>
      </c>
      <c r="J1393" s="80" t="str">
        <f t="array" ref="J1393">IF(I1393="","",IFERROR(VALUE(TRIM(MID(SUBSTITUTE(INDEX('Deck 5'!$A:$Z,ROW()-1250,'List Setup'!$G$7),CHAR(10),REPT(" ",100)),((SEARCH(CHAR(10)&amp;I1393&amp;CHAR(10),H1393)-LEN(SUBSTITUTE(LEFT(H1393,SEARCH(CHAR(10)&amp;I1393&amp;CHAR(10),H1393)),CHAR(10),"")))-1)*100+1,100))),""))</f>
        <v/>
      </c>
      <c r="K1393" s="80" t="str">
        <f t="array" ref="K1393">IF(A1393="","",IF(ISNUMBER(SEARCH("Land",LEFT(IFERROR(INDEX('Deck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93" s="80" t="str">
        <f t="shared" si="3"/>
        <v/>
      </c>
      <c r="M1393" s="80" t="str">
        <f>IF(A1393="","",IF(AND(E1393="Y",B1393='Use at Shop'!$B$4),K1393*10000000000+(MAX(0,MIN(26,CODE(MID(UPPER(A1393)&amp;"    ",1,1))-64))*19683+MAX(0,MIN(26,CODE(MID(UPPER(A1393)&amp;"    ",2,1))-64))*729+MAX(0,MIN(26,CODE(MID(UPPER(A1393)&amp;"    ",3,1))-64))*27+MAX(0,MIN(26,CODE(MID(UPPER(A1393)&amp;"    ",4,1))-64))*1)*10000+ROW(),""))</f>
        <v/>
      </c>
      <c r="N1393" s="80" t="str">
        <f t="shared" si="9"/>
        <v/>
      </c>
      <c r="O1393" s="80" t="str">
        <f t="array" ref="O1393">IF(A1393="","",IFERROR(INDEX('Deck 5'!$A:$Z,ROW()-1250,'List Setup'!$J$7)&amp;"",""))</f>
        <v/>
      </c>
      <c r="P1393" s="2"/>
      <c r="Q1393" s="80" t="str">
        <f>IF(A1393="","",'List Setup'!$A$7)</f>
        <v/>
      </c>
      <c r="R1393" s="80" t="str">
        <f t="array" ref="R1393">IF(A1393="","",IFERROR(OR(INDEX(Binders!$J$6:$J$30,MATCH(Q1393,Binders!$I$6:$I$30,0))=TRUE(),UPPER(INDEX(Binders!$J$6:$J$30,MATCH(Q1393,Binders!$I$6:$I$30,0))&amp;"")="TRUE"),FALSE()))</f>
        <v/>
      </c>
    </row>
    <row r="1394" ht="15.75" customHeight="1">
      <c r="A1394" s="80" t="str">
        <f t="array" ref="A1394">IF(INDEX('Deck 5'!$A:$Z,ROW()-1250,'List Setup'!$D$7)="","",INDEX('Deck 5'!$A:$Z,ROW()-1250,'List Setup'!$D$7))</f>
        <v/>
      </c>
      <c r="B1394" s="80" t="str">
        <f t="array" ref="B1394">IF(A1394="","",IFERROR(INDEX('Binder Setup'!$B$2:$B$401,MIN(IF(ISNUMBER(SEARCH(CHAR(10)&amp;'Binder Setup'!$B$2:$B$401&amp;CHAR(10),$H1394)),'List Setup'!$Q$2:$Q$401,999),IF(ISNUMBER(SEARCH(CHAR(10)&amp;'Set Aliases'!$A$2:$A$501&amp;CHAR(10),$H1394)),'Set Aliases'!$C$2:$C$501,999))),"(none)"))</f>
        <v/>
      </c>
      <c r="C1394" s="80" t="str">
        <f t="shared" si="1"/>
        <v/>
      </c>
      <c r="D1394" s="80" t="str">
        <f t="array" ref="D1394">IF(A1394="","",IF(ISLOGICAL(INDEX('Deck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94" s="80" t="str">
        <f t="shared" si="2"/>
        <v/>
      </c>
      <c r="F1394" s="80" t="str">
        <f t="array" ref="F1394">IF(A1394="","",IF(ISNUMBER(J1394),J1394,IF(ISNUMBER(INDEX('Deck 5'!$A:$Z,ROW()-1250,'List Setup'!$F$7)),INDEX('Deck 5'!$A:$Z,ROW()-1250,'List Setup'!$F$7),0)))</f>
        <v/>
      </c>
      <c r="G1394" s="80" t="str">
        <f t="array" ref="G1394">IF(A1394="","",A1394&amp;IF(N(INDEX('Deck 5'!$A:$Z,ROW()-1250,'List Setup'!$C$7))&gt;1," (x"&amp;INDEX('Deck 5'!$A:$Z,ROW()-1250,'List Setup'!$C$7)&amp;")","")&amp;IF(COUNTIF(Binders!$J$6:$J$30,TRUE())&gt;1," ["&amp;Q1394&amp;"]",""))</f>
        <v/>
      </c>
      <c r="H1394" s="80" t="str">
        <f t="array" ref="H1394">IF(A1394="","",CHAR(10)&amp;INDEX('Deck 5'!$A:$Z,ROW()-1250,'List Setup'!$E$7)&amp;CHAR(10))</f>
        <v/>
      </c>
      <c r="I1394" s="80" t="str">
        <f t="array" ref="I1394">IF(OR(B1394="",B1394="(none)"),"",IF(ISNUMBER(SEARCH(CHAR(10)&amp;B1394&amp;CHAR(10),H1394)),B1394,IFERROR(INDEX('Set Aliases'!$A$2:$A$501,MATCH(1,('Set Aliases'!$B$2:$B$501=B1394)*ISNUMBER(SEARCH(CHAR(10)&amp;'Set Aliases'!$A$2:$A$501&amp;CHAR(10),H1394)),0)),"")))</f>
        <v/>
      </c>
      <c r="J1394" s="80" t="str">
        <f t="array" ref="J1394">IF(I1394="","",IFERROR(VALUE(TRIM(MID(SUBSTITUTE(INDEX('Deck 5'!$A:$Z,ROW()-1250,'List Setup'!$G$7),CHAR(10),REPT(" ",100)),((SEARCH(CHAR(10)&amp;I1394&amp;CHAR(10),H1394)-LEN(SUBSTITUTE(LEFT(H1394,SEARCH(CHAR(10)&amp;I1394&amp;CHAR(10),H1394)),CHAR(10),"")))-1)*100+1,100))),""))</f>
        <v/>
      </c>
      <c r="K1394" s="80" t="str">
        <f t="array" ref="K1394">IF(A1394="","",IF(ISNUMBER(SEARCH("Land",LEFT(IFERROR(INDEX('Deck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94" s="80" t="str">
        <f t="shared" si="3"/>
        <v/>
      </c>
      <c r="M1394" s="80" t="str">
        <f>IF(A1394="","",IF(AND(E1394="Y",B1394='Use at Shop'!$B$4),K1394*10000000000+(MAX(0,MIN(26,CODE(MID(UPPER(A1394)&amp;"    ",1,1))-64))*19683+MAX(0,MIN(26,CODE(MID(UPPER(A1394)&amp;"    ",2,1))-64))*729+MAX(0,MIN(26,CODE(MID(UPPER(A1394)&amp;"    ",3,1))-64))*27+MAX(0,MIN(26,CODE(MID(UPPER(A1394)&amp;"    ",4,1))-64))*1)*10000+ROW(),""))</f>
        <v/>
      </c>
      <c r="N1394" s="80" t="str">
        <f t="shared" si="9"/>
        <v/>
      </c>
      <c r="O1394" s="80" t="str">
        <f t="array" ref="O1394">IF(A1394="","",IFERROR(INDEX('Deck 5'!$A:$Z,ROW()-1250,'List Setup'!$J$7)&amp;"",""))</f>
        <v/>
      </c>
      <c r="P1394" s="2"/>
      <c r="Q1394" s="80" t="str">
        <f>IF(A1394="","",'List Setup'!$A$7)</f>
        <v/>
      </c>
      <c r="R1394" s="80" t="str">
        <f t="array" ref="R1394">IF(A1394="","",IFERROR(OR(INDEX(Binders!$J$6:$J$30,MATCH(Q1394,Binders!$I$6:$I$30,0))=TRUE(),UPPER(INDEX(Binders!$J$6:$J$30,MATCH(Q1394,Binders!$I$6:$I$30,0))&amp;"")="TRUE"),FALSE()))</f>
        <v/>
      </c>
    </row>
    <row r="1395" ht="15.75" customHeight="1">
      <c r="A1395" s="80" t="str">
        <f t="array" ref="A1395">IF(INDEX('Deck 5'!$A:$Z,ROW()-1250,'List Setup'!$D$7)="","",INDEX('Deck 5'!$A:$Z,ROW()-1250,'List Setup'!$D$7))</f>
        <v/>
      </c>
      <c r="B1395" s="80" t="str">
        <f t="array" ref="B1395">IF(A1395="","",IFERROR(INDEX('Binder Setup'!$B$2:$B$401,MIN(IF(ISNUMBER(SEARCH(CHAR(10)&amp;'Binder Setup'!$B$2:$B$401&amp;CHAR(10),$H1395)),'List Setup'!$Q$2:$Q$401,999),IF(ISNUMBER(SEARCH(CHAR(10)&amp;'Set Aliases'!$A$2:$A$501&amp;CHAR(10),$H1395)),'Set Aliases'!$C$2:$C$501,999))),"(none)"))</f>
        <v/>
      </c>
      <c r="C1395" s="80" t="str">
        <f t="shared" si="1"/>
        <v/>
      </c>
      <c r="D1395" s="80" t="str">
        <f t="array" ref="D1395">IF(A1395="","",IF(ISLOGICAL(INDEX('Deck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95" s="80" t="str">
        <f t="shared" si="2"/>
        <v/>
      </c>
      <c r="F1395" s="80" t="str">
        <f t="array" ref="F1395">IF(A1395="","",IF(ISNUMBER(J1395),J1395,IF(ISNUMBER(INDEX('Deck 5'!$A:$Z,ROW()-1250,'List Setup'!$F$7)),INDEX('Deck 5'!$A:$Z,ROW()-1250,'List Setup'!$F$7),0)))</f>
        <v/>
      </c>
      <c r="G1395" s="80" t="str">
        <f t="array" ref="G1395">IF(A1395="","",A1395&amp;IF(N(INDEX('Deck 5'!$A:$Z,ROW()-1250,'List Setup'!$C$7))&gt;1," (x"&amp;INDEX('Deck 5'!$A:$Z,ROW()-1250,'List Setup'!$C$7)&amp;")","")&amp;IF(COUNTIF(Binders!$J$6:$J$30,TRUE())&gt;1," ["&amp;Q1395&amp;"]",""))</f>
        <v/>
      </c>
      <c r="H1395" s="80" t="str">
        <f t="array" ref="H1395">IF(A1395="","",CHAR(10)&amp;INDEX('Deck 5'!$A:$Z,ROW()-1250,'List Setup'!$E$7)&amp;CHAR(10))</f>
        <v/>
      </c>
      <c r="I1395" s="80" t="str">
        <f t="array" ref="I1395">IF(OR(B1395="",B1395="(none)"),"",IF(ISNUMBER(SEARCH(CHAR(10)&amp;B1395&amp;CHAR(10),H1395)),B1395,IFERROR(INDEX('Set Aliases'!$A$2:$A$501,MATCH(1,('Set Aliases'!$B$2:$B$501=B1395)*ISNUMBER(SEARCH(CHAR(10)&amp;'Set Aliases'!$A$2:$A$501&amp;CHAR(10),H1395)),0)),"")))</f>
        <v/>
      </c>
      <c r="J1395" s="80" t="str">
        <f t="array" ref="J1395">IF(I1395="","",IFERROR(VALUE(TRIM(MID(SUBSTITUTE(INDEX('Deck 5'!$A:$Z,ROW()-1250,'List Setup'!$G$7),CHAR(10),REPT(" ",100)),((SEARCH(CHAR(10)&amp;I1395&amp;CHAR(10),H1395)-LEN(SUBSTITUTE(LEFT(H1395,SEARCH(CHAR(10)&amp;I1395&amp;CHAR(10),H1395)),CHAR(10),"")))-1)*100+1,100))),""))</f>
        <v/>
      </c>
      <c r="K1395" s="80" t="str">
        <f t="array" ref="K1395">IF(A1395="","",IF(ISNUMBER(SEARCH("Land",LEFT(IFERROR(INDEX('Deck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95" s="80" t="str">
        <f t="shared" si="3"/>
        <v/>
      </c>
      <c r="M1395" s="80" t="str">
        <f>IF(A1395="","",IF(AND(E1395="Y",B1395='Use at Shop'!$B$4),K1395*10000000000+(MAX(0,MIN(26,CODE(MID(UPPER(A1395)&amp;"    ",1,1))-64))*19683+MAX(0,MIN(26,CODE(MID(UPPER(A1395)&amp;"    ",2,1))-64))*729+MAX(0,MIN(26,CODE(MID(UPPER(A1395)&amp;"    ",3,1))-64))*27+MAX(0,MIN(26,CODE(MID(UPPER(A1395)&amp;"    ",4,1))-64))*1)*10000+ROW(),""))</f>
        <v/>
      </c>
      <c r="N1395" s="80" t="str">
        <f t="shared" si="9"/>
        <v/>
      </c>
      <c r="O1395" s="80" t="str">
        <f t="array" ref="O1395">IF(A1395="","",IFERROR(INDEX('Deck 5'!$A:$Z,ROW()-1250,'List Setup'!$J$7)&amp;"",""))</f>
        <v/>
      </c>
      <c r="P1395" s="2"/>
      <c r="Q1395" s="80" t="str">
        <f>IF(A1395="","",'List Setup'!$A$7)</f>
        <v/>
      </c>
      <c r="R1395" s="80" t="str">
        <f t="array" ref="R1395">IF(A1395="","",IFERROR(OR(INDEX(Binders!$J$6:$J$30,MATCH(Q1395,Binders!$I$6:$I$30,0))=TRUE(),UPPER(INDEX(Binders!$J$6:$J$30,MATCH(Q1395,Binders!$I$6:$I$30,0))&amp;"")="TRUE"),FALSE()))</f>
        <v/>
      </c>
    </row>
    <row r="1396" ht="15.75" customHeight="1">
      <c r="A1396" s="80" t="str">
        <f t="array" ref="A1396">IF(INDEX('Deck 5'!$A:$Z,ROW()-1250,'List Setup'!$D$7)="","",INDEX('Deck 5'!$A:$Z,ROW()-1250,'List Setup'!$D$7))</f>
        <v/>
      </c>
      <c r="B1396" s="80" t="str">
        <f t="array" ref="B1396">IF(A1396="","",IFERROR(INDEX('Binder Setup'!$B$2:$B$401,MIN(IF(ISNUMBER(SEARCH(CHAR(10)&amp;'Binder Setup'!$B$2:$B$401&amp;CHAR(10),$H1396)),'List Setup'!$Q$2:$Q$401,999),IF(ISNUMBER(SEARCH(CHAR(10)&amp;'Set Aliases'!$A$2:$A$501&amp;CHAR(10),$H1396)),'Set Aliases'!$C$2:$C$501,999))),"(none)"))</f>
        <v/>
      </c>
      <c r="C1396" s="80" t="str">
        <f t="shared" si="1"/>
        <v/>
      </c>
      <c r="D1396" s="80" t="str">
        <f t="array" ref="D1396">IF(A1396="","",IF(ISLOGICAL(INDEX('Deck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96" s="80" t="str">
        <f t="shared" si="2"/>
        <v/>
      </c>
      <c r="F1396" s="80" t="str">
        <f t="array" ref="F1396">IF(A1396="","",IF(ISNUMBER(J1396),J1396,IF(ISNUMBER(INDEX('Deck 5'!$A:$Z,ROW()-1250,'List Setup'!$F$7)),INDEX('Deck 5'!$A:$Z,ROW()-1250,'List Setup'!$F$7),0)))</f>
        <v/>
      </c>
      <c r="G1396" s="80" t="str">
        <f t="array" ref="G1396">IF(A1396="","",A1396&amp;IF(N(INDEX('Deck 5'!$A:$Z,ROW()-1250,'List Setup'!$C$7))&gt;1," (x"&amp;INDEX('Deck 5'!$A:$Z,ROW()-1250,'List Setup'!$C$7)&amp;")","")&amp;IF(COUNTIF(Binders!$J$6:$J$30,TRUE())&gt;1," ["&amp;Q1396&amp;"]",""))</f>
        <v/>
      </c>
      <c r="H1396" s="80" t="str">
        <f t="array" ref="H1396">IF(A1396="","",CHAR(10)&amp;INDEX('Deck 5'!$A:$Z,ROW()-1250,'List Setup'!$E$7)&amp;CHAR(10))</f>
        <v/>
      </c>
      <c r="I1396" s="80" t="str">
        <f t="array" ref="I1396">IF(OR(B1396="",B1396="(none)"),"",IF(ISNUMBER(SEARCH(CHAR(10)&amp;B1396&amp;CHAR(10),H1396)),B1396,IFERROR(INDEX('Set Aliases'!$A$2:$A$501,MATCH(1,('Set Aliases'!$B$2:$B$501=B1396)*ISNUMBER(SEARCH(CHAR(10)&amp;'Set Aliases'!$A$2:$A$501&amp;CHAR(10),H1396)),0)),"")))</f>
        <v/>
      </c>
      <c r="J1396" s="80" t="str">
        <f t="array" ref="J1396">IF(I1396="","",IFERROR(VALUE(TRIM(MID(SUBSTITUTE(INDEX('Deck 5'!$A:$Z,ROW()-1250,'List Setup'!$G$7),CHAR(10),REPT(" ",100)),((SEARCH(CHAR(10)&amp;I1396&amp;CHAR(10),H1396)-LEN(SUBSTITUTE(LEFT(H1396,SEARCH(CHAR(10)&amp;I1396&amp;CHAR(10),H1396)),CHAR(10),"")))-1)*100+1,100))),""))</f>
        <v/>
      </c>
      <c r="K1396" s="80" t="str">
        <f t="array" ref="K1396">IF(A1396="","",IF(ISNUMBER(SEARCH("Land",LEFT(IFERROR(INDEX('Deck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96" s="80" t="str">
        <f t="shared" si="3"/>
        <v/>
      </c>
      <c r="M1396" s="80" t="str">
        <f>IF(A1396="","",IF(AND(E1396="Y",B1396='Use at Shop'!$B$4),K1396*10000000000+(MAX(0,MIN(26,CODE(MID(UPPER(A1396)&amp;"    ",1,1))-64))*19683+MAX(0,MIN(26,CODE(MID(UPPER(A1396)&amp;"    ",2,1))-64))*729+MAX(0,MIN(26,CODE(MID(UPPER(A1396)&amp;"    ",3,1))-64))*27+MAX(0,MIN(26,CODE(MID(UPPER(A1396)&amp;"    ",4,1))-64))*1)*10000+ROW(),""))</f>
        <v/>
      </c>
      <c r="N1396" s="80" t="str">
        <f t="shared" si="9"/>
        <v/>
      </c>
      <c r="O1396" s="80" t="str">
        <f t="array" ref="O1396">IF(A1396="","",IFERROR(INDEX('Deck 5'!$A:$Z,ROW()-1250,'List Setup'!$J$7)&amp;"",""))</f>
        <v/>
      </c>
      <c r="P1396" s="2"/>
      <c r="Q1396" s="80" t="str">
        <f>IF(A1396="","",'List Setup'!$A$7)</f>
        <v/>
      </c>
      <c r="R1396" s="80" t="str">
        <f t="array" ref="R1396">IF(A1396="","",IFERROR(OR(INDEX(Binders!$J$6:$J$30,MATCH(Q1396,Binders!$I$6:$I$30,0))=TRUE(),UPPER(INDEX(Binders!$J$6:$J$30,MATCH(Q1396,Binders!$I$6:$I$30,0))&amp;"")="TRUE"),FALSE()))</f>
        <v/>
      </c>
    </row>
    <row r="1397" ht="15.75" customHeight="1">
      <c r="A1397" s="80" t="str">
        <f t="array" ref="A1397">IF(INDEX('Deck 5'!$A:$Z,ROW()-1250,'List Setup'!$D$7)="","",INDEX('Deck 5'!$A:$Z,ROW()-1250,'List Setup'!$D$7))</f>
        <v/>
      </c>
      <c r="B1397" s="80" t="str">
        <f t="array" ref="B1397">IF(A1397="","",IFERROR(INDEX('Binder Setup'!$B$2:$B$401,MIN(IF(ISNUMBER(SEARCH(CHAR(10)&amp;'Binder Setup'!$B$2:$B$401&amp;CHAR(10),$H1397)),'List Setup'!$Q$2:$Q$401,999),IF(ISNUMBER(SEARCH(CHAR(10)&amp;'Set Aliases'!$A$2:$A$501&amp;CHAR(10),$H1397)),'Set Aliases'!$C$2:$C$501,999))),"(none)"))</f>
        <v/>
      </c>
      <c r="C1397" s="80" t="str">
        <f t="shared" si="1"/>
        <v/>
      </c>
      <c r="D1397" s="80" t="str">
        <f t="array" ref="D1397">IF(A1397="","",IF(ISLOGICAL(INDEX('Deck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97" s="80" t="str">
        <f t="shared" si="2"/>
        <v/>
      </c>
      <c r="F1397" s="80" t="str">
        <f t="array" ref="F1397">IF(A1397="","",IF(ISNUMBER(J1397),J1397,IF(ISNUMBER(INDEX('Deck 5'!$A:$Z,ROW()-1250,'List Setup'!$F$7)),INDEX('Deck 5'!$A:$Z,ROW()-1250,'List Setup'!$F$7),0)))</f>
        <v/>
      </c>
      <c r="G1397" s="80" t="str">
        <f t="array" ref="G1397">IF(A1397="","",A1397&amp;IF(N(INDEX('Deck 5'!$A:$Z,ROW()-1250,'List Setup'!$C$7))&gt;1," (x"&amp;INDEX('Deck 5'!$A:$Z,ROW()-1250,'List Setup'!$C$7)&amp;")","")&amp;IF(COUNTIF(Binders!$J$6:$J$30,TRUE())&gt;1," ["&amp;Q1397&amp;"]",""))</f>
        <v/>
      </c>
      <c r="H1397" s="80" t="str">
        <f t="array" ref="H1397">IF(A1397="","",CHAR(10)&amp;INDEX('Deck 5'!$A:$Z,ROW()-1250,'List Setup'!$E$7)&amp;CHAR(10))</f>
        <v/>
      </c>
      <c r="I1397" s="80" t="str">
        <f t="array" ref="I1397">IF(OR(B1397="",B1397="(none)"),"",IF(ISNUMBER(SEARCH(CHAR(10)&amp;B1397&amp;CHAR(10),H1397)),B1397,IFERROR(INDEX('Set Aliases'!$A$2:$A$501,MATCH(1,('Set Aliases'!$B$2:$B$501=B1397)*ISNUMBER(SEARCH(CHAR(10)&amp;'Set Aliases'!$A$2:$A$501&amp;CHAR(10),H1397)),0)),"")))</f>
        <v/>
      </c>
      <c r="J1397" s="80" t="str">
        <f t="array" ref="J1397">IF(I1397="","",IFERROR(VALUE(TRIM(MID(SUBSTITUTE(INDEX('Deck 5'!$A:$Z,ROW()-1250,'List Setup'!$G$7),CHAR(10),REPT(" ",100)),((SEARCH(CHAR(10)&amp;I1397&amp;CHAR(10),H1397)-LEN(SUBSTITUTE(LEFT(H1397,SEARCH(CHAR(10)&amp;I1397&amp;CHAR(10),H1397)),CHAR(10),"")))-1)*100+1,100))),""))</f>
        <v/>
      </c>
      <c r="K1397" s="80" t="str">
        <f t="array" ref="K1397">IF(A1397="","",IF(ISNUMBER(SEARCH("Land",LEFT(IFERROR(INDEX('Deck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97" s="80" t="str">
        <f t="shared" si="3"/>
        <v/>
      </c>
      <c r="M1397" s="80" t="str">
        <f>IF(A1397="","",IF(AND(E1397="Y",B1397='Use at Shop'!$B$4),K1397*10000000000+(MAX(0,MIN(26,CODE(MID(UPPER(A1397)&amp;"    ",1,1))-64))*19683+MAX(0,MIN(26,CODE(MID(UPPER(A1397)&amp;"    ",2,1))-64))*729+MAX(0,MIN(26,CODE(MID(UPPER(A1397)&amp;"    ",3,1))-64))*27+MAX(0,MIN(26,CODE(MID(UPPER(A1397)&amp;"    ",4,1))-64))*1)*10000+ROW(),""))</f>
        <v/>
      </c>
      <c r="N1397" s="80" t="str">
        <f t="shared" si="9"/>
        <v/>
      </c>
      <c r="O1397" s="80" t="str">
        <f t="array" ref="O1397">IF(A1397="","",IFERROR(INDEX('Deck 5'!$A:$Z,ROW()-1250,'List Setup'!$J$7)&amp;"",""))</f>
        <v/>
      </c>
      <c r="P1397" s="2"/>
      <c r="Q1397" s="80" t="str">
        <f>IF(A1397="","",'List Setup'!$A$7)</f>
        <v/>
      </c>
      <c r="R1397" s="80" t="str">
        <f t="array" ref="R1397">IF(A1397="","",IFERROR(OR(INDEX(Binders!$J$6:$J$30,MATCH(Q1397,Binders!$I$6:$I$30,0))=TRUE(),UPPER(INDEX(Binders!$J$6:$J$30,MATCH(Q1397,Binders!$I$6:$I$30,0))&amp;"")="TRUE"),FALSE()))</f>
        <v/>
      </c>
    </row>
    <row r="1398" ht="15.75" customHeight="1">
      <c r="A1398" s="80" t="str">
        <f t="array" ref="A1398">IF(INDEX('Deck 5'!$A:$Z,ROW()-1250,'List Setup'!$D$7)="","",INDEX('Deck 5'!$A:$Z,ROW()-1250,'List Setup'!$D$7))</f>
        <v/>
      </c>
      <c r="B1398" s="80" t="str">
        <f t="array" ref="B1398">IF(A1398="","",IFERROR(INDEX('Binder Setup'!$B$2:$B$401,MIN(IF(ISNUMBER(SEARCH(CHAR(10)&amp;'Binder Setup'!$B$2:$B$401&amp;CHAR(10),$H1398)),'List Setup'!$Q$2:$Q$401,999),IF(ISNUMBER(SEARCH(CHAR(10)&amp;'Set Aliases'!$A$2:$A$501&amp;CHAR(10),$H1398)),'Set Aliases'!$C$2:$C$501,999))),"(none)"))</f>
        <v/>
      </c>
      <c r="C1398" s="80" t="str">
        <f t="shared" si="1"/>
        <v/>
      </c>
      <c r="D1398" s="80" t="str">
        <f t="array" ref="D1398">IF(A1398="","",IF(ISLOGICAL(INDEX('Deck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98" s="80" t="str">
        <f t="shared" si="2"/>
        <v/>
      </c>
      <c r="F1398" s="80" t="str">
        <f t="array" ref="F1398">IF(A1398="","",IF(ISNUMBER(J1398),J1398,IF(ISNUMBER(INDEX('Deck 5'!$A:$Z,ROW()-1250,'List Setup'!$F$7)),INDEX('Deck 5'!$A:$Z,ROW()-1250,'List Setup'!$F$7),0)))</f>
        <v/>
      </c>
      <c r="G1398" s="80" t="str">
        <f t="array" ref="G1398">IF(A1398="","",A1398&amp;IF(N(INDEX('Deck 5'!$A:$Z,ROW()-1250,'List Setup'!$C$7))&gt;1," (x"&amp;INDEX('Deck 5'!$A:$Z,ROW()-1250,'List Setup'!$C$7)&amp;")","")&amp;IF(COUNTIF(Binders!$J$6:$J$30,TRUE())&gt;1," ["&amp;Q1398&amp;"]",""))</f>
        <v/>
      </c>
      <c r="H1398" s="80" t="str">
        <f t="array" ref="H1398">IF(A1398="","",CHAR(10)&amp;INDEX('Deck 5'!$A:$Z,ROW()-1250,'List Setup'!$E$7)&amp;CHAR(10))</f>
        <v/>
      </c>
      <c r="I1398" s="80" t="str">
        <f t="array" ref="I1398">IF(OR(B1398="",B1398="(none)"),"",IF(ISNUMBER(SEARCH(CHAR(10)&amp;B1398&amp;CHAR(10),H1398)),B1398,IFERROR(INDEX('Set Aliases'!$A$2:$A$501,MATCH(1,('Set Aliases'!$B$2:$B$501=B1398)*ISNUMBER(SEARCH(CHAR(10)&amp;'Set Aliases'!$A$2:$A$501&amp;CHAR(10),H1398)),0)),"")))</f>
        <v/>
      </c>
      <c r="J1398" s="80" t="str">
        <f t="array" ref="J1398">IF(I1398="","",IFERROR(VALUE(TRIM(MID(SUBSTITUTE(INDEX('Deck 5'!$A:$Z,ROW()-1250,'List Setup'!$G$7),CHAR(10),REPT(" ",100)),((SEARCH(CHAR(10)&amp;I1398&amp;CHAR(10),H1398)-LEN(SUBSTITUTE(LEFT(H1398,SEARCH(CHAR(10)&amp;I1398&amp;CHAR(10),H1398)),CHAR(10),"")))-1)*100+1,100))),""))</f>
        <v/>
      </c>
      <c r="K1398" s="80" t="str">
        <f t="array" ref="K1398">IF(A1398="","",IF(ISNUMBER(SEARCH("Land",LEFT(IFERROR(INDEX('Deck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98" s="80" t="str">
        <f t="shared" si="3"/>
        <v/>
      </c>
      <c r="M1398" s="80" t="str">
        <f>IF(A1398="","",IF(AND(E1398="Y",B1398='Use at Shop'!$B$4),K1398*10000000000+(MAX(0,MIN(26,CODE(MID(UPPER(A1398)&amp;"    ",1,1))-64))*19683+MAX(0,MIN(26,CODE(MID(UPPER(A1398)&amp;"    ",2,1))-64))*729+MAX(0,MIN(26,CODE(MID(UPPER(A1398)&amp;"    ",3,1))-64))*27+MAX(0,MIN(26,CODE(MID(UPPER(A1398)&amp;"    ",4,1))-64))*1)*10000+ROW(),""))</f>
        <v/>
      </c>
      <c r="N1398" s="80" t="str">
        <f t="shared" si="9"/>
        <v/>
      </c>
      <c r="O1398" s="80" t="str">
        <f t="array" ref="O1398">IF(A1398="","",IFERROR(INDEX('Deck 5'!$A:$Z,ROW()-1250,'List Setup'!$J$7)&amp;"",""))</f>
        <v/>
      </c>
      <c r="P1398" s="2"/>
      <c r="Q1398" s="80" t="str">
        <f>IF(A1398="","",'List Setup'!$A$7)</f>
        <v/>
      </c>
      <c r="R1398" s="80" t="str">
        <f t="array" ref="R1398">IF(A1398="","",IFERROR(OR(INDEX(Binders!$J$6:$J$30,MATCH(Q1398,Binders!$I$6:$I$30,0))=TRUE(),UPPER(INDEX(Binders!$J$6:$J$30,MATCH(Q1398,Binders!$I$6:$I$30,0))&amp;"")="TRUE"),FALSE()))</f>
        <v/>
      </c>
    </row>
    <row r="1399" ht="15.75" customHeight="1">
      <c r="A1399" s="80" t="str">
        <f t="array" ref="A1399">IF(INDEX('Deck 5'!$A:$Z,ROW()-1250,'List Setup'!$D$7)="","",INDEX('Deck 5'!$A:$Z,ROW()-1250,'List Setup'!$D$7))</f>
        <v/>
      </c>
      <c r="B1399" s="80" t="str">
        <f t="array" ref="B1399">IF(A1399="","",IFERROR(INDEX('Binder Setup'!$B$2:$B$401,MIN(IF(ISNUMBER(SEARCH(CHAR(10)&amp;'Binder Setup'!$B$2:$B$401&amp;CHAR(10),$H1399)),'List Setup'!$Q$2:$Q$401,999),IF(ISNUMBER(SEARCH(CHAR(10)&amp;'Set Aliases'!$A$2:$A$501&amp;CHAR(10),$H1399)),'Set Aliases'!$C$2:$C$501,999))),"(none)"))</f>
        <v/>
      </c>
      <c r="C1399" s="80" t="str">
        <f t="shared" si="1"/>
        <v/>
      </c>
      <c r="D1399" s="80" t="str">
        <f t="array" ref="D1399">IF(A1399="","",IF(ISLOGICAL(INDEX('Deck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399" s="80" t="str">
        <f t="shared" si="2"/>
        <v/>
      </c>
      <c r="F1399" s="80" t="str">
        <f t="array" ref="F1399">IF(A1399="","",IF(ISNUMBER(J1399),J1399,IF(ISNUMBER(INDEX('Deck 5'!$A:$Z,ROW()-1250,'List Setup'!$F$7)),INDEX('Deck 5'!$A:$Z,ROW()-1250,'List Setup'!$F$7),0)))</f>
        <v/>
      </c>
      <c r="G1399" s="80" t="str">
        <f t="array" ref="G1399">IF(A1399="","",A1399&amp;IF(N(INDEX('Deck 5'!$A:$Z,ROW()-1250,'List Setup'!$C$7))&gt;1," (x"&amp;INDEX('Deck 5'!$A:$Z,ROW()-1250,'List Setup'!$C$7)&amp;")","")&amp;IF(COUNTIF(Binders!$J$6:$J$30,TRUE())&gt;1," ["&amp;Q1399&amp;"]",""))</f>
        <v/>
      </c>
      <c r="H1399" s="80" t="str">
        <f t="array" ref="H1399">IF(A1399="","",CHAR(10)&amp;INDEX('Deck 5'!$A:$Z,ROW()-1250,'List Setup'!$E$7)&amp;CHAR(10))</f>
        <v/>
      </c>
      <c r="I1399" s="80" t="str">
        <f t="array" ref="I1399">IF(OR(B1399="",B1399="(none)"),"",IF(ISNUMBER(SEARCH(CHAR(10)&amp;B1399&amp;CHAR(10),H1399)),B1399,IFERROR(INDEX('Set Aliases'!$A$2:$A$501,MATCH(1,('Set Aliases'!$B$2:$B$501=B1399)*ISNUMBER(SEARCH(CHAR(10)&amp;'Set Aliases'!$A$2:$A$501&amp;CHAR(10),H1399)),0)),"")))</f>
        <v/>
      </c>
      <c r="J1399" s="80" t="str">
        <f t="array" ref="J1399">IF(I1399="","",IFERROR(VALUE(TRIM(MID(SUBSTITUTE(INDEX('Deck 5'!$A:$Z,ROW()-1250,'List Setup'!$G$7),CHAR(10),REPT(" ",100)),((SEARCH(CHAR(10)&amp;I1399&amp;CHAR(10),H1399)-LEN(SUBSTITUTE(LEFT(H1399,SEARCH(CHAR(10)&amp;I1399&amp;CHAR(10),H1399)),CHAR(10),"")))-1)*100+1,100))),""))</f>
        <v/>
      </c>
      <c r="K1399" s="80" t="str">
        <f t="array" ref="K1399">IF(A1399="","",IF(ISNUMBER(SEARCH("Land",LEFT(IFERROR(INDEX('Deck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399" s="80" t="str">
        <f t="shared" si="3"/>
        <v/>
      </c>
      <c r="M1399" s="80" t="str">
        <f>IF(A1399="","",IF(AND(E1399="Y",B1399='Use at Shop'!$B$4),K1399*10000000000+(MAX(0,MIN(26,CODE(MID(UPPER(A1399)&amp;"    ",1,1))-64))*19683+MAX(0,MIN(26,CODE(MID(UPPER(A1399)&amp;"    ",2,1))-64))*729+MAX(0,MIN(26,CODE(MID(UPPER(A1399)&amp;"    ",3,1))-64))*27+MAX(0,MIN(26,CODE(MID(UPPER(A1399)&amp;"    ",4,1))-64))*1)*10000+ROW(),""))</f>
        <v/>
      </c>
      <c r="N1399" s="80" t="str">
        <f t="shared" si="9"/>
        <v/>
      </c>
      <c r="O1399" s="80" t="str">
        <f t="array" ref="O1399">IF(A1399="","",IFERROR(INDEX('Deck 5'!$A:$Z,ROW()-1250,'List Setup'!$J$7)&amp;"",""))</f>
        <v/>
      </c>
      <c r="P1399" s="2"/>
      <c r="Q1399" s="80" t="str">
        <f>IF(A1399="","",'List Setup'!$A$7)</f>
        <v/>
      </c>
      <c r="R1399" s="80" t="str">
        <f t="array" ref="R1399">IF(A1399="","",IFERROR(OR(INDEX(Binders!$J$6:$J$30,MATCH(Q1399,Binders!$I$6:$I$30,0))=TRUE(),UPPER(INDEX(Binders!$J$6:$J$30,MATCH(Q1399,Binders!$I$6:$I$30,0))&amp;"")="TRUE"),FALSE()))</f>
        <v/>
      </c>
    </row>
    <row r="1400" ht="15.75" customHeight="1">
      <c r="A1400" s="80" t="str">
        <f t="array" ref="A1400">IF(INDEX('Deck 5'!$A:$Z,ROW()-1250,'List Setup'!$D$7)="","",INDEX('Deck 5'!$A:$Z,ROW()-1250,'List Setup'!$D$7))</f>
        <v/>
      </c>
      <c r="B1400" s="80" t="str">
        <f t="array" ref="B1400">IF(A1400="","",IFERROR(INDEX('Binder Setup'!$B$2:$B$401,MIN(IF(ISNUMBER(SEARCH(CHAR(10)&amp;'Binder Setup'!$B$2:$B$401&amp;CHAR(10),$H1400)),'List Setup'!$Q$2:$Q$401,999),IF(ISNUMBER(SEARCH(CHAR(10)&amp;'Set Aliases'!$A$2:$A$501&amp;CHAR(10),$H1400)),'Set Aliases'!$C$2:$C$501,999))),"(none)"))</f>
        <v/>
      </c>
      <c r="C1400" s="80" t="str">
        <f t="shared" si="1"/>
        <v/>
      </c>
      <c r="D1400" s="80" t="str">
        <f t="array" ref="D1400">IF(A1400="","",IF(ISLOGICAL(INDEX('Deck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00" s="80" t="str">
        <f t="shared" si="2"/>
        <v/>
      </c>
      <c r="F1400" s="80" t="str">
        <f t="array" ref="F1400">IF(A1400="","",IF(ISNUMBER(J1400),J1400,IF(ISNUMBER(INDEX('Deck 5'!$A:$Z,ROW()-1250,'List Setup'!$F$7)),INDEX('Deck 5'!$A:$Z,ROW()-1250,'List Setup'!$F$7),0)))</f>
        <v/>
      </c>
      <c r="G1400" s="80" t="str">
        <f t="array" ref="G1400">IF(A1400="","",A1400&amp;IF(N(INDEX('Deck 5'!$A:$Z,ROW()-1250,'List Setup'!$C$7))&gt;1," (x"&amp;INDEX('Deck 5'!$A:$Z,ROW()-1250,'List Setup'!$C$7)&amp;")","")&amp;IF(COUNTIF(Binders!$J$6:$J$30,TRUE())&gt;1," ["&amp;Q1400&amp;"]",""))</f>
        <v/>
      </c>
      <c r="H1400" s="80" t="str">
        <f t="array" ref="H1400">IF(A1400="","",CHAR(10)&amp;INDEX('Deck 5'!$A:$Z,ROW()-1250,'List Setup'!$E$7)&amp;CHAR(10))</f>
        <v/>
      </c>
      <c r="I1400" s="80" t="str">
        <f t="array" ref="I1400">IF(OR(B1400="",B1400="(none)"),"",IF(ISNUMBER(SEARCH(CHAR(10)&amp;B1400&amp;CHAR(10),H1400)),B1400,IFERROR(INDEX('Set Aliases'!$A$2:$A$501,MATCH(1,('Set Aliases'!$B$2:$B$501=B1400)*ISNUMBER(SEARCH(CHAR(10)&amp;'Set Aliases'!$A$2:$A$501&amp;CHAR(10),H1400)),0)),"")))</f>
        <v/>
      </c>
      <c r="J1400" s="80" t="str">
        <f t="array" ref="J1400">IF(I1400="","",IFERROR(VALUE(TRIM(MID(SUBSTITUTE(INDEX('Deck 5'!$A:$Z,ROW()-1250,'List Setup'!$G$7),CHAR(10),REPT(" ",100)),((SEARCH(CHAR(10)&amp;I1400&amp;CHAR(10),H1400)-LEN(SUBSTITUTE(LEFT(H1400,SEARCH(CHAR(10)&amp;I1400&amp;CHAR(10),H1400)),CHAR(10),"")))-1)*100+1,100))),""))</f>
        <v/>
      </c>
      <c r="K1400" s="80" t="str">
        <f t="array" ref="K1400">IF(A1400="","",IF(ISNUMBER(SEARCH("Land",LEFT(IFERROR(INDEX('Deck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00" s="80" t="str">
        <f t="shared" si="3"/>
        <v/>
      </c>
      <c r="M1400" s="80" t="str">
        <f>IF(A1400="","",IF(AND(E1400="Y",B1400='Use at Shop'!$B$4),K1400*10000000000+(MAX(0,MIN(26,CODE(MID(UPPER(A1400)&amp;"    ",1,1))-64))*19683+MAX(0,MIN(26,CODE(MID(UPPER(A1400)&amp;"    ",2,1))-64))*729+MAX(0,MIN(26,CODE(MID(UPPER(A1400)&amp;"    ",3,1))-64))*27+MAX(0,MIN(26,CODE(MID(UPPER(A1400)&amp;"    ",4,1))-64))*1)*10000+ROW(),""))</f>
        <v/>
      </c>
      <c r="N1400" s="80" t="str">
        <f t="shared" si="9"/>
        <v/>
      </c>
      <c r="O1400" s="80" t="str">
        <f t="array" ref="O1400">IF(A1400="","",IFERROR(INDEX('Deck 5'!$A:$Z,ROW()-1250,'List Setup'!$J$7)&amp;"",""))</f>
        <v/>
      </c>
      <c r="P1400" s="2"/>
      <c r="Q1400" s="80" t="str">
        <f>IF(A1400="","",'List Setup'!$A$7)</f>
        <v/>
      </c>
      <c r="R1400" s="80" t="str">
        <f t="array" ref="R1400">IF(A1400="","",IFERROR(OR(INDEX(Binders!$J$6:$J$30,MATCH(Q1400,Binders!$I$6:$I$30,0))=TRUE(),UPPER(INDEX(Binders!$J$6:$J$30,MATCH(Q1400,Binders!$I$6:$I$30,0))&amp;"")="TRUE"),FALSE()))</f>
        <v/>
      </c>
    </row>
    <row r="1401" ht="15.75" customHeight="1">
      <c r="A1401" s="80" t="str">
        <f t="array" ref="A1401">IF(INDEX('Deck 5'!$A:$Z,ROW()-1250,'List Setup'!$D$7)="","",INDEX('Deck 5'!$A:$Z,ROW()-1250,'List Setup'!$D$7))</f>
        <v/>
      </c>
      <c r="B1401" s="80" t="str">
        <f t="array" ref="B1401">IF(A1401="","",IFERROR(INDEX('Binder Setup'!$B$2:$B$401,MIN(IF(ISNUMBER(SEARCH(CHAR(10)&amp;'Binder Setup'!$B$2:$B$401&amp;CHAR(10),$H1401)),'List Setup'!$Q$2:$Q$401,999),IF(ISNUMBER(SEARCH(CHAR(10)&amp;'Set Aliases'!$A$2:$A$501&amp;CHAR(10),$H1401)),'Set Aliases'!$C$2:$C$501,999))),"(none)"))</f>
        <v/>
      </c>
      <c r="C1401" s="80" t="str">
        <f t="shared" si="1"/>
        <v/>
      </c>
      <c r="D1401" s="80" t="str">
        <f t="array" ref="D1401">IF(A1401="","",IF(ISLOGICAL(INDEX('Deck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01" s="80" t="str">
        <f t="shared" si="2"/>
        <v/>
      </c>
      <c r="F1401" s="80" t="str">
        <f t="array" ref="F1401">IF(A1401="","",IF(ISNUMBER(J1401),J1401,IF(ISNUMBER(INDEX('Deck 5'!$A:$Z,ROW()-1250,'List Setup'!$F$7)),INDEX('Deck 5'!$A:$Z,ROW()-1250,'List Setup'!$F$7),0)))</f>
        <v/>
      </c>
      <c r="G1401" s="80" t="str">
        <f t="array" ref="G1401">IF(A1401="","",A1401&amp;IF(N(INDEX('Deck 5'!$A:$Z,ROW()-1250,'List Setup'!$C$7))&gt;1," (x"&amp;INDEX('Deck 5'!$A:$Z,ROW()-1250,'List Setup'!$C$7)&amp;")","")&amp;IF(COUNTIF(Binders!$J$6:$J$30,TRUE())&gt;1," ["&amp;Q1401&amp;"]",""))</f>
        <v/>
      </c>
      <c r="H1401" s="80" t="str">
        <f t="array" ref="H1401">IF(A1401="","",CHAR(10)&amp;INDEX('Deck 5'!$A:$Z,ROW()-1250,'List Setup'!$E$7)&amp;CHAR(10))</f>
        <v/>
      </c>
      <c r="I1401" s="80" t="str">
        <f t="array" ref="I1401">IF(OR(B1401="",B1401="(none)"),"",IF(ISNUMBER(SEARCH(CHAR(10)&amp;B1401&amp;CHAR(10),H1401)),B1401,IFERROR(INDEX('Set Aliases'!$A$2:$A$501,MATCH(1,('Set Aliases'!$B$2:$B$501=B1401)*ISNUMBER(SEARCH(CHAR(10)&amp;'Set Aliases'!$A$2:$A$501&amp;CHAR(10),H1401)),0)),"")))</f>
        <v/>
      </c>
      <c r="J1401" s="80" t="str">
        <f t="array" ref="J1401">IF(I1401="","",IFERROR(VALUE(TRIM(MID(SUBSTITUTE(INDEX('Deck 5'!$A:$Z,ROW()-1250,'List Setup'!$G$7),CHAR(10),REPT(" ",100)),((SEARCH(CHAR(10)&amp;I1401&amp;CHAR(10),H1401)-LEN(SUBSTITUTE(LEFT(H1401,SEARCH(CHAR(10)&amp;I1401&amp;CHAR(10),H1401)),CHAR(10),"")))-1)*100+1,100))),""))</f>
        <v/>
      </c>
      <c r="K1401" s="80" t="str">
        <f t="array" ref="K1401">IF(A1401="","",IF(ISNUMBER(SEARCH("Land",LEFT(IFERROR(INDEX('Deck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01" s="80" t="str">
        <f t="shared" si="3"/>
        <v/>
      </c>
      <c r="M1401" s="80" t="str">
        <f>IF(A1401="","",IF(AND(E1401="Y",B1401='Use at Shop'!$B$4),K1401*10000000000+(MAX(0,MIN(26,CODE(MID(UPPER(A1401)&amp;"    ",1,1))-64))*19683+MAX(0,MIN(26,CODE(MID(UPPER(A1401)&amp;"    ",2,1))-64))*729+MAX(0,MIN(26,CODE(MID(UPPER(A1401)&amp;"    ",3,1))-64))*27+MAX(0,MIN(26,CODE(MID(UPPER(A1401)&amp;"    ",4,1))-64))*1)*10000+ROW(),""))</f>
        <v/>
      </c>
      <c r="N1401" s="80" t="str">
        <f t="shared" si="9"/>
        <v/>
      </c>
      <c r="O1401" s="80" t="str">
        <f t="array" ref="O1401">IF(A1401="","",IFERROR(INDEX('Deck 5'!$A:$Z,ROW()-1250,'List Setup'!$J$7)&amp;"",""))</f>
        <v/>
      </c>
      <c r="P1401" s="2"/>
      <c r="Q1401" s="80" t="str">
        <f>IF(A1401="","",'List Setup'!$A$7)</f>
        <v/>
      </c>
      <c r="R1401" s="80" t="str">
        <f t="array" ref="R1401">IF(A1401="","",IFERROR(OR(INDEX(Binders!$J$6:$J$30,MATCH(Q1401,Binders!$I$6:$I$30,0))=TRUE(),UPPER(INDEX(Binders!$J$6:$J$30,MATCH(Q1401,Binders!$I$6:$I$30,0))&amp;"")="TRUE"),FALSE()))</f>
        <v/>
      </c>
    </row>
    <row r="1402" ht="15.75" customHeight="1">
      <c r="A1402" s="80" t="str">
        <f t="array" ref="A1402">IF(INDEX('Deck 5'!$A:$Z,ROW()-1250,'List Setup'!$D$7)="","",INDEX('Deck 5'!$A:$Z,ROW()-1250,'List Setup'!$D$7))</f>
        <v/>
      </c>
      <c r="B1402" s="80" t="str">
        <f t="array" ref="B1402">IF(A1402="","",IFERROR(INDEX('Binder Setup'!$B$2:$B$401,MIN(IF(ISNUMBER(SEARCH(CHAR(10)&amp;'Binder Setup'!$B$2:$B$401&amp;CHAR(10),$H1402)),'List Setup'!$Q$2:$Q$401,999),IF(ISNUMBER(SEARCH(CHAR(10)&amp;'Set Aliases'!$A$2:$A$501&amp;CHAR(10),$H1402)),'Set Aliases'!$C$2:$C$501,999))),"(none)"))</f>
        <v/>
      </c>
      <c r="C1402" s="80" t="str">
        <f t="shared" si="1"/>
        <v/>
      </c>
      <c r="D1402" s="80" t="str">
        <f t="array" ref="D1402">IF(A1402="","",IF(ISLOGICAL(INDEX('Deck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02" s="80" t="str">
        <f t="shared" si="2"/>
        <v/>
      </c>
      <c r="F1402" s="80" t="str">
        <f t="array" ref="F1402">IF(A1402="","",IF(ISNUMBER(J1402),J1402,IF(ISNUMBER(INDEX('Deck 5'!$A:$Z,ROW()-1250,'List Setup'!$F$7)),INDEX('Deck 5'!$A:$Z,ROW()-1250,'List Setup'!$F$7),0)))</f>
        <v/>
      </c>
      <c r="G1402" s="80" t="str">
        <f t="array" ref="G1402">IF(A1402="","",A1402&amp;IF(N(INDEX('Deck 5'!$A:$Z,ROW()-1250,'List Setup'!$C$7))&gt;1," (x"&amp;INDEX('Deck 5'!$A:$Z,ROW()-1250,'List Setup'!$C$7)&amp;")","")&amp;IF(COUNTIF(Binders!$J$6:$J$30,TRUE())&gt;1," ["&amp;Q1402&amp;"]",""))</f>
        <v/>
      </c>
      <c r="H1402" s="80" t="str">
        <f t="array" ref="H1402">IF(A1402="","",CHAR(10)&amp;INDEX('Deck 5'!$A:$Z,ROW()-1250,'List Setup'!$E$7)&amp;CHAR(10))</f>
        <v/>
      </c>
      <c r="I1402" s="80" t="str">
        <f t="array" ref="I1402">IF(OR(B1402="",B1402="(none)"),"",IF(ISNUMBER(SEARCH(CHAR(10)&amp;B1402&amp;CHAR(10),H1402)),B1402,IFERROR(INDEX('Set Aliases'!$A$2:$A$501,MATCH(1,('Set Aliases'!$B$2:$B$501=B1402)*ISNUMBER(SEARCH(CHAR(10)&amp;'Set Aliases'!$A$2:$A$501&amp;CHAR(10),H1402)),0)),"")))</f>
        <v/>
      </c>
      <c r="J1402" s="80" t="str">
        <f t="array" ref="J1402">IF(I1402="","",IFERROR(VALUE(TRIM(MID(SUBSTITUTE(INDEX('Deck 5'!$A:$Z,ROW()-1250,'List Setup'!$G$7),CHAR(10),REPT(" ",100)),((SEARCH(CHAR(10)&amp;I1402&amp;CHAR(10),H1402)-LEN(SUBSTITUTE(LEFT(H1402,SEARCH(CHAR(10)&amp;I1402&amp;CHAR(10),H1402)),CHAR(10),"")))-1)*100+1,100))),""))</f>
        <v/>
      </c>
      <c r="K1402" s="80" t="str">
        <f t="array" ref="K1402">IF(A1402="","",IF(ISNUMBER(SEARCH("Land",LEFT(IFERROR(INDEX('Deck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02" s="80" t="str">
        <f t="shared" si="3"/>
        <v/>
      </c>
      <c r="M1402" s="80" t="str">
        <f>IF(A1402="","",IF(AND(E1402="Y",B1402='Use at Shop'!$B$4),K1402*10000000000+(MAX(0,MIN(26,CODE(MID(UPPER(A1402)&amp;"    ",1,1))-64))*19683+MAX(0,MIN(26,CODE(MID(UPPER(A1402)&amp;"    ",2,1))-64))*729+MAX(0,MIN(26,CODE(MID(UPPER(A1402)&amp;"    ",3,1))-64))*27+MAX(0,MIN(26,CODE(MID(UPPER(A1402)&amp;"    ",4,1))-64))*1)*10000+ROW(),""))</f>
        <v/>
      </c>
      <c r="N1402" s="80" t="str">
        <f t="shared" si="9"/>
        <v/>
      </c>
      <c r="O1402" s="80" t="str">
        <f t="array" ref="O1402">IF(A1402="","",IFERROR(INDEX('Deck 5'!$A:$Z,ROW()-1250,'List Setup'!$J$7)&amp;"",""))</f>
        <v/>
      </c>
      <c r="P1402" s="2"/>
      <c r="Q1402" s="80" t="str">
        <f>IF(A1402="","",'List Setup'!$A$7)</f>
        <v/>
      </c>
      <c r="R1402" s="80" t="str">
        <f t="array" ref="R1402">IF(A1402="","",IFERROR(OR(INDEX(Binders!$J$6:$J$30,MATCH(Q1402,Binders!$I$6:$I$30,0))=TRUE(),UPPER(INDEX(Binders!$J$6:$J$30,MATCH(Q1402,Binders!$I$6:$I$30,0))&amp;"")="TRUE"),FALSE()))</f>
        <v/>
      </c>
    </row>
    <row r="1403" ht="15.75" customHeight="1">
      <c r="A1403" s="80" t="str">
        <f t="array" ref="A1403">IF(INDEX('Deck 5'!$A:$Z,ROW()-1250,'List Setup'!$D$7)="","",INDEX('Deck 5'!$A:$Z,ROW()-1250,'List Setup'!$D$7))</f>
        <v/>
      </c>
      <c r="B1403" s="80" t="str">
        <f t="array" ref="B1403">IF(A1403="","",IFERROR(INDEX('Binder Setup'!$B$2:$B$401,MIN(IF(ISNUMBER(SEARCH(CHAR(10)&amp;'Binder Setup'!$B$2:$B$401&amp;CHAR(10),$H1403)),'List Setup'!$Q$2:$Q$401,999),IF(ISNUMBER(SEARCH(CHAR(10)&amp;'Set Aliases'!$A$2:$A$501&amp;CHAR(10),$H1403)),'Set Aliases'!$C$2:$C$501,999))),"(none)"))</f>
        <v/>
      </c>
      <c r="C1403" s="80" t="str">
        <f t="shared" si="1"/>
        <v/>
      </c>
      <c r="D1403" s="80" t="str">
        <f t="array" ref="D1403">IF(A1403="","",IF(ISLOGICAL(INDEX('Deck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03" s="80" t="str">
        <f t="shared" si="2"/>
        <v/>
      </c>
      <c r="F1403" s="80" t="str">
        <f t="array" ref="F1403">IF(A1403="","",IF(ISNUMBER(J1403),J1403,IF(ISNUMBER(INDEX('Deck 5'!$A:$Z,ROW()-1250,'List Setup'!$F$7)),INDEX('Deck 5'!$A:$Z,ROW()-1250,'List Setup'!$F$7),0)))</f>
        <v/>
      </c>
      <c r="G1403" s="80" t="str">
        <f t="array" ref="G1403">IF(A1403="","",A1403&amp;IF(N(INDEX('Deck 5'!$A:$Z,ROW()-1250,'List Setup'!$C$7))&gt;1," (x"&amp;INDEX('Deck 5'!$A:$Z,ROW()-1250,'List Setup'!$C$7)&amp;")","")&amp;IF(COUNTIF(Binders!$J$6:$J$30,TRUE())&gt;1," ["&amp;Q1403&amp;"]",""))</f>
        <v/>
      </c>
      <c r="H1403" s="80" t="str">
        <f t="array" ref="H1403">IF(A1403="","",CHAR(10)&amp;INDEX('Deck 5'!$A:$Z,ROW()-1250,'List Setup'!$E$7)&amp;CHAR(10))</f>
        <v/>
      </c>
      <c r="I1403" s="80" t="str">
        <f t="array" ref="I1403">IF(OR(B1403="",B1403="(none)"),"",IF(ISNUMBER(SEARCH(CHAR(10)&amp;B1403&amp;CHAR(10),H1403)),B1403,IFERROR(INDEX('Set Aliases'!$A$2:$A$501,MATCH(1,('Set Aliases'!$B$2:$B$501=B1403)*ISNUMBER(SEARCH(CHAR(10)&amp;'Set Aliases'!$A$2:$A$501&amp;CHAR(10),H1403)),0)),"")))</f>
        <v/>
      </c>
      <c r="J1403" s="80" t="str">
        <f t="array" ref="J1403">IF(I1403="","",IFERROR(VALUE(TRIM(MID(SUBSTITUTE(INDEX('Deck 5'!$A:$Z,ROW()-1250,'List Setup'!$G$7),CHAR(10),REPT(" ",100)),((SEARCH(CHAR(10)&amp;I1403&amp;CHAR(10),H1403)-LEN(SUBSTITUTE(LEFT(H1403,SEARCH(CHAR(10)&amp;I1403&amp;CHAR(10),H1403)),CHAR(10),"")))-1)*100+1,100))),""))</f>
        <v/>
      </c>
      <c r="K1403" s="80" t="str">
        <f t="array" ref="K1403">IF(A1403="","",IF(ISNUMBER(SEARCH("Land",LEFT(IFERROR(INDEX('Deck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03" s="80" t="str">
        <f t="shared" si="3"/>
        <v/>
      </c>
      <c r="M1403" s="80" t="str">
        <f>IF(A1403="","",IF(AND(E1403="Y",B1403='Use at Shop'!$B$4),K1403*10000000000+(MAX(0,MIN(26,CODE(MID(UPPER(A1403)&amp;"    ",1,1))-64))*19683+MAX(0,MIN(26,CODE(MID(UPPER(A1403)&amp;"    ",2,1))-64))*729+MAX(0,MIN(26,CODE(MID(UPPER(A1403)&amp;"    ",3,1))-64))*27+MAX(0,MIN(26,CODE(MID(UPPER(A1403)&amp;"    ",4,1))-64))*1)*10000+ROW(),""))</f>
        <v/>
      </c>
      <c r="N1403" s="80" t="str">
        <f t="shared" si="9"/>
        <v/>
      </c>
      <c r="O1403" s="80" t="str">
        <f t="array" ref="O1403">IF(A1403="","",IFERROR(INDEX('Deck 5'!$A:$Z,ROW()-1250,'List Setup'!$J$7)&amp;"",""))</f>
        <v/>
      </c>
      <c r="P1403" s="2"/>
      <c r="Q1403" s="80" t="str">
        <f>IF(A1403="","",'List Setup'!$A$7)</f>
        <v/>
      </c>
      <c r="R1403" s="80" t="str">
        <f t="array" ref="R1403">IF(A1403="","",IFERROR(OR(INDEX(Binders!$J$6:$J$30,MATCH(Q1403,Binders!$I$6:$I$30,0))=TRUE(),UPPER(INDEX(Binders!$J$6:$J$30,MATCH(Q1403,Binders!$I$6:$I$30,0))&amp;"")="TRUE"),FALSE()))</f>
        <v/>
      </c>
    </row>
    <row r="1404" ht="15.75" customHeight="1">
      <c r="A1404" s="80" t="str">
        <f t="array" ref="A1404">IF(INDEX('Deck 5'!$A:$Z,ROW()-1250,'List Setup'!$D$7)="","",INDEX('Deck 5'!$A:$Z,ROW()-1250,'List Setup'!$D$7))</f>
        <v/>
      </c>
      <c r="B1404" s="80" t="str">
        <f t="array" ref="B1404">IF(A1404="","",IFERROR(INDEX('Binder Setup'!$B$2:$B$401,MIN(IF(ISNUMBER(SEARCH(CHAR(10)&amp;'Binder Setup'!$B$2:$B$401&amp;CHAR(10),$H1404)),'List Setup'!$Q$2:$Q$401,999),IF(ISNUMBER(SEARCH(CHAR(10)&amp;'Set Aliases'!$A$2:$A$501&amp;CHAR(10),$H1404)),'Set Aliases'!$C$2:$C$501,999))),"(none)"))</f>
        <v/>
      </c>
      <c r="C1404" s="80" t="str">
        <f t="shared" si="1"/>
        <v/>
      </c>
      <c r="D1404" s="80" t="str">
        <f t="array" ref="D1404">IF(A1404="","",IF(ISLOGICAL(INDEX('Deck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04" s="80" t="str">
        <f t="shared" si="2"/>
        <v/>
      </c>
      <c r="F1404" s="80" t="str">
        <f t="array" ref="F1404">IF(A1404="","",IF(ISNUMBER(J1404),J1404,IF(ISNUMBER(INDEX('Deck 5'!$A:$Z,ROW()-1250,'List Setup'!$F$7)),INDEX('Deck 5'!$A:$Z,ROW()-1250,'List Setup'!$F$7),0)))</f>
        <v/>
      </c>
      <c r="G1404" s="80" t="str">
        <f t="array" ref="G1404">IF(A1404="","",A1404&amp;IF(N(INDEX('Deck 5'!$A:$Z,ROW()-1250,'List Setup'!$C$7))&gt;1," (x"&amp;INDEX('Deck 5'!$A:$Z,ROW()-1250,'List Setup'!$C$7)&amp;")","")&amp;IF(COUNTIF(Binders!$J$6:$J$30,TRUE())&gt;1," ["&amp;Q1404&amp;"]",""))</f>
        <v/>
      </c>
      <c r="H1404" s="80" t="str">
        <f t="array" ref="H1404">IF(A1404="","",CHAR(10)&amp;INDEX('Deck 5'!$A:$Z,ROW()-1250,'List Setup'!$E$7)&amp;CHAR(10))</f>
        <v/>
      </c>
      <c r="I1404" s="80" t="str">
        <f t="array" ref="I1404">IF(OR(B1404="",B1404="(none)"),"",IF(ISNUMBER(SEARCH(CHAR(10)&amp;B1404&amp;CHAR(10),H1404)),B1404,IFERROR(INDEX('Set Aliases'!$A$2:$A$501,MATCH(1,('Set Aliases'!$B$2:$B$501=B1404)*ISNUMBER(SEARCH(CHAR(10)&amp;'Set Aliases'!$A$2:$A$501&amp;CHAR(10),H1404)),0)),"")))</f>
        <v/>
      </c>
      <c r="J1404" s="80" t="str">
        <f t="array" ref="J1404">IF(I1404="","",IFERROR(VALUE(TRIM(MID(SUBSTITUTE(INDEX('Deck 5'!$A:$Z,ROW()-1250,'List Setup'!$G$7),CHAR(10),REPT(" ",100)),((SEARCH(CHAR(10)&amp;I1404&amp;CHAR(10),H1404)-LEN(SUBSTITUTE(LEFT(H1404,SEARCH(CHAR(10)&amp;I1404&amp;CHAR(10),H1404)),CHAR(10),"")))-1)*100+1,100))),""))</f>
        <v/>
      </c>
      <c r="K1404" s="80" t="str">
        <f t="array" ref="K1404">IF(A1404="","",IF(ISNUMBER(SEARCH("Land",LEFT(IFERROR(INDEX('Deck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04" s="80" t="str">
        <f t="shared" si="3"/>
        <v/>
      </c>
      <c r="M1404" s="80" t="str">
        <f>IF(A1404="","",IF(AND(E1404="Y",B1404='Use at Shop'!$B$4),K1404*10000000000+(MAX(0,MIN(26,CODE(MID(UPPER(A1404)&amp;"    ",1,1))-64))*19683+MAX(0,MIN(26,CODE(MID(UPPER(A1404)&amp;"    ",2,1))-64))*729+MAX(0,MIN(26,CODE(MID(UPPER(A1404)&amp;"    ",3,1))-64))*27+MAX(0,MIN(26,CODE(MID(UPPER(A1404)&amp;"    ",4,1))-64))*1)*10000+ROW(),""))</f>
        <v/>
      </c>
      <c r="N1404" s="80" t="str">
        <f t="shared" si="9"/>
        <v/>
      </c>
      <c r="O1404" s="80" t="str">
        <f t="array" ref="O1404">IF(A1404="","",IFERROR(INDEX('Deck 5'!$A:$Z,ROW()-1250,'List Setup'!$J$7)&amp;"",""))</f>
        <v/>
      </c>
      <c r="P1404" s="2"/>
      <c r="Q1404" s="80" t="str">
        <f>IF(A1404="","",'List Setup'!$A$7)</f>
        <v/>
      </c>
      <c r="R1404" s="80" t="str">
        <f t="array" ref="R1404">IF(A1404="","",IFERROR(OR(INDEX(Binders!$J$6:$J$30,MATCH(Q1404,Binders!$I$6:$I$30,0))=TRUE(),UPPER(INDEX(Binders!$J$6:$J$30,MATCH(Q1404,Binders!$I$6:$I$30,0))&amp;"")="TRUE"),FALSE()))</f>
        <v/>
      </c>
    </row>
    <row r="1405" ht="15.75" customHeight="1">
      <c r="A1405" s="80" t="str">
        <f t="array" ref="A1405">IF(INDEX('Deck 5'!$A:$Z,ROW()-1250,'List Setup'!$D$7)="","",INDEX('Deck 5'!$A:$Z,ROW()-1250,'List Setup'!$D$7))</f>
        <v/>
      </c>
      <c r="B1405" s="80" t="str">
        <f t="array" ref="B1405">IF(A1405="","",IFERROR(INDEX('Binder Setup'!$B$2:$B$401,MIN(IF(ISNUMBER(SEARCH(CHAR(10)&amp;'Binder Setup'!$B$2:$B$401&amp;CHAR(10),$H1405)),'List Setup'!$Q$2:$Q$401,999),IF(ISNUMBER(SEARCH(CHAR(10)&amp;'Set Aliases'!$A$2:$A$501&amp;CHAR(10),$H1405)),'Set Aliases'!$C$2:$C$501,999))),"(none)"))</f>
        <v/>
      </c>
      <c r="C1405" s="80" t="str">
        <f t="shared" si="1"/>
        <v/>
      </c>
      <c r="D1405" s="80" t="str">
        <f t="array" ref="D1405">IF(A1405="","",IF(ISLOGICAL(INDEX('Deck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05" s="80" t="str">
        <f t="shared" si="2"/>
        <v/>
      </c>
      <c r="F1405" s="80" t="str">
        <f t="array" ref="F1405">IF(A1405="","",IF(ISNUMBER(J1405),J1405,IF(ISNUMBER(INDEX('Deck 5'!$A:$Z,ROW()-1250,'List Setup'!$F$7)),INDEX('Deck 5'!$A:$Z,ROW()-1250,'List Setup'!$F$7),0)))</f>
        <v/>
      </c>
      <c r="G1405" s="80" t="str">
        <f t="array" ref="G1405">IF(A1405="","",A1405&amp;IF(N(INDEX('Deck 5'!$A:$Z,ROW()-1250,'List Setup'!$C$7))&gt;1," (x"&amp;INDEX('Deck 5'!$A:$Z,ROW()-1250,'List Setup'!$C$7)&amp;")","")&amp;IF(COUNTIF(Binders!$J$6:$J$30,TRUE())&gt;1," ["&amp;Q1405&amp;"]",""))</f>
        <v/>
      </c>
      <c r="H1405" s="80" t="str">
        <f t="array" ref="H1405">IF(A1405="","",CHAR(10)&amp;INDEX('Deck 5'!$A:$Z,ROW()-1250,'List Setup'!$E$7)&amp;CHAR(10))</f>
        <v/>
      </c>
      <c r="I1405" s="80" t="str">
        <f t="array" ref="I1405">IF(OR(B1405="",B1405="(none)"),"",IF(ISNUMBER(SEARCH(CHAR(10)&amp;B1405&amp;CHAR(10),H1405)),B1405,IFERROR(INDEX('Set Aliases'!$A$2:$A$501,MATCH(1,('Set Aliases'!$B$2:$B$501=B1405)*ISNUMBER(SEARCH(CHAR(10)&amp;'Set Aliases'!$A$2:$A$501&amp;CHAR(10),H1405)),0)),"")))</f>
        <v/>
      </c>
      <c r="J1405" s="80" t="str">
        <f t="array" ref="J1405">IF(I1405="","",IFERROR(VALUE(TRIM(MID(SUBSTITUTE(INDEX('Deck 5'!$A:$Z,ROW()-1250,'List Setup'!$G$7),CHAR(10),REPT(" ",100)),((SEARCH(CHAR(10)&amp;I1405&amp;CHAR(10),H1405)-LEN(SUBSTITUTE(LEFT(H1405,SEARCH(CHAR(10)&amp;I1405&amp;CHAR(10),H1405)),CHAR(10),"")))-1)*100+1,100))),""))</f>
        <v/>
      </c>
      <c r="K1405" s="80" t="str">
        <f t="array" ref="K1405">IF(A1405="","",IF(ISNUMBER(SEARCH("Land",LEFT(IFERROR(INDEX('Deck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05" s="80" t="str">
        <f t="shared" si="3"/>
        <v/>
      </c>
      <c r="M1405" s="80" t="str">
        <f>IF(A1405="","",IF(AND(E1405="Y",B1405='Use at Shop'!$B$4),K1405*10000000000+(MAX(0,MIN(26,CODE(MID(UPPER(A1405)&amp;"    ",1,1))-64))*19683+MAX(0,MIN(26,CODE(MID(UPPER(A1405)&amp;"    ",2,1))-64))*729+MAX(0,MIN(26,CODE(MID(UPPER(A1405)&amp;"    ",3,1))-64))*27+MAX(0,MIN(26,CODE(MID(UPPER(A1405)&amp;"    ",4,1))-64))*1)*10000+ROW(),""))</f>
        <v/>
      </c>
      <c r="N1405" s="80" t="str">
        <f t="shared" si="9"/>
        <v/>
      </c>
      <c r="O1405" s="80" t="str">
        <f t="array" ref="O1405">IF(A1405="","",IFERROR(INDEX('Deck 5'!$A:$Z,ROW()-1250,'List Setup'!$J$7)&amp;"",""))</f>
        <v/>
      </c>
      <c r="P1405" s="2"/>
      <c r="Q1405" s="80" t="str">
        <f>IF(A1405="","",'List Setup'!$A$7)</f>
        <v/>
      </c>
      <c r="R1405" s="80" t="str">
        <f t="array" ref="R1405">IF(A1405="","",IFERROR(OR(INDEX(Binders!$J$6:$J$30,MATCH(Q1405,Binders!$I$6:$I$30,0))=TRUE(),UPPER(INDEX(Binders!$J$6:$J$30,MATCH(Q1405,Binders!$I$6:$I$30,0))&amp;"")="TRUE"),FALSE()))</f>
        <v/>
      </c>
    </row>
    <row r="1406" ht="15.75" customHeight="1">
      <c r="A1406" s="80" t="str">
        <f t="array" ref="A1406">IF(INDEX('Deck 5'!$A:$Z,ROW()-1250,'List Setup'!$D$7)="","",INDEX('Deck 5'!$A:$Z,ROW()-1250,'List Setup'!$D$7))</f>
        <v/>
      </c>
      <c r="B1406" s="80" t="str">
        <f t="array" ref="B1406">IF(A1406="","",IFERROR(INDEX('Binder Setup'!$B$2:$B$401,MIN(IF(ISNUMBER(SEARCH(CHAR(10)&amp;'Binder Setup'!$B$2:$B$401&amp;CHAR(10),$H1406)),'List Setup'!$Q$2:$Q$401,999),IF(ISNUMBER(SEARCH(CHAR(10)&amp;'Set Aliases'!$A$2:$A$501&amp;CHAR(10),$H1406)),'Set Aliases'!$C$2:$C$501,999))),"(none)"))</f>
        <v/>
      </c>
      <c r="C1406" s="80" t="str">
        <f t="shared" si="1"/>
        <v/>
      </c>
      <c r="D1406" s="80" t="str">
        <f t="array" ref="D1406">IF(A1406="","",IF(ISLOGICAL(INDEX('Deck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06" s="80" t="str">
        <f t="shared" si="2"/>
        <v/>
      </c>
      <c r="F1406" s="80" t="str">
        <f t="array" ref="F1406">IF(A1406="","",IF(ISNUMBER(J1406),J1406,IF(ISNUMBER(INDEX('Deck 5'!$A:$Z,ROW()-1250,'List Setup'!$F$7)),INDEX('Deck 5'!$A:$Z,ROW()-1250,'List Setup'!$F$7),0)))</f>
        <v/>
      </c>
      <c r="G1406" s="80" t="str">
        <f t="array" ref="G1406">IF(A1406="","",A1406&amp;IF(N(INDEX('Deck 5'!$A:$Z,ROW()-1250,'List Setup'!$C$7))&gt;1," (x"&amp;INDEX('Deck 5'!$A:$Z,ROW()-1250,'List Setup'!$C$7)&amp;")","")&amp;IF(COUNTIF(Binders!$J$6:$J$30,TRUE())&gt;1," ["&amp;Q1406&amp;"]",""))</f>
        <v/>
      </c>
      <c r="H1406" s="80" t="str">
        <f t="array" ref="H1406">IF(A1406="","",CHAR(10)&amp;INDEX('Deck 5'!$A:$Z,ROW()-1250,'List Setup'!$E$7)&amp;CHAR(10))</f>
        <v/>
      </c>
      <c r="I1406" s="80" t="str">
        <f t="array" ref="I1406">IF(OR(B1406="",B1406="(none)"),"",IF(ISNUMBER(SEARCH(CHAR(10)&amp;B1406&amp;CHAR(10),H1406)),B1406,IFERROR(INDEX('Set Aliases'!$A$2:$A$501,MATCH(1,('Set Aliases'!$B$2:$B$501=B1406)*ISNUMBER(SEARCH(CHAR(10)&amp;'Set Aliases'!$A$2:$A$501&amp;CHAR(10),H1406)),0)),"")))</f>
        <v/>
      </c>
      <c r="J1406" s="80" t="str">
        <f t="array" ref="J1406">IF(I1406="","",IFERROR(VALUE(TRIM(MID(SUBSTITUTE(INDEX('Deck 5'!$A:$Z,ROW()-1250,'List Setup'!$G$7),CHAR(10),REPT(" ",100)),((SEARCH(CHAR(10)&amp;I1406&amp;CHAR(10),H1406)-LEN(SUBSTITUTE(LEFT(H1406,SEARCH(CHAR(10)&amp;I1406&amp;CHAR(10),H1406)),CHAR(10),"")))-1)*100+1,100))),""))</f>
        <v/>
      </c>
      <c r="K1406" s="80" t="str">
        <f t="array" ref="K1406">IF(A1406="","",IF(ISNUMBER(SEARCH("Land",LEFT(IFERROR(INDEX('Deck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06" s="80" t="str">
        <f t="shared" si="3"/>
        <v/>
      </c>
      <c r="M1406" s="80" t="str">
        <f>IF(A1406="","",IF(AND(E1406="Y",B1406='Use at Shop'!$B$4),K1406*10000000000+(MAX(0,MIN(26,CODE(MID(UPPER(A1406)&amp;"    ",1,1))-64))*19683+MAX(0,MIN(26,CODE(MID(UPPER(A1406)&amp;"    ",2,1))-64))*729+MAX(0,MIN(26,CODE(MID(UPPER(A1406)&amp;"    ",3,1))-64))*27+MAX(0,MIN(26,CODE(MID(UPPER(A1406)&amp;"    ",4,1))-64))*1)*10000+ROW(),""))</f>
        <v/>
      </c>
      <c r="N1406" s="80" t="str">
        <f t="shared" si="9"/>
        <v/>
      </c>
      <c r="O1406" s="80" t="str">
        <f t="array" ref="O1406">IF(A1406="","",IFERROR(INDEX('Deck 5'!$A:$Z,ROW()-1250,'List Setup'!$J$7)&amp;"",""))</f>
        <v/>
      </c>
      <c r="P1406" s="2"/>
      <c r="Q1406" s="80" t="str">
        <f>IF(A1406="","",'List Setup'!$A$7)</f>
        <v/>
      </c>
      <c r="R1406" s="80" t="str">
        <f t="array" ref="R1406">IF(A1406="","",IFERROR(OR(INDEX(Binders!$J$6:$J$30,MATCH(Q1406,Binders!$I$6:$I$30,0))=TRUE(),UPPER(INDEX(Binders!$J$6:$J$30,MATCH(Q1406,Binders!$I$6:$I$30,0))&amp;"")="TRUE"),FALSE()))</f>
        <v/>
      </c>
    </row>
    <row r="1407" ht="15.75" customHeight="1">
      <c r="A1407" s="80" t="str">
        <f t="array" ref="A1407">IF(INDEX('Deck 5'!$A:$Z,ROW()-1250,'List Setup'!$D$7)="","",INDEX('Deck 5'!$A:$Z,ROW()-1250,'List Setup'!$D$7))</f>
        <v/>
      </c>
      <c r="B1407" s="80" t="str">
        <f t="array" ref="B1407">IF(A1407="","",IFERROR(INDEX('Binder Setup'!$B$2:$B$401,MIN(IF(ISNUMBER(SEARCH(CHAR(10)&amp;'Binder Setup'!$B$2:$B$401&amp;CHAR(10),$H1407)),'List Setup'!$Q$2:$Q$401,999),IF(ISNUMBER(SEARCH(CHAR(10)&amp;'Set Aliases'!$A$2:$A$501&amp;CHAR(10),$H1407)),'Set Aliases'!$C$2:$C$501,999))),"(none)"))</f>
        <v/>
      </c>
      <c r="C1407" s="80" t="str">
        <f t="shared" si="1"/>
        <v/>
      </c>
      <c r="D1407" s="80" t="str">
        <f t="array" ref="D1407">IF(A1407="","",IF(ISLOGICAL(INDEX('Deck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07" s="80" t="str">
        <f t="shared" si="2"/>
        <v/>
      </c>
      <c r="F1407" s="80" t="str">
        <f t="array" ref="F1407">IF(A1407="","",IF(ISNUMBER(J1407),J1407,IF(ISNUMBER(INDEX('Deck 5'!$A:$Z,ROW()-1250,'List Setup'!$F$7)),INDEX('Deck 5'!$A:$Z,ROW()-1250,'List Setup'!$F$7),0)))</f>
        <v/>
      </c>
      <c r="G1407" s="80" t="str">
        <f t="array" ref="G1407">IF(A1407="","",A1407&amp;IF(N(INDEX('Deck 5'!$A:$Z,ROW()-1250,'List Setup'!$C$7))&gt;1," (x"&amp;INDEX('Deck 5'!$A:$Z,ROW()-1250,'List Setup'!$C$7)&amp;")","")&amp;IF(COUNTIF(Binders!$J$6:$J$30,TRUE())&gt;1," ["&amp;Q1407&amp;"]",""))</f>
        <v/>
      </c>
      <c r="H1407" s="80" t="str">
        <f t="array" ref="H1407">IF(A1407="","",CHAR(10)&amp;INDEX('Deck 5'!$A:$Z,ROW()-1250,'List Setup'!$E$7)&amp;CHAR(10))</f>
        <v/>
      </c>
      <c r="I1407" s="80" t="str">
        <f t="array" ref="I1407">IF(OR(B1407="",B1407="(none)"),"",IF(ISNUMBER(SEARCH(CHAR(10)&amp;B1407&amp;CHAR(10),H1407)),B1407,IFERROR(INDEX('Set Aliases'!$A$2:$A$501,MATCH(1,('Set Aliases'!$B$2:$B$501=B1407)*ISNUMBER(SEARCH(CHAR(10)&amp;'Set Aliases'!$A$2:$A$501&amp;CHAR(10),H1407)),0)),"")))</f>
        <v/>
      </c>
      <c r="J1407" s="80" t="str">
        <f t="array" ref="J1407">IF(I1407="","",IFERROR(VALUE(TRIM(MID(SUBSTITUTE(INDEX('Deck 5'!$A:$Z,ROW()-1250,'List Setup'!$G$7),CHAR(10),REPT(" ",100)),((SEARCH(CHAR(10)&amp;I1407&amp;CHAR(10),H1407)-LEN(SUBSTITUTE(LEFT(H1407,SEARCH(CHAR(10)&amp;I1407&amp;CHAR(10),H1407)),CHAR(10),"")))-1)*100+1,100))),""))</f>
        <v/>
      </c>
      <c r="K1407" s="80" t="str">
        <f t="array" ref="K1407">IF(A1407="","",IF(ISNUMBER(SEARCH("Land",LEFT(IFERROR(INDEX('Deck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07" s="80" t="str">
        <f t="shared" si="3"/>
        <v/>
      </c>
      <c r="M1407" s="80" t="str">
        <f>IF(A1407="","",IF(AND(E1407="Y",B1407='Use at Shop'!$B$4),K1407*10000000000+(MAX(0,MIN(26,CODE(MID(UPPER(A1407)&amp;"    ",1,1))-64))*19683+MAX(0,MIN(26,CODE(MID(UPPER(A1407)&amp;"    ",2,1))-64))*729+MAX(0,MIN(26,CODE(MID(UPPER(A1407)&amp;"    ",3,1))-64))*27+MAX(0,MIN(26,CODE(MID(UPPER(A1407)&amp;"    ",4,1))-64))*1)*10000+ROW(),""))</f>
        <v/>
      </c>
      <c r="N1407" s="80" t="str">
        <f t="shared" si="9"/>
        <v/>
      </c>
      <c r="O1407" s="80" t="str">
        <f t="array" ref="O1407">IF(A1407="","",IFERROR(INDEX('Deck 5'!$A:$Z,ROW()-1250,'List Setup'!$J$7)&amp;"",""))</f>
        <v/>
      </c>
      <c r="P1407" s="2"/>
      <c r="Q1407" s="80" t="str">
        <f>IF(A1407="","",'List Setup'!$A$7)</f>
        <v/>
      </c>
      <c r="R1407" s="80" t="str">
        <f t="array" ref="R1407">IF(A1407="","",IFERROR(OR(INDEX(Binders!$J$6:$J$30,MATCH(Q1407,Binders!$I$6:$I$30,0))=TRUE(),UPPER(INDEX(Binders!$J$6:$J$30,MATCH(Q1407,Binders!$I$6:$I$30,0))&amp;"")="TRUE"),FALSE()))</f>
        <v/>
      </c>
    </row>
    <row r="1408" ht="15.75" customHeight="1">
      <c r="A1408" s="80" t="str">
        <f t="array" ref="A1408">IF(INDEX('Deck 5'!$A:$Z,ROW()-1250,'List Setup'!$D$7)="","",INDEX('Deck 5'!$A:$Z,ROW()-1250,'List Setup'!$D$7))</f>
        <v/>
      </c>
      <c r="B1408" s="80" t="str">
        <f t="array" ref="B1408">IF(A1408="","",IFERROR(INDEX('Binder Setup'!$B$2:$B$401,MIN(IF(ISNUMBER(SEARCH(CHAR(10)&amp;'Binder Setup'!$B$2:$B$401&amp;CHAR(10),$H1408)),'List Setup'!$Q$2:$Q$401,999),IF(ISNUMBER(SEARCH(CHAR(10)&amp;'Set Aliases'!$A$2:$A$501&amp;CHAR(10),$H1408)),'Set Aliases'!$C$2:$C$501,999))),"(none)"))</f>
        <v/>
      </c>
      <c r="C1408" s="80" t="str">
        <f t="shared" si="1"/>
        <v/>
      </c>
      <c r="D1408" s="80" t="str">
        <f t="array" ref="D1408">IF(A1408="","",IF(ISLOGICAL(INDEX('Deck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08" s="80" t="str">
        <f t="shared" si="2"/>
        <v/>
      </c>
      <c r="F1408" s="80" t="str">
        <f t="array" ref="F1408">IF(A1408="","",IF(ISNUMBER(J1408),J1408,IF(ISNUMBER(INDEX('Deck 5'!$A:$Z,ROW()-1250,'List Setup'!$F$7)),INDEX('Deck 5'!$A:$Z,ROW()-1250,'List Setup'!$F$7),0)))</f>
        <v/>
      </c>
      <c r="G1408" s="80" t="str">
        <f t="array" ref="G1408">IF(A1408="","",A1408&amp;IF(N(INDEX('Deck 5'!$A:$Z,ROW()-1250,'List Setup'!$C$7))&gt;1," (x"&amp;INDEX('Deck 5'!$A:$Z,ROW()-1250,'List Setup'!$C$7)&amp;")","")&amp;IF(COUNTIF(Binders!$J$6:$J$30,TRUE())&gt;1," ["&amp;Q1408&amp;"]",""))</f>
        <v/>
      </c>
      <c r="H1408" s="80" t="str">
        <f t="array" ref="H1408">IF(A1408="","",CHAR(10)&amp;INDEX('Deck 5'!$A:$Z,ROW()-1250,'List Setup'!$E$7)&amp;CHAR(10))</f>
        <v/>
      </c>
      <c r="I1408" s="80" t="str">
        <f t="array" ref="I1408">IF(OR(B1408="",B1408="(none)"),"",IF(ISNUMBER(SEARCH(CHAR(10)&amp;B1408&amp;CHAR(10),H1408)),B1408,IFERROR(INDEX('Set Aliases'!$A$2:$A$501,MATCH(1,('Set Aliases'!$B$2:$B$501=B1408)*ISNUMBER(SEARCH(CHAR(10)&amp;'Set Aliases'!$A$2:$A$501&amp;CHAR(10),H1408)),0)),"")))</f>
        <v/>
      </c>
      <c r="J1408" s="80" t="str">
        <f t="array" ref="J1408">IF(I1408="","",IFERROR(VALUE(TRIM(MID(SUBSTITUTE(INDEX('Deck 5'!$A:$Z,ROW()-1250,'List Setup'!$G$7),CHAR(10),REPT(" ",100)),((SEARCH(CHAR(10)&amp;I1408&amp;CHAR(10),H1408)-LEN(SUBSTITUTE(LEFT(H1408,SEARCH(CHAR(10)&amp;I1408&amp;CHAR(10),H1408)),CHAR(10),"")))-1)*100+1,100))),""))</f>
        <v/>
      </c>
      <c r="K1408" s="80" t="str">
        <f t="array" ref="K1408">IF(A1408="","",IF(ISNUMBER(SEARCH("Land",LEFT(IFERROR(INDEX('Deck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08" s="80" t="str">
        <f t="shared" si="3"/>
        <v/>
      </c>
      <c r="M1408" s="80" t="str">
        <f>IF(A1408="","",IF(AND(E1408="Y",B1408='Use at Shop'!$B$4),K1408*10000000000+(MAX(0,MIN(26,CODE(MID(UPPER(A1408)&amp;"    ",1,1))-64))*19683+MAX(0,MIN(26,CODE(MID(UPPER(A1408)&amp;"    ",2,1))-64))*729+MAX(0,MIN(26,CODE(MID(UPPER(A1408)&amp;"    ",3,1))-64))*27+MAX(0,MIN(26,CODE(MID(UPPER(A1408)&amp;"    ",4,1))-64))*1)*10000+ROW(),""))</f>
        <v/>
      </c>
      <c r="N1408" s="80" t="str">
        <f t="shared" si="9"/>
        <v/>
      </c>
      <c r="O1408" s="80" t="str">
        <f t="array" ref="O1408">IF(A1408="","",IFERROR(INDEX('Deck 5'!$A:$Z,ROW()-1250,'List Setup'!$J$7)&amp;"",""))</f>
        <v/>
      </c>
      <c r="P1408" s="2"/>
      <c r="Q1408" s="80" t="str">
        <f>IF(A1408="","",'List Setup'!$A$7)</f>
        <v/>
      </c>
      <c r="R1408" s="80" t="str">
        <f t="array" ref="R1408">IF(A1408="","",IFERROR(OR(INDEX(Binders!$J$6:$J$30,MATCH(Q1408,Binders!$I$6:$I$30,0))=TRUE(),UPPER(INDEX(Binders!$J$6:$J$30,MATCH(Q1408,Binders!$I$6:$I$30,0))&amp;"")="TRUE"),FALSE()))</f>
        <v/>
      </c>
    </row>
    <row r="1409" ht="15.75" customHeight="1">
      <c r="A1409" s="80" t="str">
        <f t="array" ref="A1409">IF(INDEX('Deck 5'!$A:$Z,ROW()-1250,'List Setup'!$D$7)="","",INDEX('Deck 5'!$A:$Z,ROW()-1250,'List Setup'!$D$7))</f>
        <v/>
      </c>
      <c r="B1409" s="80" t="str">
        <f t="array" ref="B1409">IF(A1409="","",IFERROR(INDEX('Binder Setup'!$B$2:$B$401,MIN(IF(ISNUMBER(SEARCH(CHAR(10)&amp;'Binder Setup'!$B$2:$B$401&amp;CHAR(10),$H1409)),'List Setup'!$Q$2:$Q$401,999),IF(ISNUMBER(SEARCH(CHAR(10)&amp;'Set Aliases'!$A$2:$A$501&amp;CHAR(10),$H1409)),'Set Aliases'!$C$2:$C$501,999))),"(none)"))</f>
        <v/>
      </c>
      <c r="C1409" s="80" t="str">
        <f t="shared" si="1"/>
        <v/>
      </c>
      <c r="D1409" s="80" t="str">
        <f t="array" ref="D1409">IF(A1409="","",IF(ISLOGICAL(INDEX('Deck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09" s="80" t="str">
        <f t="shared" si="2"/>
        <v/>
      </c>
      <c r="F1409" s="80" t="str">
        <f t="array" ref="F1409">IF(A1409="","",IF(ISNUMBER(J1409),J1409,IF(ISNUMBER(INDEX('Deck 5'!$A:$Z,ROW()-1250,'List Setup'!$F$7)),INDEX('Deck 5'!$A:$Z,ROW()-1250,'List Setup'!$F$7),0)))</f>
        <v/>
      </c>
      <c r="G1409" s="80" t="str">
        <f t="array" ref="G1409">IF(A1409="","",A1409&amp;IF(N(INDEX('Deck 5'!$A:$Z,ROW()-1250,'List Setup'!$C$7))&gt;1," (x"&amp;INDEX('Deck 5'!$A:$Z,ROW()-1250,'List Setup'!$C$7)&amp;")","")&amp;IF(COUNTIF(Binders!$J$6:$J$30,TRUE())&gt;1," ["&amp;Q1409&amp;"]",""))</f>
        <v/>
      </c>
      <c r="H1409" s="80" t="str">
        <f t="array" ref="H1409">IF(A1409="","",CHAR(10)&amp;INDEX('Deck 5'!$A:$Z,ROW()-1250,'List Setup'!$E$7)&amp;CHAR(10))</f>
        <v/>
      </c>
      <c r="I1409" s="80" t="str">
        <f t="array" ref="I1409">IF(OR(B1409="",B1409="(none)"),"",IF(ISNUMBER(SEARCH(CHAR(10)&amp;B1409&amp;CHAR(10),H1409)),B1409,IFERROR(INDEX('Set Aliases'!$A$2:$A$501,MATCH(1,('Set Aliases'!$B$2:$B$501=B1409)*ISNUMBER(SEARCH(CHAR(10)&amp;'Set Aliases'!$A$2:$A$501&amp;CHAR(10),H1409)),0)),"")))</f>
        <v/>
      </c>
      <c r="J1409" s="80" t="str">
        <f t="array" ref="J1409">IF(I1409="","",IFERROR(VALUE(TRIM(MID(SUBSTITUTE(INDEX('Deck 5'!$A:$Z,ROW()-1250,'List Setup'!$G$7),CHAR(10),REPT(" ",100)),((SEARCH(CHAR(10)&amp;I1409&amp;CHAR(10),H1409)-LEN(SUBSTITUTE(LEFT(H1409,SEARCH(CHAR(10)&amp;I1409&amp;CHAR(10),H1409)),CHAR(10),"")))-1)*100+1,100))),""))</f>
        <v/>
      </c>
      <c r="K1409" s="80" t="str">
        <f t="array" ref="K1409">IF(A1409="","",IF(ISNUMBER(SEARCH("Land",LEFT(IFERROR(INDEX('Deck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09" s="80" t="str">
        <f t="shared" si="3"/>
        <v/>
      </c>
      <c r="M1409" s="80" t="str">
        <f>IF(A1409="","",IF(AND(E1409="Y",B1409='Use at Shop'!$B$4),K1409*10000000000+(MAX(0,MIN(26,CODE(MID(UPPER(A1409)&amp;"    ",1,1))-64))*19683+MAX(0,MIN(26,CODE(MID(UPPER(A1409)&amp;"    ",2,1))-64))*729+MAX(0,MIN(26,CODE(MID(UPPER(A1409)&amp;"    ",3,1))-64))*27+MAX(0,MIN(26,CODE(MID(UPPER(A1409)&amp;"    ",4,1))-64))*1)*10000+ROW(),""))</f>
        <v/>
      </c>
      <c r="N1409" s="80" t="str">
        <f t="shared" si="9"/>
        <v/>
      </c>
      <c r="O1409" s="80" t="str">
        <f t="array" ref="O1409">IF(A1409="","",IFERROR(INDEX('Deck 5'!$A:$Z,ROW()-1250,'List Setup'!$J$7)&amp;"",""))</f>
        <v/>
      </c>
      <c r="P1409" s="2"/>
      <c r="Q1409" s="80" t="str">
        <f>IF(A1409="","",'List Setup'!$A$7)</f>
        <v/>
      </c>
      <c r="R1409" s="80" t="str">
        <f t="array" ref="R1409">IF(A1409="","",IFERROR(OR(INDEX(Binders!$J$6:$J$30,MATCH(Q1409,Binders!$I$6:$I$30,0))=TRUE(),UPPER(INDEX(Binders!$J$6:$J$30,MATCH(Q1409,Binders!$I$6:$I$30,0))&amp;"")="TRUE"),FALSE()))</f>
        <v/>
      </c>
    </row>
    <row r="1410" ht="15.75" customHeight="1">
      <c r="A1410" s="80" t="str">
        <f t="array" ref="A1410">IF(INDEX('Deck 5'!$A:$Z,ROW()-1250,'List Setup'!$D$7)="","",INDEX('Deck 5'!$A:$Z,ROW()-1250,'List Setup'!$D$7))</f>
        <v/>
      </c>
      <c r="B1410" s="80" t="str">
        <f t="array" ref="B1410">IF(A1410="","",IFERROR(INDEX('Binder Setup'!$B$2:$B$401,MIN(IF(ISNUMBER(SEARCH(CHAR(10)&amp;'Binder Setup'!$B$2:$B$401&amp;CHAR(10),$H1410)),'List Setup'!$Q$2:$Q$401,999),IF(ISNUMBER(SEARCH(CHAR(10)&amp;'Set Aliases'!$A$2:$A$501&amp;CHAR(10),$H1410)),'Set Aliases'!$C$2:$C$501,999))),"(none)"))</f>
        <v/>
      </c>
      <c r="C1410" s="80" t="str">
        <f t="shared" si="1"/>
        <v/>
      </c>
      <c r="D1410" s="80" t="str">
        <f t="array" ref="D1410">IF(A1410="","",IF(ISLOGICAL(INDEX('Deck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10" s="80" t="str">
        <f t="shared" si="2"/>
        <v/>
      </c>
      <c r="F1410" s="80" t="str">
        <f t="array" ref="F1410">IF(A1410="","",IF(ISNUMBER(J1410),J1410,IF(ISNUMBER(INDEX('Deck 5'!$A:$Z,ROW()-1250,'List Setup'!$F$7)),INDEX('Deck 5'!$A:$Z,ROW()-1250,'List Setup'!$F$7),0)))</f>
        <v/>
      </c>
      <c r="G1410" s="80" t="str">
        <f t="array" ref="G1410">IF(A1410="","",A1410&amp;IF(N(INDEX('Deck 5'!$A:$Z,ROW()-1250,'List Setup'!$C$7))&gt;1," (x"&amp;INDEX('Deck 5'!$A:$Z,ROW()-1250,'List Setup'!$C$7)&amp;")","")&amp;IF(COUNTIF(Binders!$J$6:$J$30,TRUE())&gt;1," ["&amp;Q1410&amp;"]",""))</f>
        <v/>
      </c>
      <c r="H1410" s="80" t="str">
        <f t="array" ref="H1410">IF(A1410="","",CHAR(10)&amp;INDEX('Deck 5'!$A:$Z,ROW()-1250,'List Setup'!$E$7)&amp;CHAR(10))</f>
        <v/>
      </c>
      <c r="I1410" s="80" t="str">
        <f t="array" ref="I1410">IF(OR(B1410="",B1410="(none)"),"",IF(ISNUMBER(SEARCH(CHAR(10)&amp;B1410&amp;CHAR(10),H1410)),B1410,IFERROR(INDEX('Set Aliases'!$A$2:$A$501,MATCH(1,('Set Aliases'!$B$2:$B$501=B1410)*ISNUMBER(SEARCH(CHAR(10)&amp;'Set Aliases'!$A$2:$A$501&amp;CHAR(10),H1410)),0)),"")))</f>
        <v/>
      </c>
      <c r="J1410" s="80" t="str">
        <f t="array" ref="J1410">IF(I1410="","",IFERROR(VALUE(TRIM(MID(SUBSTITUTE(INDEX('Deck 5'!$A:$Z,ROW()-1250,'List Setup'!$G$7),CHAR(10),REPT(" ",100)),((SEARCH(CHAR(10)&amp;I1410&amp;CHAR(10),H1410)-LEN(SUBSTITUTE(LEFT(H1410,SEARCH(CHAR(10)&amp;I1410&amp;CHAR(10),H1410)),CHAR(10),"")))-1)*100+1,100))),""))</f>
        <v/>
      </c>
      <c r="K1410" s="80" t="str">
        <f t="array" ref="K1410">IF(A1410="","",IF(ISNUMBER(SEARCH("Land",LEFT(IFERROR(INDEX('Deck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10" s="80" t="str">
        <f t="shared" si="3"/>
        <v/>
      </c>
      <c r="M1410" s="80" t="str">
        <f>IF(A1410="","",IF(AND(E1410="Y",B1410='Use at Shop'!$B$4),K1410*10000000000+(MAX(0,MIN(26,CODE(MID(UPPER(A1410)&amp;"    ",1,1))-64))*19683+MAX(0,MIN(26,CODE(MID(UPPER(A1410)&amp;"    ",2,1))-64))*729+MAX(0,MIN(26,CODE(MID(UPPER(A1410)&amp;"    ",3,1))-64))*27+MAX(0,MIN(26,CODE(MID(UPPER(A1410)&amp;"    ",4,1))-64))*1)*10000+ROW(),""))</f>
        <v/>
      </c>
      <c r="N1410" s="80" t="str">
        <f t="shared" si="9"/>
        <v/>
      </c>
      <c r="O1410" s="80" t="str">
        <f t="array" ref="O1410">IF(A1410="","",IFERROR(INDEX('Deck 5'!$A:$Z,ROW()-1250,'List Setup'!$J$7)&amp;"",""))</f>
        <v/>
      </c>
      <c r="P1410" s="2"/>
      <c r="Q1410" s="80" t="str">
        <f>IF(A1410="","",'List Setup'!$A$7)</f>
        <v/>
      </c>
      <c r="R1410" s="80" t="str">
        <f t="array" ref="R1410">IF(A1410="","",IFERROR(OR(INDEX(Binders!$J$6:$J$30,MATCH(Q1410,Binders!$I$6:$I$30,0))=TRUE(),UPPER(INDEX(Binders!$J$6:$J$30,MATCH(Q1410,Binders!$I$6:$I$30,0))&amp;"")="TRUE"),FALSE()))</f>
        <v/>
      </c>
    </row>
    <row r="1411" ht="15.75" customHeight="1">
      <c r="A1411" s="80" t="str">
        <f t="array" ref="A1411">IF(INDEX('Deck 5'!$A:$Z,ROW()-1250,'List Setup'!$D$7)="","",INDEX('Deck 5'!$A:$Z,ROW()-1250,'List Setup'!$D$7))</f>
        <v/>
      </c>
      <c r="B1411" s="80" t="str">
        <f t="array" ref="B1411">IF(A1411="","",IFERROR(INDEX('Binder Setup'!$B$2:$B$401,MIN(IF(ISNUMBER(SEARCH(CHAR(10)&amp;'Binder Setup'!$B$2:$B$401&amp;CHAR(10),$H1411)),'List Setup'!$Q$2:$Q$401,999),IF(ISNUMBER(SEARCH(CHAR(10)&amp;'Set Aliases'!$A$2:$A$501&amp;CHAR(10),$H1411)),'Set Aliases'!$C$2:$C$501,999))),"(none)"))</f>
        <v/>
      </c>
      <c r="C1411" s="80" t="str">
        <f t="shared" si="1"/>
        <v/>
      </c>
      <c r="D1411" s="80" t="str">
        <f t="array" ref="D1411">IF(A1411="","",IF(ISLOGICAL(INDEX('Deck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11" s="80" t="str">
        <f t="shared" si="2"/>
        <v/>
      </c>
      <c r="F1411" s="80" t="str">
        <f t="array" ref="F1411">IF(A1411="","",IF(ISNUMBER(J1411),J1411,IF(ISNUMBER(INDEX('Deck 5'!$A:$Z,ROW()-1250,'List Setup'!$F$7)),INDEX('Deck 5'!$A:$Z,ROW()-1250,'List Setup'!$F$7),0)))</f>
        <v/>
      </c>
      <c r="G1411" s="80" t="str">
        <f t="array" ref="G1411">IF(A1411="","",A1411&amp;IF(N(INDEX('Deck 5'!$A:$Z,ROW()-1250,'List Setup'!$C$7))&gt;1," (x"&amp;INDEX('Deck 5'!$A:$Z,ROW()-1250,'List Setup'!$C$7)&amp;")","")&amp;IF(COUNTIF(Binders!$J$6:$J$30,TRUE())&gt;1," ["&amp;Q1411&amp;"]",""))</f>
        <v/>
      </c>
      <c r="H1411" s="80" t="str">
        <f t="array" ref="H1411">IF(A1411="","",CHAR(10)&amp;INDEX('Deck 5'!$A:$Z,ROW()-1250,'List Setup'!$E$7)&amp;CHAR(10))</f>
        <v/>
      </c>
      <c r="I1411" s="80" t="str">
        <f t="array" ref="I1411">IF(OR(B1411="",B1411="(none)"),"",IF(ISNUMBER(SEARCH(CHAR(10)&amp;B1411&amp;CHAR(10),H1411)),B1411,IFERROR(INDEX('Set Aliases'!$A$2:$A$501,MATCH(1,('Set Aliases'!$B$2:$B$501=B1411)*ISNUMBER(SEARCH(CHAR(10)&amp;'Set Aliases'!$A$2:$A$501&amp;CHAR(10),H1411)),0)),"")))</f>
        <v/>
      </c>
      <c r="J1411" s="80" t="str">
        <f t="array" ref="J1411">IF(I1411="","",IFERROR(VALUE(TRIM(MID(SUBSTITUTE(INDEX('Deck 5'!$A:$Z,ROW()-1250,'List Setup'!$G$7),CHAR(10),REPT(" ",100)),((SEARCH(CHAR(10)&amp;I1411&amp;CHAR(10),H1411)-LEN(SUBSTITUTE(LEFT(H1411,SEARCH(CHAR(10)&amp;I1411&amp;CHAR(10),H1411)),CHAR(10),"")))-1)*100+1,100))),""))</f>
        <v/>
      </c>
      <c r="K1411" s="80" t="str">
        <f t="array" ref="K1411">IF(A1411="","",IF(ISNUMBER(SEARCH("Land",LEFT(IFERROR(INDEX('Deck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11" s="80" t="str">
        <f t="shared" si="3"/>
        <v/>
      </c>
      <c r="M1411" s="80" t="str">
        <f>IF(A1411="","",IF(AND(E1411="Y",B1411='Use at Shop'!$B$4),K1411*10000000000+(MAX(0,MIN(26,CODE(MID(UPPER(A1411)&amp;"    ",1,1))-64))*19683+MAX(0,MIN(26,CODE(MID(UPPER(A1411)&amp;"    ",2,1))-64))*729+MAX(0,MIN(26,CODE(MID(UPPER(A1411)&amp;"    ",3,1))-64))*27+MAX(0,MIN(26,CODE(MID(UPPER(A1411)&amp;"    ",4,1))-64))*1)*10000+ROW(),""))</f>
        <v/>
      </c>
      <c r="N1411" s="80" t="str">
        <f t="shared" si="9"/>
        <v/>
      </c>
      <c r="O1411" s="80" t="str">
        <f t="array" ref="O1411">IF(A1411="","",IFERROR(INDEX('Deck 5'!$A:$Z,ROW()-1250,'List Setup'!$J$7)&amp;"",""))</f>
        <v/>
      </c>
      <c r="P1411" s="2"/>
      <c r="Q1411" s="80" t="str">
        <f>IF(A1411="","",'List Setup'!$A$7)</f>
        <v/>
      </c>
      <c r="R1411" s="80" t="str">
        <f t="array" ref="R1411">IF(A1411="","",IFERROR(OR(INDEX(Binders!$J$6:$J$30,MATCH(Q1411,Binders!$I$6:$I$30,0))=TRUE(),UPPER(INDEX(Binders!$J$6:$J$30,MATCH(Q1411,Binders!$I$6:$I$30,0))&amp;"")="TRUE"),FALSE()))</f>
        <v/>
      </c>
    </row>
    <row r="1412" ht="15.75" customHeight="1">
      <c r="A1412" s="80" t="str">
        <f t="array" ref="A1412">IF(INDEX('Deck 5'!$A:$Z,ROW()-1250,'List Setup'!$D$7)="","",INDEX('Deck 5'!$A:$Z,ROW()-1250,'List Setup'!$D$7))</f>
        <v/>
      </c>
      <c r="B1412" s="80" t="str">
        <f t="array" ref="B1412">IF(A1412="","",IFERROR(INDEX('Binder Setup'!$B$2:$B$401,MIN(IF(ISNUMBER(SEARCH(CHAR(10)&amp;'Binder Setup'!$B$2:$B$401&amp;CHAR(10),$H1412)),'List Setup'!$Q$2:$Q$401,999),IF(ISNUMBER(SEARCH(CHAR(10)&amp;'Set Aliases'!$A$2:$A$501&amp;CHAR(10),$H1412)),'Set Aliases'!$C$2:$C$501,999))),"(none)"))</f>
        <v/>
      </c>
      <c r="C1412" s="80" t="str">
        <f t="shared" si="1"/>
        <v/>
      </c>
      <c r="D1412" s="80" t="str">
        <f t="array" ref="D1412">IF(A1412="","",IF(ISLOGICAL(INDEX('Deck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12" s="80" t="str">
        <f t="shared" si="2"/>
        <v/>
      </c>
      <c r="F1412" s="80" t="str">
        <f t="array" ref="F1412">IF(A1412="","",IF(ISNUMBER(J1412),J1412,IF(ISNUMBER(INDEX('Deck 5'!$A:$Z,ROW()-1250,'List Setup'!$F$7)),INDEX('Deck 5'!$A:$Z,ROW()-1250,'List Setup'!$F$7),0)))</f>
        <v/>
      </c>
      <c r="G1412" s="80" t="str">
        <f t="array" ref="G1412">IF(A1412="","",A1412&amp;IF(N(INDEX('Deck 5'!$A:$Z,ROW()-1250,'List Setup'!$C$7))&gt;1," (x"&amp;INDEX('Deck 5'!$A:$Z,ROW()-1250,'List Setup'!$C$7)&amp;")","")&amp;IF(COUNTIF(Binders!$J$6:$J$30,TRUE())&gt;1," ["&amp;Q1412&amp;"]",""))</f>
        <v/>
      </c>
      <c r="H1412" s="80" t="str">
        <f t="array" ref="H1412">IF(A1412="","",CHAR(10)&amp;INDEX('Deck 5'!$A:$Z,ROW()-1250,'List Setup'!$E$7)&amp;CHAR(10))</f>
        <v/>
      </c>
      <c r="I1412" s="80" t="str">
        <f t="array" ref="I1412">IF(OR(B1412="",B1412="(none)"),"",IF(ISNUMBER(SEARCH(CHAR(10)&amp;B1412&amp;CHAR(10),H1412)),B1412,IFERROR(INDEX('Set Aliases'!$A$2:$A$501,MATCH(1,('Set Aliases'!$B$2:$B$501=B1412)*ISNUMBER(SEARCH(CHAR(10)&amp;'Set Aliases'!$A$2:$A$501&amp;CHAR(10),H1412)),0)),"")))</f>
        <v/>
      </c>
      <c r="J1412" s="80" t="str">
        <f t="array" ref="J1412">IF(I1412="","",IFERROR(VALUE(TRIM(MID(SUBSTITUTE(INDEX('Deck 5'!$A:$Z,ROW()-1250,'List Setup'!$G$7),CHAR(10),REPT(" ",100)),((SEARCH(CHAR(10)&amp;I1412&amp;CHAR(10),H1412)-LEN(SUBSTITUTE(LEFT(H1412,SEARCH(CHAR(10)&amp;I1412&amp;CHAR(10),H1412)),CHAR(10),"")))-1)*100+1,100))),""))</f>
        <v/>
      </c>
      <c r="K1412" s="80" t="str">
        <f t="array" ref="K1412">IF(A1412="","",IF(ISNUMBER(SEARCH("Land",LEFT(IFERROR(INDEX('Deck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12" s="80" t="str">
        <f t="shared" si="3"/>
        <v/>
      </c>
      <c r="M1412" s="80" t="str">
        <f>IF(A1412="","",IF(AND(E1412="Y",B1412='Use at Shop'!$B$4),K1412*10000000000+(MAX(0,MIN(26,CODE(MID(UPPER(A1412)&amp;"    ",1,1))-64))*19683+MAX(0,MIN(26,CODE(MID(UPPER(A1412)&amp;"    ",2,1))-64))*729+MAX(0,MIN(26,CODE(MID(UPPER(A1412)&amp;"    ",3,1))-64))*27+MAX(0,MIN(26,CODE(MID(UPPER(A1412)&amp;"    ",4,1))-64))*1)*10000+ROW(),""))</f>
        <v/>
      </c>
      <c r="N1412" s="80" t="str">
        <f t="shared" si="9"/>
        <v/>
      </c>
      <c r="O1412" s="80" t="str">
        <f t="array" ref="O1412">IF(A1412="","",IFERROR(INDEX('Deck 5'!$A:$Z,ROW()-1250,'List Setup'!$J$7)&amp;"",""))</f>
        <v/>
      </c>
      <c r="P1412" s="2"/>
      <c r="Q1412" s="80" t="str">
        <f>IF(A1412="","",'List Setup'!$A$7)</f>
        <v/>
      </c>
      <c r="R1412" s="80" t="str">
        <f t="array" ref="R1412">IF(A1412="","",IFERROR(OR(INDEX(Binders!$J$6:$J$30,MATCH(Q1412,Binders!$I$6:$I$30,0))=TRUE(),UPPER(INDEX(Binders!$J$6:$J$30,MATCH(Q1412,Binders!$I$6:$I$30,0))&amp;"")="TRUE"),FALSE()))</f>
        <v/>
      </c>
    </row>
    <row r="1413" ht="15.75" customHeight="1">
      <c r="A1413" s="80" t="str">
        <f t="array" ref="A1413">IF(INDEX('Deck 5'!$A:$Z,ROW()-1250,'List Setup'!$D$7)="","",INDEX('Deck 5'!$A:$Z,ROW()-1250,'List Setup'!$D$7))</f>
        <v/>
      </c>
      <c r="B1413" s="80" t="str">
        <f t="array" ref="B1413">IF(A1413="","",IFERROR(INDEX('Binder Setup'!$B$2:$B$401,MIN(IF(ISNUMBER(SEARCH(CHAR(10)&amp;'Binder Setup'!$B$2:$B$401&amp;CHAR(10),$H1413)),'List Setup'!$Q$2:$Q$401,999),IF(ISNUMBER(SEARCH(CHAR(10)&amp;'Set Aliases'!$A$2:$A$501&amp;CHAR(10),$H1413)),'Set Aliases'!$C$2:$C$501,999))),"(none)"))</f>
        <v/>
      </c>
      <c r="C1413" s="80" t="str">
        <f t="shared" si="1"/>
        <v/>
      </c>
      <c r="D1413" s="80" t="str">
        <f t="array" ref="D1413">IF(A1413="","",IF(ISLOGICAL(INDEX('Deck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13" s="80" t="str">
        <f t="shared" si="2"/>
        <v/>
      </c>
      <c r="F1413" s="80" t="str">
        <f t="array" ref="F1413">IF(A1413="","",IF(ISNUMBER(J1413),J1413,IF(ISNUMBER(INDEX('Deck 5'!$A:$Z,ROW()-1250,'List Setup'!$F$7)),INDEX('Deck 5'!$A:$Z,ROW()-1250,'List Setup'!$F$7),0)))</f>
        <v/>
      </c>
      <c r="G1413" s="80" t="str">
        <f t="array" ref="G1413">IF(A1413="","",A1413&amp;IF(N(INDEX('Deck 5'!$A:$Z,ROW()-1250,'List Setup'!$C$7))&gt;1," (x"&amp;INDEX('Deck 5'!$A:$Z,ROW()-1250,'List Setup'!$C$7)&amp;")","")&amp;IF(COUNTIF(Binders!$J$6:$J$30,TRUE())&gt;1," ["&amp;Q1413&amp;"]",""))</f>
        <v/>
      </c>
      <c r="H1413" s="80" t="str">
        <f t="array" ref="H1413">IF(A1413="","",CHAR(10)&amp;INDEX('Deck 5'!$A:$Z,ROW()-1250,'List Setup'!$E$7)&amp;CHAR(10))</f>
        <v/>
      </c>
      <c r="I1413" s="80" t="str">
        <f t="array" ref="I1413">IF(OR(B1413="",B1413="(none)"),"",IF(ISNUMBER(SEARCH(CHAR(10)&amp;B1413&amp;CHAR(10),H1413)),B1413,IFERROR(INDEX('Set Aliases'!$A$2:$A$501,MATCH(1,('Set Aliases'!$B$2:$B$501=B1413)*ISNUMBER(SEARCH(CHAR(10)&amp;'Set Aliases'!$A$2:$A$501&amp;CHAR(10),H1413)),0)),"")))</f>
        <v/>
      </c>
      <c r="J1413" s="80" t="str">
        <f t="array" ref="J1413">IF(I1413="","",IFERROR(VALUE(TRIM(MID(SUBSTITUTE(INDEX('Deck 5'!$A:$Z,ROW()-1250,'List Setup'!$G$7),CHAR(10),REPT(" ",100)),((SEARCH(CHAR(10)&amp;I1413&amp;CHAR(10),H1413)-LEN(SUBSTITUTE(LEFT(H1413,SEARCH(CHAR(10)&amp;I1413&amp;CHAR(10),H1413)),CHAR(10),"")))-1)*100+1,100))),""))</f>
        <v/>
      </c>
      <c r="K1413" s="80" t="str">
        <f t="array" ref="K1413">IF(A1413="","",IF(ISNUMBER(SEARCH("Land",LEFT(IFERROR(INDEX('Deck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13" s="80" t="str">
        <f t="shared" si="3"/>
        <v/>
      </c>
      <c r="M1413" s="80" t="str">
        <f>IF(A1413="","",IF(AND(E1413="Y",B1413='Use at Shop'!$B$4),K1413*10000000000+(MAX(0,MIN(26,CODE(MID(UPPER(A1413)&amp;"    ",1,1))-64))*19683+MAX(0,MIN(26,CODE(MID(UPPER(A1413)&amp;"    ",2,1))-64))*729+MAX(0,MIN(26,CODE(MID(UPPER(A1413)&amp;"    ",3,1))-64))*27+MAX(0,MIN(26,CODE(MID(UPPER(A1413)&amp;"    ",4,1))-64))*1)*10000+ROW(),""))</f>
        <v/>
      </c>
      <c r="N1413" s="80" t="str">
        <f t="shared" si="9"/>
        <v/>
      </c>
      <c r="O1413" s="80" t="str">
        <f t="array" ref="O1413">IF(A1413="","",IFERROR(INDEX('Deck 5'!$A:$Z,ROW()-1250,'List Setup'!$J$7)&amp;"",""))</f>
        <v/>
      </c>
      <c r="P1413" s="2"/>
      <c r="Q1413" s="80" t="str">
        <f>IF(A1413="","",'List Setup'!$A$7)</f>
        <v/>
      </c>
      <c r="R1413" s="80" t="str">
        <f t="array" ref="R1413">IF(A1413="","",IFERROR(OR(INDEX(Binders!$J$6:$J$30,MATCH(Q1413,Binders!$I$6:$I$30,0))=TRUE(),UPPER(INDEX(Binders!$J$6:$J$30,MATCH(Q1413,Binders!$I$6:$I$30,0))&amp;"")="TRUE"),FALSE()))</f>
        <v/>
      </c>
    </row>
    <row r="1414" ht="15.75" customHeight="1">
      <c r="A1414" s="80" t="str">
        <f t="array" ref="A1414">IF(INDEX('Deck 5'!$A:$Z,ROW()-1250,'List Setup'!$D$7)="","",INDEX('Deck 5'!$A:$Z,ROW()-1250,'List Setup'!$D$7))</f>
        <v/>
      </c>
      <c r="B1414" s="80" t="str">
        <f t="array" ref="B1414">IF(A1414="","",IFERROR(INDEX('Binder Setup'!$B$2:$B$401,MIN(IF(ISNUMBER(SEARCH(CHAR(10)&amp;'Binder Setup'!$B$2:$B$401&amp;CHAR(10),$H1414)),'List Setup'!$Q$2:$Q$401,999),IF(ISNUMBER(SEARCH(CHAR(10)&amp;'Set Aliases'!$A$2:$A$501&amp;CHAR(10),$H1414)),'Set Aliases'!$C$2:$C$501,999))),"(none)"))</f>
        <v/>
      </c>
      <c r="C1414" s="80" t="str">
        <f t="shared" si="1"/>
        <v/>
      </c>
      <c r="D1414" s="80" t="str">
        <f t="array" ref="D1414">IF(A1414="","",IF(ISLOGICAL(INDEX('Deck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14" s="80" t="str">
        <f t="shared" si="2"/>
        <v/>
      </c>
      <c r="F1414" s="80" t="str">
        <f t="array" ref="F1414">IF(A1414="","",IF(ISNUMBER(J1414),J1414,IF(ISNUMBER(INDEX('Deck 5'!$A:$Z,ROW()-1250,'List Setup'!$F$7)),INDEX('Deck 5'!$A:$Z,ROW()-1250,'List Setup'!$F$7),0)))</f>
        <v/>
      </c>
      <c r="G1414" s="80" t="str">
        <f t="array" ref="G1414">IF(A1414="","",A1414&amp;IF(N(INDEX('Deck 5'!$A:$Z,ROW()-1250,'List Setup'!$C$7))&gt;1," (x"&amp;INDEX('Deck 5'!$A:$Z,ROW()-1250,'List Setup'!$C$7)&amp;")","")&amp;IF(COUNTIF(Binders!$J$6:$J$30,TRUE())&gt;1," ["&amp;Q1414&amp;"]",""))</f>
        <v/>
      </c>
      <c r="H1414" s="80" t="str">
        <f t="array" ref="H1414">IF(A1414="","",CHAR(10)&amp;INDEX('Deck 5'!$A:$Z,ROW()-1250,'List Setup'!$E$7)&amp;CHAR(10))</f>
        <v/>
      </c>
      <c r="I1414" s="80" t="str">
        <f t="array" ref="I1414">IF(OR(B1414="",B1414="(none)"),"",IF(ISNUMBER(SEARCH(CHAR(10)&amp;B1414&amp;CHAR(10),H1414)),B1414,IFERROR(INDEX('Set Aliases'!$A$2:$A$501,MATCH(1,('Set Aliases'!$B$2:$B$501=B1414)*ISNUMBER(SEARCH(CHAR(10)&amp;'Set Aliases'!$A$2:$A$501&amp;CHAR(10),H1414)),0)),"")))</f>
        <v/>
      </c>
      <c r="J1414" s="80" t="str">
        <f t="array" ref="J1414">IF(I1414="","",IFERROR(VALUE(TRIM(MID(SUBSTITUTE(INDEX('Deck 5'!$A:$Z,ROW()-1250,'List Setup'!$G$7),CHAR(10),REPT(" ",100)),((SEARCH(CHAR(10)&amp;I1414&amp;CHAR(10),H1414)-LEN(SUBSTITUTE(LEFT(H1414,SEARCH(CHAR(10)&amp;I1414&amp;CHAR(10),H1414)),CHAR(10),"")))-1)*100+1,100))),""))</f>
        <v/>
      </c>
      <c r="K1414" s="80" t="str">
        <f t="array" ref="K1414">IF(A1414="","",IF(ISNUMBER(SEARCH("Land",LEFT(IFERROR(INDEX('Deck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14" s="80" t="str">
        <f t="shared" si="3"/>
        <v/>
      </c>
      <c r="M1414" s="80" t="str">
        <f>IF(A1414="","",IF(AND(E1414="Y",B1414='Use at Shop'!$B$4),K1414*10000000000+(MAX(0,MIN(26,CODE(MID(UPPER(A1414)&amp;"    ",1,1))-64))*19683+MAX(0,MIN(26,CODE(MID(UPPER(A1414)&amp;"    ",2,1))-64))*729+MAX(0,MIN(26,CODE(MID(UPPER(A1414)&amp;"    ",3,1))-64))*27+MAX(0,MIN(26,CODE(MID(UPPER(A1414)&amp;"    ",4,1))-64))*1)*10000+ROW(),""))</f>
        <v/>
      </c>
      <c r="N1414" s="80" t="str">
        <f t="shared" si="9"/>
        <v/>
      </c>
      <c r="O1414" s="80" t="str">
        <f t="array" ref="O1414">IF(A1414="","",IFERROR(INDEX('Deck 5'!$A:$Z,ROW()-1250,'List Setup'!$J$7)&amp;"",""))</f>
        <v/>
      </c>
      <c r="P1414" s="2"/>
      <c r="Q1414" s="80" t="str">
        <f>IF(A1414="","",'List Setup'!$A$7)</f>
        <v/>
      </c>
      <c r="R1414" s="80" t="str">
        <f t="array" ref="R1414">IF(A1414="","",IFERROR(OR(INDEX(Binders!$J$6:$J$30,MATCH(Q1414,Binders!$I$6:$I$30,0))=TRUE(),UPPER(INDEX(Binders!$J$6:$J$30,MATCH(Q1414,Binders!$I$6:$I$30,0))&amp;"")="TRUE"),FALSE()))</f>
        <v/>
      </c>
    </row>
    <row r="1415" ht="15.75" customHeight="1">
      <c r="A1415" s="80" t="str">
        <f t="array" ref="A1415">IF(INDEX('Deck 5'!$A:$Z,ROW()-1250,'List Setup'!$D$7)="","",INDEX('Deck 5'!$A:$Z,ROW()-1250,'List Setup'!$D$7))</f>
        <v/>
      </c>
      <c r="B1415" s="80" t="str">
        <f t="array" ref="B1415">IF(A1415="","",IFERROR(INDEX('Binder Setup'!$B$2:$B$401,MIN(IF(ISNUMBER(SEARCH(CHAR(10)&amp;'Binder Setup'!$B$2:$B$401&amp;CHAR(10),$H1415)),'List Setup'!$Q$2:$Q$401,999),IF(ISNUMBER(SEARCH(CHAR(10)&amp;'Set Aliases'!$A$2:$A$501&amp;CHAR(10),$H1415)),'Set Aliases'!$C$2:$C$501,999))),"(none)"))</f>
        <v/>
      </c>
      <c r="C1415" s="80" t="str">
        <f t="shared" si="1"/>
        <v/>
      </c>
      <c r="D1415" s="80" t="str">
        <f t="array" ref="D1415">IF(A1415="","",IF(ISLOGICAL(INDEX('Deck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15" s="80" t="str">
        <f t="shared" si="2"/>
        <v/>
      </c>
      <c r="F1415" s="80" t="str">
        <f t="array" ref="F1415">IF(A1415="","",IF(ISNUMBER(J1415),J1415,IF(ISNUMBER(INDEX('Deck 5'!$A:$Z,ROW()-1250,'List Setup'!$F$7)),INDEX('Deck 5'!$A:$Z,ROW()-1250,'List Setup'!$F$7),0)))</f>
        <v/>
      </c>
      <c r="G1415" s="80" t="str">
        <f t="array" ref="G1415">IF(A1415="","",A1415&amp;IF(N(INDEX('Deck 5'!$A:$Z,ROW()-1250,'List Setup'!$C$7))&gt;1," (x"&amp;INDEX('Deck 5'!$A:$Z,ROW()-1250,'List Setup'!$C$7)&amp;")","")&amp;IF(COUNTIF(Binders!$J$6:$J$30,TRUE())&gt;1," ["&amp;Q1415&amp;"]",""))</f>
        <v/>
      </c>
      <c r="H1415" s="80" t="str">
        <f t="array" ref="H1415">IF(A1415="","",CHAR(10)&amp;INDEX('Deck 5'!$A:$Z,ROW()-1250,'List Setup'!$E$7)&amp;CHAR(10))</f>
        <v/>
      </c>
      <c r="I1415" s="80" t="str">
        <f t="array" ref="I1415">IF(OR(B1415="",B1415="(none)"),"",IF(ISNUMBER(SEARCH(CHAR(10)&amp;B1415&amp;CHAR(10),H1415)),B1415,IFERROR(INDEX('Set Aliases'!$A$2:$A$501,MATCH(1,('Set Aliases'!$B$2:$B$501=B1415)*ISNUMBER(SEARCH(CHAR(10)&amp;'Set Aliases'!$A$2:$A$501&amp;CHAR(10),H1415)),0)),"")))</f>
        <v/>
      </c>
      <c r="J1415" s="80" t="str">
        <f t="array" ref="J1415">IF(I1415="","",IFERROR(VALUE(TRIM(MID(SUBSTITUTE(INDEX('Deck 5'!$A:$Z,ROW()-1250,'List Setup'!$G$7),CHAR(10),REPT(" ",100)),((SEARCH(CHAR(10)&amp;I1415&amp;CHAR(10),H1415)-LEN(SUBSTITUTE(LEFT(H1415,SEARCH(CHAR(10)&amp;I1415&amp;CHAR(10),H1415)),CHAR(10),"")))-1)*100+1,100))),""))</f>
        <v/>
      </c>
      <c r="K1415" s="80" t="str">
        <f t="array" ref="K1415">IF(A1415="","",IF(ISNUMBER(SEARCH("Land",LEFT(IFERROR(INDEX('Deck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15" s="80" t="str">
        <f t="shared" si="3"/>
        <v/>
      </c>
      <c r="M1415" s="80" t="str">
        <f>IF(A1415="","",IF(AND(E1415="Y",B1415='Use at Shop'!$B$4),K1415*10000000000+(MAX(0,MIN(26,CODE(MID(UPPER(A1415)&amp;"    ",1,1))-64))*19683+MAX(0,MIN(26,CODE(MID(UPPER(A1415)&amp;"    ",2,1))-64))*729+MAX(0,MIN(26,CODE(MID(UPPER(A1415)&amp;"    ",3,1))-64))*27+MAX(0,MIN(26,CODE(MID(UPPER(A1415)&amp;"    ",4,1))-64))*1)*10000+ROW(),""))</f>
        <v/>
      </c>
      <c r="N1415" s="80" t="str">
        <f t="shared" si="9"/>
        <v/>
      </c>
      <c r="O1415" s="80" t="str">
        <f t="array" ref="O1415">IF(A1415="","",IFERROR(INDEX('Deck 5'!$A:$Z,ROW()-1250,'List Setup'!$J$7)&amp;"",""))</f>
        <v/>
      </c>
      <c r="P1415" s="2"/>
      <c r="Q1415" s="80" t="str">
        <f>IF(A1415="","",'List Setup'!$A$7)</f>
        <v/>
      </c>
      <c r="R1415" s="80" t="str">
        <f t="array" ref="R1415">IF(A1415="","",IFERROR(OR(INDEX(Binders!$J$6:$J$30,MATCH(Q1415,Binders!$I$6:$I$30,0))=TRUE(),UPPER(INDEX(Binders!$J$6:$J$30,MATCH(Q1415,Binders!$I$6:$I$30,0))&amp;"")="TRUE"),FALSE()))</f>
        <v/>
      </c>
    </row>
    <row r="1416" ht="15.75" customHeight="1">
      <c r="A1416" s="80" t="str">
        <f t="array" ref="A1416">IF(INDEX('Deck 5'!$A:$Z,ROW()-1250,'List Setup'!$D$7)="","",INDEX('Deck 5'!$A:$Z,ROW()-1250,'List Setup'!$D$7))</f>
        <v/>
      </c>
      <c r="B1416" s="80" t="str">
        <f t="array" ref="B1416">IF(A1416="","",IFERROR(INDEX('Binder Setup'!$B$2:$B$401,MIN(IF(ISNUMBER(SEARCH(CHAR(10)&amp;'Binder Setup'!$B$2:$B$401&amp;CHAR(10),$H1416)),'List Setup'!$Q$2:$Q$401,999),IF(ISNUMBER(SEARCH(CHAR(10)&amp;'Set Aliases'!$A$2:$A$501&amp;CHAR(10),$H1416)),'Set Aliases'!$C$2:$C$501,999))),"(none)"))</f>
        <v/>
      </c>
      <c r="C1416" s="80" t="str">
        <f t="shared" si="1"/>
        <v/>
      </c>
      <c r="D1416" s="80" t="str">
        <f t="array" ref="D1416">IF(A1416="","",IF(ISLOGICAL(INDEX('Deck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16" s="80" t="str">
        <f t="shared" si="2"/>
        <v/>
      </c>
      <c r="F1416" s="80" t="str">
        <f t="array" ref="F1416">IF(A1416="","",IF(ISNUMBER(J1416),J1416,IF(ISNUMBER(INDEX('Deck 5'!$A:$Z,ROW()-1250,'List Setup'!$F$7)),INDEX('Deck 5'!$A:$Z,ROW()-1250,'List Setup'!$F$7),0)))</f>
        <v/>
      </c>
      <c r="G1416" s="80" t="str">
        <f t="array" ref="G1416">IF(A1416="","",A1416&amp;IF(N(INDEX('Deck 5'!$A:$Z,ROW()-1250,'List Setup'!$C$7))&gt;1," (x"&amp;INDEX('Deck 5'!$A:$Z,ROW()-1250,'List Setup'!$C$7)&amp;")","")&amp;IF(COUNTIF(Binders!$J$6:$J$30,TRUE())&gt;1," ["&amp;Q1416&amp;"]",""))</f>
        <v/>
      </c>
      <c r="H1416" s="80" t="str">
        <f t="array" ref="H1416">IF(A1416="","",CHAR(10)&amp;INDEX('Deck 5'!$A:$Z,ROW()-1250,'List Setup'!$E$7)&amp;CHAR(10))</f>
        <v/>
      </c>
      <c r="I1416" s="80" t="str">
        <f t="array" ref="I1416">IF(OR(B1416="",B1416="(none)"),"",IF(ISNUMBER(SEARCH(CHAR(10)&amp;B1416&amp;CHAR(10),H1416)),B1416,IFERROR(INDEX('Set Aliases'!$A$2:$A$501,MATCH(1,('Set Aliases'!$B$2:$B$501=B1416)*ISNUMBER(SEARCH(CHAR(10)&amp;'Set Aliases'!$A$2:$A$501&amp;CHAR(10),H1416)),0)),"")))</f>
        <v/>
      </c>
      <c r="J1416" s="80" t="str">
        <f t="array" ref="J1416">IF(I1416="","",IFERROR(VALUE(TRIM(MID(SUBSTITUTE(INDEX('Deck 5'!$A:$Z,ROW()-1250,'List Setup'!$G$7),CHAR(10),REPT(" ",100)),((SEARCH(CHAR(10)&amp;I1416&amp;CHAR(10),H1416)-LEN(SUBSTITUTE(LEFT(H1416,SEARCH(CHAR(10)&amp;I1416&amp;CHAR(10),H1416)),CHAR(10),"")))-1)*100+1,100))),""))</f>
        <v/>
      </c>
      <c r="K1416" s="80" t="str">
        <f t="array" ref="K1416">IF(A1416="","",IF(ISNUMBER(SEARCH("Land",LEFT(IFERROR(INDEX('Deck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16" s="80" t="str">
        <f t="shared" si="3"/>
        <v/>
      </c>
      <c r="M1416" s="80" t="str">
        <f>IF(A1416="","",IF(AND(E1416="Y",B1416='Use at Shop'!$B$4),K1416*10000000000+(MAX(0,MIN(26,CODE(MID(UPPER(A1416)&amp;"    ",1,1))-64))*19683+MAX(0,MIN(26,CODE(MID(UPPER(A1416)&amp;"    ",2,1))-64))*729+MAX(0,MIN(26,CODE(MID(UPPER(A1416)&amp;"    ",3,1))-64))*27+MAX(0,MIN(26,CODE(MID(UPPER(A1416)&amp;"    ",4,1))-64))*1)*10000+ROW(),""))</f>
        <v/>
      </c>
      <c r="N1416" s="80" t="str">
        <f t="shared" si="9"/>
        <v/>
      </c>
      <c r="O1416" s="80" t="str">
        <f t="array" ref="O1416">IF(A1416="","",IFERROR(INDEX('Deck 5'!$A:$Z,ROW()-1250,'List Setup'!$J$7)&amp;"",""))</f>
        <v/>
      </c>
      <c r="P1416" s="2"/>
      <c r="Q1416" s="80" t="str">
        <f>IF(A1416="","",'List Setup'!$A$7)</f>
        <v/>
      </c>
      <c r="R1416" s="80" t="str">
        <f t="array" ref="R1416">IF(A1416="","",IFERROR(OR(INDEX(Binders!$J$6:$J$30,MATCH(Q1416,Binders!$I$6:$I$30,0))=TRUE(),UPPER(INDEX(Binders!$J$6:$J$30,MATCH(Q1416,Binders!$I$6:$I$30,0))&amp;"")="TRUE"),FALSE()))</f>
        <v/>
      </c>
    </row>
    <row r="1417" ht="15.75" customHeight="1">
      <c r="A1417" s="80" t="str">
        <f t="array" ref="A1417">IF(INDEX('Deck 5'!$A:$Z,ROW()-1250,'List Setup'!$D$7)="","",INDEX('Deck 5'!$A:$Z,ROW()-1250,'List Setup'!$D$7))</f>
        <v/>
      </c>
      <c r="B1417" s="80" t="str">
        <f t="array" ref="B1417">IF(A1417="","",IFERROR(INDEX('Binder Setup'!$B$2:$B$401,MIN(IF(ISNUMBER(SEARCH(CHAR(10)&amp;'Binder Setup'!$B$2:$B$401&amp;CHAR(10),$H1417)),'List Setup'!$Q$2:$Q$401,999),IF(ISNUMBER(SEARCH(CHAR(10)&amp;'Set Aliases'!$A$2:$A$501&amp;CHAR(10),$H1417)),'Set Aliases'!$C$2:$C$501,999))),"(none)"))</f>
        <v/>
      </c>
      <c r="C1417" s="80" t="str">
        <f t="shared" si="1"/>
        <v/>
      </c>
      <c r="D1417" s="80" t="str">
        <f t="array" ref="D1417">IF(A1417="","",IF(ISLOGICAL(INDEX('Deck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17" s="80" t="str">
        <f t="shared" si="2"/>
        <v/>
      </c>
      <c r="F1417" s="80" t="str">
        <f t="array" ref="F1417">IF(A1417="","",IF(ISNUMBER(J1417),J1417,IF(ISNUMBER(INDEX('Deck 5'!$A:$Z,ROW()-1250,'List Setup'!$F$7)),INDEX('Deck 5'!$A:$Z,ROW()-1250,'List Setup'!$F$7),0)))</f>
        <v/>
      </c>
      <c r="G1417" s="80" t="str">
        <f t="array" ref="G1417">IF(A1417="","",A1417&amp;IF(N(INDEX('Deck 5'!$A:$Z,ROW()-1250,'List Setup'!$C$7))&gt;1," (x"&amp;INDEX('Deck 5'!$A:$Z,ROW()-1250,'List Setup'!$C$7)&amp;")","")&amp;IF(COUNTIF(Binders!$J$6:$J$30,TRUE())&gt;1," ["&amp;Q1417&amp;"]",""))</f>
        <v/>
      </c>
      <c r="H1417" s="80" t="str">
        <f t="array" ref="H1417">IF(A1417="","",CHAR(10)&amp;INDEX('Deck 5'!$A:$Z,ROW()-1250,'List Setup'!$E$7)&amp;CHAR(10))</f>
        <v/>
      </c>
      <c r="I1417" s="80" t="str">
        <f t="array" ref="I1417">IF(OR(B1417="",B1417="(none)"),"",IF(ISNUMBER(SEARCH(CHAR(10)&amp;B1417&amp;CHAR(10),H1417)),B1417,IFERROR(INDEX('Set Aliases'!$A$2:$A$501,MATCH(1,('Set Aliases'!$B$2:$B$501=B1417)*ISNUMBER(SEARCH(CHAR(10)&amp;'Set Aliases'!$A$2:$A$501&amp;CHAR(10),H1417)),0)),"")))</f>
        <v/>
      </c>
      <c r="J1417" s="80" t="str">
        <f t="array" ref="J1417">IF(I1417="","",IFERROR(VALUE(TRIM(MID(SUBSTITUTE(INDEX('Deck 5'!$A:$Z,ROW()-1250,'List Setup'!$G$7),CHAR(10),REPT(" ",100)),((SEARCH(CHAR(10)&amp;I1417&amp;CHAR(10),H1417)-LEN(SUBSTITUTE(LEFT(H1417,SEARCH(CHAR(10)&amp;I1417&amp;CHAR(10),H1417)),CHAR(10),"")))-1)*100+1,100))),""))</f>
        <v/>
      </c>
      <c r="K1417" s="80" t="str">
        <f t="array" ref="K1417">IF(A1417="","",IF(ISNUMBER(SEARCH("Land",LEFT(IFERROR(INDEX('Deck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17" s="80" t="str">
        <f t="shared" si="3"/>
        <v/>
      </c>
      <c r="M1417" s="80" t="str">
        <f>IF(A1417="","",IF(AND(E1417="Y",B1417='Use at Shop'!$B$4),K1417*10000000000+(MAX(0,MIN(26,CODE(MID(UPPER(A1417)&amp;"    ",1,1))-64))*19683+MAX(0,MIN(26,CODE(MID(UPPER(A1417)&amp;"    ",2,1))-64))*729+MAX(0,MIN(26,CODE(MID(UPPER(A1417)&amp;"    ",3,1))-64))*27+MAX(0,MIN(26,CODE(MID(UPPER(A1417)&amp;"    ",4,1))-64))*1)*10000+ROW(),""))</f>
        <v/>
      </c>
      <c r="N1417" s="80" t="str">
        <f t="shared" si="9"/>
        <v/>
      </c>
      <c r="O1417" s="80" t="str">
        <f t="array" ref="O1417">IF(A1417="","",IFERROR(INDEX('Deck 5'!$A:$Z,ROW()-1250,'List Setup'!$J$7)&amp;"",""))</f>
        <v/>
      </c>
      <c r="P1417" s="2"/>
      <c r="Q1417" s="80" t="str">
        <f>IF(A1417="","",'List Setup'!$A$7)</f>
        <v/>
      </c>
      <c r="R1417" s="80" t="str">
        <f t="array" ref="R1417">IF(A1417="","",IFERROR(OR(INDEX(Binders!$J$6:$J$30,MATCH(Q1417,Binders!$I$6:$I$30,0))=TRUE(),UPPER(INDEX(Binders!$J$6:$J$30,MATCH(Q1417,Binders!$I$6:$I$30,0))&amp;"")="TRUE"),FALSE()))</f>
        <v/>
      </c>
    </row>
    <row r="1418" ht="15.75" customHeight="1">
      <c r="A1418" s="80" t="str">
        <f t="array" ref="A1418">IF(INDEX('Deck 5'!$A:$Z,ROW()-1250,'List Setup'!$D$7)="","",INDEX('Deck 5'!$A:$Z,ROW()-1250,'List Setup'!$D$7))</f>
        <v/>
      </c>
      <c r="B1418" s="80" t="str">
        <f t="array" ref="B1418">IF(A1418="","",IFERROR(INDEX('Binder Setup'!$B$2:$B$401,MIN(IF(ISNUMBER(SEARCH(CHAR(10)&amp;'Binder Setup'!$B$2:$B$401&amp;CHAR(10),$H1418)),'List Setup'!$Q$2:$Q$401,999),IF(ISNUMBER(SEARCH(CHAR(10)&amp;'Set Aliases'!$A$2:$A$501&amp;CHAR(10),$H1418)),'Set Aliases'!$C$2:$C$501,999))),"(none)"))</f>
        <v/>
      </c>
      <c r="C1418" s="80" t="str">
        <f t="shared" si="1"/>
        <v/>
      </c>
      <c r="D1418" s="80" t="str">
        <f t="array" ref="D1418">IF(A1418="","",IF(ISLOGICAL(INDEX('Deck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18" s="80" t="str">
        <f t="shared" si="2"/>
        <v/>
      </c>
      <c r="F1418" s="80" t="str">
        <f t="array" ref="F1418">IF(A1418="","",IF(ISNUMBER(J1418),J1418,IF(ISNUMBER(INDEX('Deck 5'!$A:$Z,ROW()-1250,'List Setup'!$F$7)),INDEX('Deck 5'!$A:$Z,ROW()-1250,'List Setup'!$F$7),0)))</f>
        <v/>
      </c>
      <c r="G1418" s="80" t="str">
        <f t="array" ref="G1418">IF(A1418="","",A1418&amp;IF(N(INDEX('Deck 5'!$A:$Z,ROW()-1250,'List Setup'!$C$7))&gt;1," (x"&amp;INDEX('Deck 5'!$A:$Z,ROW()-1250,'List Setup'!$C$7)&amp;")","")&amp;IF(COUNTIF(Binders!$J$6:$J$30,TRUE())&gt;1," ["&amp;Q1418&amp;"]",""))</f>
        <v/>
      </c>
      <c r="H1418" s="80" t="str">
        <f t="array" ref="H1418">IF(A1418="","",CHAR(10)&amp;INDEX('Deck 5'!$A:$Z,ROW()-1250,'List Setup'!$E$7)&amp;CHAR(10))</f>
        <v/>
      </c>
      <c r="I1418" s="80" t="str">
        <f t="array" ref="I1418">IF(OR(B1418="",B1418="(none)"),"",IF(ISNUMBER(SEARCH(CHAR(10)&amp;B1418&amp;CHAR(10),H1418)),B1418,IFERROR(INDEX('Set Aliases'!$A$2:$A$501,MATCH(1,('Set Aliases'!$B$2:$B$501=B1418)*ISNUMBER(SEARCH(CHAR(10)&amp;'Set Aliases'!$A$2:$A$501&amp;CHAR(10),H1418)),0)),"")))</f>
        <v/>
      </c>
      <c r="J1418" s="80" t="str">
        <f t="array" ref="J1418">IF(I1418="","",IFERROR(VALUE(TRIM(MID(SUBSTITUTE(INDEX('Deck 5'!$A:$Z,ROW()-1250,'List Setup'!$G$7),CHAR(10),REPT(" ",100)),((SEARCH(CHAR(10)&amp;I1418&amp;CHAR(10),H1418)-LEN(SUBSTITUTE(LEFT(H1418,SEARCH(CHAR(10)&amp;I1418&amp;CHAR(10),H1418)),CHAR(10),"")))-1)*100+1,100))),""))</f>
        <v/>
      </c>
      <c r="K1418" s="80" t="str">
        <f t="array" ref="K1418">IF(A1418="","",IF(ISNUMBER(SEARCH("Land",LEFT(IFERROR(INDEX('Deck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18" s="80" t="str">
        <f t="shared" si="3"/>
        <v/>
      </c>
      <c r="M1418" s="80" t="str">
        <f>IF(A1418="","",IF(AND(E1418="Y",B1418='Use at Shop'!$B$4),K1418*10000000000+(MAX(0,MIN(26,CODE(MID(UPPER(A1418)&amp;"    ",1,1))-64))*19683+MAX(0,MIN(26,CODE(MID(UPPER(A1418)&amp;"    ",2,1))-64))*729+MAX(0,MIN(26,CODE(MID(UPPER(A1418)&amp;"    ",3,1))-64))*27+MAX(0,MIN(26,CODE(MID(UPPER(A1418)&amp;"    ",4,1))-64))*1)*10000+ROW(),""))</f>
        <v/>
      </c>
      <c r="N1418" s="80" t="str">
        <f t="shared" si="9"/>
        <v/>
      </c>
      <c r="O1418" s="80" t="str">
        <f t="array" ref="O1418">IF(A1418="","",IFERROR(INDEX('Deck 5'!$A:$Z,ROW()-1250,'List Setup'!$J$7)&amp;"",""))</f>
        <v/>
      </c>
      <c r="P1418" s="2"/>
      <c r="Q1418" s="80" t="str">
        <f>IF(A1418="","",'List Setup'!$A$7)</f>
        <v/>
      </c>
      <c r="R1418" s="80" t="str">
        <f t="array" ref="R1418">IF(A1418="","",IFERROR(OR(INDEX(Binders!$J$6:$J$30,MATCH(Q1418,Binders!$I$6:$I$30,0))=TRUE(),UPPER(INDEX(Binders!$J$6:$J$30,MATCH(Q1418,Binders!$I$6:$I$30,0))&amp;"")="TRUE"),FALSE()))</f>
        <v/>
      </c>
    </row>
    <row r="1419" ht="15.75" customHeight="1">
      <c r="A1419" s="80" t="str">
        <f t="array" ref="A1419">IF(INDEX('Deck 5'!$A:$Z,ROW()-1250,'List Setup'!$D$7)="","",INDEX('Deck 5'!$A:$Z,ROW()-1250,'List Setup'!$D$7))</f>
        <v/>
      </c>
      <c r="B1419" s="80" t="str">
        <f t="array" ref="B1419">IF(A1419="","",IFERROR(INDEX('Binder Setup'!$B$2:$B$401,MIN(IF(ISNUMBER(SEARCH(CHAR(10)&amp;'Binder Setup'!$B$2:$B$401&amp;CHAR(10),$H1419)),'List Setup'!$Q$2:$Q$401,999),IF(ISNUMBER(SEARCH(CHAR(10)&amp;'Set Aliases'!$A$2:$A$501&amp;CHAR(10),$H1419)),'Set Aliases'!$C$2:$C$501,999))),"(none)"))</f>
        <v/>
      </c>
      <c r="C1419" s="80" t="str">
        <f t="shared" si="1"/>
        <v/>
      </c>
      <c r="D1419" s="80" t="str">
        <f t="array" ref="D1419">IF(A1419="","",IF(ISLOGICAL(INDEX('Deck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19" s="80" t="str">
        <f t="shared" si="2"/>
        <v/>
      </c>
      <c r="F1419" s="80" t="str">
        <f t="array" ref="F1419">IF(A1419="","",IF(ISNUMBER(J1419),J1419,IF(ISNUMBER(INDEX('Deck 5'!$A:$Z,ROW()-1250,'List Setup'!$F$7)),INDEX('Deck 5'!$A:$Z,ROW()-1250,'List Setup'!$F$7),0)))</f>
        <v/>
      </c>
      <c r="G1419" s="80" t="str">
        <f t="array" ref="G1419">IF(A1419="","",A1419&amp;IF(N(INDEX('Deck 5'!$A:$Z,ROW()-1250,'List Setup'!$C$7))&gt;1," (x"&amp;INDEX('Deck 5'!$A:$Z,ROW()-1250,'List Setup'!$C$7)&amp;")","")&amp;IF(COUNTIF(Binders!$J$6:$J$30,TRUE())&gt;1," ["&amp;Q1419&amp;"]",""))</f>
        <v/>
      </c>
      <c r="H1419" s="80" t="str">
        <f t="array" ref="H1419">IF(A1419="","",CHAR(10)&amp;INDEX('Deck 5'!$A:$Z,ROW()-1250,'List Setup'!$E$7)&amp;CHAR(10))</f>
        <v/>
      </c>
      <c r="I1419" s="80" t="str">
        <f t="array" ref="I1419">IF(OR(B1419="",B1419="(none)"),"",IF(ISNUMBER(SEARCH(CHAR(10)&amp;B1419&amp;CHAR(10),H1419)),B1419,IFERROR(INDEX('Set Aliases'!$A$2:$A$501,MATCH(1,('Set Aliases'!$B$2:$B$501=B1419)*ISNUMBER(SEARCH(CHAR(10)&amp;'Set Aliases'!$A$2:$A$501&amp;CHAR(10),H1419)),0)),"")))</f>
        <v/>
      </c>
      <c r="J1419" s="80" t="str">
        <f t="array" ref="J1419">IF(I1419="","",IFERROR(VALUE(TRIM(MID(SUBSTITUTE(INDEX('Deck 5'!$A:$Z,ROW()-1250,'List Setup'!$G$7),CHAR(10),REPT(" ",100)),((SEARCH(CHAR(10)&amp;I1419&amp;CHAR(10),H1419)-LEN(SUBSTITUTE(LEFT(H1419,SEARCH(CHAR(10)&amp;I1419&amp;CHAR(10),H1419)),CHAR(10),"")))-1)*100+1,100))),""))</f>
        <v/>
      </c>
      <c r="K1419" s="80" t="str">
        <f t="array" ref="K1419">IF(A1419="","",IF(ISNUMBER(SEARCH("Land",LEFT(IFERROR(INDEX('Deck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19" s="80" t="str">
        <f t="shared" si="3"/>
        <v/>
      </c>
      <c r="M1419" s="80" t="str">
        <f>IF(A1419="","",IF(AND(E1419="Y",B1419='Use at Shop'!$B$4),K1419*10000000000+(MAX(0,MIN(26,CODE(MID(UPPER(A1419)&amp;"    ",1,1))-64))*19683+MAX(0,MIN(26,CODE(MID(UPPER(A1419)&amp;"    ",2,1))-64))*729+MAX(0,MIN(26,CODE(MID(UPPER(A1419)&amp;"    ",3,1))-64))*27+MAX(0,MIN(26,CODE(MID(UPPER(A1419)&amp;"    ",4,1))-64))*1)*10000+ROW(),""))</f>
        <v/>
      </c>
      <c r="N1419" s="80" t="str">
        <f t="shared" si="9"/>
        <v/>
      </c>
      <c r="O1419" s="80" t="str">
        <f t="array" ref="O1419">IF(A1419="","",IFERROR(INDEX('Deck 5'!$A:$Z,ROW()-1250,'List Setup'!$J$7)&amp;"",""))</f>
        <v/>
      </c>
      <c r="P1419" s="2"/>
      <c r="Q1419" s="80" t="str">
        <f>IF(A1419="","",'List Setup'!$A$7)</f>
        <v/>
      </c>
      <c r="R1419" s="80" t="str">
        <f t="array" ref="R1419">IF(A1419="","",IFERROR(OR(INDEX(Binders!$J$6:$J$30,MATCH(Q1419,Binders!$I$6:$I$30,0))=TRUE(),UPPER(INDEX(Binders!$J$6:$J$30,MATCH(Q1419,Binders!$I$6:$I$30,0))&amp;"")="TRUE"),FALSE()))</f>
        <v/>
      </c>
    </row>
    <row r="1420" ht="15.75" customHeight="1">
      <c r="A1420" s="80" t="str">
        <f t="array" ref="A1420">IF(INDEX('Deck 5'!$A:$Z,ROW()-1250,'List Setup'!$D$7)="","",INDEX('Deck 5'!$A:$Z,ROW()-1250,'List Setup'!$D$7))</f>
        <v/>
      </c>
      <c r="B1420" s="80" t="str">
        <f t="array" ref="B1420">IF(A1420="","",IFERROR(INDEX('Binder Setup'!$B$2:$B$401,MIN(IF(ISNUMBER(SEARCH(CHAR(10)&amp;'Binder Setup'!$B$2:$B$401&amp;CHAR(10),$H1420)),'List Setup'!$Q$2:$Q$401,999),IF(ISNUMBER(SEARCH(CHAR(10)&amp;'Set Aliases'!$A$2:$A$501&amp;CHAR(10),$H1420)),'Set Aliases'!$C$2:$C$501,999))),"(none)"))</f>
        <v/>
      </c>
      <c r="C1420" s="80" t="str">
        <f t="shared" si="1"/>
        <v/>
      </c>
      <c r="D1420" s="80" t="str">
        <f t="array" ref="D1420">IF(A1420="","",IF(ISLOGICAL(INDEX('Deck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20" s="80" t="str">
        <f t="shared" si="2"/>
        <v/>
      </c>
      <c r="F1420" s="80" t="str">
        <f t="array" ref="F1420">IF(A1420="","",IF(ISNUMBER(J1420),J1420,IF(ISNUMBER(INDEX('Deck 5'!$A:$Z,ROW()-1250,'List Setup'!$F$7)),INDEX('Deck 5'!$A:$Z,ROW()-1250,'List Setup'!$F$7),0)))</f>
        <v/>
      </c>
      <c r="G1420" s="80" t="str">
        <f t="array" ref="G1420">IF(A1420="","",A1420&amp;IF(N(INDEX('Deck 5'!$A:$Z,ROW()-1250,'List Setup'!$C$7))&gt;1," (x"&amp;INDEX('Deck 5'!$A:$Z,ROW()-1250,'List Setup'!$C$7)&amp;")","")&amp;IF(COUNTIF(Binders!$J$6:$J$30,TRUE())&gt;1," ["&amp;Q1420&amp;"]",""))</f>
        <v/>
      </c>
      <c r="H1420" s="80" t="str">
        <f t="array" ref="H1420">IF(A1420="","",CHAR(10)&amp;INDEX('Deck 5'!$A:$Z,ROW()-1250,'List Setup'!$E$7)&amp;CHAR(10))</f>
        <v/>
      </c>
      <c r="I1420" s="80" t="str">
        <f t="array" ref="I1420">IF(OR(B1420="",B1420="(none)"),"",IF(ISNUMBER(SEARCH(CHAR(10)&amp;B1420&amp;CHAR(10),H1420)),B1420,IFERROR(INDEX('Set Aliases'!$A$2:$A$501,MATCH(1,('Set Aliases'!$B$2:$B$501=B1420)*ISNUMBER(SEARCH(CHAR(10)&amp;'Set Aliases'!$A$2:$A$501&amp;CHAR(10),H1420)),0)),"")))</f>
        <v/>
      </c>
      <c r="J1420" s="80" t="str">
        <f t="array" ref="J1420">IF(I1420="","",IFERROR(VALUE(TRIM(MID(SUBSTITUTE(INDEX('Deck 5'!$A:$Z,ROW()-1250,'List Setup'!$G$7),CHAR(10),REPT(" ",100)),((SEARCH(CHAR(10)&amp;I1420&amp;CHAR(10),H1420)-LEN(SUBSTITUTE(LEFT(H1420,SEARCH(CHAR(10)&amp;I1420&amp;CHAR(10),H1420)),CHAR(10),"")))-1)*100+1,100))),""))</f>
        <v/>
      </c>
      <c r="K1420" s="80" t="str">
        <f t="array" ref="K1420">IF(A1420="","",IF(ISNUMBER(SEARCH("Land",LEFT(IFERROR(INDEX('Deck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20" s="80" t="str">
        <f t="shared" si="3"/>
        <v/>
      </c>
      <c r="M1420" s="80" t="str">
        <f>IF(A1420="","",IF(AND(E1420="Y",B1420='Use at Shop'!$B$4),K1420*10000000000+(MAX(0,MIN(26,CODE(MID(UPPER(A1420)&amp;"    ",1,1))-64))*19683+MAX(0,MIN(26,CODE(MID(UPPER(A1420)&amp;"    ",2,1))-64))*729+MAX(0,MIN(26,CODE(MID(UPPER(A1420)&amp;"    ",3,1))-64))*27+MAX(0,MIN(26,CODE(MID(UPPER(A1420)&amp;"    ",4,1))-64))*1)*10000+ROW(),""))</f>
        <v/>
      </c>
      <c r="N1420" s="80" t="str">
        <f t="shared" si="9"/>
        <v/>
      </c>
      <c r="O1420" s="80" t="str">
        <f t="array" ref="O1420">IF(A1420="","",IFERROR(INDEX('Deck 5'!$A:$Z,ROW()-1250,'List Setup'!$J$7)&amp;"",""))</f>
        <v/>
      </c>
      <c r="P1420" s="2"/>
      <c r="Q1420" s="80" t="str">
        <f>IF(A1420="","",'List Setup'!$A$7)</f>
        <v/>
      </c>
      <c r="R1420" s="80" t="str">
        <f t="array" ref="R1420">IF(A1420="","",IFERROR(OR(INDEX(Binders!$J$6:$J$30,MATCH(Q1420,Binders!$I$6:$I$30,0))=TRUE(),UPPER(INDEX(Binders!$J$6:$J$30,MATCH(Q1420,Binders!$I$6:$I$30,0))&amp;"")="TRUE"),FALSE()))</f>
        <v/>
      </c>
    </row>
    <row r="1421" ht="15.75" customHeight="1">
      <c r="A1421" s="80" t="str">
        <f t="array" ref="A1421">IF(INDEX('Deck 5'!$A:$Z,ROW()-1250,'List Setup'!$D$7)="","",INDEX('Deck 5'!$A:$Z,ROW()-1250,'List Setup'!$D$7))</f>
        <v/>
      </c>
      <c r="B1421" s="80" t="str">
        <f t="array" ref="B1421">IF(A1421="","",IFERROR(INDEX('Binder Setup'!$B$2:$B$401,MIN(IF(ISNUMBER(SEARCH(CHAR(10)&amp;'Binder Setup'!$B$2:$B$401&amp;CHAR(10),$H1421)),'List Setup'!$Q$2:$Q$401,999),IF(ISNUMBER(SEARCH(CHAR(10)&amp;'Set Aliases'!$A$2:$A$501&amp;CHAR(10),$H1421)),'Set Aliases'!$C$2:$C$501,999))),"(none)"))</f>
        <v/>
      </c>
      <c r="C1421" s="80" t="str">
        <f t="shared" si="1"/>
        <v/>
      </c>
      <c r="D1421" s="80" t="str">
        <f t="array" ref="D1421">IF(A1421="","",IF(ISLOGICAL(INDEX('Deck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21" s="80" t="str">
        <f t="shared" si="2"/>
        <v/>
      </c>
      <c r="F1421" s="80" t="str">
        <f t="array" ref="F1421">IF(A1421="","",IF(ISNUMBER(J1421),J1421,IF(ISNUMBER(INDEX('Deck 5'!$A:$Z,ROW()-1250,'List Setup'!$F$7)),INDEX('Deck 5'!$A:$Z,ROW()-1250,'List Setup'!$F$7),0)))</f>
        <v/>
      </c>
      <c r="G1421" s="80" t="str">
        <f t="array" ref="G1421">IF(A1421="","",A1421&amp;IF(N(INDEX('Deck 5'!$A:$Z,ROW()-1250,'List Setup'!$C$7))&gt;1," (x"&amp;INDEX('Deck 5'!$A:$Z,ROW()-1250,'List Setup'!$C$7)&amp;")","")&amp;IF(COUNTIF(Binders!$J$6:$J$30,TRUE())&gt;1," ["&amp;Q1421&amp;"]",""))</f>
        <v/>
      </c>
      <c r="H1421" s="80" t="str">
        <f t="array" ref="H1421">IF(A1421="","",CHAR(10)&amp;INDEX('Deck 5'!$A:$Z,ROW()-1250,'List Setup'!$E$7)&amp;CHAR(10))</f>
        <v/>
      </c>
      <c r="I1421" s="80" t="str">
        <f t="array" ref="I1421">IF(OR(B1421="",B1421="(none)"),"",IF(ISNUMBER(SEARCH(CHAR(10)&amp;B1421&amp;CHAR(10),H1421)),B1421,IFERROR(INDEX('Set Aliases'!$A$2:$A$501,MATCH(1,('Set Aliases'!$B$2:$B$501=B1421)*ISNUMBER(SEARCH(CHAR(10)&amp;'Set Aliases'!$A$2:$A$501&amp;CHAR(10),H1421)),0)),"")))</f>
        <v/>
      </c>
      <c r="J1421" s="80" t="str">
        <f t="array" ref="J1421">IF(I1421="","",IFERROR(VALUE(TRIM(MID(SUBSTITUTE(INDEX('Deck 5'!$A:$Z,ROW()-1250,'List Setup'!$G$7),CHAR(10),REPT(" ",100)),((SEARCH(CHAR(10)&amp;I1421&amp;CHAR(10),H1421)-LEN(SUBSTITUTE(LEFT(H1421,SEARCH(CHAR(10)&amp;I1421&amp;CHAR(10),H1421)),CHAR(10),"")))-1)*100+1,100))),""))</f>
        <v/>
      </c>
      <c r="K1421" s="80" t="str">
        <f t="array" ref="K1421">IF(A1421="","",IF(ISNUMBER(SEARCH("Land",LEFT(IFERROR(INDEX('Deck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21" s="80" t="str">
        <f t="shared" si="3"/>
        <v/>
      </c>
      <c r="M1421" s="80" t="str">
        <f>IF(A1421="","",IF(AND(E1421="Y",B1421='Use at Shop'!$B$4),K1421*10000000000+(MAX(0,MIN(26,CODE(MID(UPPER(A1421)&amp;"    ",1,1))-64))*19683+MAX(0,MIN(26,CODE(MID(UPPER(A1421)&amp;"    ",2,1))-64))*729+MAX(0,MIN(26,CODE(MID(UPPER(A1421)&amp;"    ",3,1))-64))*27+MAX(0,MIN(26,CODE(MID(UPPER(A1421)&amp;"    ",4,1))-64))*1)*10000+ROW(),""))</f>
        <v/>
      </c>
      <c r="N1421" s="80" t="str">
        <f t="shared" si="9"/>
        <v/>
      </c>
      <c r="O1421" s="80" t="str">
        <f t="array" ref="O1421">IF(A1421="","",IFERROR(INDEX('Deck 5'!$A:$Z,ROW()-1250,'List Setup'!$J$7)&amp;"",""))</f>
        <v/>
      </c>
      <c r="P1421" s="2"/>
      <c r="Q1421" s="80" t="str">
        <f>IF(A1421="","",'List Setup'!$A$7)</f>
        <v/>
      </c>
      <c r="R1421" s="80" t="str">
        <f t="array" ref="R1421">IF(A1421="","",IFERROR(OR(INDEX(Binders!$J$6:$J$30,MATCH(Q1421,Binders!$I$6:$I$30,0))=TRUE(),UPPER(INDEX(Binders!$J$6:$J$30,MATCH(Q1421,Binders!$I$6:$I$30,0))&amp;"")="TRUE"),FALSE()))</f>
        <v/>
      </c>
    </row>
    <row r="1422" ht="15.75" customHeight="1">
      <c r="A1422" s="80" t="str">
        <f t="array" ref="A1422">IF(INDEX('Deck 5'!$A:$Z,ROW()-1250,'List Setup'!$D$7)="","",INDEX('Deck 5'!$A:$Z,ROW()-1250,'List Setup'!$D$7))</f>
        <v/>
      </c>
      <c r="B1422" s="80" t="str">
        <f t="array" ref="B1422">IF(A1422="","",IFERROR(INDEX('Binder Setup'!$B$2:$B$401,MIN(IF(ISNUMBER(SEARCH(CHAR(10)&amp;'Binder Setup'!$B$2:$B$401&amp;CHAR(10),$H1422)),'List Setup'!$Q$2:$Q$401,999),IF(ISNUMBER(SEARCH(CHAR(10)&amp;'Set Aliases'!$A$2:$A$501&amp;CHAR(10),$H1422)),'Set Aliases'!$C$2:$C$501,999))),"(none)"))</f>
        <v/>
      </c>
      <c r="C1422" s="80" t="str">
        <f t="shared" si="1"/>
        <v/>
      </c>
      <c r="D1422" s="80" t="str">
        <f t="array" ref="D1422">IF(A1422="","",IF(ISLOGICAL(INDEX('Deck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22" s="80" t="str">
        <f t="shared" si="2"/>
        <v/>
      </c>
      <c r="F1422" s="80" t="str">
        <f t="array" ref="F1422">IF(A1422="","",IF(ISNUMBER(J1422),J1422,IF(ISNUMBER(INDEX('Deck 5'!$A:$Z,ROW()-1250,'List Setup'!$F$7)),INDEX('Deck 5'!$A:$Z,ROW()-1250,'List Setup'!$F$7),0)))</f>
        <v/>
      </c>
      <c r="G1422" s="80" t="str">
        <f t="array" ref="G1422">IF(A1422="","",A1422&amp;IF(N(INDEX('Deck 5'!$A:$Z,ROW()-1250,'List Setup'!$C$7))&gt;1," (x"&amp;INDEX('Deck 5'!$A:$Z,ROW()-1250,'List Setup'!$C$7)&amp;")","")&amp;IF(COUNTIF(Binders!$J$6:$J$30,TRUE())&gt;1," ["&amp;Q1422&amp;"]",""))</f>
        <v/>
      </c>
      <c r="H1422" s="80" t="str">
        <f t="array" ref="H1422">IF(A1422="","",CHAR(10)&amp;INDEX('Deck 5'!$A:$Z,ROW()-1250,'List Setup'!$E$7)&amp;CHAR(10))</f>
        <v/>
      </c>
      <c r="I1422" s="80" t="str">
        <f t="array" ref="I1422">IF(OR(B1422="",B1422="(none)"),"",IF(ISNUMBER(SEARCH(CHAR(10)&amp;B1422&amp;CHAR(10),H1422)),B1422,IFERROR(INDEX('Set Aliases'!$A$2:$A$501,MATCH(1,('Set Aliases'!$B$2:$B$501=B1422)*ISNUMBER(SEARCH(CHAR(10)&amp;'Set Aliases'!$A$2:$A$501&amp;CHAR(10),H1422)),0)),"")))</f>
        <v/>
      </c>
      <c r="J1422" s="80" t="str">
        <f t="array" ref="J1422">IF(I1422="","",IFERROR(VALUE(TRIM(MID(SUBSTITUTE(INDEX('Deck 5'!$A:$Z,ROW()-1250,'List Setup'!$G$7),CHAR(10),REPT(" ",100)),((SEARCH(CHAR(10)&amp;I1422&amp;CHAR(10),H1422)-LEN(SUBSTITUTE(LEFT(H1422,SEARCH(CHAR(10)&amp;I1422&amp;CHAR(10),H1422)),CHAR(10),"")))-1)*100+1,100))),""))</f>
        <v/>
      </c>
      <c r="K1422" s="80" t="str">
        <f t="array" ref="K1422">IF(A1422="","",IF(ISNUMBER(SEARCH("Land",LEFT(IFERROR(INDEX('Deck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22" s="80" t="str">
        <f t="shared" si="3"/>
        <v/>
      </c>
      <c r="M1422" s="80" t="str">
        <f>IF(A1422="","",IF(AND(E1422="Y",B1422='Use at Shop'!$B$4),K1422*10000000000+(MAX(0,MIN(26,CODE(MID(UPPER(A1422)&amp;"    ",1,1))-64))*19683+MAX(0,MIN(26,CODE(MID(UPPER(A1422)&amp;"    ",2,1))-64))*729+MAX(0,MIN(26,CODE(MID(UPPER(A1422)&amp;"    ",3,1))-64))*27+MAX(0,MIN(26,CODE(MID(UPPER(A1422)&amp;"    ",4,1))-64))*1)*10000+ROW(),""))</f>
        <v/>
      </c>
      <c r="N1422" s="80" t="str">
        <f t="shared" si="9"/>
        <v/>
      </c>
      <c r="O1422" s="80" t="str">
        <f t="array" ref="O1422">IF(A1422="","",IFERROR(INDEX('Deck 5'!$A:$Z,ROW()-1250,'List Setup'!$J$7)&amp;"",""))</f>
        <v/>
      </c>
      <c r="P1422" s="2"/>
      <c r="Q1422" s="80" t="str">
        <f>IF(A1422="","",'List Setup'!$A$7)</f>
        <v/>
      </c>
      <c r="R1422" s="80" t="str">
        <f t="array" ref="R1422">IF(A1422="","",IFERROR(OR(INDEX(Binders!$J$6:$J$30,MATCH(Q1422,Binders!$I$6:$I$30,0))=TRUE(),UPPER(INDEX(Binders!$J$6:$J$30,MATCH(Q1422,Binders!$I$6:$I$30,0))&amp;"")="TRUE"),FALSE()))</f>
        <v/>
      </c>
    </row>
    <row r="1423" ht="15.75" customHeight="1">
      <c r="A1423" s="80" t="str">
        <f t="array" ref="A1423">IF(INDEX('Deck 5'!$A:$Z,ROW()-1250,'List Setup'!$D$7)="","",INDEX('Deck 5'!$A:$Z,ROW()-1250,'List Setup'!$D$7))</f>
        <v/>
      </c>
      <c r="B1423" s="80" t="str">
        <f t="array" ref="B1423">IF(A1423="","",IFERROR(INDEX('Binder Setup'!$B$2:$B$401,MIN(IF(ISNUMBER(SEARCH(CHAR(10)&amp;'Binder Setup'!$B$2:$B$401&amp;CHAR(10),$H1423)),'List Setup'!$Q$2:$Q$401,999),IF(ISNUMBER(SEARCH(CHAR(10)&amp;'Set Aliases'!$A$2:$A$501&amp;CHAR(10),$H1423)),'Set Aliases'!$C$2:$C$501,999))),"(none)"))</f>
        <v/>
      </c>
      <c r="C1423" s="80" t="str">
        <f t="shared" si="1"/>
        <v/>
      </c>
      <c r="D1423" s="80" t="str">
        <f t="array" ref="D1423">IF(A1423="","",IF(ISLOGICAL(INDEX('Deck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23" s="80" t="str">
        <f t="shared" si="2"/>
        <v/>
      </c>
      <c r="F1423" s="80" t="str">
        <f t="array" ref="F1423">IF(A1423="","",IF(ISNUMBER(J1423),J1423,IF(ISNUMBER(INDEX('Deck 5'!$A:$Z,ROW()-1250,'List Setup'!$F$7)),INDEX('Deck 5'!$A:$Z,ROW()-1250,'List Setup'!$F$7),0)))</f>
        <v/>
      </c>
      <c r="G1423" s="80" t="str">
        <f t="array" ref="G1423">IF(A1423="","",A1423&amp;IF(N(INDEX('Deck 5'!$A:$Z,ROW()-1250,'List Setup'!$C$7))&gt;1," (x"&amp;INDEX('Deck 5'!$A:$Z,ROW()-1250,'List Setup'!$C$7)&amp;")","")&amp;IF(COUNTIF(Binders!$J$6:$J$30,TRUE())&gt;1," ["&amp;Q1423&amp;"]",""))</f>
        <v/>
      </c>
      <c r="H1423" s="80" t="str">
        <f t="array" ref="H1423">IF(A1423="","",CHAR(10)&amp;INDEX('Deck 5'!$A:$Z,ROW()-1250,'List Setup'!$E$7)&amp;CHAR(10))</f>
        <v/>
      </c>
      <c r="I1423" s="80" t="str">
        <f t="array" ref="I1423">IF(OR(B1423="",B1423="(none)"),"",IF(ISNUMBER(SEARCH(CHAR(10)&amp;B1423&amp;CHAR(10),H1423)),B1423,IFERROR(INDEX('Set Aliases'!$A$2:$A$501,MATCH(1,('Set Aliases'!$B$2:$B$501=B1423)*ISNUMBER(SEARCH(CHAR(10)&amp;'Set Aliases'!$A$2:$A$501&amp;CHAR(10),H1423)),0)),"")))</f>
        <v/>
      </c>
      <c r="J1423" s="80" t="str">
        <f t="array" ref="J1423">IF(I1423="","",IFERROR(VALUE(TRIM(MID(SUBSTITUTE(INDEX('Deck 5'!$A:$Z,ROW()-1250,'List Setup'!$G$7),CHAR(10),REPT(" ",100)),((SEARCH(CHAR(10)&amp;I1423&amp;CHAR(10),H1423)-LEN(SUBSTITUTE(LEFT(H1423,SEARCH(CHAR(10)&amp;I1423&amp;CHAR(10),H1423)),CHAR(10),"")))-1)*100+1,100))),""))</f>
        <v/>
      </c>
      <c r="K1423" s="80" t="str">
        <f t="array" ref="K1423">IF(A1423="","",IF(ISNUMBER(SEARCH("Land",LEFT(IFERROR(INDEX('Deck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23" s="80" t="str">
        <f t="shared" si="3"/>
        <v/>
      </c>
      <c r="M1423" s="80" t="str">
        <f>IF(A1423="","",IF(AND(E1423="Y",B1423='Use at Shop'!$B$4),K1423*10000000000+(MAX(0,MIN(26,CODE(MID(UPPER(A1423)&amp;"    ",1,1))-64))*19683+MAX(0,MIN(26,CODE(MID(UPPER(A1423)&amp;"    ",2,1))-64))*729+MAX(0,MIN(26,CODE(MID(UPPER(A1423)&amp;"    ",3,1))-64))*27+MAX(0,MIN(26,CODE(MID(UPPER(A1423)&amp;"    ",4,1))-64))*1)*10000+ROW(),""))</f>
        <v/>
      </c>
      <c r="N1423" s="80" t="str">
        <f t="shared" si="9"/>
        <v/>
      </c>
      <c r="O1423" s="80" t="str">
        <f t="array" ref="O1423">IF(A1423="","",IFERROR(INDEX('Deck 5'!$A:$Z,ROW()-1250,'List Setup'!$J$7)&amp;"",""))</f>
        <v/>
      </c>
      <c r="P1423" s="2"/>
      <c r="Q1423" s="80" t="str">
        <f>IF(A1423="","",'List Setup'!$A$7)</f>
        <v/>
      </c>
      <c r="R1423" s="80" t="str">
        <f t="array" ref="R1423">IF(A1423="","",IFERROR(OR(INDEX(Binders!$J$6:$J$30,MATCH(Q1423,Binders!$I$6:$I$30,0))=TRUE(),UPPER(INDEX(Binders!$J$6:$J$30,MATCH(Q1423,Binders!$I$6:$I$30,0))&amp;"")="TRUE"),FALSE()))</f>
        <v/>
      </c>
    </row>
    <row r="1424" ht="15.75" customHeight="1">
      <c r="A1424" s="80" t="str">
        <f t="array" ref="A1424">IF(INDEX('Deck 5'!$A:$Z,ROW()-1250,'List Setup'!$D$7)="","",INDEX('Deck 5'!$A:$Z,ROW()-1250,'List Setup'!$D$7))</f>
        <v/>
      </c>
      <c r="B1424" s="80" t="str">
        <f t="array" ref="B1424">IF(A1424="","",IFERROR(INDEX('Binder Setup'!$B$2:$B$401,MIN(IF(ISNUMBER(SEARCH(CHAR(10)&amp;'Binder Setup'!$B$2:$B$401&amp;CHAR(10),$H1424)),'List Setup'!$Q$2:$Q$401,999),IF(ISNUMBER(SEARCH(CHAR(10)&amp;'Set Aliases'!$A$2:$A$501&amp;CHAR(10),$H1424)),'Set Aliases'!$C$2:$C$501,999))),"(none)"))</f>
        <v/>
      </c>
      <c r="C1424" s="80" t="str">
        <f t="shared" si="1"/>
        <v/>
      </c>
      <c r="D1424" s="80" t="str">
        <f t="array" ref="D1424">IF(A1424="","",IF(ISLOGICAL(INDEX('Deck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24" s="80" t="str">
        <f t="shared" si="2"/>
        <v/>
      </c>
      <c r="F1424" s="80" t="str">
        <f t="array" ref="F1424">IF(A1424="","",IF(ISNUMBER(J1424),J1424,IF(ISNUMBER(INDEX('Deck 5'!$A:$Z,ROW()-1250,'List Setup'!$F$7)),INDEX('Deck 5'!$A:$Z,ROW()-1250,'List Setup'!$F$7),0)))</f>
        <v/>
      </c>
      <c r="G1424" s="80" t="str">
        <f t="array" ref="G1424">IF(A1424="","",A1424&amp;IF(N(INDEX('Deck 5'!$A:$Z,ROW()-1250,'List Setup'!$C$7))&gt;1," (x"&amp;INDEX('Deck 5'!$A:$Z,ROW()-1250,'List Setup'!$C$7)&amp;")","")&amp;IF(COUNTIF(Binders!$J$6:$J$30,TRUE())&gt;1," ["&amp;Q1424&amp;"]",""))</f>
        <v/>
      </c>
      <c r="H1424" s="80" t="str">
        <f t="array" ref="H1424">IF(A1424="","",CHAR(10)&amp;INDEX('Deck 5'!$A:$Z,ROW()-1250,'List Setup'!$E$7)&amp;CHAR(10))</f>
        <v/>
      </c>
      <c r="I1424" s="80" t="str">
        <f t="array" ref="I1424">IF(OR(B1424="",B1424="(none)"),"",IF(ISNUMBER(SEARCH(CHAR(10)&amp;B1424&amp;CHAR(10),H1424)),B1424,IFERROR(INDEX('Set Aliases'!$A$2:$A$501,MATCH(1,('Set Aliases'!$B$2:$B$501=B1424)*ISNUMBER(SEARCH(CHAR(10)&amp;'Set Aliases'!$A$2:$A$501&amp;CHAR(10),H1424)),0)),"")))</f>
        <v/>
      </c>
      <c r="J1424" s="80" t="str">
        <f t="array" ref="J1424">IF(I1424="","",IFERROR(VALUE(TRIM(MID(SUBSTITUTE(INDEX('Deck 5'!$A:$Z,ROW()-1250,'List Setup'!$G$7),CHAR(10),REPT(" ",100)),((SEARCH(CHAR(10)&amp;I1424&amp;CHAR(10),H1424)-LEN(SUBSTITUTE(LEFT(H1424,SEARCH(CHAR(10)&amp;I1424&amp;CHAR(10),H1424)),CHAR(10),"")))-1)*100+1,100))),""))</f>
        <v/>
      </c>
      <c r="K1424" s="80" t="str">
        <f t="array" ref="K1424">IF(A1424="","",IF(ISNUMBER(SEARCH("Land",LEFT(IFERROR(INDEX('Deck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24" s="80" t="str">
        <f t="shared" si="3"/>
        <v/>
      </c>
      <c r="M1424" s="80" t="str">
        <f>IF(A1424="","",IF(AND(E1424="Y",B1424='Use at Shop'!$B$4),K1424*10000000000+(MAX(0,MIN(26,CODE(MID(UPPER(A1424)&amp;"    ",1,1))-64))*19683+MAX(0,MIN(26,CODE(MID(UPPER(A1424)&amp;"    ",2,1))-64))*729+MAX(0,MIN(26,CODE(MID(UPPER(A1424)&amp;"    ",3,1))-64))*27+MAX(0,MIN(26,CODE(MID(UPPER(A1424)&amp;"    ",4,1))-64))*1)*10000+ROW(),""))</f>
        <v/>
      </c>
      <c r="N1424" s="80" t="str">
        <f t="shared" si="9"/>
        <v/>
      </c>
      <c r="O1424" s="80" t="str">
        <f t="array" ref="O1424">IF(A1424="","",IFERROR(INDEX('Deck 5'!$A:$Z,ROW()-1250,'List Setup'!$J$7)&amp;"",""))</f>
        <v/>
      </c>
      <c r="P1424" s="2"/>
      <c r="Q1424" s="80" t="str">
        <f>IF(A1424="","",'List Setup'!$A$7)</f>
        <v/>
      </c>
      <c r="R1424" s="80" t="str">
        <f t="array" ref="R1424">IF(A1424="","",IFERROR(OR(INDEX(Binders!$J$6:$J$30,MATCH(Q1424,Binders!$I$6:$I$30,0))=TRUE(),UPPER(INDEX(Binders!$J$6:$J$30,MATCH(Q1424,Binders!$I$6:$I$30,0))&amp;"")="TRUE"),FALSE()))</f>
        <v/>
      </c>
    </row>
    <row r="1425" ht="15.75" customHeight="1">
      <c r="A1425" s="80" t="str">
        <f t="array" ref="A1425">IF(INDEX('Deck 5'!$A:$Z,ROW()-1250,'List Setup'!$D$7)="","",INDEX('Deck 5'!$A:$Z,ROW()-1250,'List Setup'!$D$7))</f>
        <v/>
      </c>
      <c r="B1425" s="80" t="str">
        <f t="array" ref="B1425">IF(A1425="","",IFERROR(INDEX('Binder Setup'!$B$2:$B$401,MIN(IF(ISNUMBER(SEARCH(CHAR(10)&amp;'Binder Setup'!$B$2:$B$401&amp;CHAR(10),$H1425)),'List Setup'!$Q$2:$Q$401,999),IF(ISNUMBER(SEARCH(CHAR(10)&amp;'Set Aliases'!$A$2:$A$501&amp;CHAR(10),$H1425)),'Set Aliases'!$C$2:$C$501,999))),"(none)"))</f>
        <v/>
      </c>
      <c r="C1425" s="80" t="str">
        <f t="shared" si="1"/>
        <v/>
      </c>
      <c r="D1425" s="80" t="str">
        <f t="array" ref="D1425">IF(A1425="","",IF(ISLOGICAL(INDEX('Deck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25" s="80" t="str">
        <f t="shared" si="2"/>
        <v/>
      </c>
      <c r="F1425" s="80" t="str">
        <f t="array" ref="F1425">IF(A1425="","",IF(ISNUMBER(J1425),J1425,IF(ISNUMBER(INDEX('Deck 5'!$A:$Z,ROW()-1250,'List Setup'!$F$7)),INDEX('Deck 5'!$A:$Z,ROW()-1250,'List Setup'!$F$7),0)))</f>
        <v/>
      </c>
      <c r="G1425" s="80" t="str">
        <f t="array" ref="G1425">IF(A1425="","",A1425&amp;IF(N(INDEX('Deck 5'!$A:$Z,ROW()-1250,'List Setup'!$C$7))&gt;1," (x"&amp;INDEX('Deck 5'!$A:$Z,ROW()-1250,'List Setup'!$C$7)&amp;")","")&amp;IF(COUNTIF(Binders!$J$6:$J$30,TRUE())&gt;1," ["&amp;Q1425&amp;"]",""))</f>
        <v/>
      </c>
      <c r="H1425" s="80" t="str">
        <f t="array" ref="H1425">IF(A1425="","",CHAR(10)&amp;INDEX('Deck 5'!$A:$Z,ROW()-1250,'List Setup'!$E$7)&amp;CHAR(10))</f>
        <v/>
      </c>
      <c r="I1425" s="80" t="str">
        <f t="array" ref="I1425">IF(OR(B1425="",B1425="(none)"),"",IF(ISNUMBER(SEARCH(CHAR(10)&amp;B1425&amp;CHAR(10),H1425)),B1425,IFERROR(INDEX('Set Aliases'!$A$2:$A$501,MATCH(1,('Set Aliases'!$B$2:$B$501=B1425)*ISNUMBER(SEARCH(CHAR(10)&amp;'Set Aliases'!$A$2:$A$501&amp;CHAR(10),H1425)),0)),"")))</f>
        <v/>
      </c>
      <c r="J1425" s="80" t="str">
        <f t="array" ref="J1425">IF(I1425="","",IFERROR(VALUE(TRIM(MID(SUBSTITUTE(INDEX('Deck 5'!$A:$Z,ROW()-1250,'List Setup'!$G$7),CHAR(10),REPT(" ",100)),((SEARCH(CHAR(10)&amp;I1425&amp;CHAR(10),H1425)-LEN(SUBSTITUTE(LEFT(H1425,SEARCH(CHAR(10)&amp;I1425&amp;CHAR(10),H1425)),CHAR(10),"")))-1)*100+1,100))),""))</f>
        <v/>
      </c>
      <c r="K1425" s="80" t="str">
        <f t="array" ref="K1425">IF(A1425="","",IF(ISNUMBER(SEARCH("Land",LEFT(IFERROR(INDEX('Deck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25" s="80" t="str">
        <f t="shared" si="3"/>
        <v/>
      </c>
      <c r="M1425" s="80" t="str">
        <f>IF(A1425="","",IF(AND(E1425="Y",B1425='Use at Shop'!$B$4),K1425*10000000000+(MAX(0,MIN(26,CODE(MID(UPPER(A1425)&amp;"    ",1,1))-64))*19683+MAX(0,MIN(26,CODE(MID(UPPER(A1425)&amp;"    ",2,1))-64))*729+MAX(0,MIN(26,CODE(MID(UPPER(A1425)&amp;"    ",3,1))-64))*27+MAX(0,MIN(26,CODE(MID(UPPER(A1425)&amp;"    ",4,1))-64))*1)*10000+ROW(),""))</f>
        <v/>
      </c>
      <c r="N1425" s="80" t="str">
        <f t="shared" si="9"/>
        <v/>
      </c>
      <c r="O1425" s="80" t="str">
        <f t="array" ref="O1425">IF(A1425="","",IFERROR(INDEX('Deck 5'!$A:$Z,ROW()-1250,'List Setup'!$J$7)&amp;"",""))</f>
        <v/>
      </c>
      <c r="P1425" s="2"/>
      <c r="Q1425" s="80" t="str">
        <f>IF(A1425="","",'List Setup'!$A$7)</f>
        <v/>
      </c>
      <c r="R1425" s="80" t="str">
        <f t="array" ref="R1425">IF(A1425="","",IFERROR(OR(INDEX(Binders!$J$6:$J$30,MATCH(Q1425,Binders!$I$6:$I$30,0))=TRUE(),UPPER(INDEX(Binders!$J$6:$J$30,MATCH(Q1425,Binders!$I$6:$I$30,0))&amp;"")="TRUE"),FALSE()))</f>
        <v/>
      </c>
    </row>
    <row r="1426" ht="15.75" customHeight="1">
      <c r="A1426" s="80" t="str">
        <f t="array" ref="A1426">IF(INDEX('Deck 5'!$A:$Z,ROW()-1250,'List Setup'!$D$7)="","",INDEX('Deck 5'!$A:$Z,ROW()-1250,'List Setup'!$D$7))</f>
        <v/>
      </c>
      <c r="B1426" s="80" t="str">
        <f t="array" ref="B1426">IF(A1426="","",IFERROR(INDEX('Binder Setup'!$B$2:$B$401,MIN(IF(ISNUMBER(SEARCH(CHAR(10)&amp;'Binder Setup'!$B$2:$B$401&amp;CHAR(10),$H1426)),'List Setup'!$Q$2:$Q$401,999),IF(ISNUMBER(SEARCH(CHAR(10)&amp;'Set Aliases'!$A$2:$A$501&amp;CHAR(10),$H1426)),'Set Aliases'!$C$2:$C$501,999))),"(none)"))</f>
        <v/>
      </c>
      <c r="C1426" s="80" t="str">
        <f t="shared" si="1"/>
        <v/>
      </c>
      <c r="D1426" s="80" t="str">
        <f t="array" ref="D1426">IF(A1426="","",IF(ISLOGICAL(INDEX('Deck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26" s="80" t="str">
        <f t="shared" si="2"/>
        <v/>
      </c>
      <c r="F1426" s="80" t="str">
        <f t="array" ref="F1426">IF(A1426="","",IF(ISNUMBER(J1426),J1426,IF(ISNUMBER(INDEX('Deck 5'!$A:$Z,ROW()-1250,'List Setup'!$F$7)),INDEX('Deck 5'!$A:$Z,ROW()-1250,'List Setup'!$F$7),0)))</f>
        <v/>
      </c>
      <c r="G1426" s="80" t="str">
        <f t="array" ref="G1426">IF(A1426="","",A1426&amp;IF(N(INDEX('Deck 5'!$A:$Z,ROW()-1250,'List Setup'!$C$7))&gt;1," (x"&amp;INDEX('Deck 5'!$A:$Z,ROW()-1250,'List Setup'!$C$7)&amp;")","")&amp;IF(COUNTIF(Binders!$J$6:$J$30,TRUE())&gt;1," ["&amp;Q1426&amp;"]",""))</f>
        <v/>
      </c>
      <c r="H1426" s="80" t="str">
        <f t="array" ref="H1426">IF(A1426="","",CHAR(10)&amp;INDEX('Deck 5'!$A:$Z,ROW()-1250,'List Setup'!$E$7)&amp;CHAR(10))</f>
        <v/>
      </c>
      <c r="I1426" s="80" t="str">
        <f t="array" ref="I1426">IF(OR(B1426="",B1426="(none)"),"",IF(ISNUMBER(SEARCH(CHAR(10)&amp;B1426&amp;CHAR(10),H1426)),B1426,IFERROR(INDEX('Set Aliases'!$A$2:$A$501,MATCH(1,('Set Aliases'!$B$2:$B$501=B1426)*ISNUMBER(SEARCH(CHAR(10)&amp;'Set Aliases'!$A$2:$A$501&amp;CHAR(10),H1426)),0)),"")))</f>
        <v/>
      </c>
      <c r="J1426" s="80" t="str">
        <f t="array" ref="J1426">IF(I1426="","",IFERROR(VALUE(TRIM(MID(SUBSTITUTE(INDEX('Deck 5'!$A:$Z,ROW()-1250,'List Setup'!$G$7),CHAR(10),REPT(" ",100)),((SEARCH(CHAR(10)&amp;I1426&amp;CHAR(10),H1426)-LEN(SUBSTITUTE(LEFT(H1426,SEARCH(CHAR(10)&amp;I1426&amp;CHAR(10),H1426)),CHAR(10),"")))-1)*100+1,100))),""))</f>
        <v/>
      </c>
      <c r="K1426" s="80" t="str">
        <f t="array" ref="K1426">IF(A1426="","",IF(ISNUMBER(SEARCH("Land",LEFT(IFERROR(INDEX('Deck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26" s="80" t="str">
        <f t="shared" si="3"/>
        <v/>
      </c>
      <c r="M1426" s="80" t="str">
        <f>IF(A1426="","",IF(AND(E1426="Y",B1426='Use at Shop'!$B$4),K1426*10000000000+(MAX(0,MIN(26,CODE(MID(UPPER(A1426)&amp;"    ",1,1))-64))*19683+MAX(0,MIN(26,CODE(MID(UPPER(A1426)&amp;"    ",2,1))-64))*729+MAX(0,MIN(26,CODE(MID(UPPER(A1426)&amp;"    ",3,1))-64))*27+MAX(0,MIN(26,CODE(MID(UPPER(A1426)&amp;"    ",4,1))-64))*1)*10000+ROW(),""))</f>
        <v/>
      </c>
      <c r="N1426" s="80" t="str">
        <f t="shared" si="9"/>
        <v/>
      </c>
      <c r="O1426" s="80" t="str">
        <f t="array" ref="O1426">IF(A1426="","",IFERROR(INDEX('Deck 5'!$A:$Z,ROW()-1250,'List Setup'!$J$7)&amp;"",""))</f>
        <v/>
      </c>
      <c r="P1426" s="2"/>
      <c r="Q1426" s="80" t="str">
        <f>IF(A1426="","",'List Setup'!$A$7)</f>
        <v/>
      </c>
      <c r="R1426" s="80" t="str">
        <f t="array" ref="R1426">IF(A1426="","",IFERROR(OR(INDEX(Binders!$J$6:$J$30,MATCH(Q1426,Binders!$I$6:$I$30,0))=TRUE(),UPPER(INDEX(Binders!$J$6:$J$30,MATCH(Q1426,Binders!$I$6:$I$30,0))&amp;"")="TRUE"),FALSE()))</f>
        <v/>
      </c>
    </row>
    <row r="1427" ht="15.75" customHeight="1">
      <c r="A1427" s="80" t="str">
        <f t="array" ref="A1427">IF(INDEX('Deck 5'!$A:$Z,ROW()-1250,'List Setup'!$D$7)="","",INDEX('Deck 5'!$A:$Z,ROW()-1250,'List Setup'!$D$7))</f>
        <v/>
      </c>
      <c r="B1427" s="80" t="str">
        <f t="array" ref="B1427">IF(A1427="","",IFERROR(INDEX('Binder Setup'!$B$2:$B$401,MIN(IF(ISNUMBER(SEARCH(CHAR(10)&amp;'Binder Setup'!$B$2:$B$401&amp;CHAR(10),$H1427)),'List Setup'!$Q$2:$Q$401,999),IF(ISNUMBER(SEARCH(CHAR(10)&amp;'Set Aliases'!$A$2:$A$501&amp;CHAR(10),$H1427)),'Set Aliases'!$C$2:$C$501,999))),"(none)"))</f>
        <v/>
      </c>
      <c r="C1427" s="80" t="str">
        <f t="shared" si="1"/>
        <v/>
      </c>
      <c r="D1427" s="80" t="str">
        <f t="array" ref="D1427">IF(A1427="","",IF(ISLOGICAL(INDEX('Deck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27" s="80" t="str">
        <f t="shared" si="2"/>
        <v/>
      </c>
      <c r="F1427" s="80" t="str">
        <f t="array" ref="F1427">IF(A1427="","",IF(ISNUMBER(J1427),J1427,IF(ISNUMBER(INDEX('Deck 5'!$A:$Z,ROW()-1250,'List Setup'!$F$7)),INDEX('Deck 5'!$A:$Z,ROW()-1250,'List Setup'!$F$7),0)))</f>
        <v/>
      </c>
      <c r="G1427" s="80" t="str">
        <f t="array" ref="G1427">IF(A1427="","",A1427&amp;IF(N(INDEX('Deck 5'!$A:$Z,ROW()-1250,'List Setup'!$C$7))&gt;1," (x"&amp;INDEX('Deck 5'!$A:$Z,ROW()-1250,'List Setup'!$C$7)&amp;")","")&amp;IF(COUNTIF(Binders!$J$6:$J$30,TRUE())&gt;1," ["&amp;Q1427&amp;"]",""))</f>
        <v/>
      </c>
      <c r="H1427" s="80" t="str">
        <f t="array" ref="H1427">IF(A1427="","",CHAR(10)&amp;INDEX('Deck 5'!$A:$Z,ROW()-1250,'List Setup'!$E$7)&amp;CHAR(10))</f>
        <v/>
      </c>
      <c r="I1427" s="80" t="str">
        <f t="array" ref="I1427">IF(OR(B1427="",B1427="(none)"),"",IF(ISNUMBER(SEARCH(CHAR(10)&amp;B1427&amp;CHAR(10),H1427)),B1427,IFERROR(INDEX('Set Aliases'!$A$2:$A$501,MATCH(1,('Set Aliases'!$B$2:$B$501=B1427)*ISNUMBER(SEARCH(CHAR(10)&amp;'Set Aliases'!$A$2:$A$501&amp;CHAR(10),H1427)),0)),"")))</f>
        <v/>
      </c>
      <c r="J1427" s="80" t="str">
        <f t="array" ref="J1427">IF(I1427="","",IFERROR(VALUE(TRIM(MID(SUBSTITUTE(INDEX('Deck 5'!$A:$Z,ROW()-1250,'List Setup'!$G$7),CHAR(10),REPT(" ",100)),((SEARCH(CHAR(10)&amp;I1427&amp;CHAR(10),H1427)-LEN(SUBSTITUTE(LEFT(H1427,SEARCH(CHAR(10)&amp;I1427&amp;CHAR(10),H1427)),CHAR(10),"")))-1)*100+1,100))),""))</f>
        <v/>
      </c>
      <c r="K1427" s="80" t="str">
        <f t="array" ref="K1427">IF(A1427="","",IF(ISNUMBER(SEARCH("Land",LEFT(IFERROR(INDEX('Deck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27" s="80" t="str">
        <f t="shared" si="3"/>
        <v/>
      </c>
      <c r="M1427" s="80" t="str">
        <f>IF(A1427="","",IF(AND(E1427="Y",B1427='Use at Shop'!$B$4),K1427*10000000000+(MAX(0,MIN(26,CODE(MID(UPPER(A1427)&amp;"    ",1,1))-64))*19683+MAX(0,MIN(26,CODE(MID(UPPER(A1427)&amp;"    ",2,1))-64))*729+MAX(0,MIN(26,CODE(MID(UPPER(A1427)&amp;"    ",3,1))-64))*27+MAX(0,MIN(26,CODE(MID(UPPER(A1427)&amp;"    ",4,1))-64))*1)*10000+ROW(),""))</f>
        <v/>
      </c>
      <c r="N1427" s="80" t="str">
        <f t="shared" si="9"/>
        <v/>
      </c>
      <c r="O1427" s="80" t="str">
        <f t="array" ref="O1427">IF(A1427="","",IFERROR(INDEX('Deck 5'!$A:$Z,ROW()-1250,'List Setup'!$J$7)&amp;"",""))</f>
        <v/>
      </c>
      <c r="P1427" s="2"/>
      <c r="Q1427" s="80" t="str">
        <f>IF(A1427="","",'List Setup'!$A$7)</f>
        <v/>
      </c>
      <c r="R1427" s="80" t="str">
        <f t="array" ref="R1427">IF(A1427="","",IFERROR(OR(INDEX(Binders!$J$6:$J$30,MATCH(Q1427,Binders!$I$6:$I$30,0))=TRUE(),UPPER(INDEX(Binders!$J$6:$J$30,MATCH(Q1427,Binders!$I$6:$I$30,0))&amp;"")="TRUE"),FALSE()))</f>
        <v/>
      </c>
    </row>
    <row r="1428" ht="15.75" customHeight="1">
      <c r="A1428" s="80" t="str">
        <f t="array" ref="A1428">IF(INDEX('Deck 5'!$A:$Z,ROW()-1250,'List Setup'!$D$7)="","",INDEX('Deck 5'!$A:$Z,ROW()-1250,'List Setup'!$D$7))</f>
        <v/>
      </c>
      <c r="B1428" s="80" t="str">
        <f t="array" ref="B1428">IF(A1428="","",IFERROR(INDEX('Binder Setup'!$B$2:$B$401,MIN(IF(ISNUMBER(SEARCH(CHAR(10)&amp;'Binder Setup'!$B$2:$B$401&amp;CHAR(10),$H1428)),'List Setup'!$Q$2:$Q$401,999),IF(ISNUMBER(SEARCH(CHAR(10)&amp;'Set Aliases'!$A$2:$A$501&amp;CHAR(10),$H1428)),'Set Aliases'!$C$2:$C$501,999))),"(none)"))</f>
        <v/>
      </c>
      <c r="C1428" s="80" t="str">
        <f t="shared" si="1"/>
        <v/>
      </c>
      <c r="D1428" s="80" t="str">
        <f t="array" ref="D1428">IF(A1428="","",IF(ISLOGICAL(INDEX('Deck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28" s="80" t="str">
        <f t="shared" si="2"/>
        <v/>
      </c>
      <c r="F1428" s="80" t="str">
        <f t="array" ref="F1428">IF(A1428="","",IF(ISNUMBER(J1428),J1428,IF(ISNUMBER(INDEX('Deck 5'!$A:$Z,ROW()-1250,'List Setup'!$F$7)),INDEX('Deck 5'!$A:$Z,ROW()-1250,'List Setup'!$F$7),0)))</f>
        <v/>
      </c>
      <c r="G1428" s="80" t="str">
        <f t="array" ref="G1428">IF(A1428="","",A1428&amp;IF(N(INDEX('Deck 5'!$A:$Z,ROW()-1250,'List Setup'!$C$7))&gt;1," (x"&amp;INDEX('Deck 5'!$A:$Z,ROW()-1250,'List Setup'!$C$7)&amp;")","")&amp;IF(COUNTIF(Binders!$J$6:$J$30,TRUE())&gt;1," ["&amp;Q1428&amp;"]",""))</f>
        <v/>
      </c>
      <c r="H1428" s="80" t="str">
        <f t="array" ref="H1428">IF(A1428="","",CHAR(10)&amp;INDEX('Deck 5'!$A:$Z,ROW()-1250,'List Setup'!$E$7)&amp;CHAR(10))</f>
        <v/>
      </c>
      <c r="I1428" s="80" t="str">
        <f t="array" ref="I1428">IF(OR(B1428="",B1428="(none)"),"",IF(ISNUMBER(SEARCH(CHAR(10)&amp;B1428&amp;CHAR(10),H1428)),B1428,IFERROR(INDEX('Set Aliases'!$A$2:$A$501,MATCH(1,('Set Aliases'!$B$2:$B$501=B1428)*ISNUMBER(SEARCH(CHAR(10)&amp;'Set Aliases'!$A$2:$A$501&amp;CHAR(10),H1428)),0)),"")))</f>
        <v/>
      </c>
      <c r="J1428" s="80" t="str">
        <f t="array" ref="J1428">IF(I1428="","",IFERROR(VALUE(TRIM(MID(SUBSTITUTE(INDEX('Deck 5'!$A:$Z,ROW()-1250,'List Setup'!$G$7),CHAR(10),REPT(" ",100)),((SEARCH(CHAR(10)&amp;I1428&amp;CHAR(10),H1428)-LEN(SUBSTITUTE(LEFT(H1428,SEARCH(CHAR(10)&amp;I1428&amp;CHAR(10),H1428)),CHAR(10),"")))-1)*100+1,100))),""))</f>
        <v/>
      </c>
      <c r="K1428" s="80" t="str">
        <f t="array" ref="K1428">IF(A1428="","",IF(ISNUMBER(SEARCH("Land",LEFT(IFERROR(INDEX('Deck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28" s="80" t="str">
        <f t="shared" si="3"/>
        <v/>
      </c>
      <c r="M1428" s="80" t="str">
        <f>IF(A1428="","",IF(AND(E1428="Y",B1428='Use at Shop'!$B$4),K1428*10000000000+(MAX(0,MIN(26,CODE(MID(UPPER(A1428)&amp;"    ",1,1))-64))*19683+MAX(0,MIN(26,CODE(MID(UPPER(A1428)&amp;"    ",2,1))-64))*729+MAX(0,MIN(26,CODE(MID(UPPER(A1428)&amp;"    ",3,1))-64))*27+MAX(0,MIN(26,CODE(MID(UPPER(A1428)&amp;"    ",4,1))-64))*1)*10000+ROW(),""))</f>
        <v/>
      </c>
      <c r="N1428" s="80" t="str">
        <f t="shared" si="9"/>
        <v/>
      </c>
      <c r="O1428" s="80" t="str">
        <f t="array" ref="O1428">IF(A1428="","",IFERROR(INDEX('Deck 5'!$A:$Z,ROW()-1250,'List Setup'!$J$7)&amp;"",""))</f>
        <v/>
      </c>
      <c r="P1428" s="2"/>
      <c r="Q1428" s="80" t="str">
        <f>IF(A1428="","",'List Setup'!$A$7)</f>
        <v/>
      </c>
      <c r="R1428" s="80" t="str">
        <f t="array" ref="R1428">IF(A1428="","",IFERROR(OR(INDEX(Binders!$J$6:$J$30,MATCH(Q1428,Binders!$I$6:$I$30,0))=TRUE(),UPPER(INDEX(Binders!$J$6:$J$30,MATCH(Q1428,Binders!$I$6:$I$30,0))&amp;"")="TRUE"),FALSE()))</f>
        <v/>
      </c>
    </row>
    <row r="1429" ht="15.75" customHeight="1">
      <c r="A1429" s="80" t="str">
        <f t="array" ref="A1429">IF(INDEX('Deck 5'!$A:$Z,ROW()-1250,'List Setup'!$D$7)="","",INDEX('Deck 5'!$A:$Z,ROW()-1250,'List Setup'!$D$7))</f>
        <v/>
      </c>
      <c r="B1429" s="80" t="str">
        <f t="array" ref="B1429">IF(A1429="","",IFERROR(INDEX('Binder Setup'!$B$2:$B$401,MIN(IF(ISNUMBER(SEARCH(CHAR(10)&amp;'Binder Setup'!$B$2:$B$401&amp;CHAR(10),$H1429)),'List Setup'!$Q$2:$Q$401,999),IF(ISNUMBER(SEARCH(CHAR(10)&amp;'Set Aliases'!$A$2:$A$501&amp;CHAR(10),$H1429)),'Set Aliases'!$C$2:$C$501,999))),"(none)"))</f>
        <v/>
      </c>
      <c r="C1429" s="80" t="str">
        <f t="shared" si="1"/>
        <v/>
      </c>
      <c r="D1429" s="80" t="str">
        <f t="array" ref="D1429">IF(A1429="","",IF(ISLOGICAL(INDEX('Deck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29" s="80" t="str">
        <f t="shared" si="2"/>
        <v/>
      </c>
      <c r="F1429" s="80" t="str">
        <f t="array" ref="F1429">IF(A1429="","",IF(ISNUMBER(J1429),J1429,IF(ISNUMBER(INDEX('Deck 5'!$A:$Z,ROW()-1250,'List Setup'!$F$7)),INDEX('Deck 5'!$A:$Z,ROW()-1250,'List Setup'!$F$7),0)))</f>
        <v/>
      </c>
      <c r="G1429" s="80" t="str">
        <f t="array" ref="G1429">IF(A1429="","",A1429&amp;IF(N(INDEX('Deck 5'!$A:$Z,ROW()-1250,'List Setup'!$C$7))&gt;1," (x"&amp;INDEX('Deck 5'!$A:$Z,ROW()-1250,'List Setup'!$C$7)&amp;")","")&amp;IF(COUNTIF(Binders!$J$6:$J$30,TRUE())&gt;1," ["&amp;Q1429&amp;"]",""))</f>
        <v/>
      </c>
      <c r="H1429" s="80" t="str">
        <f t="array" ref="H1429">IF(A1429="","",CHAR(10)&amp;INDEX('Deck 5'!$A:$Z,ROW()-1250,'List Setup'!$E$7)&amp;CHAR(10))</f>
        <v/>
      </c>
      <c r="I1429" s="80" t="str">
        <f t="array" ref="I1429">IF(OR(B1429="",B1429="(none)"),"",IF(ISNUMBER(SEARCH(CHAR(10)&amp;B1429&amp;CHAR(10),H1429)),B1429,IFERROR(INDEX('Set Aliases'!$A$2:$A$501,MATCH(1,('Set Aliases'!$B$2:$B$501=B1429)*ISNUMBER(SEARCH(CHAR(10)&amp;'Set Aliases'!$A$2:$A$501&amp;CHAR(10),H1429)),0)),"")))</f>
        <v/>
      </c>
      <c r="J1429" s="80" t="str">
        <f t="array" ref="J1429">IF(I1429="","",IFERROR(VALUE(TRIM(MID(SUBSTITUTE(INDEX('Deck 5'!$A:$Z,ROW()-1250,'List Setup'!$G$7),CHAR(10),REPT(" ",100)),((SEARCH(CHAR(10)&amp;I1429&amp;CHAR(10),H1429)-LEN(SUBSTITUTE(LEFT(H1429,SEARCH(CHAR(10)&amp;I1429&amp;CHAR(10),H1429)),CHAR(10),"")))-1)*100+1,100))),""))</f>
        <v/>
      </c>
      <c r="K1429" s="80" t="str">
        <f t="array" ref="K1429">IF(A1429="","",IF(ISNUMBER(SEARCH("Land",LEFT(IFERROR(INDEX('Deck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29" s="80" t="str">
        <f t="shared" si="3"/>
        <v/>
      </c>
      <c r="M1429" s="80" t="str">
        <f>IF(A1429="","",IF(AND(E1429="Y",B1429='Use at Shop'!$B$4),K1429*10000000000+(MAX(0,MIN(26,CODE(MID(UPPER(A1429)&amp;"    ",1,1))-64))*19683+MAX(0,MIN(26,CODE(MID(UPPER(A1429)&amp;"    ",2,1))-64))*729+MAX(0,MIN(26,CODE(MID(UPPER(A1429)&amp;"    ",3,1))-64))*27+MAX(0,MIN(26,CODE(MID(UPPER(A1429)&amp;"    ",4,1))-64))*1)*10000+ROW(),""))</f>
        <v/>
      </c>
      <c r="N1429" s="80" t="str">
        <f t="shared" si="9"/>
        <v/>
      </c>
      <c r="O1429" s="80" t="str">
        <f t="array" ref="O1429">IF(A1429="","",IFERROR(INDEX('Deck 5'!$A:$Z,ROW()-1250,'List Setup'!$J$7)&amp;"",""))</f>
        <v/>
      </c>
      <c r="P1429" s="2"/>
      <c r="Q1429" s="80" t="str">
        <f>IF(A1429="","",'List Setup'!$A$7)</f>
        <v/>
      </c>
      <c r="R1429" s="80" t="str">
        <f t="array" ref="R1429">IF(A1429="","",IFERROR(OR(INDEX(Binders!$J$6:$J$30,MATCH(Q1429,Binders!$I$6:$I$30,0))=TRUE(),UPPER(INDEX(Binders!$J$6:$J$30,MATCH(Q1429,Binders!$I$6:$I$30,0))&amp;"")="TRUE"),FALSE()))</f>
        <v/>
      </c>
    </row>
    <row r="1430" ht="15.75" customHeight="1">
      <c r="A1430" s="80" t="str">
        <f t="array" ref="A1430">IF(INDEX('Deck 5'!$A:$Z,ROW()-1250,'List Setup'!$D$7)="","",INDEX('Deck 5'!$A:$Z,ROW()-1250,'List Setup'!$D$7))</f>
        <v/>
      </c>
      <c r="B1430" s="80" t="str">
        <f t="array" ref="B1430">IF(A1430="","",IFERROR(INDEX('Binder Setup'!$B$2:$B$401,MIN(IF(ISNUMBER(SEARCH(CHAR(10)&amp;'Binder Setup'!$B$2:$B$401&amp;CHAR(10),$H1430)),'List Setup'!$Q$2:$Q$401,999),IF(ISNUMBER(SEARCH(CHAR(10)&amp;'Set Aliases'!$A$2:$A$501&amp;CHAR(10),$H1430)),'Set Aliases'!$C$2:$C$501,999))),"(none)"))</f>
        <v/>
      </c>
      <c r="C1430" s="80" t="str">
        <f t="shared" si="1"/>
        <v/>
      </c>
      <c r="D1430" s="80" t="str">
        <f t="array" ref="D1430">IF(A1430="","",IF(ISLOGICAL(INDEX('Deck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30" s="80" t="str">
        <f t="shared" si="2"/>
        <v/>
      </c>
      <c r="F1430" s="80" t="str">
        <f t="array" ref="F1430">IF(A1430="","",IF(ISNUMBER(J1430),J1430,IF(ISNUMBER(INDEX('Deck 5'!$A:$Z,ROW()-1250,'List Setup'!$F$7)),INDEX('Deck 5'!$A:$Z,ROW()-1250,'List Setup'!$F$7),0)))</f>
        <v/>
      </c>
      <c r="G1430" s="80" t="str">
        <f t="array" ref="G1430">IF(A1430="","",A1430&amp;IF(N(INDEX('Deck 5'!$A:$Z,ROW()-1250,'List Setup'!$C$7))&gt;1," (x"&amp;INDEX('Deck 5'!$A:$Z,ROW()-1250,'List Setup'!$C$7)&amp;")","")&amp;IF(COUNTIF(Binders!$J$6:$J$30,TRUE())&gt;1," ["&amp;Q1430&amp;"]",""))</f>
        <v/>
      </c>
      <c r="H1430" s="80" t="str">
        <f t="array" ref="H1430">IF(A1430="","",CHAR(10)&amp;INDEX('Deck 5'!$A:$Z,ROW()-1250,'List Setup'!$E$7)&amp;CHAR(10))</f>
        <v/>
      </c>
      <c r="I1430" s="80" t="str">
        <f t="array" ref="I1430">IF(OR(B1430="",B1430="(none)"),"",IF(ISNUMBER(SEARCH(CHAR(10)&amp;B1430&amp;CHAR(10),H1430)),B1430,IFERROR(INDEX('Set Aliases'!$A$2:$A$501,MATCH(1,('Set Aliases'!$B$2:$B$501=B1430)*ISNUMBER(SEARCH(CHAR(10)&amp;'Set Aliases'!$A$2:$A$501&amp;CHAR(10),H1430)),0)),"")))</f>
        <v/>
      </c>
      <c r="J1430" s="80" t="str">
        <f t="array" ref="J1430">IF(I1430="","",IFERROR(VALUE(TRIM(MID(SUBSTITUTE(INDEX('Deck 5'!$A:$Z,ROW()-1250,'List Setup'!$G$7),CHAR(10),REPT(" ",100)),((SEARCH(CHAR(10)&amp;I1430&amp;CHAR(10),H1430)-LEN(SUBSTITUTE(LEFT(H1430,SEARCH(CHAR(10)&amp;I1430&amp;CHAR(10),H1430)),CHAR(10),"")))-1)*100+1,100))),""))</f>
        <v/>
      </c>
      <c r="K1430" s="80" t="str">
        <f t="array" ref="K1430">IF(A1430="","",IF(ISNUMBER(SEARCH("Land",LEFT(IFERROR(INDEX('Deck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30" s="80" t="str">
        <f t="shared" si="3"/>
        <v/>
      </c>
      <c r="M1430" s="80" t="str">
        <f>IF(A1430="","",IF(AND(E1430="Y",B1430='Use at Shop'!$B$4),K1430*10000000000+(MAX(0,MIN(26,CODE(MID(UPPER(A1430)&amp;"    ",1,1))-64))*19683+MAX(0,MIN(26,CODE(MID(UPPER(A1430)&amp;"    ",2,1))-64))*729+MAX(0,MIN(26,CODE(MID(UPPER(A1430)&amp;"    ",3,1))-64))*27+MAX(0,MIN(26,CODE(MID(UPPER(A1430)&amp;"    ",4,1))-64))*1)*10000+ROW(),""))</f>
        <v/>
      </c>
      <c r="N1430" s="80" t="str">
        <f t="shared" si="9"/>
        <v/>
      </c>
      <c r="O1430" s="80" t="str">
        <f t="array" ref="O1430">IF(A1430="","",IFERROR(INDEX('Deck 5'!$A:$Z,ROW()-1250,'List Setup'!$J$7)&amp;"",""))</f>
        <v/>
      </c>
      <c r="P1430" s="2"/>
      <c r="Q1430" s="80" t="str">
        <f>IF(A1430="","",'List Setup'!$A$7)</f>
        <v/>
      </c>
      <c r="R1430" s="80" t="str">
        <f t="array" ref="R1430">IF(A1430="","",IFERROR(OR(INDEX(Binders!$J$6:$J$30,MATCH(Q1430,Binders!$I$6:$I$30,0))=TRUE(),UPPER(INDEX(Binders!$J$6:$J$30,MATCH(Q1430,Binders!$I$6:$I$30,0))&amp;"")="TRUE"),FALSE()))</f>
        <v/>
      </c>
    </row>
    <row r="1431" ht="15.75" customHeight="1">
      <c r="A1431" s="80" t="str">
        <f t="array" ref="A1431">IF(INDEX('Deck 5'!$A:$Z,ROW()-1250,'List Setup'!$D$7)="","",INDEX('Deck 5'!$A:$Z,ROW()-1250,'List Setup'!$D$7))</f>
        <v/>
      </c>
      <c r="B1431" s="80" t="str">
        <f t="array" ref="B1431">IF(A1431="","",IFERROR(INDEX('Binder Setup'!$B$2:$B$401,MIN(IF(ISNUMBER(SEARCH(CHAR(10)&amp;'Binder Setup'!$B$2:$B$401&amp;CHAR(10),$H1431)),'List Setup'!$Q$2:$Q$401,999),IF(ISNUMBER(SEARCH(CHAR(10)&amp;'Set Aliases'!$A$2:$A$501&amp;CHAR(10),$H1431)),'Set Aliases'!$C$2:$C$501,999))),"(none)"))</f>
        <v/>
      </c>
      <c r="C1431" s="80" t="str">
        <f t="shared" si="1"/>
        <v/>
      </c>
      <c r="D1431" s="80" t="str">
        <f t="array" ref="D1431">IF(A1431="","",IF(ISLOGICAL(INDEX('Deck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31" s="80" t="str">
        <f t="shared" si="2"/>
        <v/>
      </c>
      <c r="F1431" s="80" t="str">
        <f t="array" ref="F1431">IF(A1431="","",IF(ISNUMBER(J1431),J1431,IF(ISNUMBER(INDEX('Deck 5'!$A:$Z,ROW()-1250,'List Setup'!$F$7)),INDEX('Deck 5'!$A:$Z,ROW()-1250,'List Setup'!$F$7),0)))</f>
        <v/>
      </c>
      <c r="G1431" s="80" t="str">
        <f t="array" ref="G1431">IF(A1431="","",A1431&amp;IF(N(INDEX('Deck 5'!$A:$Z,ROW()-1250,'List Setup'!$C$7))&gt;1," (x"&amp;INDEX('Deck 5'!$A:$Z,ROW()-1250,'List Setup'!$C$7)&amp;")","")&amp;IF(COUNTIF(Binders!$J$6:$J$30,TRUE())&gt;1," ["&amp;Q1431&amp;"]",""))</f>
        <v/>
      </c>
      <c r="H1431" s="80" t="str">
        <f t="array" ref="H1431">IF(A1431="","",CHAR(10)&amp;INDEX('Deck 5'!$A:$Z,ROW()-1250,'List Setup'!$E$7)&amp;CHAR(10))</f>
        <v/>
      </c>
      <c r="I1431" s="80" t="str">
        <f t="array" ref="I1431">IF(OR(B1431="",B1431="(none)"),"",IF(ISNUMBER(SEARCH(CHAR(10)&amp;B1431&amp;CHAR(10),H1431)),B1431,IFERROR(INDEX('Set Aliases'!$A$2:$A$501,MATCH(1,('Set Aliases'!$B$2:$B$501=B1431)*ISNUMBER(SEARCH(CHAR(10)&amp;'Set Aliases'!$A$2:$A$501&amp;CHAR(10),H1431)),0)),"")))</f>
        <v/>
      </c>
      <c r="J1431" s="80" t="str">
        <f t="array" ref="J1431">IF(I1431="","",IFERROR(VALUE(TRIM(MID(SUBSTITUTE(INDEX('Deck 5'!$A:$Z,ROW()-1250,'List Setup'!$G$7),CHAR(10),REPT(" ",100)),((SEARCH(CHAR(10)&amp;I1431&amp;CHAR(10),H1431)-LEN(SUBSTITUTE(LEFT(H1431,SEARCH(CHAR(10)&amp;I1431&amp;CHAR(10),H1431)),CHAR(10),"")))-1)*100+1,100))),""))</f>
        <v/>
      </c>
      <c r="K1431" s="80" t="str">
        <f t="array" ref="K1431">IF(A1431="","",IF(ISNUMBER(SEARCH("Land",LEFT(IFERROR(INDEX('Deck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31" s="80" t="str">
        <f t="shared" si="3"/>
        <v/>
      </c>
      <c r="M1431" s="80" t="str">
        <f>IF(A1431="","",IF(AND(E1431="Y",B1431='Use at Shop'!$B$4),K1431*10000000000+(MAX(0,MIN(26,CODE(MID(UPPER(A1431)&amp;"    ",1,1))-64))*19683+MAX(0,MIN(26,CODE(MID(UPPER(A1431)&amp;"    ",2,1))-64))*729+MAX(0,MIN(26,CODE(MID(UPPER(A1431)&amp;"    ",3,1))-64))*27+MAX(0,MIN(26,CODE(MID(UPPER(A1431)&amp;"    ",4,1))-64))*1)*10000+ROW(),""))</f>
        <v/>
      </c>
      <c r="N1431" s="80" t="str">
        <f t="shared" si="9"/>
        <v/>
      </c>
      <c r="O1431" s="80" t="str">
        <f t="array" ref="O1431">IF(A1431="","",IFERROR(INDEX('Deck 5'!$A:$Z,ROW()-1250,'List Setup'!$J$7)&amp;"",""))</f>
        <v/>
      </c>
      <c r="P1431" s="2"/>
      <c r="Q1431" s="80" t="str">
        <f>IF(A1431="","",'List Setup'!$A$7)</f>
        <v/>
      </c>
      <c r="R1431" s="80" t="str">
        <f t="array" ref="R1431">IF(A1431="","",IFERROR(OR(INDEX(Binders!$J$6:$J$30,MATCH(Q1431,Binders!$I$6:$I$30,0))=TRUE(),UPPER(INDEX(Binders!$J$6:$J$30,MATCH(Q1431,Binders!$I$6:$I$30,0))&amp;"")="TRUE"),FALSE()))</f>
        <v/>
      </c>
    </row>
    <row r="1432" ht="15.75" customHeight="1">
      <c r="A1432" s="80" t="str">
        <f t="array" ref="A1432">IF(INDEX('Deck 5'!$A:$Z,ROW()-1250,'List Setup'!$D$7)="","",INDEX('Deck 5'!$A:$Z,ROW()-1250,'List Setup'!$D$7))</f>
        <v/>
      </c>
      <c r="B1432" s="80" t="str">
        <f t="array" ref="B1432">IF(A1432="","",IFERROR(INDEX('Binder Setup'!$B$2:$B$401,MIN(IF(ISNUMBER(SEARCH(CHAR(10)&amp;'Binder Setup'!$B$2:$B$401&amp;CHAR(10),$H1432)),'List Setup'!$Q$2:$Q$401,999),IF(ISNUMBER(SEARCH(CHAR(10)&amp;'Set Aliases'!$A$2:$A$501&amp;CHAR(10),$H1432)),'Set Aliases'!$C$2:$C$501,999))),"(none)"))</f>
        <v/>
      </c>
      <c r="C1432" s="80" t="str">
        <f t="shared" si="1"/>
        <v/>
      </c>
      <c r="D1432" s="80" t="str">
        <f t="array" ref="D1432">IF(A1432="","",IF(ISLOGICAL(INDEX('Deck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32" s="80" t="str">
        <f t="shared" si="2"/>
        <v/>
      </c>
      <c r="F1432" s="80" t="str">
        <f t="array" ref="F1432">IF(A1432="","",IF(ISNUMBER(J1432),J1432,IF(ISNUMBER(INDEX('Deck 5'!$A:$Z,ROW()-1250,'List Setup'!$F$7)),INDEX('Deck 5'!$A:$Z,ROW()-1250,'List Setup'!$F$7),0)))</f>
        <v/>
      </c>
      <c r="G1432" s="80" t="str">
        <f t="array" ref="G1432">IF(A1432="","",A1432&amp;IF(N(INDEX('Deck 5'!$A:$Z,ROW()-1250,'List Setup'!$C$7))&gt;1," (x"&amp;INDEX('Deck 5'!$A:$Z,ROW()-1250,'List Setup'!$C$7)&amp;")","")&amp;IF(COUNTIF(Binders!$J$6:$J$30,TRUE())&gt;1," ["&amp;Q1432&amp;"]",""))</f>
        <v/>
      </c>
      <c r="H1432" s="80" t="str">
        <f t="array" ref="H1432">IF(A1432="","",CHAR(10)&amp;INDEX('Deck 5'!$A:$Z,ROW()-1250,'List Setup'!$E$7)&amp;CHAR(10))</f>
        <v/>
      </c>
      <c r="I1432" s="80" t="str">
        <f t="array" ref="I1432">IF(OR(B1432="",B1432="(none)"),"",IF(ISNUMBER(SEARCH(CHAR(10)&amp;B1432&amp;CHAR(10),H1432)),B1432,IFERROR(INDEX('Set Aliases'!$A$2:$A$501,MATCH(1,('Set Aliases'!$B$2:$B$501=B1432)*ISNUMBER(SEARCH(CHAR(10)&amp;'Set Aliases'!$A$2:$A$501&amp;CHAR(10),H1432)),0)),"")))</f>
        <v/>
      </c>
      <c r="J1432" s="80" t="str">
        <f t="array" ref="J1432">IF(I1432="","",IFERROR(VALUE(TRIM(MID(SUBSTITUTE(INDEX('Deck 5'!$A:$Z,ROW()-1250,'List Setup'!$G$7),CHAR(10),REPT(" ",100)),((SEARCH(CHAR(10)&amp;I1432&amp;CHAR(10),H1432)-LEN(SUBSTITUTE(LEFT(H1432,SEARCH(CHAR(10)&amp;I1432&amp;CHAR(10),H1432)),CHAR(10),"")))-1)*100+1,100))),""))</f>
        <v/>
      </c>
      <c r="K1432" s="80" t="str">
        <f t="array" ref="K1432">IF(A1432="","",IF(ISNUMBER(SEARCH("Land",LEFT(IFERROR(INDEX('Deck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32" s="80" t="str">
        <f t="shared" si="3"/>
        <v/>
      </c>
      <c r="M1432" s="80" t="str">
        <f>IF(A1432="","",IF(AND(E1432="Y",B1432='Use at Shop'!$B$4),K1432*10000000000+(MAX(0,MIN(26,CODE(MID(UPPER(A1432)&amp;"    ",1,1))-64))*19683+MAX(0,MIN(26,CODE(MID(UPPER(A1432)&amp;"    ",2,1))-64))*729+MAX(0,MIN(26,CODE(MID(UPPER(A1432)&amp;"    ",3,1))-64))*27+MAX(0,MIN(26,CODE(MID(UPPER(A1432)&amp;"    ",4,1))-64))*1)*10000+ROW(),""))</f>
        <v/>
      </c>
      <c r="N1432" s="80" t="str">
        <f t="shared" si="9"/>
        <v/>
      </c>
      <c r="O1432" s="80" t="str">
        <f t="array" ref="O1432">IF(A1432="","",IFERROR(INDEX('Deck 5'!$A:$Z,ROW()-1250,'List Setup'!$J$7)&amp;"",""))</f>
        <v/>
      </c>
      <c r="P1432" s="2"/>
      <c r="Q1432" s="80" t="str">
        <f>IF(A1432="","",'List Setup'!$A$7)</f>
        <v/>
      </c>
      <c r="R1432" s="80" t="str">
        <f t="array" ref="R1432">IF(A1432="","",IFERROR(OR(INDEX(Binders!$J$6:$J$30,MATCH(Q1432,Binders!$I$6:$I$30,0))=TRUE(),UPPER(INDEX(Binders!$J$6:$J$30,MATCH(Q1432,Binders!$I$6:$I$30,0))&amp;"")="TRUE"),FALSE()))</f>
        <v/>
      </c>
    </row>
    <row r="1433" ht="15.75" customHeight="1">
      <c r="A1433" s="80" t="str">
        <f t="array" ref="A1433">IF(INDEX('Deck 5'!$A:$Z,ROW()-1250,'List Setup'!$D$7)="","",INDEX('Deck 5'!$A:$Z,ROW()-1250,'List Setup'!$D$7))</f>
        <v/>
      </c>
      <c r="B1433" s="80" t="str">
        <f t="array" ref="B1433">IF(A1433="","",IFERROR(INDEX('Binder Setup'!$B$2:$B$401,MIN(IF(ISNUMBER(SEARCH(CHAR(10)&amp;'Binder Setup'!$B$2:$B$401&amp;CHAR(10),$H1433)),'List Setup'!$Q$2:$Q$401,999),IF(ISNUMBER(SEARCH(CHAR(10)&amp;'Set Aliases'!$A$2:$A$501&amp;CHAR(10),$H1433)),'Set Aliases'!$C$2:$C$501,999))),"(none)"))</f>
        <v/>
      </c>
      <c r="C1433" s="80" t="str">
        <f t="shared" si="1"/>
        <v/>
      </c>
      <c r="D1433" s="80" t="str">
        <f t="array" ref="D1433">IF(A1433="","",IF(ISLOGICAL(INDEX('Deck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33" s="80" t="str">
        <f t="shared" si="2"/>
        <v/>
      </c>
      <c r="F1433" s="80" t="str">
        <f t="array" ref="F1433">IF(A1433="","",IF(ISNUMBER(J1433),J1433,IF(ISNUMBER(INDEX('Deck 5'!$A:$Z,ROW()-1250,'List Setup'!$F$7)),INDEX('Deck 5'!$A:$Z,ROW()-1250,'List Setup'!$F$7),0)))</f>
        <v/>
      </c>
      <c r="G1433" s="80" t="str">
        <f t="array" ref="G1433">IF(A1433="","",A1433&amp;IF(N(INDEX('Deck 5'!$A:$Z,ROW()-1250,'List Setup'!$C$7))&gt;1," (x"&amp;INDEX('Deck 5'!$A:$Z,ROW()-1250,'List Setup'!$C$7)&amp;")","")&amp;IF(COUNTIF(Binders!$J$6:$J$30,TRUE())&gt;1," ["&amp;Q1433&amp;"]",""))</f>
        <v/>
      </c>
      <c r="H1433" s="80" t="str">
        <f t="array" ref="H1433">IF(A1433="","",CHAR(10)&amp;INDEX('Deck 5'!$A:$Z,ROW()-1250,'List Setup'!$E$7)&amp;CHAR(10))</f>
        <v/>
      </c>
      <c r="I1433" s="80" t="str">
        <f t="array" ref="I1433">IF(OR(B1433="",B1433="(none)"),"",IF(ISNUMBER(SEARCH(CHAR(10)&amp;B1433&amp;CHAR(10),H1433)),B1433,IFERROR(INDEX('Set Aliases'!$A$2:$A$501,MATCH(1,('Set Aliases'!$B$2:$B$501=B1433)*ISNUMBER(SEARCH(CHAR(10)&amp;'Set Aliases'!$A$2:$A$501&amp;CHAR(10),H1433)),0)),"")))</f>
        <v/>
      </c>
      <c r="J1433" s="80" t="str">
        <f t="array" ref="J1433">IF(I1433="","",IFERROR(VALUE(TRIM(MID(SUBSTITUTE(INDEX('Deck 5'!$A:$Z,ROW()-1250,'List Setup'!$G$7),CHAR(10),REPT(" ",100)),((SEARCH(CHAR(10)&amp;I1433&amp;CHAR(10),H1433)-LEN(SUBSTITUTE(LEFT(H1433,SEARCH(CHAR(10)&amp;I1433&amp;CHAR(10),H1433)),CHAR(10),"")))-1)*100+1,100))),""))</f>
        <v/>
      </c>
      <c r="K1433" s="80" t="str">
        <f t="array" ref="K1433">IF(A1433="","",IF(ISNUMBER(SEARCH("Land",LEFT(IFERROR(INDEX('Deck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33" s="80" t="str">
        <f t="shared" si="3"/>
        <v/>
      </c>
      <c r="M1433" s="80" t="str">
        <f>IF(A1433="","",IF(AND(E1433="Y",B1433='Use at Shop'!$B$4),K1433*10000000000+(MAX(0,MIN(26,CODE(MID(UPPER(A1433)&amp;"    ",1,1))-64))*19683+MAX(0,MIN(26,CODE(MID(UPPER(A1433)&amp;"    ",2,1))-64))*729+MAX(0,MIN(26,CODE(MID(UPPER(A1433)&amp;"    ",3,1))-64))*27+MAX(0,MIN(26,CODE(MID(UPPER(A1433)&amp;"    ",4,1))-64))*1)*10000+ROW(),""))</f>
        <v/>
      </c>
      <c r="N1433" s="80" t="str">
        <f t="shared" si="9"/>
        <v/>
      </c>
      <c r="O1433" s="80" t="str">
        <f t="array" ref="O1433">IF(A1433="","",IFERROR(INDEX('Deck 5'!$A:$Z,ROW()-1250,'List Setup'!$J$7)&amp;"",""))</f>
        <v/>
      </c>
      <c r="P1433" s="2"/>
      <c r="Q1433" s="80" t="str">
        <f>IF(A1433="","",'List Setup'!$A$7)</f>
        <v/>
      </c>
      <c r="R1433" s="80" t="str">
        <f t="array" ref="R1433">IF(A1433="","",IFERROR(OR(INDEX(Binders!$J$6:$J$30,MATCH(Q1433,Binders!$I$6:$I$30,0))=TRUE(),UPPER(INDEX(Binders!$J$6:$J$30,MATCH(Q1433,Binders!$I$6:$I$30,0))&amp;"")="TRUE"),FALSE()))</f>
        <v/>
      </c>
    </row>
    <row r="1434" ht="15.75" customHeight="1">
      <c r="A1434" s="80" t="str">
        <f t="array" ref="A1434">IF(INDEX('Deck 5'!$A:$Z,ROW()-1250,'List Setup'!$D$7)="","",INDEX('Deck 5'!$A:$Z,ROW()-1250,'List Setup'!$D$7))</f>
        <v/>
      </c>
      <c r="B1434" s="80" t="str">
        <f t="array" ref="B1434">IF(A1434="","",IFERROR(INDEX('Binder Setup'!$B$2:$B$401,MIN(IF(ISNUMBER(SEARCH(CHAR(10)&amp;'Binder Setup'!$B$2:$B$401&amp;CHAR(10),$H1434)),'List Setup'!$Q$2:$Q$401,999),IF(ISNUMBER(SEARCH(CHAR(10)&amp;'Set Aliases'!$A$2:$A$501&amp;CHAR(10),$H1434)),'Set Aliases'!$C$2:$C$501,999))),"(none)"))</f>
        <v/>
      </c>
      <c r="C1434" s="80" t="str">
        <f t="shared" si="1"/>
        <v/>
      </c>
      <c r="D1434" s="80" t="str">
        <f t="array" ref="D1434">IF(A1434="","",IF(ISLOGICAL(INDEX('Deck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34" s="80" t="str">
        <f t="shared" si="2"/>
        <v/>
      </c>
      <c r="F1434" s="80" t="str">
        <f t="array" ref="F1434">IF(A1434="","",IF(ISNUMBER(J1434),J1434,IF(ISNUMBER(INDEX('Deck 5'!$A:$Z,ROW()-1250,'List Setup'!$F$7)),INDEX('Deck 5'!$A:$Z,ROW()-1250,'List Setup'!$F$7),0)))</f>
        <v/>
      </c>
      <c r="G1434" s="80" t="str">
        <f t="array" ref="G1434">IF(A1434="","",A1434&amp;IF(N(INDEX('Deck 5'!$A:$Z,ROW()-1250,'List Setup'!$C$7))&gt;1," (x"&amp;INDEX('Deck 5'!$A:$Z,ROW()-1250,'List Setup'!$C$7)&amp;")","")&amp;IF(COUNTIF(Binders!$J$6:$J$30,TRUE())&gt;1," ["&amp;Q1434&amp;"]",""))</f>
        <v/>
      </c>
      <c r="H1434" s="80" t="str">
        <f t="array" ref="H1434">IF(A1434="","",CHAR(10)&amp;INDEX('Deck 5'!$A:$Z,ROW()-1250,'List Setup'!$E$7)&amp;CHAR(10))</f>
        <v/>
      </c>
      <c r="I1434" s="80" t="str">
        <f t="array" ref="I1434">IF(OR(B1434="",B1434="(none)"),"",IF(ISNUMBER(SEARCH(CHAR(10)&amp;B1434&amp;CHAR(10),H1434)),B1434,IFERROR(INDEX('Set Aliases'!$A$2:$A$501,MATCH(1,('Set Aliases'!$B$2:$B$501=B1434)*ISNUMBER(SEARCH(CHAR(10)&amp;'Set Aliases'!$A$2:$A$501&amp;CHAR(10),H1434)),0)),"")))</f>
        <v/>
      </c>
      <c r="J1434" s="80" t="str">
        <f t="array" ref="J1434">IF(I1434="","",IFERROR(VALUE(TRIM(MID(SUBSTITUTE(INDEX('Deck 5'!$A:$Z,ROW()-1250,'List Setup'!$G$7),CHAR(10),REPT(" ",100)),((SEARCH(CHAR(10)&amp;I1434&amp;CHAR(10),H1434)-LEN(SUBSTITUTE(LEFT(H1434,SEARCH(CHAR(10)&amp;I1434&amp;CHAR(10),H1434)),CHAR(10),"")))-1)*100+1,100))),""))</f>
        <v/>
      </c>
      <c r="K1434" s="80" t="str">
        <f t="array" ref="K1434">IF(A1434="","",IF(ISNUMBER(SEARCH("Land",LEFT(IFERROR(INDEX('Deck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34" s="80" t="str">
        <f t="shared" si="3"/>
        <v/>
      </c>
      <c r="M1434" s="80" t="str">
        <f>IF(A1434="","",IF(AND(E1434="Y",B1434='Use at Shop'!$B$4),K1434*10000000000+(MAX(0,MIN(26,CODE(MID(UPPER(A1434)&amp;"    ",1,1))-64))*19683+MAX(0,MIN(26,CODE(MID(UPPER(A1434)&amp;"    ",2,1))-64))*729+MAX(0,MIN(26,CODE(MID(UPPER(A1434)&amp;"    ",3,1))-64))*27+MAX(0,MIN(26,CODE(MID(UPPER(A1434)&amp;"    ",4,1))-64))*1)*10000+ROW(),""))</f>
        <v/>
      </c>
      <c r="N1434" s="80" t="str">
        <f t="shared" si="9"/>
        <v/>
      </c>
      <c r="O1434" s="80" t="str">
        <f t="array" ref="O1434">IF(A1434="","",IFERROR(INDEX('Deck 5'!$A:$Z,ROW()-1250,'List Setup'!$J$7)&amp;"",""))</f>
        <v/>
      </c>
      <c r="P1434" s="2"/>
      <c r="Q1434" s="80" t="str">
        <f>IF(A1434="","",'List Setup'!$A$7)</f>
        <v/>
      </c>
      <c r="R1434" s="80" t="str">
        <f t="array" ref="R1434">IF(A1434="","",IFERROR(OR(INDEX(Binders!$J$6:$J$30,MATCH(Q1434,Binders!$I$6:$I$30,0))=TRUE(),UPPER(INDEX(Binders!$J$6:$J$30,MATCH(Q1434,Binders!$I$6:$I$30,0))&amp;"")="TRUE"),FALSE()))</f>
        <v/>
      </c>
    </row>
    <row r="1435" ht="15.75" customHeight="1">
      <c r="A1435" s="80" t="str">
        <f t="array" ref="A1435">IF(INDEX('Deck 5'!$A:$Z,ROW()-1250,'List Setup'!$D$7)="","",INDEX('Deck 5'!$A:$Z,ROW()-1250,'List Setup'!$D$7))</f>
        <v/>
      </c>
      <c r="B1435" s="80" t="str">
        <f t="array" ref="B1435">IF(A1435="","",IFERROR(INDEX('Binder Setup'!$B$2:$B$401,MIN(IF(ISNUMBER(SEARCH(CHAR(10)&amp;'Binder Setup'!$B$2:$B$401&amp;CHAR(10),$H1435)),'List Setup'!$Q$2:$Q$401,999),IF(ISNUMBER(SEARCH(CHAR(10)&amp;'Set Aliases'!$A$2:$A$501&amp;CHAR(10),$H1435)),'Set Aliases'!$C$2:$C$501,999))),"(none)"))</f>
        <v/>
      </c>
      <c r="C1435" s="80" t="str">
        <f t="shared" si="1"/>
        <v/>
      </c>
      <c r="D1435" s="80" t="str">
        <f t="array" ref="D1435">IF(A1435="","",IF(ISLOGICAL(INDEX('Deck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35" s="80" t="str">
        <f t="shared" si="2"/>
        <v/>
      </c>
      <c r="F1435" s="80" t="str">
        <f t="array" ref="F1435">IF(A1435="","",IF(ISNUMBER(J1435),J1435,IF(ISNUMBER(INDEX('Deck 5'!$A:$Z,ROW()-1250,'List Setup'!$F$7)),INDEX('Deck 5'!$A:$Z,ROW()-1250,'List Setup'!$F$7),0)))</f>
        <v/>
      </c>
      <c r="G1435" s="80" t="str">
        <f t="array" ref="G1435">IF(A1435="","",A1435&amp;IF(N(INDEX('Deck 5'!$A:$Z,ROW()-1250,'List Setup'!$C$7))&gt;1," (x"&amp;INDEX('Deck 5'!$A:$Z,ROW()-1250,'List Setup'!$C$7)&amp;")","")&amp;IF(COUNTIF(Binders!$J$6:$J$30,TRUE())&gt;1," ["&amp;Q1435&amp;"]",""))</f>
        <v/>
      </c>
      <c r="H1435" s="80" t="str">
        <f t="array" ref="H1435">IF(A1435="","",CHAR(10)&amp;INDEX('Deck 5'!$A:$Z,ROW()-1250,'List Setup'!$E$7)&amp;CHAR(10))</f>
        <v/>
      </c>
      <c r="I1435" s="80" t="str">
        <f t="array" ref="I1435">IF(OR(B1435="",B1435="(none)"),"",IF(ISNUMBER(SEARCH(CHAR(10)&amp;B1435&amp;CHAR(10),H1435)),B1435,IFERROR(INDEX('Set Aliases'!$A$2:$A$501,MATCH(1,('Set Aliases'!$B$2:$B$501=B1435)*ISNUMBER(SEARCH(CHAR(10)&amp;'Set Aliases'!$A$2:$A$501&amp;CHAR(10),H1435)),0)),"")))</f>
        <v/>
      </c>
      <c r="J1435" s="80" t="str">
        <f t="array" ref="J1435">IF(I1435="","",IFERROR(VALUE(TRIM(MID(SUBSTITUTE(INDEX('Deck 5'!$A:$Z,ROW()-1250,'List Setup'!$G$7),CHAR(10),REPT(" ",100)),((SEARCH(CHAR(10)&amp;I1435&amp;CHAR(10),H1435)-LEN(SUBSTITUTE(LEFT(H1435,SEARCH(CHAR(10)&amp;I1435&amp;CHAR(10),H1435)),CHAR(10),"")))-1)*100+1,100))),""))</f>
        <v/>
      </c>
      <c r="K1435" s="80" t="str">
        <f t="array" ref="K1435">IF(A1435="","",IF(ISNUMBER(SEARCH("Land",LEFT(IFERROR(INDEX('Deck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35" s="80" t="str">
        <f t="shared" si="3"/>
        <v/>
      </c>
      <c r="M1435" s="80" t="str">
        <f>IF(A1435="","",IF(AND(E1435="Y",B1435='Use at Shop'!$B$4),K1435*10000000000+(MAX(0,MIN(26,CODE(MID(UPPER(A1435)&amp;"    ",1,1))-64))*19683+MAX(0,MIN(26,CODE(MID(UPPER(A1435)&amp;"    ",2,1))-64))*729+MAX(0,MIN(26,CODE(MID(UPPER(A1435)&amp;"    ",3,1))-64))*27+MAX(0,MIN(26,CODE(MID(UPPER(A1435)&amp;"    ",4,1))-64))*1)*10000+ROW(),""))</f>
        <v/>
      </c>
      <c r="N1435" s="80" t="str">
        <f t="shared" si="9"/>
        <v/>
      </c>
      <c r="O1435" s="80" t="str">
        <f t="array" ref="O1435">IF(A1435="","",IFERROR(INDEX('Deck 5'!$A:$Z,ROW()-1250,'List Setup'!$J$7)&amp;"",""))</f>
        <v/>
      </c>
      <c r="P1435" s="2"/>
      <c r="Q1435" s="80" t="str">
        <f>IF(A1435="","",'List Setup'!$A$7)</f>
        <v/>
      </c>
      <c r="R1435" s="80" t="str">
        <f t="array" ref="R1435">IF(A1435="","",IFERROR(OR(INDEX(Binders!$J$6:$J$30,MATCH(Q1435,Binders!$I$6:$I$30,0))=TRUE(),UPPER(INDEX(Binders!$J$6:$J$30,MATCH(Q1435,Binders!$I$6:$I$30,0))&amp;"")="TRUE"),FALSE()))</f>
        <v/>
      </c>
    </row>
    <row r="1436" ht="15.75" customHeight="1">
      <c r="A1436" s="80" t="str">
        <f t="array" ref="A1436">IF(INDEX('Deck 5'!$A:$Z,ROW()-1250,'List Setup'!$D$7)="","",INDEX('Deck 5'!$A:$Z,ROW()-1250,'List Setup'!$D$7))</f>
        <v/>
      </c>
      <c r="B1436" s="80" t="str">
        <f t="array" ref="B1436">IF(A1436="","",IFERROR(INDEX('Binder Setup'!$B$2:$B$401,MIN(IF(ISNUMBER(SEARCH(CHAR(10)&amp;'Binder Setup'!$B$2:$B$401&amp;CHAR(10),$H1436)),'List Setup'!$Q$2:$Q$401,999),IF(ISNUMBER(SEARCH(CHAR(10)&amp;'Set Aliases'!$A$2:$A$501&amp;CHAR(10),$H1436)),'Set Aliases'!$C$2:$C$501,999))),"(none)"))</f>
        <v/>
      </c>
      <c r="C1436" s="80" t="str">
        <f t="shared" si="1"/>
        <v/>
      </c>
      <c r="D1436" s="80" t="str">
        <f t="array" ref="D1436">IF(A1436="","",IF(ISLOGICAL(INDEX('Deck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36" s="80" t="str">
        <f t="shared" si="2"/>
        <v/>
      </c>
      <c r="F1436" s="80" t="str">
        <f t="array" ref="F1436">IF(A1436="","",IF(ISNUMBER(J1436),J1436,IF(ISNUMBER(INDEX('Deck 5'!$A:$Z,ROW()-1250,'List Setup'!$F$7)),INDEX('Deck 5'!$A:$Z,ROW()-1250,'List Setup'!$F$7),0)))</f>
        <v/>
      </c>
      <c r="G1436" s="80" t="str">
        <f t="array" ref="G1436">IF(A1436="","",A1436&amp;IF(N(INDEX('Deck 5'!$A:$Z,ROW()-1250,'List Setup'!$C$7))&gt;1," (x"&amp;INDEX('Deck 5'!$A:$Z,ROW()-1250,'List Setup'!$C$7)&amp;")","")&amp;IF(COUNTIF(Binders!$J$6:$J$30,TRUE())&gt;1," ["&amp;Q1436&amp;"]",""))</f>
        <v/>
      </c>
      <c r="H1436" s="80" t="str">
        <f t="array" ref="H1436">IF(A1436="","",CHAR(10)&amp;INDEX('Deck 5'!$A:$Z,ROW()-1250,'List Setup'!$E$7)&amp;CHAR(10))</f>
        <v/>
      </c>
      <c r="I1436" s="80" t="str">
        <f t="array" ref="I1436">IF(OR(B1436="",B1436="(none)"),"",IF(ISNUMBER(SEARCH(CHAR(10)&amp;B1436&amp;CHAR(10),H1436)),B1436,IFERROR(INDEX('Set Aliases'!$A$2:$A$501,MATCH(1,('Set Aliases'!$B$2:$B$501=B1436)*ISNUMBER(SEARCH(CHAR(10)&amp;'Set Aliases'!$A$2:$A$501&amp;CHAR(10),H1436)),0)),"")))</f>
        <v/>
      </c>
      <c r="J1436" s="80" t="str">
        <f t="array" ref="J1436">IF(I1436="","",IFERROR(VALUE(TRIM(MID(SUBSTITUTE(INDEX('Deck 5'!$A:$Z,ROW()-1250,'List Setup'!$G$7),CHAR(10),REPT(" ",100)),((SEARCH(CHAR(10)&amp;I1436&amp;CHAR(10),H1436)-LEN(SUBSTITUTE(LEFT(H1436,SEARCH(CHAR(10)&amp;I1436&amp;CHAR(10),H1436)),CHAR(10),"")))-1)*100+1,100))),""))</f>
        <v/>
      </c>
      <c r="K1436" s="80" t="str">
        <f t="array" ref="K1436">IF(A1436="","",IF(ISNUMBER(SEARCH("Land",LEFT(IFERROR(INDEX('Deck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36" s="80" t="str">
        <f t="shared" si="3"/>
        <v/>
      </c>
      <c r="M1436" s="80" t="str">
        <f>IF(A1436="","",IF(AND(E1436="Y",B1436='Use at Shop'!$B$4),K1436*10000000000+(MAX(0,MIN(26,CODE(MID(UPPER(A1436)&amp;"    ",1,1))-64))*19683+MAX(0,MIN(26,CODE(MID(UPPER(A1436)&amp;"    ",2,1))-64))*729+MAX(0,MIN(26,CODE(MID(UPPER(A1436)&amp;"    ",3,1))-64))*27+MAX(0,MIN(26,CODE(MID(UPPER(A1436)&amp;"    ",4,1))-64))*1)*10000+ROW(),""))</f>
        <v/>
      </c>
      <c r="N1436" s="80" t="str">
        <f t="shared" si="9"/>
        <v/>
      </c>
      <c r="O1436" s="80" t="str">
        <f t="array" ref="O1436">IF(A1436="","",IFERROR(INDEX('Deck 5'!$A:$Z,ROW()-1250,'List Setup'!$J$7)&amp;"",""))</f>
        <v/>
      </c>
      <c r="P1436" s="2"/>
      <c r="Q1436" s="80" t="str">
        <f>IF(A1436="","",'List Setup'!$A$7)</f>
        <v/>
      </c>
      <c r="R1436" s="80" t="str">
        <f t="array" ref="R1436">IF(A1436="","",IFERROR(OR(INDEX(Binders!$J$6:$J$30,MATCH(Q1436,Binders!$I$6:$I$30,0))=TRUE(),UPPER(INDEX(Binders!$J$6:$J$30,MATCH(Q1436,Binders!$I$6:$I$30,0))&amp;"")="TRUE"),FALSE()))</f>
        <v/>
      </c>
    </row>
    <row r="1437" ht="15.75" customHeight="1">
      <c r="A1437" s="80" t="str">
        <f t="array" ref="A1437">IF(INDEX('Deck 5'!$A:$Z,ROW()-1250,'List Setup'!$D$7)="","",INDEX('Deck 5'!$A:$Z,ROW()-1250,'List Setup'!$D$7))</f>
        <v/>
      </c>
      <c r="B1437" s="80" t="str">
        <f t="array" ref="B1437">IF(A1437="","",IFERROR(INDEX('Binder Setup'!$B$2:$B$401,MIN(IF(ISNUMBER(SEARCH(CHAR(10)&amp;'Binder Setup'!$B$2:$B$401&amp;CHAR(10),$H1437)),'List Setup'!$Q$2:$Q$401,999),IF(ISNUMBER(SEARCH(CHAR(10)&amp;'Set Aliases'!$A$2:$A$501&amp;CHAR(10),$H1437)),'Set Aliases'!$C$2:$C$501,999))),"(none)"))</f>
        <v/>
      </c>
      <c r="C1437" s="80" t="str">
        <f t="shared" si="1"/>
        <v/>
      </c>
      <c r="D1437" s="80" t="str">
        <f t="array" ref="D1437">IF(A1437="","",IF(ISLOGICAL(INDEX('Deck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37" s="80" t="str">
        <f t="shared" si="2"/>
        <v/>
      </c>
      <c r="F1437" s="80" t="str">
        <f t="array" ref="F1437">IF(A1437="","",IF(ISNUMBER(J1437),J1437,IF(ISNUMBER(INDEX('Deck 5'!$A:$Z,ROW()-1250,'List Setup'!$F$7)),INDEX('Deck 5'!$A:$Z,ROW()-1250,'List Setup'!$F$7),0)))</f>
        <v/>
      </c>
      <c r="G1437" s="80" t="str">
        <f t="array" ref="G1437">IF(A1437="","",A1437&amp;IF(N(INDEX('Deck 5'!$A:$Z,ROW()-1250,'List Setup'!$C$7))&gt;1," (x"&amp;INDEX('Deck 5'!$A:$Z,ROW()-1250,'List Setup'!$C$7)&amp;")","")&amp;IF(COUNTIF(Binders!$J$6:$J$30,TRUE())&gt;1," ["&amp;Q1437&amp;"]",""))</f>
        <v/>
      </c>
      <c r="H1437" s="80" t="str">
        <f t="array" ref="H1437">IF(A1437="","",CHAR(10)&amp;INDEX('Deck 5'!$A:$Z,ROW()-1250,'List Setup'!$E$7)&amp;CHAR(10))</f>
        <v/>
      </c>
      <c r="I1437" s="80" t="str">
        <f t="array" ref="I1437">IF(OR(B1437="",B1437="(none)"),"",IF(ISNUMBER(SEARCH(CHAR(10)&amp;B1437&amp;CHAR(10),H1437)),B1437,IFERROR(INDEX('Set Aliases'!$A$2:$A$501,MATCH(1,('Set Aliases'!$B$2:$B$501=B1437)*ISNUMBER(SEARCH(CHAR(10)&amp;'Set Aliases'!$A$2:$A$501&amp;CHAR(10),H1437)),0)),"")))</f>
        <v/>
      </c>
      <c r="J1437" s="80" t="str">
        <f t="array" ref="J1437">IF(I1437="","",IFERROR(VALUE(TRIM(MID(SUBSTITUTE(INDEX('Deck 5'!$A:$Z,ROW()-1250,'List Setup'!$G$7),CHAR(10),REPT(" ",100)),((SEARCH(CHAR(10)&amp;I1437&amp;CHAR(10),H1437)-LEN(SUBSTITUTE(LEFT(H1437,SEARCH(CHAR(10)&amp;I1437&amp;CHAR(10),H1437)),CHAR(10),"")))-1)*100+1,100))),""))</f>
        <v/>
      </c>
      <c r="K1437" s="80" t="str">
        <f t="array" ref="K1437">IF(A1437="","",IF(ISNUMBER(SEARCH("Land",LEFT(IFERROR(INDEX('Deck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37" s="80" t="str">
        <f t="shared" si="3"/>
        <v/>
      </c>
      <c r="M1437" s="80" t="str">
        <f>IF(A1437="","",IF(AND(E1437="Y",B1437='Use at Shop'!$B$4),K1437*10000000000+(MAX(0,MIN(26,CODE(MID(UPPER(A1437)&amp;"    ",1,1))-64))*19683+MAX(0,MIN(26,CODE(MID(UPPER(A1437)&amp;"    ",2,1))-64))*729+MAX(0,MIN(26,CODE(MID(UPPER(A1437)&amp;"    ",3,1))-64))*27+MAX(0,MIN(26,CODE(MID(UPPER(A1437)&amp;"    ",4,1))-64))*1)*10000+ROW(),""))</f>
        <v/>
      </c>
      <c r="N1437" s="80" t="str">
        <f t="shared" si="9"/>
        <v/>
      </c>
      <c r="O1437" s="80" t="str">
        <f t="array" ref="O1437">IF(A1437="","",IFERROR(INDEX('Deck 5'!$A:$Z,ROW()-1250,'List Setup'!$J$7)&amp;"",""))</f>
        <v/>
      </c>
      <c r="P1437" s="2"/>
      <c r="Q1437" s="80" t="str">
        <f>IF(A1437="","",'List Setup'!$A$7)</f>
        <v/>
      </c>
      <c r="R1437" s="80" t="str">
        <f t="array" ref="R1437">IF(A1437="","",IFERROR(OR(INDEX(Binders!$J$6:$J$30,MATCH(Q1437,Binders!$I$6:$I$30,0))=TRUE(),UPPER(INDEX(Binders!$J$6:$J$30,MATCH(Q1437,Binders!$I$6:$I$30,0))&amp;"")="TRUE"),FALSE()))</f>
        <v/>
      </c>
    </row>
    <row r="1438" ht="15.75" customHeight="1">
      <c r="A1438" s="80" t="str">
        <f t="array" ref="A1438">IF(INDEX('Deck 5'!$A:$Z,ROW()-1250,'List Setup'!$D$7)="","",INDEX('Deck 5'!$A:$Z,ROW()-1250,'List Setup'!$D$7))</f>
        <v/>
      </c>
      <c r="B1438" s="80" t="str">
        <f t="array" ref="B1438">IF(A1438="","",IFERROR(INDEX('Binder Setup'!$B$2:$B$401,MIN(IF(ISNUMBER(SEARCH(CHAR(10)&amp;'Binder Setup'!$B$2:$B$401&amp;CHAR(10),$H1438)),'List Setup'!$Q$2:$Q$401,999),IF(ISNUMBER(SEARCH(CHAR(10)&amp;'Set Aliases'!$A$2:$A$501&amp;CHAR(10),$H1438)),'Set Aliases'!$C$2:$C$501,999))),"(none)"))</f>
        <v/>
      </c>
      <c r="C1438" s="80" t="str">
        <f t="shared" si="1"/>
        <v/>
      </c>
      <c r="D1438" s="80" t="str">
        <f t="array" ref="D1438">IF(A1438="","",IF(ISLOGICAL(INDEX('Deck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38" s="80" t="str">
        <f t="shared" si="2"/>
        <v/>
      </c>
      <c r="F1438" s="80" t="str">
        <f t="array" ref="F1438">IF(A1438="","",IF(ISNUMBER(J1438),J1438,IF(ISNUMBER(INDEX('Deck 5'!$A:$Z,ROW()-1250,'List Setup'!$F$7)),INDEX('Deck 5'!$A:$Z,ROW()-1250,'List Setup'!$F$7),0)))</f>
        <v/>
      </c>
      <c r="G1438" s="80" t="str">
        <f t="array" ref="G1438">IF(A1438="","",A1438&amp;IF(N(INDEX('Deck 5'!$A:$Z,ROW()-1250,'List Setup'!$C$7))&gt;1," (x"&amp;INDEX('Deck 5'!$A:$Z,ROW()-1250,'List Setup'!$C$7)&amp;")","")&amp;IF(COUNTIF(Binders!$J$6:$J$30,TRUE())&gt;1," ["&amp;Q1438&amp;"]",""))</f>
        <v/>
      </c>
      <c r="H1438" s="80" t="str">
        <f t="array" ref="H1438">IF(A1438="","",CHAR(10)&amp;INDEX('Deck 5'!$A:$Z,ROW()-1250,'List Setup'!$E$7)&amp;CHAR(10))</f>
        <v/>
      </c>
      <c r="I1438" s="80" t="str">
        <f t="array" ref="I1438">IF(OR(B1438="",B1438="(none)"),"",IF(ISNUMBER(SEARCH(CHAR(10)&amp;B1438&amp;CHAR(10),H1438)),B1438,IFERROR(INDEX('Set Aliases'!$A$2:$A$501,MATCH(1,('Set Aliases'!$B$2:$B$501=B1438)*ISNUMBER(SEARCH(CHAR(10)&amp;'Set Aliases'!$A$2:$A$501&amp;CHAR(10),H1438)),0)),"")))</f>
        <v/>
      </c>
      <c r="J1438" s="80" t="str">
        <f t="array" ref="J1438">IF(I1438="","",IFERROR(VALUE(TRIM(MID(SUBSTITUTE(INDEX('Deck 5'!$A:$Z,ROW()-1250,'List Setup'!$G$7),CHAR(10),REPT(" ",100)),((SEARCH(CHAR(10)&amp;I1438&amp;CHAR(10),H1438)-LEN(SUBSTITUTE(LEFT(H1438,SEARCH(CHAR(10)&amp;I1438&amp;CHAR(10),H1438)),CHAR(10),"")))-1)*100+1,100))),""))</f>
        <v/>
      </c>
      <c r="K1438" s="80" t="str">
        <f t="array" ref="K1438">IF(A1438="","",IF(ISNUMBER(SEARCH("Land",LEFT(IFERROR(INDEX('Deck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38" s="80" t="str">
        <f t="shared" si="3"/>
        <v/>
      </c>
      <c r="M1438" s="80" t="str">
        <f>IF(A1438="","",IF(AND(E1438="Y",B1438='Use at Shop'!$B$4),K1438*10000000000+(MAX(0,MIN(26,CODE(MID(UPPER(A1438)&amp;"    ",1,1))-64))*19683+MAX(0,MIN(26,CODE(MID(UPPER(A1438)&amp;"    ",2,1))-64))*729+MAX(0,MIN(26,CODE(MID(UPPER(A1438)&amp;"    ",3,1))-64))*27+MAX(0,MIN(26,CODE(MID(UPPER(A1438)&amp;"    ",4,1))-64))*1)*10000+ROW(),""))</f>
        <v/>
      </c>
      <c r="N1438" s="80" t="str">
        <f t="shared" si="9"/>
        <v/>
      </c>
      <c r="O1438" s="80" t="str">
        <f t="array" ref="O1438">IF(A1438="","",IFERROR(INDEX('Deck 5'!$A:$Z,ROW()-1250,'List Setup'!$J$7)&amp;"",""))</f>
        <v/>
      </c>
      <c r="P1438" s="2"/>
      <c r="Q1438" s="80" t="str">
        <f>IF(A1438="","",'List Setup'!$A$7)</f>
        <v/>
      </c>
      <c r="R1438" s="80" t="str">
        <f t="array" ref="R1438">IF(A1438="","",IFERROR(OR(INDEX(Binders!$J$6:$J$30,MATCH(Q1438,Binders!$I$6:$I$30,0))=TRUE(),UPPER(INDEX(Binders!$J$6:$J$30,MATCH(Q1438,Binders!$I$6:$I$30,0))&amp;"")="TRUE"),FALSE()))</f>
        <v/>
      </c>
    </row>
    <row r="1439" ht="15.75" customHeight="1">
      <c r="A1439" s="80" t="str">
        <f t="array" ref="A1439">IF(INDEX('Deck 5'!$A:$Z,ROW()-1250,'List Setup'!$D$7)="","",INDEX('Deck 5'!$A:$Z,ROW()-1250,'List Setup'!$D$7))</f>
        <v/>
      </c>
      <c r="B1439" s="80" t="str">
        <f t="array" ref="B1439">IF(A1439="","",IFERROR(INDEX('Binder Setup'!$B$2:$B$401,MIN(IF(ISNUMBER(SEARCH(CHAR(10)&amp;'Binder Setup'!$B$2:$B$401&amp;CHAR(10),$H1439)),'List Setup'!$Q$2:$Q$401,999),IF(ISNUMBER(SEARCH(CHAR(10)&amp;'Set Aliases'!$A$2:$A$501&amp;CHAR(10),$H1439)),'Set Aliases'!$C$2:$C$501,999))),"(none)"))</f>
        <v/>
      </c>
      <c r="C1439" s="80" t="str">
        <f t="shared" si="1"/>
        <v/>
      </c>
      <c r="D1439" s="80" t="str">
        <f t="array" ref="D1439">IF(A1439="","",IF(ISLOGICAL(INDEX('Deck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39" s="80" t="str">
        <f t="shared" si="2"/>
        <v/>
      </c>
      <c r="F1439" s="80" t="str">
        <f t="array" ref="F1439">IF(A1439="","",IF(ISNUMBER(J1439),J1439,IF(ISNUMBER(INDEX('Deck 5'!$A:$Z,ROW()-1250,'List Setup'!$F$7)),INDEX('Deck 5'!$A:$Z,ROW()-1250,'List Setup'!$F$7),0)))</f>
        <v/>
      </c>
      <c r="G1439" s="80" t="str">
        <f t="array" ref="G1439">IF(A1439="","",A1439&amp;IF(N(INDEX('Deck 5'!$A:$Z,ROW()-1250,'List Setup'!$C$7))&gt;1," (x"&amp;INDEX('Deck 5'!$A:$Z,ROW()-1250,'List Setup'!$C$7)&amp;")","")&amp;IF(COUNTIF(Binders!$J$6:$J$30,TRUE())&gt;1," ["&amp;Q1439&amp;"]",""))</f>
        <v/>
      </c>
      <c r="H1439" s="80" t="str">
        <f t="array" ref="H1439">IF(A1439="","",CHAR(10)&amp;INDEX('Deck 5'!$A:$Z,ROW()-1250,'List Setup'!$E$7)&amp;CHAR(10))</f>
        <v/>
      </c>
      <c r="I1439" s="80" t="str">
        <f t="array" ref="I1439">IF(OR(B1439="",B1439="(none)"),"",IF(ISNUMBER(SEARCH(CHAR(10)&amp;B1439&amp;CHAR(10),H1439)),B1439,IFERROR(INDEX('Set Aliases'!$A$2:$A$501,MATCH(1,('Set Aliases'!$B$2:$B$501=B1439)*ISNUMBER(SEARCH(CHAR(10)&amp;'Set Aliases'!$A$2:$A$501&amp;CHAR(10),H1439)),0)),"")))</f>
        <v/>
      </c>
      <c r="J1439" s="80" t="str">
        <f t="array" ref="J1439">IF(I1439="","",IFERROR(VALUE(TRIM(MID(SUBSTITUTE(INDEX('Deck 5'!$A:$Z,ROW()-1250,'List Setup'!$G$7),CHAR(10),REPT(" ",100)),((SEARCH(CHAR(10)&amp;I1439&amp;CHAR(10),H1439)-LEN(SUBSTITUTE(LEFT(H1439,SEARCH(CHAR(10)&amp;I1439&amp;CHAR(10),H1439)),CHAR(10),"")))-1)*100+1,100))),""))</f>
        <v/>
      </c>
      <c r="K1439" s="80" t="str">
        <f t="array" ref="K1439">IF(A1439="","",IF(ISNUMBER(SEARCH("Land",LEFT(IFERROR(INDEX('Deck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39" s="80" t="str">
        <f t="shared" si="3"/>
        <v/>
      </c>
      <c r="M1439" s="80" t="str">
        <f>IF(A1439="","",IF(AND(E1439="Y",B1439='Use at Shop'!$B$4),K1439*10000000000+(MAX(0,MIN(26,CODE(MID(UPPER(A1439)&amp;"    ",1,1))-64))*19683+MAX(0,MIN(26,CODE(MID(UPPER(A1439)&amp;"    ",2,1))-64))*729+MAX(0,MIN(26,CODE(MID(UPPER(A1439)&amp;"    ",3,1))-64))*27+MAX(0,MIN(26,CODE(MID(UPPER(A1439)&amp;"    ",4,1))-64))*1)*10000+ROW(),""))</f>
        <v/>
      </c>
      <c r="N1439" s="80" t="str">
        <f t="shared" si="9"/>
        <v/>
      </c>
      <c r="O1439" s="80" t="str">
        <f t="array" ref="O1439">IF(A1439="","",IFERROR(INDEX('Deck 5'!$A:$Z,ROW()-1250,'List Setup'!$J$7)&amp;"",""))</f>
        <v/>
      </c>
      <c r="P1439" s="2"/>
      <c r="Q1439" s="80" t="str">
        <f>IF(A1439="","",'List Setup'!$A$7)</f>
        <v/>
      </c>
      <c r="R1439" s="80" t="str">
        <f t="array" ref="R1439">IF(A1439="","",IFERROR(OR(INDEX(Binders!$J$6:$J$30,MATCH(Q1439,Binders!$I$6:$I$30,0))=TRUE(),UPPER(INDEX(Binders!$J$6:$J$30,MATCH(Q1439,Binders!$I$6:$I$30,0))&amp;"")="TRUE"),FALSE()))</f>
        <v/>
      </c>
    </row>
    <row r="1440" ht="15.75" customHeight="1">
      <c r="A1440" s="80" t="str">
        <f t="array" ref="A1440">IF(INDEX('Deck 5'!$A:$Z,ROW()-1250,'List Setup'!$D$7)="","",INDEX('Deck 5'!$A:$Z,ROW()-1250,'List Setup'!$D$7))</f>
        <v/>
      </c>
      <c r="B1440" s="80" t="str">
        <f t="array" ref="B1440">IF(A1440="","",IFERROR(INDEX('Binder Setup'!$B$2:$B$401,MIN(IF(ISNUMBER(SEARCH(CHAR(10)&amp;'Binder Setup'!$B$2:$B$401&amp;CHAR(10),$H1440)),'List Setup'!$Q$2:$Q$401,999),IF(ISNUMBER(SEARCH(CHAR(10)&amp;'Set Aliases'!$A$2:$A$501&amp;CHAR(10),$H1440)),'Set Aliases'!$C$2:$C$501,999))),"(none)"))</f>
        <v/>
      </c>
      <c r="C1440" s="80" t="str">
        <f t="shared" si="1"/>
        <v/>
      </c>
      <c r="D1440" s="80" t="str">
        <f t="array" ref="D1440">IF(A1440="","",IF(ISLOGICAL(INDEX('Deck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40" s="80" t="str">
        <f t="shared" si="2"/>
        <v/>
      </c>
      <c r="F1440" s="80" t="str">
        <f t="array" ref="F1440">IF(A1440="","",IF(ISNUMBER(J1440),J1440,IF(ISNUMBER(INDEX('Deck 5'!$A:$Z,ROW()-1250,'List Setup'!$F$7)),INDEX('Deck 5'!$A:$Z,ROW()-1250,'List Setup'!$F$7),0)))</f>
        <v/>
      </c>
      <c r="G1440" s="80" t="str">
        <f t="array" ref="G1440">IF(A1440="","",A1440&amp;IF(N(INDEX('Deck 5'!$A:$Z,ROW()-1250,'List Setup'!$C$7))&gt;1," (x"&amp;INDEX('Deck 5'!$A:$Z,ROW()-1250,'List Setup'!$C$7)&amp;")","")&amp;IF(COUNTIF(Binders!$J$6:$J$30,TRUE())&gt;1," ["&amp;Q1440&amp;"]",""))</f>
        <v/>
      </c>
      <c r="H1440" s="80" t="str">
        <f t="array" ref="H1440">IF(A1440="","",CHAR(10)&amp;INDEX('Deck 5'!$A:$Z,ROW()-1250,'List Setup'!$E$7)&amp;CHAR(10))</f>
        <v/>
      </c>
      <c r="I1440" s="80" t="str">
        <f t="array" ref="I1440">IF(OR(B1440="",B1440="(none)"),"",IF(ISNUMBER(SEARCH(CHAR(10)&amp;B1440&amp;CHAR(10),H1440)),B1440,IFERROR(INDEX('Set Aliases'!$A$2:$A$501,MATCH(1,('Set Aliases'!$B$2:$B$501=B1440)*ISNUMBER(SEARCH(CHAR(10)&amp;'Set Aliases'!$A$2:$A$501&amp;CHAR(10),H1440)),0)),"")))</f>
        <v/>
      </c>
      <c r="J1440" s="80" t="str">
        <f t="array" ref="J1440">IF(I1440="","",IFERROR(VALUE(TRIM(MID(SUBSTITUTE(INDEX('Deck 5'!$A:$Z,ROW()-1250,'List Setup'!$G$7),CHAR(10),REPT(" ",100)),((SEARCH(CHAR(10)&amp;I1440&amp;CHAR(10),H1440)-LEN(SUBSTITUTE(LEFT(H1440,SEARCH(CHAR(10)&amp;I1440&amp;CHAR(10),H1440)),CHAR(10),"")))-1)*100+1,100))),""))</f>
        <v/>
      </c>
      <c r="K1440" s="80" t="str">
        <f t="array" ref="K1440">IF(A1440="","",IF(ISNUMBER(SEARCH("Land",LEFT(IFERROR(INDEX('Deck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40" s="80" t="str">
        <f t="shared" si="3"/>
        <v/>
      </c>
      <c r="M1440" s="80" t="str">
        <f>IF(A1440="","",IF(AND(E1440="Y",B1440='Use at Shop'!$B$4),K1440*10000000000+(MAX(0,MIN(26,CODE(MID(UPPER(A1440)&amp;"    ",1,1))-64))*19683+MAX(0,MIN(26,CODE(MID(UPPER(A1440)&amp;"    ",2,1))-64))*729+MAX(0,MIN(26,CODE(MID(UPPER(A1440)&amp;"    ",3,1))-64))*27+MAX(0,MIN(26,CODE(MID(UPPER(A1440)&amp;"    ",4,1))-64))*1)*10000+ROW(),""))</f>
        <v/>
      </c>
      <c r="N1440" s="80" t="str">
        <f t="shared" si="9"/>
        <v/>
      </c>
      <c r="O1440" s="80" t="str">
        <f t="array" ref="O1440">IF(A1440="","",IFERROR(INDEX('Deck 5'!$A:$Z,ROW()-1250,'List Setup'!$J$7)&amp;"",""))</f>
        <v/>
      </c>
      <c r="P1440" s="2"/>
      <c r="Q1440" s="80" t="str">
        <f>IF(A1440="","",'List Setup'!$A$7)</f>
        <v/>
      </c>
      <c r="R1440" s="80" t="str">
        <f t="array" ref="R1440">IF(A1440="","",IFERROR(OR(INDEX(Binders!$J$6:$J$30,MATCH(Q1440,Binders!$I$6:$I$30,0))=TRUE(),UPPER(INDEX(Binders!$J$6:$J$30,MATCH(Q1440,Binders!$I$6:$I$30,0))&amp;"")="TRUE"),FALSE()))</f>
        <v/>
      </c>
    </row>
    <row r="1441" ht="15.75" customHeight="1">
      <c r="A1441" s="80" t="str">
        <f t="array" ref="A1441">IF(INDEX('Deck 5'!$A:$Z,ROW()-1250,'List Setup'!$D$7)="","",INDEX('Deck 5'!$A:$Z,ROW()-1250,'List Setup'!$D$7))</f>
        <v/>
      </c>
      <c r="B1441" s="80" t="str">
        <f t="array" ref="B1441">IF(A1441="","",IFERROR(INDEX('Binder Setup'!$B$2:$B$401,MIN(IF(ISNUMBER(SEARCH(CHAR(10)&amp;'Binder Setup'!$B$2:$B$401&amp;CHAR(10),$H1441)),'List Setup'!$Q$2:$Q$401,999),IF(ISNUMBER(SEARCH(CHAR(10)&amp;'Set Aliases'!$A$2:$A$501&amp;CHAR(10),$H1441)),'Set Aliases'!$C$2:$C$501,999))),"(none)"))</f>
        <v/>
      </c>
      <c r="C1441" s="80" t="str">
        <f t="shared" si="1"/>
        <v/>
      </c>
      <c r="D1441" s="80" t="str">
        <f t="array" ref="D1441">IF(A1441="","",IF(ISLOGICAL(INDEX('Deck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41" s="80" t="str">
        <f t="shared" si="2"/>
        <v/>
      </c>
      <c r="F1441" s="80" t="str">
        <f t="array" ref="F1441">IF(A1441="","",IF(ISNUMBER(J1441),J1441,IF(ISNUMBER(INDEX('Deck 5'!$A:$Z,ROW()-1250,'List Setup'!$F$7)),INDEX('Deck 5'!$A:$Z,ROW()-1250,'List Setup'!$F$7),0)))</f>
        <v/>
      </c>
      <c r="G1441" s="80" t="str">
        <f t="array" ref="G1441">IF(A1441="","",A1441&amp;IF(N(INDEX('Deck 5'!$A:$Z,ROW()-1250,'List Setup'!$C$7))&gt;1," (x"&amp;INDEX('Deck 5'!$A:$Z,ROW()-1250,'List Setup'!$C$7)&amp;")","")&amp;IF(COUNTIF(Binders!$J$6:$J$30,TRUE())&gt;1," ["&amp;Q1441&amp;"]",""))</f>
        <v/>
      </c>
      <c r="H1441" s="80" t="str">
        <f t="array" ref="H1441">IF(A1441="","",CHAR(10)&amp;INDEX('Deck 5'!$A:$Z,ROW()-1250,'List Setup'!$E$7)&amp;CHAR(10))</f>
        <v/>
      </c>
      <c r="I1441" s="80" t="str">
        <f t="array" ref="I1441">IF(OR(B1441="",B1441="(none)"),"",IF(ISNUMBER(SEARCH(CHAR(10)&amp;B1441&amp;CHAR(10),H1441)),B1441,IFERROR(INDEX('Set Aliases'!$A$2:$A$501,MATCH(1,('Set Aliases'!$B$2:$B$501=B1441)*ISNUMBER(SEARCH(CHAR(10)&amp;'Set Aliases'!$A$2:$A$501&amp;CHAR(10),H1441)),0)),"")))</f>
        <v/>
      </c>
      <c r="J1441" s="80" t="str">
        <f t="array" ref="J1441">IF(I1441="","",IFERROR(VALUE(TRIM(MID(SUBSTITUTE(INDEX('Deck 5'!$A:$Z,ROW()-1250,'List Setup'!$G$7),CHAR(10),REPT(" ",100)),((SEARCH(CHAR(10)&amp;I1441&amp;CHAR(10),H1441)-LEN(SUBSTITUTE(LEFT(H1441,SEARCH(CHAR(10)&amp;I1441&amp;CHAR(10),H1441)),CHAR(10),"")))-1)*100+1,100))),""))</f>
        <v/>
      </c>
      <c r="K1441" s="80" t="str">
        <f t="array" ref="K1441">IF(A1441="","",IF(ISNUMBER(SEARCH("Land",LEFT(IFERROR(INDEX('Deck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41" s="80" t="str">
        <f t="shared" si="3"/>
        <v/>
      </c>
      <c r="M1441" s="80" t="str">
        <f>IF(A1441="","",IF(AND(E1441="Y",B1441='Use at Shop'!$B$4),K1441*10000000000+(MAX(0,MIN(26,CODE(MID(UPPER(A1441)&amp;"    ",1,1))-64))*19683+MAX(0,MIN(26,CODE(MID(UPPER(A1441)&amp;"    ",2,1))-64))*729+MAX(0,MIN(26,CODE(MID(UPPER(A1441)&amp;"    ",3,1))-64))*27+MAX(0,MIN(26,CODE(MID(UPPER(A1441)&amp;"    ",4,1))-64))*1)*10000+ROW(),""))</f>
        <v/>
      </c>
      <c r="N1441" s="80" t="str">
        <f t="shared" si="9"/>
        <v/>
      </c>
      <c r="O1441" s="80" t="str">
        <f t="array" ref="O1441">IF(A1441="","",IFERROR(INDEX('Deck 5'!$A:$Z,ROW()-1250,'List Setup'!$J$7)&amp;"",""))</f>
        <v/>
      </c>
      <c r="P1441" s="2"/>
      <c r="Q1441" s="80" t="str">
        <f>IF(A1441="","",'List Setup'!$A$7)</f>
        <v/>
      </c>
      <c r="R1441" s="80" t="str">
        <f t="array" ref="R1441">IF(A1441="","",IFERROR(OR(INDEX(Binders!$J$6:$J$30,MATCH(Q1441,Binders!$I$6:$I$30,0))=TRUE(),UPPER(INDEX(Binders!$J$6:$J$30,MATCH(Q1441,Binders!$I$6:$I$30,0))&amp;"")="TRUE"),FALSE()))</f>
        <v/>
      </c>
    </row>
    <row r="1442" ht="15.75" customHeight="1">
      <c r="A1442" s="80" t="str">
        <f t="array" ref="A1442">IF(INDEX('Deck 5'!$A:$Z,ROW()-1250,'List Setup'!$D$7)="","",INDEX('Deck 5'!$A:$Z,ROW()-1250,'List Setup'!$D$7))</f>
        <v/>
      </c>
      <c r="B1442" s="80" t="str">
        <f t="array" ref="B1442">IF(A1442="","",IFERROR(INDEX('Binder Setup'!$B$2:$B$401,MIN(IF(ISNUMBER(SEARCH(CHAR(10)&amp;'Binder Setup'!$B$2:$B$401&amp;CHAR(10),$H1442)),'List Setup'!$Q$2:$Q$401,999),IF(ISNUMBER(SEARCH(CHAR(10)&amp;'Set Aliases'!$A$2:$A$501&amp;CHAR(10),$H1442)),'Set Aliases'!$C$2:$C$501,999))),"(none)"))</f>
        <v/>
      </c>
      <c r="C1442" s="80" t="str">
        <f t="shared" si="1"/>
        <v/>
      </c>
      <c r="D1442" s="80" t="str">
        <f t="array" ref="D1442">IF(A1442="","",IF(ISLOGICAL(INDEX('Deck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42" s="80" t="str">
        <f t="shared" si="2"/>
        <v/>
      </c>
      <c r="F1442" s="80" t="str">
        <f t="array" ref="F1442">IF(A1442="","",IF(ISNUMBER(J1442),J1442,IF(ISNUMBER(INDEX('Deck 5'!$A:$Z,ROW()-1250,'List Setup'!$F$7)),INDEX('Deck 5'!$A:$Z,ROW()-1250,'List Setup'!$F$7),0)))</f>
        <v/>
      </c>
      <c r="G1442" s="80" t="str">
        <f t="array" ref="G1442">IF(A1442="","",A1442&amp;IF(N(INDEX('Deck 5'!$A:$Z,ROW()-1250,'List Setup'!$C$7))&gt;1," (x"&amp;INDEX('Deck 5'!$A:$Z,ROW()-1250,'List Setup'!$C$7)&amp;")","")&amp;IF(COUNTIF(Binders!$J$6:$J$30,TRUE())&gt;1," ["&amp;Q1442&amp;"]",""))</f>
        <v/>
      </c>
      <c r="H1442" s="80" t="str">
        <f t="array" ref="H1442">IF(A1442="","",CHAR(10)&amp;INDEX('Deck 5'!$A:$Z,ROW()-1250,'List Setup'!$E$7)&amp;CHAR(10))</f>
        <v/>
      </c>
      <c r="I1442" s="80" t="str">
        <f t="array" ref="I1442">IF(OR(B1442="",B1442="(none)"),"",IF(ISNUMBER(SEARCH(CHAR(10)&amp;B1442&amp;CHAR(10),H1442)),B1442,IFERROR(INDEX('Set Aliases'!$A$2:$A$501,MATCH(1,('Set Aliases'!$B$2:$B$501=B1442)*ISNUMBER(SEARCH(CHAR(10)&amp;'Set Aliases'!$A$2:$A$501&amp;CHAR(10),H1442)),0)),"")))</f>
        <v/>
      </c>
      <c r="J1442" s="80" t="str">
        <f t="array" ref="J1442">IF(I1442="","",IFERROR(VALUE(TRIM(MID(SUBSTITUTE(INDEX('Deck 5'!$A:$Z,ROW()-1250,'List Setup'!$G$7),CHAR(10),REPT(" ",100)),((SEARCH(CHAR(10)&amp;I1442&amp;CHAR(10),H1442)-LEN(SUBSTITUTE(LEFT(H1442,SEARCH(CHAR(10)&amp;I1442&amp;CHAR(10),H1442)),CHAR(10),"")))-1)*100+1,100))),""))</f>
        <v/>
      </c>
      <c r="K1442" s="80" t="str">
        <f t="array" ref="K1442">IF(A1442="","",IF(ISNUMBER(SEARCH("Land",LEFT(IFERROR(INDEX('Deck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42" s="80" t="str">
        <f t="shared" si="3"/>
        <v/>
      </c>
      <c r="M1442" s="80" t="str">
        <f>IF(A1442="","",IF(AND(E1442="Y",B1442='Use at Shop'!$B$4),K1442*10000000000+(MAX(0,MIN(26,CODE(MID(UPPER(A1442)&amp;"    ",1,1))-64))*19683+MAX(0,MIN(26,CODE(MID(UPPER(A1442)&amp;"    ",2,1))-64))*729+MAX(0,MIN(26,CODE(MID(UPPER(A1442)&amp;"    ",3,1))-64))*27+MAX(0,MIN(26,CODE(MID(UPPER(A1442)&amp;"    ",4,1))-64))*1)*10000+ROW(),""))</f>
        <v/>
      </c>
      <c r="N1442" s="80" t="str">
        <f t="shared" si="9"/>
        <v/>
      </c>
      <c r="O1442" s="80" t="str">
        <f t="array" ref="O1442">IF(A1442="","",IFERROR(INDEX('Deck 5'!$A:$Z,ROW()-1250,'List Setup'!$J$7)&amp;"",""))</f>
        <v/>
      </c>
      <c r="P1442" s="2"/>
      <c r="Q1442" s="80" t="str">
        <f>IF(A1442="","",'List Setup'!$A$7)</f>
        <v/>
      </c>
      <c r="R1442" s="80" t="str">
        <f t="array" ref="R1442">IF(A1442="","",IFERROR(OR(INDEX(Binders!$J$6:$J$30,MATCH(Q1442,Binders!$I$6:$I$30,0))=TRUE(),UPPER(INDEX(Binders!$J$6:$J$30,MATCH(Q1442,Binders!$I$6:$I$30,0))&amp;"")="TRUE"),FALSE()))</f>
        <v/>
      </c>
    </row>
    <row r="1443" ht="15.75" customHeight="1">
      <c r="A1443" s="80" t="str">
        <f t="array" ref="A1443">IF(INDEX('Deck 5'!$A:$Z,ROW()-1250,'List Setup'!$D$7)="","",INDEX('Deck 5'!$A:$Z,ROW()-1250,'List Setup'!$D$7))</f>
        <v/>
      </c>
      <c r="B1443" s="80" t="str">
        <f t="array" ref="B1443">IF(A1443="","",IFERROR(INDEX('Binder Setup'!$B$2:$B$401,MIN(IF(ISNUMBER(SEARCH(CHAR(10)&amp;'Binder Setup'!$B$2:$B$401&amp;CHAR(10),$H1443)),'List Setup'!$Q$2:$Q$401,999),IF(ISNUMBER(SEARCH(CHAR(10)&amp;'Set Aliases'!$A$2:$A$501&amp;CHAR(10),$H1443)),'Set Aliases'!$C$2:$C$501,999))),"(none)"))</f>
        <v/>
      </c>
      <c r="C1443" s="80" t="str">
        <f t="shared" si="1"/>
        <v/>
      </c>
      <c r="D1443" s="80" t="str">
        <f t="array" ref="D1443">IF(A1443="","",IF(ISLOGICAL(INDEX('Deck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43" s="80" t="str">
        <f t="shared" si="2"/>
        <v/>
      </c>
      <c r="F1443" s="80" t="str">
        <f t="array" ref="F1443">IF(A1443="","",IF(ISNUMBER(J1443),J1443,IF(ISNUMBER(INDEX('Deck 5'!$A:$Z,ROW()-1250,'List Setup'!$F$7)),INDEX('Deck 5'!$A:$Z,ROW()-1250,'List Setup'!$F$7),0)))</f>
        <v/>
      </c>
      <c r="G1443" s="80" t="str">
        <f t="array" ref="G1443">IF(A1443="","",A1443&amp;IF(N(INDEX('Deck 5'!$A:$Z,ROW()-1250,'List Setup'!$C$7))&gt;1," (x"&amp;INDEX('Deck 5'!$A:$Z,ROW()-1250,'List Setup'!$C$7)&amp;")","")&amp;IF(COUNTIF(Binders!$J$6:$J$30,TRUE())&gt;1," ["&amp;Q1443&amp;"]",""))</f>
        <v/>
      </c>
      <c r="H1443" s="80" t="str">
        <f t="array" ref="H1443">IF(A1443="","",CHAR(10)&amp;INDEX('Deck 5'!$A:$Z,ROW()-1250,'List Setup'!$E$7)&amp;CHAR(10))</f>
        <v/>
      </c>
      <c r="I1443" s="80" t="str">
        <f t="array" ref="I1443">IF(OR(B1443="",B1443="(none)"),"",IF(ISNUMBER(SEARCH(CHAR(10)&amp;B1443&amp;CHAR(10),H1443)),B1443,IFERROR(INDEX('Set Aliases'!$A$2:$A$501,MATCH(1,('Set Aliases'!$B$2:$B$501=B1443)*ISNUMBER(SEARCH(CHAR(10)&amp;'Set Aliases'!$A$2:$A$501&amp;CHAR(10),H1443)),0)),"")))</f>
        <v/>
      </c>
      <c r="J1443" s="80" t="str">
        <f t="array" ref="J1443">IF(I1443="","",IFERROR(VALUE(TRIM(MID(SUBSTITUTE(INDEX('Deck 5'!$A:$Z,ROW()-1250,'List Setup'!$G$7),CHAR(10),REPT(" ",100)),((SEARCH(CHAR(10)&amp;I1443&amp;CHAR(10),H1443)-LEN(SUBSTITUTE(LEFT(H1443,SEARCH(CHAR(10)&amp;I1443&amp;CHAR(10),H1443)),CHAR(10),"")))-1)*100+1,100))),""))</f>
        <v/>
      </c>
      <c r="K1443" s="80" t="str">
        <f t="array" ref="K1443">IF(A1443="","",IF(ISNUMBER(SEARCH("Land",LEFT(IFERROR(INDEX('Deck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43" s="80" t="str">
        <f t="shared" si="3"/>
        <v/>
      </c>
      <c r="M1443" s="80" t="str">
        <f>IF(A1443="","",IF(AND(E1443="Y",B1443='Use at Shop'!$B$4),K1443*10000000000+(MAX(0,MIN(26,CODE(MID(UPPER(A1443)&amp;"    ",1,1))-64))*19683+MAX(0,MIN(26,CODE(MID(UPPER(A1443)&amp;"    ",2,1))-64))*729+MAX(0,MIN(26,CODE(MID(UPPER(A1443)&amp;"    ",3,1))-64))*27+MAX(0,MIN(26,CODE(MID(UPPER(A1443)&amp;"    ",4,1))-64))*1)*10000+ROW(),""))</f>
        <v/>
      </c>
      <c r="N1443" s="80" t="str">
        <f t="shared" si="9"/>
        <v/>
      </c>
      <c r="O1443" s="80" t="str">
        <f t="array" ref="O1443">IF(A1443="","",IFERROR(INDEX('Deck 5'!$A:$Z,ROW()-1250,'List Setup'!$J$7)&amp;"",""))</f>
        <v/>
      </c>
      <c r="P1443" s="2"/>
      <c r="Q1443" s="80" t="str">
        <f>IF(A1443="","",'List Setup'!$A$7)</f>
        <v/>
      </c>
      <c r="R1443" s="80" t="str">
        <f t="array" ref="R1443">IF(A1443="","",IFERROR(OR(INDEX(Binders!$J$6:$J$30,MATCH(Q1443,Binders!$I$6:$I$30,0))=TRUE(),UPPER(INDEX(Binders!$J$6:$J$30,MATCH(Q1443,Binders!$I$6:$I$30,0))&amp;"")="TRUE"),FALSE()))</f>
        <v/>
      </c>
    </row>
    <row r="1444" ht="15.75" customHeight="1">
      <c r="A1444" s="80" t="str">
        <f t="array" ref="A1444">IF(INDEX('Deck 5'!$A:$Z,ROW()-1250,'List Setup'!$D$7)="","",INDEX('Deck 5'!$A:$Z,ROW()-1250,'List Setup'!$D$7))</f>
        <v/>
      </c>
      <c r="B1444" s="80" t="str">
        <f t="array" ref="B1444">IF(A1444="","",IFERROR(INDEX('Binder Setup'!$B$2:$B$401,MIN(IF(ISNUMBER(SEARCH(CHAR(10)&amp;'Binder Setup'!$B$2:$B$401&amp;CHAR(10),$H1444)),'List Setup'!$Q$2:$Q$401,999),IF(ISNUMBER(SEARCH(CHAR(10)&amp;'Set Aliases'!$A$2:$A$501&amp;CHAR(10),$H1444)),'Set Aliases'!$C$2:$C$501,999))),"(none)"))</f>
        <v/>
      </c>
      <c r="C1444" s="80" t="str">
        <f t="shared" si="1"/>
        <v/>
      </c>
      <c r="D1444" s="80" t="str">
        <f t="array" ref="D1444">IF(A1444="","",IF(ISLOGICAL(INDEX('Deck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44" s="80" t="str">
        <f t="shared" si="2"/>
        <v/>
      </c>
      <c r="F1444" s="80" t="str">
        <f t="array" ref="F1444">IF(A1444="","",IF(ISNUMBER(J1444),J1444,IF(ISNUMBER(INDEX('Deck 5'!$A:$Z,ROW()-1250,'List Setup'!$F$7)),INDEX('Deck 5'!$A:$Z,ROW()-1250,'List Setup'!$F$7),0)))</f>
        <v/>
      </c>
      <c r="G1444" s="80" t="str">
        <f t="array" ref="G1444">IF(A1444="","",A1444&amp;IF(N(INDEX('Deck 5'!$A:$Z,ROW()-1250,'List Setup'!$C$7))&gt;1," (x"&amp;INDEX('Deck 5'!$A:$Z,ROW()-1250,'List Setup'!$C$7)&amp;")","")&amp;IF(COUNTIF(Binders!$J$6:$J$30,TRUE())&gt;1," ["&amp;Q1444&amp;"]",""))</f>
        <v/>
      </c>
      <c r="H1444" s="80" t="str">
        <f t="array" ref="H1444">IF(A1444="","",CHAR(10)&amp;INDEX('Deck 5'!$A:$Z,ROW()-1250,'List Setup'!$E$7)&amp;CHAR(10))</f>
        <v/>
      </c>
      <c r="I1444" s="80" t="str">
        <f t="array" ref="I1444">IF(OR(B1444="",B1444="(none)"),"",IF(ISNUMBER(SEARCH(CHAR(10)&amp;B1444&amp;CHAR(10),H1444)),B1444,IFERROR(INDEX('Set Aliases'!$A$2:$A$501,MATCH(1,('Set Aliases'!$B$2:$B$501=B1444)*ISNUMBER(SEARCH(CHAR(10)&amp;'Set Aliases'!$A$2:$A$501&amp;CHAR(10),H1444)),0)),"")))</f>
        <v/>
      </c>
      <c r="J1444" s="80" t="str">
        <f t="array" ref="J1444">IF(I1444="","",IFERROR(VALUE(TRIM(MID(SUBSTITUTE(INDEX('Deck 5'!$A:$Z,ROW()-1250,'List Setup'!$G$7),CHAR(10),REPT(" ",100)),((SEARCH(CHAR(10)&amp;I1444&amp;CHAR(10),H1444)-LEN(SUBSTITUTE(LEFT(H1444,SEARCH(CHAR(10)&amp;I1444&amp;CHAR(10),H1444)),CHAR(10),"")))-1)*100+1,100))),""))</f>
        <v/>
      </c>
      <c r="K1444" s="80" t="str">
        <f t="array" ref="K1444">IF(A1444="","",IF(ISNUMBER(SEARCH("Land",LEFT(IFERROR(INDEX('Deck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44" s="80" t="str">
        <f t="shared" si="3"/>
        <v/>
      </c>
      <c r="M1444" s="80" t="str">
        <f>IF(A1444="","",IF(AND(E1444="Y",B1444='Use at Shop'!$B$4),K1444*10000000000+(MAX(0,MIN(26,CODE(MID(UPPER(A1444)&amp;"    ",1,1))-64))*19683+MAX(0,MIN(26,CODE(MID(UPPER(A1444)&amp;"    ",2,1))-64))*729+MAX(0,MIN(26,CODE(MID(UPPER(A1444)&amp;"    ",3,1))-64))*27+MAX(0,MIN(26,CODE(MID(UPPER(A1444)&amp;"    ",4,1))-64))*1)*10000+ROW(),""))</f>
        <v/>
      </c>
      <c r="N1444" s="80" t="str">
        <f t="shared" si="9"/>
        <v/>
      </c>
      <c r="O1444" s="80" t="str">
        <f t="array" ref="O1444">IF(A1444="","",IFERROR(INDEX('Deck 5'!$A:$Z,ROW()-1250,'List Setup'!$J$7)&amp;"",""))</f>
        <v/>
      </c>
      <c r="P1444" s="2"/>
      <c r="Q1444" s="80" t="str">
        <f>IF(A1444="","",'List Setup'!$A$7)</f>
        <v/>
      </c>
      <c r="R1444" s="80" t="str">
        <f t="array" ref="R1444">IF(A1444="","",IFERROR(OR(INDEX(Binders!$J$6:$J$30,MATCH(Q1444,Binders!$I$6:$I$30,0))=TRUE(),UPPER(INDEX(Binders!$J$6:$J$30,MATCH(Q1444,Binders!$I$6:$I$30,0))&amp;"")="TRUE"),FALSE()))</f>
        <v/>
      </c>
    </row>
    <row r="1445" ht="15.75" customHeight="1">
      <c r="A1445" s="80" t="str">
        <f t="array" ref="A1445">IF(INDEX('Deck 5'!$A:$Z,ROW()-1250,'List Setup'!$D$7)="","",INDEX('Deck 5'!$A:$Z,ROW()-1250,'List Setup'!$D$7))</f>
        <v/>
      </c>
      <c r="B1445" s="80" t="str">
        <f t="array" ref="B1445">IF(A1445="","",IFERROR(INDEX('Binder Setup'!$B$2:$B$401,MIN(IF(ISNUMBER(SEARCH(CHAR(10)&amp;'Binder Setup'!$B$2:$B$401&amp;CHAR(10),$H1445)),'List Setup'!$Q$2:$Q$401,999),IF(ISNUMBER(SEARCH(CHAR(10)&amp;'Set Aliases'!$A$2:$A$501&amp;CHAR(10),$H1445)),'Set Aliases'!$C$2:$C$501,999))),"(none)"))</f>
        <v/>
      </c>
      <c r="C1445" s="80" t="str">
        <f t="shared" si="1"/>
        <v/>
      </c>
      <c r="D1445" s="80" t="str">
        <f t="array" ref="D1445">IF(A1445="","",IF(ISLOGICAL(INDEX('Deck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45" s="80" t="str">
        <f t="shared" si="2"/>
        <v/>
      </c>
      <c r="F1445" s="80" t="str">
        <f t="array" ref="F1445">IF(A1445="","",IF(ISNUMBER(J1445),J1445,IF(ISNUMBER(INDEX('Deck 5'!$A:$Z,ROW()-1250,'List Setup'!$F$7)),INDEX('Deck 5'!$A:$Z,ROW()-1250,'List Setup'!$F$7),0)))</f>
        <v/>
      </c>
      <c r="G1445" s="80" t="str">
        <f t="array" ref="G1445">IF(A1445="","",A1445&amp;IF(N(INDEX('Deck 5'!$A:$Z,ROW()-1250,'List Setup'!$C$7))&gt;1," (x"&amp;INDEX('Deck 5'!$A:$Z,ROW()-1250,'List Setup'!$C$7)&amp;")","")&amp;IF(COUNTIF(Binders!$J$6:$J$30,TRUE())&gt;1," ["&amp;Q1445&amp;"]",""))</f>
        <v/>
      </c>
      <c r="H1445" s="80" t="str">
        <f t="array" ref="H1445">IF(A1445="","",CHAR(10)&amp;INDEX('Deck 5'!$A:$Z,ROW()-1250,'List Setup'!$E$7)&amp;CHAR(10))</f>
        <v/>
      </c>
      <c r="I1445" s="80" t="str">
        <f t="array" ref="I1445">IF(OR(B1445="",B1445="(none)"),"",IF(ISNUMBER(SEARCH(CHAR(10)&amp;B1445&amp;CHAR(10),H1445)),B1445,IFERROR(INDEX('Set Aliases'!$A$2:$A$501,MATCH(1,('Set Aliases'!$B$2:$B$501=B1445)*ISNUMBER(SEARCH(CHAR(10)&amp;'Set Aliases'!$A$2:$A$501&amp;CHAR(10),H1445)),0)),"")))</f>
        <v/>
      </c>
      <c r="J1445" s="80" t="str">
        <f t="array" ref="J1445">IF(I1445="","",IFERROR(VALUE(TRIM(MID(SUBSTITUTE(INDEX('Deck 5'!$A:$Z,ROW()-1250,'List Setup'!$G$7),CHAR(10),REPT(" ",100)),((SEARCH(CHAR(10)&amp;I1445&amp;CHAR(10),H1445)-LEN(SUBSTITUTE(LEFT(H1445,SEARCH(CHAR(10)&amp;I1445&amp;CHAR(10),H1445)),CHAR(10),"")))-1)*100+1,100))),""))</f>
        <v/>
      </c>
      <c r="K1445" s="80" t="str">
        <f t="array" ref="K1445">IF(A1445="","",IF(ISNUMBER(SEARCH("Land",LEFT(IFERROR(INDEX('Deck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45" s="80" t="str">
        <f t="shared" si="3"/>
        <v/>
      </c>
      <c r="M1445" s="80" t="str">
        <f>IF(A1445="","",IF(AND(E1445="Y",B1445='Use at Shop'!$B$4),K1445*10000000000+(MAX(0,MIN(26,CODE(MID(UPPER(A1445)&amp;"    ",1,1))-64))*19683+MAX(0,MIN(26,CODE(MID(UPPER(A1445)&amp;"    ",2,1))-64))*729+MAX(0,MIN(26,CODE(MID(UPPER(A1445)&amp;"    ",3,1))-64))*27+MAX(0,MIN(26,CODE(MID(UPPER(A1445)&amp;"    ",4,1))-64))*1)*10000+ROW(),""))</f>
        <v/>
      </c>
      <c r="N1445" s="80" t="str">
        <f t="shared" si="9"/>
        <v/>
      </c>
      <c r="O1445" s="80" t="str">
        <f t="array" ref="O1445">IF(A1445="","",IFERROR(INDEX('Deck 5'!$A:$Z,ROW()-1250,'List Setup'!$J$7)&amp;"",""))</f>
        <v/>
      </c>
      <c r="P1445" s="2"/>
      <c r="Q1445" s="80" t="str">
        <f>IF(A1445="","",'List Setup'!$A$7)</f>
        <v/>
      </c>
      <c r="R1445" s="80" t="str">
        <f t="array" ref="R1445">IF(A1445="","",IFERROR(OR(INDEX(Binders!$J$6:$J$30,MATCH(Q1445,Binders!$I$6:$I$30,0))=TRUE(),UPPER(INDEX(Binders!$J$6:$J$30,MATCH(Q1445,Binders!$I$6:$I$30,0))&amp;"")="TRUE"),FALSE()))</f>
        <v/>
      </c>
    </row>
    <row r="1446" ht="15.75" customHeight="1">
      <c r="A1446" s="80" t="str">
        <f t="array" ref="A1446">IF(INDEX('Deck 5'!$A:$Z,ROW()-1250,'List Setup'!$D$7)="","",INDEX('Deck 5'!$A:$Z,ROW()-1250,'List Setup'!$D$7))</f>
        <v/>
      </c>
      <c r="B1446" s="80" t="str">
        <f t="array" ref="B1446">IF(A1446="","",IFERROR(INDEX('Binder Setup'!$B$2:$B$401,MIN(IF(ISNUMBER(SEARCH(CHAR(10)&amp;'Binder Setup'!$B$2:$B$401&amp;CHAR(10),$H1446)),'List Setup'!$Q$2:$Q$401,999),IF(ISNUMBER(SEARCH(CHAR(10)&amp;'Set Aliases'!$A$2:$A$501&amp;CHAR(10),$H1446)),'Set Aliases'!$C$2:$C$501,999))),"(none)"))</f>
        <v/>
      </c>
      <c r="C1446" s="80" t="str">
        <f t="shared" si="1"/>
        <v/>
      </c>
      <c r="D1446" s="80" t="str">
        <f t="array" ref="D1446">IF(A1446="","",IF(ISLOGICAL(INDEX('Deck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46" s="80" t="str">
        <f t="shared" si="2"/>
        <v/>
      </c>
      <c r="F1446" s="80" t="str">
        <f t="array" ref="F1446">IF(A1446="","",IF(ISNUMBER(J1446),J1446,IF(ISNUMBER(INDEX('Deck 5'!$A:$Z,ROW()-1250,'List Setup'!$F$7)),INDEX('Deck 5'!$A:$Z,ROW()-1250,'List Setup'!$F$7),0)))</f>
        <v/>
      </c>
      <c r="G1446" s="80" t="str">
        <f t="array" ref="G1446">IF(A1446="","",A1446&amp;IF(N(INDEX('Deck 5'!$A:$Z,ROW()-1250,'List Setup'!$C$7))&gt;1," (x"&amp;INDEX('Deck 5'!$A:$Z,ROW()-1250,'List Setup'!$C$7)&amp;")","")&amp;IF(COUNTIF(Binders!$J$6:$J$30,TRUE())&gt;1," ["&amp;Q1446&amp;"]",""))</f>
        <v/>
      </c>
      <c r="H1446" s="80" t="str">
        <f t="array" ref="H1446">IF(A1446="","",CHAR(10)&amp;INDEX('Deck 5'!$A:$Z,ROW()-1250,'List Setup'!$E$7)&amp;CHAR(10))</f>
        <v/>
      </c>
      <c r="I1446" s="80" t="str">
        <f t="array" ref="I1446">IF(OR(B1446="",B1446="(none)"),"",IF(ISNUMBER(SEARCH(CHAR(10)&amp;B1446&amp;CHAR(10),H1446)),B1446,IFERROR(INDEX('Set Aliases'!$A$2:$A$501,MATCH(1,('Set Aliases'!$B$2:$B$501=B1446)*ISNUMBER(SEARCH(CHAR(10)&amp;'Set Aliases'!$A$2:$A$501&amp;CHAR(10),H1446)),0)),"")))</f>
        <v/>
      </c>
      <c r="J1446" s="80" t="str">
        <f t="array" ref="J1446">IF(I1446="","",IFERROR(VALUE(TRIM(MID(SUBSTITUTE(INDEX('Deck 5'!$A:$Z,ROW()-1250,'List Setup'!$G$7),CHAR(10),REPT(" ",100)),((SEARCH(CHAR(10)&amp;I1446&amp;CHAR(10),H1446)-LEN(SUBSTITUTE(LEFT(H1446,SEARCH(CHAR(10)&amp;I1446&amp;CHAR(10),H1446)),CHAR(10),"")))-1)*100+1,100))),""))</f>
        <v/>
      </c>
      <c r="K1446" s="80" t="str">
        <f t="array" ref="K1446">IF(A1446="","",IF(ISNUMBER(SEARCH("Land",LEFT(IFERROR(INDEX('Deck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46" s="80" t="str">
        <f t="shared" si="3"/>
        <v/>
      </c>
      <c r="M1446" s="80" t="str">
        <f>IF(A1446="","",IF(AND(E1446="Y",B1446='Use at Shop'!$B$4),K1446*10000000000+(MAX(0,MIN(26,CODE(MID(UPPER(A1446)&amp;"    ",1,1))-64))*19683+MAX(0,MIN(26,CODE(MID(UPPER(A1446)&amp;"    ",2,1))-64))*729+MAX(0,MIN(26,CODE(MID(UPPER(A1446)&amp;"    ",3,1))-64))*27+MAX(0,MIN(26,CODE(MID(UPPER(A1446)&amp;"    ",4,1))-64))*1)*10000+ROW(),""))</f>
        <v/>
      </c>
      <c r="N1446" s="80" t="str">
        <f t="shared" si="9"/>
        <v/>
      </c>
      <c r="O1446" s="80" t="str">
        <f t="array" ref="O1446">IF(A1446="","",IFERROR(INDEX('Deck 5'!$A:$Z,ROW()-1250,'List Setup'!$J$7)&amp;"",""))</f>
        <v/>
      </c>
      <c r="P1446" s="2"/>
      <c r="Q1446" s="80" t="str">
        <f>IF(A1446="","",'List Setup'!$A$7)</f>
        <v/>
      </c>
      <c r="R1446" s="80" t="str">
        <f t="array" ref="R1446">IF(A1446="","",IFERROR(OR(INDEX(Binders!$J$6:$J$30,MATCH(Q1446,Binders!$I$6:$I$30,0))=TRUE(),UPPER(INDEX(Binders!$J$6:$J$30,MATCH(Q1446,Binders!$I$6:$I$30,0))&amp;"")="TRUE"),FALSE()))</f>
        <v/>
      </c>
    </row>
    <row r="1447" ht="15.75" customHeight="1">
      <c r="A1447" s="80" t="str">
        <f t="array" ref="A1447">IF(INDEX('Deck 5'!$A:$Z,ROW()-1250,'List Setup'!$D$7)="","",INDEX('Deck 5'!$A:$Z,ROW()-1250,'List Setup'!$D$7))</f>
        <v/>
      </c>
      <c r="B1447" s="80" t="str">
        <f t="array" ref="B1447">IF(A1447="","",IFERROR(INDEX('Binder Setup'!$B$2:$B$401,MIN(IF(ISNUMBER(SEARCH(CHAR(10)&amp;'Binder Setup'!$B$2:$B$401&amp;CHAR(10),$H1447)),'List Setup'!$Q$2:$Q$401,999),IF(ISNUMBER(SEARCH(CHAR(10)&amp;'Set Aliases'!$A$2:$A$501&amp;CHAR(10),$H1447)),'Set Aliases'!$C$2:$C$501,999))),"(none)"))</f>
        <v/>
      </c>
      <c r="C1447" s="80" t="str">
        <f t="shared" si="1"/>
        <v/>
      </c>
      <c r="D1447" s="80" t="str">
        <f t="array" ref="D1447">IF(A1447="","",IF(ISLOGICAL(INDEX('Deck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47" s="80" t="str">
        <f t="shared" si="2"/>
        <v/>
      </c>
      <c r="F1447" s="80" t="str">
        <f t="array" ref="F1447">IF(A1447="","",IF(ISNUMBER(J1447),J1447,IF(ISNUMBER(INDEX('Deck 5'!$A:$Z,ROW()-1250,'List Setup'!$F$7)),INDEX('Deck 5'!$A:$Z,ROW()-1250,'List Setup'!$F$7),0)))</f>
        <v/>
      </c>
      <c r="G1447" s="80" t="str">
        <f t="array" ref="G1447">IF(A1447="","",A1447&amp;IF(N(INDEX('Deck 5'!$A:$Z,ROW()-1250,'List Setup'!$C$7))&gt;1," (x"&amp;INDEX('Deck 5'!$A:$Z,ROW()-1250,'List Setup'!$C$7)&amp;")","")&amp;IF(COUNTIF(Binders!$J$6:$J$30,TRUE())&gt;1," ["&amp;Q1447&amp;"]",""))</f>
        <v/>
      </c>
      <c r="H1447" s="80" t="str">
        <f t="array" ref="H1447">IF(A1447="","",CHAR(10)&amp;INDEX('Deck 5'!$A:$Z,ROW()-1250,'List Setup'!$E$7)&amp;CHAR(10))</f>
        <v/>
      </c>
      <c r="I1447" s="80" t="str">
        <f t="array" ref="I1447">IF(OR(B1447="",B1447="(none)"),"",IF(ISNUMBER(SEARCH(CHAR(10)&amp;B1447&amp;CHAR(10),H1447)),B1447,IFERROR(INDEX('Set Aliases'!$A$2:$A$501,MATCH(1,('Set Aliases'!$B$2:$B$501=B1447)*ISNUMBER(SEARCH(CHAR(10)&amp;'Set Aliases'!$A$2:$A$501&amp;CHAR(10),H1447)),0)),"")))</f>
        <v/>
      </c>
      <c r="J1447" s="80" t="str">
        <f t="array" ref="J1447">IF(I1447="","",IFERROR(VALUE(TRIM(MID(SUBSTITUTE(INDEX('Deck 5'!$A:$Z,ROW()-1250,'List Setup'!$G$7),CHAR(10),REPT(" ",100)),((SEARCH(CHAR(10)&amp;I1447&amp;CHAR(10),H1447)-LEN(SUBSTITUTE(LEFT(H1447,SEARCH(CHAR(10)&amp;I1447&amp;CHAR(10),H1447)),CHAR(10),"")))-1)*100+1,100))),""))</f>
        <v/>
      </c>
      <c r="K1447" s="80" t="str">
        <f t="array" ref="K1447">IF(A1447="","",IF(ISNUMBER(SEARCH("Land",LEFT(IFERROR(INDEX('Deck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47" s="80" t="str">
        <f t="shared" si="3"/>
        <v/>
      </c>
      <c r="M1447" s="80" t="str">
        <f>IF(A1447="","",IF(AND(E1447="Y",B1447='Use at Shop'!$B$4),K1447*10000000000+(MAX(0,MIN(26,CODE(MID(UPPER(A1447)&amp;"    ",1,1))-64))*19683+MAX(0,MIN(26,CODE(MID(UPPER(A1447)&amp;"    ",2,1))-64))*729+MAX(0,MIN(26,CODE(MID(UPPER(A1447)&amp;"    ",3,1))-64))*27+MAX(0,MIN(26,CODE(MID(UPPER(A1447)&amp;"    ",4,1))-64))*1)*10000+ROW(),""))</f>
        <v/>
      </c>
      <c r="N1447" s="80" t="str">
        <f t="shared" si="9"/>
        <v/>
      </c>
      <c r="O1447" s="80" t="str">
        <f t="array" ref="O1447">IF(A1447="","",IFERROR(INDEX('Deck 5'!$A:$Z,ROW()-1250,'List Setup'!$J$7)&amp;"",""))</f>
        <v/>
      </c>
      <c r="P1447" s="2"/>
      <c r="Q1447" s="80" t="str">
        <f>IF(A1447="","",'List Setup'!$A$7)</f>
        <v/>
      </c>
      <c r="R1447" s="80" t="str">
        <f t="array" ref="R1447">IF(A1447="","",IFERROR(OR(INDEX(Binders!$J$6:$J$30,MATCH(Q1447,Binders!$I$6:$I$30,0))=TRUE(),UPPER(INDEX(Binders!$J$6:$J$30,MATCH(Q1447,Binders!$I$6:$I$30,0))&amp;"")="TRUE"),FALSE()))</f>
        <v/>
      </c>
    </row>
    <row r="1448" ht="15.75" customHeight="1">
      <c r="A1448" s="80" t="str">
        <f t="array" ref="A1448">IF(INDEX('Deck 5'!$A:$Z,ROW()-1250,'List Setup'!$D$7)="","",INDEX('Deck 5'!$A:$Z,ROW()-1250,'List Setup'!$D$7))</f>
        <v/>
      </c>
      <c r="B1448" s="80" t="str">
        <f t="array" ref="B1448">IF(A1448="","",IFERROR(INDEX('Binder Setup'!$B$2:$B$401,MIN(IF(ISNUMBER(SEARCH(CHAR(10)&amp;'Binder Setup'!$B$2:$B$401&amp;CHAR(10),$H1448)),'List Setup'!$Q$2:$Q$401,999),IF(ISNUMBER(SEARCH(CHAR(10)&amp;'Set Aliases'!$A$2:$A$501&amp;CHAR(10),$H1448)),'Set Aliases'!$C$2:$C$501,999))),"(none)"))</f>
        <v/>
      </c>
      <c r="C1448" s="80" t="str">
        <f t="shared" si="1"/>
        <v/>
      </c>
      <c r="D1448" s="80" t="str">
        <f t="array" ref="D1448">IF(A1448="","",IF(ISLOGICAL(INDEX('Deck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48" s="80" t="str">
        <f t="shared" si="2"/>
        <v/>
      </c>
      <c r="F1448" s="80" t="str">
        <f t="array" ref="F1448">IF(A1448="","",IF(ISNUMBER(J1448),J1448,IF(ISNUMBER(INDEX('Deck 5'!$A:$Z,ROW()-1250,'List Setup'!$F$7)),INDEX('Deck 5'!$A:$Z,ROW()-1250,'List Setup'!$F$7),0)))</f>
        <v/>
      </c>
      <c r="G1448" s="80" t="str">
        <f t="array" ref="G1448">IF(A1448="","",A1448&amp;IF(N(INDEX('Deck 5'!$A:$Z,ROW()-1250,'List Setup'!$C$7))&gt;1," (x"&amp;INDEX('Deck 5'!$A:$Z,ROW()-1250,'List Setup'!$C$7)&amp;")","")&amp;IF(COUNTIF(Binders!$J$6:$J$30,TRUE())&gt;1," ["&amp;Q1448&amp;"]",""))</f>
        <v/>
      </c>
      <c r="H1448" s="80" t="str">
        <f t="array" ref="H1448">IF(A1448="","",CHAR(10)&amp;INDEX('Deck 5'!$A:$Z,ROW()-1250,'List Setup'!$E$7)&amp;CHAR(10))</f>
        <v/>
      </c>
      <c r="I1448" s="80" t="str">
        <f t="array" ref="I1448">IF(OR(B1448="",B1448="(none)"),"",IF(ISNUMBER(SEARCH(CHAR(10)&amp;B1448&amp;CHAR(10),H1448)),B1448,IFERROR(INDEX('Set Aliases'!$A$2:$A$501,MATCH(1,('Set Aliases'!$B$2:$B$501=B1448)*ISNUMBER(SEARCH(CHAR(10)&amp;'Set Aliases'!$A$2:$A$501&amp;CHAR(10),H1448)),0)),"")))</f>
        <v/>
      </c>
      <c r="J1448" s="80" t="str">
        <f t="array" ref="J1448">IF(I1448="","",IFERROR(VALUE(TRIM(MID(SUBSTITUTE(INDEX('Deck 5'!$A:$Z,ROW()-1250,'List Setup'!$G$7),CHAR(10),REPT(" ",100)),((SEARCH(CHAR(10)&amp;I1448&amp;CHAR(10),H1448)-LEN(SUBSTITUTE(LEFT(H1448,SEARCH(CHAR(10)&amp;I1448&amp;CHAR(10),H1448)),CHAR(10),"")))-1)*100+1,100))),""))</f>
        <v/>
      </c>
      <c r="K1448" s="80" t="str">
        <f t="array" ref="K1448">IF(A1448="","",IF(ISNUMBER(SEARCH("Land",LEFT(IFERROR(INDEX('Deck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48" s="80" t="str">
        <f t="shared" si="3"/>
        <v/>
      </c>
      <c r="M1448" s="80" t="str">
        <f>IF(A1448="","",IF(AND(E1448="Y",B1448='Use at Shop'!$B$4),K1448*10000000000+(MAX(0,MIN(26,CODE(MID(UPPER(A1448)&amp;"    ",1,1))-64))*19683+MAX(0,MIN(26,CODE(MID(UPPER(A1448)&amp;"    ",2,1))-64))*729+MAX(0,MIN(26,CODE(MID(UPPER(A1448)&amp;"    ",3,1))-64))*27+MAX(0,MIN(26,CODE(MID(UPPER(A1448)&amp;"    ",4,1))-64))*1)*10000+ROW(),""))</f>
        <v/>
      </c>
      <c r="N1448" s="80" t="str">
        <f t="shared" si="9"/>
        <v/>
      </c>
      <c r="O1448" s="80" t="str">
        <f t="array" ref="O1448">IF(A1448="","",IFERROR(INDEX('Deck 5'!$A:$Z,ROW()-1250,'List Setup'!$J$7)&amp;"",""))</f>
        <v/>
      </c>
      <c r="P1448" s="2"/>
      <c r="Q1448" s="80" t="str">
        <f>IF(A1448="","",'List Setup'!$A$7)</f>
        <v/>
      </c>
      <c r="R1448" s="80" t="str">
        <f t="array" ref="R1448">IF(A1448="","",IFERROR(OR(INDEX(Binders!$J$6:$J$30,MATCH(Q1448,Binders!$I$6:$I$30,0))=TRUE(),UPPER(INDEX(Binders!$J$6:$J$30,MATCH(Q1448,Binders!$I$6:$I$30,0))&amp;"")="TRUE"),FALSE()))</f>
        <v/>
      </c>
    </row>
    <row r="1449" ht="15.75" customHeight="1">
      <c r="A1449" s="80" t="str">
        <f t="array" ref="A1449">IF(INDEX('Deck 5'!$A:$Z,ROW()-1250,'List Setup'!$D$7)="","",INDEX('Deck 5'!$A:$Z,ROW()-1250,'List Setup'!$D$7))</f>
        <v/>
      </c>
      <c r="B1449" s="80" t="str">
        <f t="array" ref="B1449">IF(A1449="","",IFERROR(INDEX('Binder Setup'!$B$2:$B$401,MIN(IF(ISNUMBER(SEARCH(CHAR(10)&amp;'Binder Setup'!$B$2:$B$401&amp;CHAR(10),$H1449)),'List Setup'!$Q$2:$Q$401,999),IF(ISNUMBER(SEARCH(CHAR(10)&amp;'Set Aliases'!$A$2:$A$501&amp;CHAR(10),$H1449)),'Set Aliases'!$C$2:$C$501,999))),"(none)"))</f>
        <v/>
      </c>
      <c r="C1449" s="80" t="str">
        <f t="shared" si="1"/>
        <v/>
      </c>
      <c r="D1449" s="80" t="str">
        <f t="array" ref="D1449">IF(A1449="","",IF(ISLOGICAL(INDEX('Deck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49" s="80" t="str">
        <f t="shared" si="2"/>
        <v/>
      </c>
      <c r="F1449" s="80" t="str">
        <f t="array" ref="F1449">IF(A1449="","",IF(ISNUMBER(J1449),J1449,IF(ISNUMBER(INDEX('Deck 5'!$A:$Z,ROW()-1250,'List Setup'!$F$7)),INDEX('Deck 5'!$A:$Z,ROW()-1250,'List Setup'!$F$7),0)))</f>
        <v/>
      </c>
      <c r="G1449" s="80" t="str">
        <f t="array" ref="G1449">IF(A1449="","",A1449&amp;IF(N(INDEX('Deck 5'!$A:$Z,ROW()-1250,'List Setup'!$C$7))&gt;1," (x"&amp;INDEX('Deck 5'!$A:$Z,ROW()-1250,'List Setup'!$C$7)&amp;")","")&amp;IF(COUNTIF(Binders!$J$6:$J$30,TRUE())&gt;1," ["&amp;Q1449&amp;"]",""))</f>
        <v/>
      </c>
      <c r="H1449" s="80" t="str">
        <f t="array" ref="H1449">IF(A1449="","",CHAR(10)&amp;INDEX('Deck 5'!$A:$Z,ROW()-1250,'List Setup'!$E$7)&amp;CHAR(10))</f>
        <v/>
      </c>
      <c r="I1449" s="80" t="str">
        <f t="array" ref="I1449">IF(OR(B1449="",B1449="(none)"),"",IF(ISNUMBER(SEARCH(CHAR(10)&amp;B1449&amp;CHAR(10),H1449)),B1449,IFERROR(INDEX('Set Aliases'!$A$2:$A$501,MATCH(1,('Set Aliases'!$B$2:$B$501=B1449)*ISNUMBER(SEARCH(CHAR(10)&amp;'Set Aliases'!$A$2:$A$501&amp;CHAR(10),H1449)),0)),"")))</f>
        <v/>
      </c>
      <c r="J1449" s="80" t="str">
        <f t="array" ref="J1449">IF(I1449="","",IFERROR(VALUE(TRIM(MID(SUBSTITUTE(INDEX('Deck 5'!$A:$Z,ROW()-1250,'List Setup'!$G$7),CHAR(10),REPT(" ",100)),((SEARCH(CHAR(10)&amp;I1449&amp;CHAR(10),H1449)-LEN(SUBSTITUTE(LEFT(H1449,SEARCH(CHAR(10)&amp;I1449&amp;CHAR(10),H1449)),CHAR(10),"")))-1)*100+1,100))),""))</f>
        <v/>
      </c>
      <c r="K1449" s="80" t="str">
        <f t="array" ref="K1449">IF(A1449="","",IF(ISNUMBER(SEARCH("Land",LEFT(IFERROR(INDEX('Deck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49" s="80" t="str">
        <f t="shared" si="3"/>
        <v/>
      </c>
      <c r="M1449" s="80" t="str">
        <f>IF(A1449="","",IF(AND(E1449="Y",B1449='Use at Shop'!$B$4),K1449*10000000000+(MAX(0,MIN(26,CODE(MID(UPPER(A1449)&amp;"    ",1,1))-64))*19683+MAX(0,MIN(26,CODE(MID(UPPER(A1449)&amp;"    ",2,1))-64))*729+MAX(0,MIN(26,CODE(MID(UPPER(A1449)&amp;"    ",3,1))-64))*27+MAX(0,MIN(26,CODE(MID(UPPER(A1449)&amp;"    ",4,1))-64))*1)*10000+ROW(),""))</f>
        <v/>
      </c>
      <c r="N1449" s="80" t="str">
        <f t="shared" si="9"/>
        <v/>
      </c>
      <c r="O1449" s="80" t="str">
        <f t="array" ref="O1449">IF(A1449="","",IFERROR(INDEX('Deck 5'!$A:$Z,ROW()-1250,'List Setup'!$J$7)&amp;"",""))</f>
        <v/>
      </c>
      <c r="P1449" s="2"/>
      <c r="Q1449" s="80" t="str">
        <f>IF(A1449="","",'List Setup'!$A$7)</f>
        <v/>
      </c>
      <c r="R1449" s="80" t="str">
        <f t="array" ref="R1449">IF(A1449="","",IFERROR(OR(INDEX(Binders!$J$6:$J$30,MATCH(Q1449,Binders!$I$6:$I$30,0))=TRUE(),UPPER(INDEX(Binders!$J$6:$J$30,MATCH(Q1449,Binders!$I$6:$I$30,0))&amp;"")="TRUE"),FALSE()))</f>
        <v/>
      </c>
    </row>
    <row r="1450" ht="15.75" customHeight="1">
      <c r="A1450" s="80" t="str">
        <f t="array" ref="A1450">IF(INDEX('Deck 5'!$A:$Z,ROW()-1250,'List Setup'!$D$7)="","",INDEX('Deck 5'!$A:$Z,ROW()-1250,'List Setup'!$D$7))</f>
        <v/>
      </c>
      <c r="B1450" s="80" t="str">
        <f t="array" ref="B1450">IF(A1450="","",IFERROR(INDEX('Binder Setup'!$B$2:$B$401,MIN(IF(ISNUMBER(SEARCH(CHAR(10)&amp;'Binder Setup'!$B$2:$B$401&amp;CHAR(10),$H1450)),'List Setup'!$Q$2:$Q$401,999),IF(ISNUMBER(SEARCH(CHAR(10)&amp;'Set Aliases'!$A$2:$A$501&amp;CHAR(10),$H1450)),'Set Aliases'!$C$2:$C$501,999))),"(none)"))</f>
        <v/>
      </c>
      <c r="C1450" s="80" t="str">
        <f t="shared" si="1"/>
        <v/>
      </c>
      <c r="D1450" s="80" t="str">
        <f t="array" ref="D1450">IF(A1450="","",IF(ISLOGICAL(INDEX('Deck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50" s="80" t="str">
        <f t="shared" si="2"/>
        <v/>
      </c>
      <c r="F1450" s="80" t="str">
        <f t="array" ref="F1450">IF(A1450="","",IF(ISNUMBER(J1450),J1450,IF(ISNUMBER(INDEX('Deck 5'!$A:$Z,ROW()-1250,'List Setup'!$F$7)),INDEX('Deck 5'!$A:$Z,ROW()-1250,'List Setup'!$F$7),0)))</f>
        <v/>
      </c>
      <c r="G1450" s="80" t="str">
        <f t="array" ref="G1450">IF(A1450="","",A1450&amp;IF(N(INDEX('Deck 5'!$A:$Z,ROW()-1250,'List Setup'!$C$7))&gt;1," (x"&amp;INDEX('Deck 5'!$A:$Z,ROW()-1250,'List Setup'!$C$7)&amp;")","")&amp;IF(COUNTIF(Binders!$J$6:$J$30,TRUE())&gt;1," ["&amp;Q1450&amp;"]",""))</f>
        <v/>
      </c>
      <c r="H1450" s="80" t="str">
        <f t="array" ref="H1450">IF(A1450="","",CHAR(10)&amp;INDEX('Deck 5'!$A:$Z,ROW()-1250,'List Setup'!$E$7)&amp;CHAR(10))</f>
        <v/>
      </c>
      <c r="I1450" s="80" t="str">
        <f t="array" ref="I1450">IF(OR(B1450="",B1450="(none)"),"",IF(ISNUMBER(SEARCH(CHAR(10)&amp;B1450&amp;CHAR(10),H1450)),B1450,IFERROR(INDEX('Set Aliases'!$A$2:$A$501,MATCH(1,('Set Aliases'!$B$2:$B$501=B1450)*ISNUMBER(SEARCH(CHAR(10)&amp;'Set Aliases'!$A$2:$A$501&amp;CHAR(10),H1450)),0)),"")))</f>
        <v/>
      </c>
      <c r="J1450" s="80" t="str">
        <f t="array" ref="J1450">IF(I1450="","",IFERROR(VALUE(TRIM(MID(SUBSTITUTE(INDEX('Deck 5'!$A:$Z,ROW()-1250,'List Setup'!$G$7),CHAR(10),REPT(" ",100)),((SEARCH(CHAR(10)&amp;I1450&amp;CHAR(10),H1450)-LEN(SUBSTITUTE(LEFT(H1450,SEARCH(CHAR(10)&amp;I1450&amp;CHAR(10),H1450)),CHAR(10),"")))-1)*100+1,100))),""))</f>
        <v/>
      </c>
      <c r="K1450" s="80" t="str">
        <f t="array" ref="K1450">IF(A1450="","",IF(ISNUMBER(SEARCH("Land",LEFT(IFERROR(INDEX('Deck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50" s="80" t="str">
        <f t="shared" si="3"/>
        <v/>
      </c>
      <c r="M1450" s="80" t="str">
        <f>IF(A1450="","",IF(AND(E1450="Y",B1450='Use at Shop'!$B$4),K1450*10000000000+(MAX(0,MIN(26,CODE(MID(UPPER(A1450)&amp;"    ",1,1))-64))*19683+MAX(0,MIN(26,CODE(MID(UPPER(A1450)&amp;"    ",2,1))-64))*729+MAX(0,MIN(26,CODE(MID(UPPER(A1450)&amp;"    ",3,1))-64))*27+MAX(0,MIN(26,CODE(MID(UPPER(A1450)&amp;"    ",4,1))-64))*1)*10000+ROW(),""))</f>
        <v/>
      </c>
      <c r="N1450" s="80" t="str">
        <f t="shared" si="9"/>
        <v/>
      </c>
      <c r="O1450" s="80" t="str">
        <f t="array" ref="O1450">IF(A1450="","",IFERROR(INDEX('Deck 5'!$A:$Z,ROW()-1250,'List Setup'!$J$7)&amp;"",""))</f>
        <v/>
      </c>
      <c r="P1450" s="2"/>
      <c r="Q1450" s="80" t="str">
        <f>IF(A1450="","",'List Setup'!$A$7)</f>
        <v/>
      </c>
      <c r="R1450" s="80" t="str">
        <f t="array" ref="R1450">IF(A1450="","",IFERROR(OR(INDEX(Binders!$J$6:$J$30,MATCH(Q1450,Binders!$I$6:$I$30,0))=TRUE(),UPPER(INDEX(Binders!$J$6:$J$30,MATCH(Q1450,Binders!$I$6:$I$30,0))&amp;"")="TRUE"),FALSE()))</f>
        <v/>
      </c>
    </row>
    <row r="1451" ht="15.75" customHeight="1">
      <c r="A1451" s="80" t="str">
        <f t="array" ref="A1451">IF(INDEX('Deck 5'!$A:$Z,ROW()-1250,'List Setup'!$D$7)="","",INDEX('Deck 5'!$A:$Z,ROW()-1250,'List Setup'!$D$7))</f>
        <v/>
      </c>
      <c r="B1451" s="80" t="str">
        <f t="array" ref="B1451">IF(A1451="","",IFERROR(INDEX('Binder Setup'!$B$2:$B$401,MIN(IF(ISNUMBER(SEARCH(CHAR(10)&amp;'Binder Setup'!$B$2:$B$401&amp;CHAR(10),$H1451)),'List Setup'!$Q$2:$Q$401,999),IF(ISNUMBER(SEARCH(CHAR(10)&amp;'Set Aliases'!$A$2:$A$501&amp;CHAR(10),$H1451)),'Set Aliases'!$C$2:$C$501,999))),"(none)"))</f>
        <v/>
      </c>
      <c r="C1451" s="80" t="str">
        <f t="shared" si="1"/>
        <v/>
      </c>
      <c r="D1451" s="80" t="str">
        <f t="array" ref="D1451">IF(A1451="","",IF(ISLOGICAL(INDEX('Deck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51" s="80" t="str">
        <f t="shared" si="2"/>
        <v/>
      </c>
      <c r="F1451" s="80" t="str">
        <f t="array" ref="F1451">IF(A1451="","",IF(ISNUMBER(J1451),J1451,IF(ISNUMBER(INDEX('Deck 5'!$A:$Z,ROW()-1250,'List Setup'!$F$7)),INDEX('Deck 5'!$A:$Z,ROW()-1250,'List Setup'!$F$7),0)))</f>
        <v/>
      </c>
      <c r="G1451" s="80" t="str">
        <f t="array" ref="G1451">IF(A1451="","",A1451&amp;IF(N(INDEX('Deck 5'!$A:$Z,ROW()-1250,'List Setup'!$C$7))&gt;1," (x"&amp;INDEX('Deck 5'!$A:$Z,ROW()-1250,'List Setup'!$C$7)&amp;")","")&amp;IF(COUNTIF(Binders!$J$6:$J$30,TRUE())&gt;1," ["&amp;Q1451&amp;"]",""))</f>
        <v/>
      </c>
      <c r="H1451" s="80" t="str">
        <f t="array" ref="H1451">IF(A1451="","",CHAR(10)&amp;INDEX('Deck 5'!$A:$Z,ROW()-1250,'List Setup'!$E$7)&amp;CHAR(10))</f>
        <v/>
      </c>
      <c r="I1451" s="80" t="str">
        <f t="array" ref="I1451">IF(OR(B1451="",B1451="(none)"),"",IF(ISNUMBER(SEARCH(CHAR(10)&amp;B1451&amp;CHAR(10),H1451)),B1451,IFERROR(INDEX('Set Aliases'!$A$2:$A$501,MATCH(1,('Set Aliases'!$B$2:$B$501=B1451)*ISNUMBER(SEARCH(CHAR(10)&amp;'Set Aliases'!$A$2:$A$501&amp;CHAR(10),H1451)),0)),"")))</f>
        <v/>
      </c>
      <c r="J1451" s="80" t="str">
        <f t="array" ref="J1451">IF(I1451="","",IFERROR(VALUE(TRIM(MID(SUBSTITUTE(INDEX('Deck 5'!$A:$Z,ROW()-1250,'List Setup'!$G$7),CHAR(10),REPT(" ",100)),((SEARCH(CHAR(10)&amp;I1451&amp;CHAR(10),H1451)-LEN(SUBSTITUTE(LEFT(H1451,SEARCH(CHAR(10)&amp;I1451&amp;CHAR(10),H1451)),CHAR(10),"")))-1)*100+1,100))),""))</f>
        <v/>
      </c>
      <c r="K1451" s="80" t="str">
        <f t="array" ref="K1451">IF(A1451="","",IF(ISNUMBER(SEARCH("Land",LEFT(IFERROR(INDEX('Deck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51" s="80" t="str">
        <f t="shared" si="3"/>
        <v/>
      </c>
      <c r="M1451" s="80" t="str">
        <f>IF(A1451="","",IF(AND(E1451="Y",B1451='Use at Shop'!$B$4),K1451*10000000000+(MAX(0,MIN(26,CODE(MID(UPPER(A1451)&amp;"    ",1,1))-64))*19683+MAX(0,MIN(26,CODE(MID(UPPER(A1451)&amp;"    ",2,1))-64))*729+MAX(0,MIN(26,CODE(MID(UPPER(A1451)&amp;"    ",3,1))-64))*27+MAX(0,MIN(26,CODE(MID(UPPER(A1451)&amp;"    ",4,1))-64))*1)*10000+ROW(),""))</f>
        <v/>
      </c>
      <c r="N1451" s="80" t="str">
        <f t="shared" si="9"/>
        <v/>
      </c>
      <c r="O1451" s="80" t="str">
        <f t="array" ref="O1451">IF(A1451="","",IFERROR(INDEX('Deck 5'!$A:$Z,ROW()-1250,'List Setup'!$J$7)&amp;"",""))</f>
        <v/>
      </c>
      <c r="P1451" s="2"/>
      <c r="Q1451" s="80" t="str">
        <f>IF(A1451="","",'List Setup'!$A$7)</f>
        <v/>
      </c>
      <c r="R1451" s="80" t="str">
        <f t="array" ref="R1451">IF(A1451="","",IFERROR(OR(INDEX(Binders!$J$6:$J$30,MATCH(Q1451,Binders!$I$6:$I$30,0))=TRUE(),UPPER(INDEX(Binders!$J$6:$J$30,MATCH(Q1451,Binders!$I$6:$I$30,0))&amp;"")="TRUE"),FALSE()))</f>
        <v/>
      </c>
    </row>
    <row r="1452" ht="15.75" customHeight="1">
      <c r="A1452" s="80" t="str">
        <f t="array" ref="A1452">IF(INDEX('Deck 5'!$A:$Z,ROW()-1250,'List Setup'!$D$7)="","",INDEX('Deck 5'!$A:$Z,ROW()-1250,'List Setup'!$D$7))</f>
        <v/>
      </c>
      <c r="B1452" s="80" t="str">
        <f t="array" ref="B1452">IF(A1452="","",IFERROR(INDEX('Binder Setup'!$B$2:$B$401,MIN(IF(ISNUMBER(SEARCH(CHAR(10)&amp;'Binder Setup'!$B$2:$B$401&amp;CHAR(10),$H1452)),'List Setup'!$Q$2:$Q$401,999),IF(ISNUMBER(SEARCH(CHAR(10)&amp;'Set Aliases'!$A$2:$A$501&amp;CHAR(10),$H1452)),'Set Aliases'!$C$2:$C$501,999))),"(none)"))</f>
        <v/>
      </c>
      <c r="C1452" s="80" t="str">
        <f t="shared" si="1"/>
        <v/>
      </c>
      <c r="D1452" s="80" t="str">
        <f t="array" ref="D1452">IF(A1452="","",IF(ISLOGICAL(INDEX('Deck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52" s="80" t="str">
        <f t="shared" si="2"/>
        <v/>
      </c>
      <c r="F1452" s="80" t="str">
        <f t="array" ref="F1452">IF(A1452="","",IF(ISNUMBER(J1452),J1452,IF(ISNUMBER(INDEX('Deck 5'!$A:$Z,ROW()-1250,'List Setup'!$F$7)),INDEX('Deck 5'!$A:$Z,ROW()-1250,'List Setup'!$F$7),0)))</f>
        <v/>
      </c>
      <c r="G1452" s="80" t="str">
        <f t="array" ref="G1452">IF(A1452="","",A1452&amp;IF(N(INDEX('Deck 5'!$A:$Z,ROW()-1250,'List Setup'!$C$7))&gt;1," (x"&amp;INDEX('Deck 5'!$A:$Z,ROW()-1250,'List Setup'!$C$7)&amp;")","")&amp;IF(COUNTIF(Binders!$J$6:$J$30,TRUE())&gt;1," ["&amp;Q1452&amp;"]",""))</f>
        <v/>
      </c>
      <c r="H1452" s="80" t="str">
        <f t="array" ref="H1452">IF(A1452="","",CHAR(10)&amp;INDEX('Deck 5'!$A:$Z,ROW()-1250,'List Setup'!$E$7)&amp;CHAR(10))</f>
        <v/>
      </c>
      <c r="I1452" s="80" t="str">
        <f t="array" ref="I1452">IF(OR(B1452="",B1452="(none)"),"",IF(ISNUMBER(SEARCH(CHAR(10)&amp;B1452&amp;CHAR(10),H1452)),B1452,IFERROR(INDEX('Set Aliases'!$A$2:$A$501,MATCH(1,('Set Aliases'!$B$2:$B$501=B1452)*ISNUMBER(SEARCH(CHAR(10)&amp;'Set Aliases'!$A$2:$A$501&amp;CHAR(10),H1452)),0)),"")))</f>
        <v/>
      </c>
      <c r="J1452" s="80" t="str">
        <f t="array" ref="J1452">IF(I1452="","",IFERROR(VALUE(TRIM(MID(SUBSTITUTE(INDEX('Deck 5'!$A:$Z,ROW()-1250,'List Setup'!$G$7),CHAR(10),REPT(" ",100)),((SEARCH(CHAR(10)&amp;I1452&amp;CHAR(10),H1452)-LEN(SUBSTITUTE(LEFT(H1452,SEARCH(CHAR(10)&amp;I1452&amp;CHAR(10),H1452)),CHAR(10),"")))-1)*100+1,100))),""))</f>
        <v/>
      </c>
      <c r="K1452" s="80" t="str">
        <f t="array" ref="K1452">IF(A1452="","",IF(ISNUMBER(SEARCH("Land",LEFT(IFERROR(INDEX('Deck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52" s="80" t="str">
        <f t="shared" si="3"/>
        <v/>
      </c>
      <c r="M1452" s="80" t="str">
        <f>IF(A1452="","",IF(AND(E1452="Y",B1452='Use at Shop'!$B$4),K1452*10000000000+(MAX(0,MIN(26,CODE(MID(UPPER(A1452)&amp;"    ",1,1))-64))*19683+MAX(0,MIN(26,CODE(MID(UPPER(A1452)&amp;"    ",2,1))-64))*729+MAX(0,MIN(26,CODE(MID(UPPER(A1452)&amp;"    ",3,1))-64))*27+MAX(0,MIN(26,CODE(MID(UPPER(A1452)&amp;"    ",4,1))-64))*1)*10000+ROW(),""))</f>
        <v/>
      </c>
      <c r="N1452" s="80" t="str">
        <f t="shared" si="9"/>
        <v/>
      </c>
      <c r="O1452" s="80" t="str">
        <f t="array" ref="O1452">IF(A1452="","",IFERROR(INDEX('Deck 5'!$A:$Z,ROW()-1250,'List Setup'!$J$7)&amp;"",""))</f>
        <v/>
      </c>
      <c r="P1452" s="2"/>
      <c r="Q1452" s="80" t="str">
        <f>IF(A1452="","",'List Setup'!$A$7)</f>
        <v/>
      </c>
      <c r="R1452" s="80" t="str">
        <f t="array" ref="R1452">IF(A1452="","",IFERROR(OR(INDEX(Binders!$J$6:$J$30,MATCH(Q1452,Binders!$I$6:$I$30,0))=TRUE(),UPPER(INDEX(Binders!$J$6:$J$30,MATCH(Q1452,Binders!$I$6:$I$30,0))&amp;"")="TRUE"),FALSE()))</f>
        <v/>
      </c>
    </row>
    <row r="1453" ht="15.75" customHeight="1">
      <c r="A1453" s="80" t="str">
        <f t="array" ref="A1453">IF(INDEX('Deck 5'!$A:$Z,ROW()-1250,'List Setup'!$D$7)="","",INDEX('Deck 5'!$A:$Z,ROW()-1250,'List Setup'!$D$7))</f>
        <v/>
      </c>
      <c r="B1453" s="80" t="str">
        <f t="array" ref="B1453">IF(A1453="","",IFERROR(INDEX('Binder Setup'!$B$2:$B$401,MIN(IF(ISNUMBER(SEARCH(CHAR(10)&amp;'Binder Setup'!$B$2:$B$401&amp;CHAR(10),$H1453)),'List Setup'!$Q$2:$Q$401,999),IF(ISNUMBER(SEARCH(CHAR(10)&amp;'Set Aliases'!$A$2:$A$501&amp;CHAR(10),$H1453)),'Set Aliases'!$C$2:$C$501,999))),"(none)"))</f>
        <v/>
      </c>
      <c r="C1453" s="80" t="str">
        <f t="shared" si="1"/>
        <v/>
      </c>
      <c r="D1453" s="80" t="str">
        <f t="array" ref="D1453">IF(A1453="","",IF(ISLOGICAL(INDEX('Deck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53" s="80" t="str">
        <f t="shared" si="2"/>
        <v/>
      </c>
      <c r="F1453" s="80" t="str">
        <f t="array" ref="F1453">IF(A1453="","",IF(ISNUMBER(J1453),J1453,IF(ISNUMBER(INDEX('Deck 5'!$A:$Z,ROW()-1250,'List Setup'!$F$7)),INDEX('Deck 5'!$A:$Z,ROW()-1250,'List Setup'!$F$7),0)))</f>
        <v/>
      </c>
      <c r="G1453" s="80" t="str">
        <f t="array" ref="G1453">IF(A1453="","",A1453&amp;IF(N(INDEX('Deck 5'!$A:$Z,ROW()-1250,'List Setup'!$C$7))&gt;1," (x"&amp;INDEX('Deck 5'!$A:$Z,ROW()-1250,'List Setup'!$C$7)&amp;")","")&amp;IF(COUNTIF(Binders!$J$6:$J$30,TRUE())&gt;1," ["&amp;Q1453&amp;"]",""))</f>
        <v/>
      </c>
      <c r="H1453" s="80" t="str">
        <f t="array" ref="H1453">IF(A1453="","",CHAR(10)&amp;INDEX('Deck 5'!$A:$Z,ROW()-1250,'List Setup'!$E$7)&amp;CHAR(10))</f>
        <v/>
      </c>
      <c r="I1453" s="80" t="str">
        <f t="array" ref="I1453">IF(OR(B1453="",B1453="(none)"),"",IF(ISNUMBER(SEARCH(CHAR(10)&amp;B1453&amp;CHAR(10),H1453)),B1453,IFERROR(INDEX('Set Aliases'!$A$2:$A$501,MATCH(1,('Set Aliases'!$B$2:$B$501=B1453)*ISNUMBER(SEARCH(CHAR(10)&amp;'Set Aliases'!$A$2:$A$501&amp;CHAR(10),H1453)),0)),"")))</f>
        <v/>
      </c>
      <c r="J1453" s="80" t="str">
        <f t="array" ref="J1453">IF(I1453="","",IFERROR(VALUE(TRIM(MID(SUBSTITUTE(INDEX('Deck 5'!$A:$Z,ROW()-1250,'List Setup'!$G$7),CHAR(10),REPT(" ",100)),((SEARCH(CHAR(10)&amp;I1453&amp;CHAR(10),H1453)-LEN(SUBSTITUTE(LEFT(H1453,SEARCH(CHAR(10)&amp;I1453&amp;CHAR(10),H1453)),CHAR(10),"")))-1)*100+1,100))),""))</f>
        <v/>
      </c>
      <c r="K1453" s="80" t="str">
        <f t="array" ref="K1453">IF(A1453="","",IF(ISNUMBER(SEARCH("Land",LEFT(IFERROR(INDEX('Deck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53" s="80" t="str">
        <f t="shared" si="3"/>
        <v/>
      </c>
      <c r="M1453" s="80" t="str">
        <f>IF(A1453="","",IF(AND(E1453="Y",B1453='Use at Shop'!$B$4),K1453*10000000000+(MAX(0,MIN(26,CODE(MID(UPPER(A1453)&amp;"    ",1,1))-64))*19683+MAX(0,MIN(26,CODE(MID(UPPER(A1453)&amp;"    ",2,1))-64))*729+MAX(0,MIN(26,CODE(MID(UPPER(A1453)&amp;"    ",3,1))-64))*27+MAX(0,MIN(26,CODE(MID(UPPER(A1453)&amp;"    ",4,1))-64))*1)*10000+ROW(),""))</f>
        <v/>
      </c>
      <c r="N1453" s="80" t="str">
        <f t="shared" si="9"/>
        <v/>
      </c>
      <c r="O1453" s="80" t="str">
        <f t="array" ref="O1453">IF(A1453="","",IFERROR(INDEX('Deck 5'!$A:$Z,ROW()-1250,'List Setup'!$J$7)&amp;"",""))</f>
        <v/>
      </c>
      <c r="P1453" s="2"/>
      <c r="Q1453" s="80" t="str">
        <f>IF(A1453="","",'List Setup'!$A$7)</f>
        <v/>
      </c>
      <c r="R1453" s="80" t="str">
        <f t="array" ref="R1453">IF(A1453="","",IFERROR(OR(INDEX(Binders!$J$6:$J$30,MATCH(Q1453,Binders!$I$6:$I$30,0))=TRUE(),UPPER(INDEX(Binders!$J$6:$J$30,MATCH(Q1453,Binders!$I$6:$I$30,0))&amp;"")="TRUE"),FALSE()))</f>
        <v/>
      </c>
    </row>
    <row r="1454" ht="15.75" customHeight="1">
      <c r="A1454" s="80" t="str">
        <f t="array" ref="A1454">IF(INDEX('Deck 5'!$A:$Z,ROW()-1250,'List Setup'!$D$7)="","",INDEX('Deck 5'!$A:$Z,ROW()-1250,'List Setup'!$D$7))</f>
        <v/>
      </c>
      <c r="B1454" s="80" t="str">
        <f t="array" ref="B1454">IF(A1454="","",IFERROR(INDEX('Binder Setup'!$B$2:$B$401,MIN(IF(ISNUMBER(SEARCH(CHAR(10)&amp;'Binder Setup'!$B$2:$B$401&amp;CHAR(10),$H1454)),'List Setup'!$Q$2:$Q$401,999),IF(ISNUMBER(SEARCH(CHAR(10)&amp;'Set Aliases'!$A$2:$A$501&amp;CHAR(10),$H1454)),'Set Aliases'!$C$2:$C$501,999))),"(none)"))</f>
        <v/>
      </c>
      <c r="C1454" s="80" t="str">
        <f t="shared" si="1"/>
        <v/>
      </c>
      <c r="D1454" s="80" t="str">
        <f t="array" ref="D1454">IF(A1454="","",IF(ISLOGICAL(INDEX('Deck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54" s="80" t="str">
        <f t="shared" si="2"/>
        <v/>
      </c>
      <c r="F1454" s="80" t="str">
        <f t="array" ref="F1454">IF(A1454="","",IF(ISNUMBER(J1454),J1454,IF(ISNUMBER(INDEX('Deck 5'!$A:$Z,ROW()-1250,'List Setup'!$F$7)),INDEX('Deck 5'!$A:$Z,ROW()-1250,'List Setup'!$F$7),0)))</f>
        <v/>
      </c>
      <c r="G1454" s="80" t="str">
        <f t="array" ref="G1454">IF(A1454="","",A1454&amp;IF(N(INDEX('Deck 5'!$A:$Z,ROW()-1250,'List Setup'!$C$7))&gt;1," (x"&amp;INDEX('Deck 5'!$A:$Z,ROW()-1250,'List Setup'!$C$7)&amp;")","")&amp;IF(COUNTIF(Binders!$J$6:$J$30,TRUE())&gt;1," ["&amp;Q1454&amp;"]",""))</f>
        <v/>
      </c>
      <c r="H1454" s="80" t="str">
        <f t="array" ref="H1454">IF(A1454="","",CHAR(10)&amp;INDEX('Deck 5'!$A:$Z,ROW()-1250,'List Setup'!$E$7)&amp;CHAR(10))</f>
        <v/>
      </c>
      <c r="I1454" s="80" t="str">
        <f t="array" ref="I1454">IF(OR(B1454="",B1454="(none)"),"",IF(ISNUMBER(SEARCH(CHAR(10)&amp;B1454&amp;CHAR(10),H1454)),B1454,IFERROR(INDEX('Set Aliases'!$A$2:$A$501,MATCH(1,('Set Aliases'!$B$2:$B$501=B1454)*ISNUMBER(SEARCH(CHAR(10)&amp;'Set Aliases'!$A$2:$A$501&amp;CHAR(10),H1454)),0)),"")))</f>
        <v/>
      </c>
      <c r="J1454" s="80" t="str">
        <f t="array" ref="J1454">IF(I1454="","",IFERROR(VALUE(TRIM(MID(SUBSTITUTE(INDEX('Deck 5'!$A:$Z,ROW()-1250,'List Setup'!$G$7),CHAR(10),REPT(" ",100)),((SEARCH(CHAR(10)&amp;I1454&amp;CHAR(10),H1454)-LEN(SUBSTITUTE(LEFT(H1454,SEARCH(CHAR(10)&amp;I1454&amp;CHAR(10),H1454)),CHAR(10),"")))-1)*100+1,100))),""))</f>
        <v/>
      </c>
      <c r="K1454" s="80" t="str">
        <f t="array" ref="K1454">IF(A1454="","",IF(ISNUMBER(SEARCH("Land",LEFT(IFERROR(INDEX('Deck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54" s="80" t="str">
        <f t="shared" si="3"/>
        <v/>
      </c>
      <c r="M1454" s="80" t="str">
        <f>IF(A1454="","",IF(AND(E1454="Y",B1454='Use at Shop'!$B$4),K1454*10000000000+(MAX(0,MIN(26,CODE(MID(UPPER(A1454)&amp;"    ",1,1))-64))*19683+MAX(0,MIN(26,CODE(MID(UPPER(A1454)&amp;"    ",2,1))-64))*729+MAX(0,MIN(26,CODE(MID(UPPER(A1454)&amp;"    ",3,1))-64))*27+MAX(0,MIN(26,CODE(MID(UPPER(A1454)&amp;"    ",4,1))-64))*1)*10000+ROW(),""))</f>
        <v/>
      </c>
      <c r="N1454" s="80" t="str">
        <f t="shared" si="9"/>
        <v/>
      </c>
      <c r="O1454" s="80" t="str">
        <f t="array" ref="O1454">IF(A1454="","",IFERROR(INDEX('Deck 5'!$A:$Z,ROW()-1250,'List Setup'!$J$7)&amp;"",""))</f>
        <v/>
      </c>
      <c r="P1454" s="2"/>
      <c r="Q1454" s="80" t="str">
        <f>IF(A1454="","",'List Setup'!$A$7)</f>
        <v/>
      </c>
      <c r="R1454" s="80" t="str">
        <f t="array" ref="R1454">IF(A1454="","",IFERROR(OR(INDEX(Binders!$J$6:$J$30,MATCH(Q1454,Binders!$I$6:$I$30,0))=TRUE(),UPPER(INDEX(Binders!$J$6:$J$30,MATCH(Q1454,Binders!$I$6:$I$30,0))&amp;"")="TRUE"),FALSE()))</f>
        <v/>
      </c>
    </row>
    <row r="1455" ht="15.75" customHeight="1">
      <c r="A1455" s="80" t="str">
        <f t="array" ref="A1455">IF(INDEX('Deck 5'!$A:$Z,ROW()-1250,'List Setup'!$D$7)="","",INDEX('Deck 5'!$A:$Z,ROW()-1250,'List Setup'!$D$7))</f>
        <v/>
      </c>
      <c r="B1455" s="80" t="str">
        <f t="array" ref="B1455">IF(A1455="","",IFERROR(INDEX('Binder Setup'!$B$2:$B$401,MIN(IF(ISNUMBER(SEARCH(CHAR(10)&amp;'Binder Setup'!$B$2:$B$401&amp;CHAR(10),$H1455)),'List Setup'!$Q$2:$Q$401,999),IF(ISNUMBER(SEARCH(CHAR(10)&amp;'Set Aliases'!$A$2:$A$501&amp;CHAR(10),$H1455)),'Set Aliases'!$C$2:$C$501,999))),"(none)"))</f>
        <v/>
      </c>
      <c r="C1455" s="80" t="str">
        <f t="shared" si="1"/>
        <v/>
      </c>
      <c r="D1455" s="80" t="str">
        <f t="array" ref="D1455">IF(A1455="","",IF(ISLOGICAL(INDEX('Deck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55" s="80" t="str">
        <f t="shared" si="2"/>
        <v/>
      </c>
      <c r="F1455" s="80" t="str">
        <f t="array" ref="F1455">IF(A1455="","",IF(ISNUMBER(J1455),J1455,IF(ISNUMBER(INDEX('Deck 5'!$A:$Z,ROW()-1250,'List Setup'!$F$7)),INDEX('Deck 5'!$A:$Z,ROW()-1250,'List Setup'!$F$7),0)))</f>
        <v/>
      </c>
      <c r="G1455" s="80" t="str">
        <f t="array" ref="G1455">IF(A1455="","",A1455&amp;IF(N(INDEX('Deck 5'!$A:$Z,ROW()-1250,'List Setup'!$C$7))&gt;1," (x"&amp;INDEX('Deck 5'!$A:$Z,ROW()-1250,'List Setup'!$C$7)&amp;")","")&amp;IF(COUNTIF(Binders!$J$6:$J$30,TRUE())&gt;1," ["&amp;Q1455&amp;"]",""))</f>
        <v/>
      </c>
      <c r="H1455" s="80" t="str">
        <f t="array" ref="H1455">IF(A1455="","",CHAR(10)&amp;INDEX('Deck 5'!$A:$Z,ROW()-1250,'List Setup'!$E$7)&amp;CHAR(10))</f>
        <v/>
      </c>
      <c r="I1455" s="80" t="str">
        <f t="array" ref="I1455">IF(OR(B1455="",B1455="(none)"),"",IF(ISNUMBER(SEARCH(CHAR(10)&amp;B1455&amp;CHAR(10),H1455)),B1455,IFERROR(INDEX('Set Aliases'!$A$2:$A$501,MATCH(1,('Set Aliases'!$B$2:$B$501=B1455)*ISNUMBER(SEARCH(CHAR(10)&amp;'Set Aliases'!$A$2:$A$501&amp;CHAR(10),H1455)),0)),"")))</f>
        <v/>
      </c>
      <c r="J1455" s="80" t="str">
        <f t="array" ref="J1455">IF(I1455="","",IFERROR(VALUE(TRIM(MID(SUBSTITUTE(INDEX('Deck 5'!$A:$Z,ROW()-1250,'List Setup'!$G$7),CHAR(10),REPT(" ",100)),((SEARCH(CHAR(10)&amp;I1455&amp;CHAR(10),H1455)-LEN(SUBSTITUTE(LEFT(H1455,SEARCH(CHAR(10)&amp;I1455&amp;CHAR(10),H1455)),CHAR(10),"")))-1)*100+1,100))),""))</f>
        <v/>
      </c>
      <c r="K1455" s="80" t="str">
        <f t="array" ref="K1455">IF(A1455="","",IF(ISNUMBER(SEARCH("Land",LEFT(IFERROR(INDEX('Deck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55" s="80" t="str">
        <f t="shared" si="3"/>
        <v/>
      </c>
      <c r="M1455" s="80" t="str">
        <f>IF(A1455="","",IF(AND(E1455="Y",B1455='Use at Shop'!$B$4),K1455*10000000000+(MAX(0,MIN(26,CODE(MID(UPPER(A1455)&amp;"    ",1,1))-64))*19683+MAX(0,MIN(26,CODE(MID(UPPER(A1455)&amp;"    ",2,1))-64))*729+MAX(0,MIN(26,CODE(MID(UPPER(A1455)&amp;"    ",3,1))-64))*27+MAX(0,MIN(26,CODE(MID(UPPER(A1455)&amp;"    ",4,1))-64))*1)*10000+ROW(),""))</f>
        <v/>
      </c>
      <c r="N1455" s="80" t="str">
        <f t="shared" si="9"/>
        <v/>
      </c>
      <c r="O1455" s="80" t="str">
        <f t="array" ref="O1455">IF(A1455="","",IFERROR(INDEX('Deck 5'!$A:$Z,ROW()-1250,'List Setup'!$J$7)&amp;"",""))</f>
        <v/>
      </c>
      <c r="P1455" s="2"/>
      <c r="Q1455" s="80" t="str">
        <f>IF(A1455="","",'List Setup'!$A$7)</f>
        <v/>
      </c>
      <c r="R1455" s="80" t="str">
        <f t="array" ref="R1455">IF(A1455="","",IFERROR(OR(INDEX(Binders!$J$6:$J$30,MATCH(Q1455,Binders!$I$6:$I$30,0))=TRUE(),UPPER(INDEX(Binders!$J$6:$J$30,MATCH(Q1455,Binders!$I$6:$I$30,0))&amp;"")="TRUE"),FALSE()))</f>
        <v/>
      </c>
    </row>
    <row r="1456" ht="15.75" customHeight="1">
      <c r="A1456" s="80" t="str">
        <f t="array" ref="A1456">IF(INDEX('Deck 5'!$A:$Z,ROW()-1250,'List Setup'!$D$7)="","",INDEX('Deck 5'!$A:$Z,ROW()-1250,'List Setup'!$D$7))</f>
        <v/>
      </c>
      <c r="B1456" s="80" t="str">
        <f t="array" ref="B1456">IF(A1456="","",IFERROR(INDEX('Binder Setup'!$B$2:$B$401,MIN(IF(ISNUMBER(SEARCH(CHAR(10)&amp;'Binder Setup'!$B$2:$B$401&amp;CHAR(10),$H1456)),'List Setup'!$Q$2:$Q$401,999),IF(ISNUMBER(SEARCH(CHAR(10)&amp;'Set Aliases'!$A$2:$A$501&amp;CHAR(10),$H1456)),'Set Aliases'!$C$2:$C$501,999))),"(none)"))</f>
        <v/>
      </c>
      <c r="C1456" s="80" t="str">
        <f t="shared" si="1"/>
        <v/>
      </c>
      <c r="D1456" s="80" t="str">
        <f t="array" ref="D1456">IF(A1456="","",IF(ISLOGICAL(INDEX('Deck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56" s="80" t="str">
        <f t="shared" si="2"/>
        <v/>
      </c>
      <c r="F1456" s="80" t="str">
        <f t="array" ref="F1456">IF(A1456="","",IF(ISNUMBER(J1456),J1456,IF(ISNUMBER(INDEX('Deck 5'!$A:$Z,ROW()-1250,'List Setup'!$F$7)),INDEX('Deck 5'!$A:$Z,ROW()-1250,'List Setup'!$F$7),0)))</f>
        <v/>
      </c>
      <c r="G1456" s="80" t="str">
        <f t="array" ref="G1456">IF(A1456="","",A1456&amp;IF(N(INDEX('Deck 5'!$A:$Z,ROW()-1250,'List Setup'!$C$7))&gt;1," (x"&amp;INDEX('Deck 5'!$A:$Z,ROW()-1250,'List Setup'!$C$7)&amp;")","")&amp;IF(COUNTIF(Binders!$J$6:$J$30,TRUE())&gt;1," ["&amp;Q1456&amp;"]",""))</f>
        <v/>
      </c>
      <c r="H1456" s="80" t="str">
        <f t="array" ref="H1456">IF(A1456="","",CHAR(10)&amp;INDEX('Deck 5'!$A:$Z,ROW()-1250,'List Setup'!$E$7)&amp;CHAR(10))</f>
        <v/>
      </c>
      <c r="I1456" s="80" t="str">
        <f t="array" ref="I1456">IF(OR(B1456="",B1456="(none)"),"",IF(ISNUMBER(SEARCH(CHAR(10)&amp;B1456&amp;CHAR(10),H1456)),B1456,IFERROR(INDEX('Set Aliases'!$A$2:$A$501,MATCH(1,('Set Aliases'!$B$2:$B$501=B1456)*ISNUMBER(SEARCH(CHAR(10)&amp;'Set Aliases'!$A$2:$A$501&amp;CHAR(10),H1456)),0)),"")))</f>
        <v/>
      </c>
      <c r="J1456" s="80" t="str">
        <f t="array" ref="J1456">IF(I1456="","",IFERROR(VALUE(TRIM(MID(SUBSTITUTE(INDEX('Deck 5'!$A:$Z,ROW()-1250,'List Setup'!$G$7),CHAR(10),REPT(" ",100)),((SEARCH(CHAR(10)&amp;I1456&amp;CHAR(10),H1456)-LEN(SUBSTITUTE(LEFT(H1456,SEARCH(CHAR(10)&amp;I1456&amp;CHAR(10),H1456)),CHAR(10),"")))-1)*100+1,100))),""))</f>
        <v/>
      </c>
      <c r="K1456" s="80" t="str">
        <f t="array" ref="K1456">IF(A1456="","",IF(ISNUMBER(SEARCH("Land",LEFT(IFERROR(INDEX('Deck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56" s="80" t="str">
        <f t="shared" si="3"/>
        <v/>
      </c>
      <c r="M1456" s="80" t="str">
        <f>IF(A1456="","",IF(AND(E1456="Y",B1456='Use at Shop'!$B$4),K1456*10000000000+(MAX(0,MIN(26,CODE(MID(UPPER(A1456)&amp;"    ",1,1))-64))*19683+MAX(0,MIN(26,CODE(MID(UPPER(A1456)&amp;"    ",2,1))-64))*729+MAX(0,MIN(26,CODE(MID(UPPER(A1456)&amp;"    ",3,1))-64))*27+MAX(0,MIN(26,CODE(MID(UPPER(A1456)&amp;"    ",4,1))-64))*1)*10000+ROW(),""))</f>
        <v/>
      </c>
      <c r="N1456" s="80" t="str">
        <f t="shared" si="9"/>
        <v/>
      </c>
      <c r="O1456" s="80" t="str">
        <f t="array" ref="O1456">IF(A1456="","",IFERROR(INDEX('Deck 5'!$A:$Z,ROW()-1250,'List Setup'!$J$7)&amp;"",""))</f>
        <v/>
      </c>
      <c r="P1456" s="2"/>
      <c r="Q1456" s="80" t="str">
        <f>IF(A1456="","",'List Setup'!$A$7)</f>
        <v/>
      </c>
      <c r="R1456" s="80" t="str">
        <f t="array" ref="R1456">IF(A1456="","",IFERROR(OR(INDEX(Binders!$J$6:$J$30,MATCH(Q1456,Binders!$I$6:$I$30,0))=TRUE(),UPPER(INDEX(Binders!$J$6:$J$30,MATCH(Q1456,Binders!$I$6:$I$30,0))&amp;"")="TRUE"),FALSE()))</f>
        <v/>
      </c>
    </row>
    <row r="1457" ht="15.75" customHeight="1">
      <c r="A1457" s="80" t="str">
        <f t="array" ref="A1457">IF(INDEX('Deck 5'!$A:$Z,ROW()-1250,'List Setup'!$D$7)="","",INDEX('Deck 5'!$A:$Z,ROW()-1250,'List Setup'!$D$7))</f>
        <v/>
      </c>
      <c r="B1457" s="80" t="str">
        <f t="array" ref="B1457">IF(A1457="","",IFERROR(INDEX('Binder Setup'!$B$2:$B$401,MIN(IF(ISNUMBER(SEARCH(CHAR(10)&amp;'Binder Setup'!$B$2:$B$401&amp;CHAR(10),$H1457)),'List Setup'!$Q$2:$Q$401,999),IF(ISNUMBER(SEARCH(CHAR(10)&amp;'Set Aliases'!$A$2:$A$501&amp;CHAR(10),$H1457)),'Set Aliases'!$C$2:$C$501,999))),"(none)"))</f>
        <v/>
      </c>
      <c r="C1457" s="80" t="str">
        <f t="shared" si="1"/>
        <v/>
      </c>
      <c r="D1457" s="80" t="str">
        <f t="array" ref="D1457">IF(A1457="","",IF(ISLOGICAL(INDEX('Deck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57" s="80" t="str">
        <f t="shared" si="2"/>
        <v/>
      </c>
      <c r="F1457" s="80" t="str">
        <f t="array" ref="F1457">IF(A1457="","",IF(ISNUMBER(J1457),J1457,IF(ISNUMBER(INDEX('Deck 5'!$A:$Z,ROW()-1250,'List Setup'!$F$7)),INDEX('Deck 5'!$A:$Z,ROW()-1250,'List Setup'!$F$7),0)))</f>
        <v/>
      </c>
      <c r="G1457" s="80" t="str">
        <f t="array" ref="G1457">IF(A1457="","",A1457&amp;IF(N(INDEX('Deck 5'!$A:$Z,ROW()-1250,'List Setup'!$C$7))&gt;1," (x"&amp;INDEX('Deck 5'!$A:$Z,ROW()-1250,'List Setup'!$C$7)&amp;")","")&amp;IF(COUNTIF(Binders!$J$6:$J$30,TRUE())&gt;1," ["&amp;Q1457&amp;"]",""))</f>
        <v/>
      </c>
      <c r="H1457" s="80" t="str">
        <f t="array" ref="H1457">IF(A1457="","",CHAR(10)&amp;INDEX('Deck 5'!$A:$Z,ROW()-1250,'List Setup'!$E$7)&amp;CHAR(10))</f>
        <v/>
      </c>
      <c r="I1457" s="80" t="str">
        <f t="array" ref="I1457">IF(OR(B1457="",B1457="(none)"),"",IF(ISNUMBER(SEARCH(CHAR(10)&amp;B1457&amp;CHAR(10),H1457)),B1457,IFERROR(INDEX('Set Aliases'!$A$2:$A$501,MATCH(1,('Set Aliases'!$B$2:$B$501=B1457)*ISNUMBER(SEARCH(CHAR(10)&amp;'Set Aliases'!$A$2:$A$501&amp;CHAR(10),H1457)),0)),"")))</f>
        <v/>
      </c>
      <c r="J1457" s="80" t="str">
        <f t="array" ref="J1457">IF(I1457="","",IFERROR(VALUE(TRIM(MID(SUBSTITUTE(INDEX('Deck 5'!$A:$Z,ROW()-1250,'List Setup'!$G$7),CHAR(10),REPT(" ",100)),((SEARCH(CHAR(10)&amp;I1457&amp;CHAR(10),H1457)-LEN(SUBSTITUTE(LEFT(H1457,SEARCH(CHAR(10)&amp;I1457&amp;CHAR(10),H1457)),CHAR(10),"")))-1)*100+1,100))),""))</f>
        <v/>
      </c>
      <c r="K1457" s="80" t="str">
        <f t="array" ref="K1457">IF(A1457="","",IF(ISNUMBER(SEARCH("Land",LEFT(IFERROR(INDEX('Deck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57" s="80" t="str">
        <f t="shared" si="3"/>
        <v/>
      </c>
      <c r="M1457" s="80" t="str">
        <f>IF(A1457="","",IF(AND(E1457="Y",B1457='Use at Shop'!$B$4),K1457*10000000000+(MAX(0,MIN(26,CODE(MID(UPPER(A1457)&amp;"    ",1,1))-64))*19683+MAX(0,MIN(26,CODE(MID(UPPER(A1457)&amp;"    ",2,1))-64))*729+MAX(0,MIN(26,CODE(MID(UPPER(A1457)&amp;"    ",3,1))-64))*27+MAX(0,MIN(26,CODE(MID(UPPER(A1457)&amp;"    ",4,1))-64))*1)*10000+ROW(),""))</f>
        <v/>
      </c>
      <c r="N1457" s="80" t="str">
        <f t="shared" si="9"/>
        <v/>
      </c>
      <c r="O1457" s="80" t="str">
        <f t="array" ref="O1457">IF(A1457="","",IFERROR(INDEX('Deck 5'!$A:$Z,ROW()-1250,'List Setup'!$J$7)&amp;"",""))</f>
        <v/>
      </c>
      <c r="P1457" s="2"/>
      <c r="Q1457" s="80" t="str">
        <f>IF(A1457="","",'List Setup'!$A$7)</f>
        <v/>
      </c>
      <c r="R1457" s="80" t="str">
        <f t="array" ref="R1457">IF(A1457="","",IFERROR(OR(INDEX(Binders!$J$6:$J$30,MATCH(Q1457,Binders!$I$6:$I$30,0))=TRUE(),UPPER(INDEX(Binders!$J$6:$J$30,MATCH(Q1457,Binders!$I$6:$I$30,0))&amp;"")="TRUE"),FALSE()))</f>
        <v/>
      </c>
    </row>
    <row r="1458" ht="15.75" customHeight="1">
      <c r="A1458" s="80" t="str">
        <f t="array" ref="A1458">IF(INDEX('Deck 5'!$A:$Z,ROW()-1250,'List Setup'!$D$7)="","",INDEX('Deck 5'!$A:$Z,ROW()-1250,'List Setup'!$D$7))</f>
        <v/>
      </c>
      <c r="B1458" s="80" t="str">
        <f t="array" ref="B1458">IF(A1458="","",IFERROR(INDEX('Binder Setup'!$B$2:$B$401,MIN(IF(ISNUMBER(SEARCH(CHAR(10)&amp;'Binder Setup'!$B$2:$B$401&amp;CHAR(10),$H1458)),'List Setup'!$Q$2:$Q$401,999),IF(ISNUMBER(SEARCH(CHAR(10)&amp;'Set Aliases'!$A$2:$A$501&amp;CHAR(10),$H1458)),'Set Aliases'!$C$2:$C$501,999))),"(none)"))</f>
        <v/>
      </c>
      <c r="C1458" s="80" t="str">
        <f t="shared" si="1"/>
        <v/>
      </c>
      <c r="D1458" s="80" t="str">
        <f t="array" ref="D1458">IF(A1458="","",IF(ISLOGICAL(INDEX('Deck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58" s="80" t="str">
        <f t="shared" si="2"/>
        <v/>
      </c>
      <c r="F1458" s="80" t="str">
        <f t="array" ref="F1458">IF(A1458="","",IF(ISNUMBER(J1458),J1458,IF(ISNUMBER(INDEX('Deck 5'!$A:$Z,ROW()-1250,'List Setup'!$F$7)),INDEX('Deck 5'!$A:$Z,ROW()-1250,'List Setup'!$F$7),0)))</f>
        <v/>
      </c>
      <c r="G1458" s="80" t="str">
        <f t="array" ref="G1458">IF(A1458="","",A1458&amp;IF(N(INDEX('Deck 5'!$A:$Z,ROW()-1250,'List Setup'!$C$7))&gt;1," (x"&amp;INDEX('Deck 5'!$A:$Z,ROW()-1250,'List Setup'!$C$7)&amp;")","")&amp;IF(COUNTIF(Binders!$J$6:$J$30,TRUE())&gt;1," ["&amp;Q1458&amp;"]",""))</f>
        <v/>
      </c>
      <c r="H1458" s="80" t="str">
        <f t="array" ref="H1458">IF(A1458="","",CHAR(10)&amp;INDEX('Deck 5'!$A:$Z,ROW()-1250,'List Setup'!$E$7)&amp;CHAR(10))</f>
        <v/>
      </c>
      <c r="I1458" s="80" t="str">
        <f t="array" ref="I1458">IF(OR(B1458="",B1458="(none)"),"",IF(ISNUMBER(SEARCH(CHAR(10)&amp;B1458&amp;CHAR(10),H1458)),B1458,IFERROR(INDEX('Set Aliases'!$A$2:$A$501,MATCH(1,('Set Aliases'!$B$2:$B$501=B1458)*ISNUMBER(SEARCH(CHAR(10)&amp;'Set Aliases'!$A$2:$A$501&amp;CHAR(10),H1458)),0)),"")))</f>
        <v/>
      </c>
      <c r="J1458" s="80" t="str">
        <f t="array" ref="J1458">IF(I1458="","",IFERROR(VALUE(TRIM(MID(SUBSTITUTE(INDEX('Deck 5'!$A:$Z,ROW()-1250,'List Setup'!$G$7),CHAR(10),REPT(" ",100)),((SEARCH(CHAR(10)&amp;I1458&amp;CHAR(10),H1458)-LEN(SUBSTITUTE(LEFT(H1458,SEARCH(CHAR(10)&amp;I1458&amp;CHAR(10),H1458)),CHAR(10),"")))-1)*100+1,100))),""))</f>
        <v/>
      </c>
      <c r="K1458" s="80" t="str">
        <f t="array" ref="K1458">IF(A1458="","",IF(ISNUMBER(SEARCH("Land",LEFT(IFERROR(INDEX('Deck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58" s="80" t="str">
        <f t="shared" si="3"/>
        <v/>
      </c>
      <c r="M1458" s="80" t="str">
        <f>IF(A1458="","",IF(AND(E1458="Y",B1458='Use at Shop'!$B$4),K1458*10000000000+(MAX(0,MIN(26,CODE(MID(UPPER(A1458)&amp;"    ",1,1))-64))*19683+MAX(0,MIN(26,CODE(MID(UPPER(A1458)&amp;"    ",2,1))-64))*729+MAX(0,MIN(26,CODE(MID(UPPER(A1458)&amp;"    ",3,1))-64))*27+MAX(0,MIN(26,CODE(MID(UPPER(A1458)&amp;"    ",4,1))-64))*1)*10000+ROW(),""))</f>
        <v/>
      </c>
      <c r="N1458" s="80" t="str">
        <f t="shared" si="9"/>
        <v/>
      </c>
      <c r="O1458" s="80" t="str">
        <f t="array" ref="O1458">IF(A1458="","",IFERROR(INDEX('Deck 5'!$A:$Z,ROW()-1250,'List Setup'!$J$7)&amp;"",""))</f>
        <v/>
      </c>
      <c r="P1458" s="2"/>
      <c r="Q1458" s="80" t="str">
        <f>IF(A1458="","",'List Setup'!$A$7)</f>
        <v/>
      </c>
      <c r="R1458" s="80" t="str">
        <f t="array" ref="R1458">IF(A1458="","",IFERROR(OR(INDEX(Binders!$J$6:$J$30,MATCH(Q1458,Binders!$I$6:$I$30,0))=TRUE(),UPPER(INDEX(Binders!$J$6:$J$30,MATCH(Q1458,Binders!$I$6:$I$30,0))&amp;"")="TRUE"),FALSE()))</f>
        <v/>
      </c>
    </row>
    <row r="1459" ht="15.75" customHeight="1">
      <c r="A1459" s="80" t="str">
        <f t="array" ref="A1459">IF(INDEX('Deck 5'!$A:$Z,ROW()-1250,'List Setup'!$D$7)="","",INDEX('Deck 5'!$A:$Z,ROW()-1250,'List Setup'!$D$7))</f>
        <v/>
      </c>
      <c r="B1459" s="80" t="str">
        <f t="array" ref="B1459">IF(A1459="","",IFERROR(INDEX('Binder Setup'!$B$2:$B$401,MIN(IF(ISNUMBER(SEARCH(CHAR(10)&amp;'Binder Setup'!$B$2:$B$401&amp;CHAR(10),$H1459)),'List Setup'!$Q$2:$Q$401,999),IF(ISNUMBER(SEARCH(CHAR(10)&amp;'Set Aliases'!$A$2:$A$501&amp;CHAR(10),$H1459)),'Set Aliases'!$C$2:$C$501,999))),"(none)"))</f>
        <v/>
      </c>
      <c r="C1459" s="80" t="str">
        <f t="shared" si="1"/>
        <v/>
      </c>
      <c r="D1459" s="80" t="str">
        <f t="array" ref="D1459">IF(A1459="","",IF(ISLOGICAL(INDEX('Deck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59" s="80" t="str">
        <f t="shared" si="2"/>
        <v/>
      </c>
      <c r="F1459" s="80" t="str">
        <f t="array" ref="F1459">IF(A1459="","",IF(ISNUMBER(J1459),J1459,IF(ISNUMBER(INDEX('Deck 5'!$A:$Z,ROW()-1250,'List Setup'!$F$7)),INDEX('Deck 5'!$A:$Z,ROW()-1250,'List Setup'!$F$7),0)))</f>
        <v/>
      </c>
      <c r="G1459" s="80" t="str">
        <f t="array" ref="G1459">IF(A1459="","",A1459&amp;IF(N(INDEX('Deck 5'!$A:$Z,ROW()-1250,'List Setup'!$C$7))&gt;1," (x"&amp;INDEX('Deck 5'!$A:$Z,ROW()-1250,'List Setup'!$C$7)&amp;")","")&amp;IF(COUNTIF(Binders!$J$6:$J$30,TRUE())&gt;1," ["&amp;Q1459&amp;"]",""))</f>
        <v/>
      </c>
      <c r="H1459" s="80" t="str">
        <f t="array" ref="H1459">IF(A1459="","",CHAR(10)&amp;INDEX('Deck 5'!$A:$Z,ROW()-1250,'List Setup'!$E$7)&amp;CHAR(10))</f>
        <v/>
      </c>
      <c r="I1459" s="80" t="str">
        <f t="array" ref="I1459">IF(OR(B1459="",B1459="(none)"),"",IF(ISNUMBER(SEARCH(CHAR(10)&amp;B1459&amp;CHAR(10),H1459)),B1459,IFERROR(INDEX('Set Aliases'!$A$2:$A$501,MATCH(1,('Set Aliases'!$B$2:$B$501=B1459)*ISNUMBER(SEARCH(CHAR(10)&amp;'Set Aliases'!$A$2:$A$501&amp;CHAR(10),H1459)),0)),"")))</f>
        <v/>
      </c>
      <c r="J1459" s="80" t="str">
        <f t="array" ref="J1459">IF(I1459="","",IFERROR(VALUE(TRIM(MID(SUBSTITUTE(INDEX('Deck 5'!$A:$Z,ROW()-1250,'List Setup'!$G$7),CHAR(10),REPT(" ",100)),((SEARCH(CHAR(10)&amp;I1459&amp;CHAR(10),H1459)-LEN(SUBSTITUTE(LEFT(H1459,SEARCH(CHAR(10)&amp;I1459&amp;CHAR(10),H1459)),CHAR(10),"")))-1)*100+1,100))),""))</f>
        <v/>
      </c>
      <c r="K1459" s="80" t="str">
        <f t="array" ref="K1459">IF(A1459="","",IF(ISNUMBER(SEARCH("Land",LEFT(IFERROR(INDEX('Deck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59" s="80" t="str">
        <f t="shared" si="3"/>
        <v/>
      </c>
      <c r="M1459" s="80" t="str">
        <f>IF(A1459="","",IF(AND(E1459="Y",B1459='Use at Shop'!$B$4),K1459*10000000000+(MAX(0,MIN(26,CODE(MID(UPPER(A1459)&amp;"    ",1,1))-64))*19683+MAX(0,MIN(26,CODE(MID(UPPER(A1459)&amp;"    ",2,1))-64))*729+MAX(0,MIN(26,CODE(MID(UPPER(A1459)&amp;"    ",3,1))-64))*27+MAX(0,MIN(26,CODE(MID(UPPER(A1459)&amp;"    ",4,1))-64))*1)*10000+ROW(),""))</f>
        <v/>
      </c>
      <c r="N1459" s="80" t="str">
        <f t="shared" si="9"/>
        <v/>
      </c>
      <c r="O1459" s="80" t="str">
        <f t="array" ref="O1459">IF(A1459="","",IFERROR(INDEX('Deck 5'!$A:$Z,ROW()-1250,'List Setup'!$J$7)&amp;"",""))</f>
        <v/>
      </c>
      <c r="P1459" s="2"/>
      <c r="Q1459" s="80" t="str">
        <f>IF(A1459="","",'List Setup'!$A$7)</f>
        <v/>
      </c>
      <c r="R1459" s="80" t="str">
        <f t="array" ref="R1459">IF(A1459="","",IFERROR(OR(INDEX(Binders!$J$6:$J$30,MATCH(Q1459,Binders!$I$6:$I$30,0))=TRUE(),UPPER(INDEX(Binders!$J$6:$J$30,MATCH(Q1459,Binders!$I$6:$I$30,0))&amp;"")="TRUE"),FALSE()))</f>
        <v/>
      </c>
    </row>
    <row r="1460" ht="15.75" customHeight="1">
      <c r="A1460" s="80" t="str">
        <f t="array" ref="A1460">IF(INDEX('Deck 5'!$A:$Z,ROW()-1250,'List Setup'!$D$7)="","",INDEX('Deck 5'!$A:$Z,ROW()-1250,'List Setup'!$D$7))</f>
        <v/>
      </c>
      <c r="B1460" s="80" t="str">
        <f t="array" ref="B1460">IF(A1460="","",IFERROR(INDEX('Binder Setup'!$B$2:$B$401,MIN(IF(ISNUMBER(SEARCH(CHAR(10)&amp;'Binder Setup'!$B$2:$B$401&amp;CHAR(10),$H1460)),'List Setup'!$Q$2:$Q$401,999),IF(ISNUMBER(SEARCH(CHAR(10)&amp;'Set Aliases'!$A$2:$A$501&amp;CHAR(10),$H1460)),'Set Aliases'!$C$2:$C$501,999))),"(none)"))</f>
        <v/>
      </c>
      <c r="C1460" s="80" t="str">
        <f t="shared" si="1"/>
        <v/>
      </c>
      <c r="D1460" s="80" t="str">
        <f t="array" ref="D1460">IF(A1460="","",IF(ISLOGICAL(INDEX('Deck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60" s="80" t="str">
        <f t="shared" si="2"/>
        <v/>
      </c>
      <c r="F1460" s="80" t="str">
        <f t="array" ref="F1460">IF(A1460="","",IF(ISNUMBER(J1460),J1460,IF(ISNUMBER(INDEX('Deck 5'!$A:$Z,ROW()-1250,'List Setup'!$F$7)),INDEX('Deck 5'!$A:$Z,ROW()-1250,'List Setup'!$F$7),0)))</f>
        <v/>
      </c>
      <c r="G1460" s="80" t="str">
        <f t="array" ref="G1460">IF(A1460="","",A1460&amp;IF(N(INDEX('Deck 5'!$A:$Z,ROW()-1250,'List Setup'!$C$7))&gt;1," (x"&amp;INDEX('Deck 5'!$A:$Z,ROW()-1250,'List Setup'!$C$7)&amp;")","")&amp;IF(COUNTIF(Binders!$J$6:$J$30,TRUE())&gt;1," ["&amp;Q1460&amp;"]",""))</f>
        <v/>
      </c>
      <c r="H1460" s="80" t="str">
        <f t="array" ref="H1460">IF(A1460="","",CHAR(10)&amp;INDEX('Deck 5'!$A:$Z,ROW()-1250,'List Setup'!$E$7)&amp;CHAR(10))</f>
        <v/>
      </c>
      <c r="I1460" s="80" t="str">
        <f t="array" ref="I1460">IF(OR(B1460="",B1460="(none)"),"",IF(ISNUMBER(SEARCH(CHAR(10)&amp;B1460&amp;CHAR(10),H1460)),B1460,IFERROR(INDEX('Set Aliases'!$A$2:$A$501,MATCH(1,('Set Aliases'!$B$2:$B$501=B1460)*ISNUMBER(SEARCH(CHAR(10)&amp;'Set Aliases'!$A$2:$A$501&amp;CHAR(10),H1460)),0)),"")))</f>
        <v/>
      </c>
      <c r="J1460" s="80" t="str">
        <f t="array" ref="J1460">IF(I1460="","",IFERROR(VALUE(TRIM(MID(SUBSTITUTE(INDEX('Deck 5'!$A:$Z,ROW()-1250,'List Setup'!$G$7),CHAR(10),REPT(" ",100)),((SEARCH(CHAR(10)&amp;I1460&amp;CHAR(10),H1460)-LEN(SUBSTITUTE(LEFT(H1460,SEARCH(CHAR(10)&amp;I1460&amp;CHAR(10),H1460)),CHAR(10),"")))-1)*100+1,100))),""))</f>
        <v/>
      </c>
      <c r="K1460" s="80" t="str">
        <f t="array" ref="K1460">IF(A1460="","",IF(ISNUMBER(SEARCH("Land",LEFT(IFERROR(INDEX('Deck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60" s="80" t="str">
        <f t="shared" si="3"/>
        <v/>
      </c>
      <c r="M1460" s="80" t="str">
        <f>IF(A1460="","",IF(AND(E1460="Y",B1460='Use at Shop'!$B$4),K1460*10000000000+(MAX(0,MIN(26,CODE(MID(UPPER(A1460)&amp;"    ",1,1))-64))*19683+MAX(0,MIN(26,CODE(MID(UPPER(A1460)&amp;"    ",2,1))-64))*729+MAX(0,MIN(26,CODE(MID(UPPER(A1460)&amp;"    ",3,1))-64))*27+MAX(0,MIN(26,CODE(MID(UPPER(A1460)&amp;"    ",4,1))-64))*1)*10000+ROW(),""))</f>
        <v/>
      </c>
      <c r="N1460" s="80" t="str">
        <f t="shared" si="9"/>
        <v/>
      </c>
      <c r="O1460" s="80" t="str">
        <f t="array" ref="O1460">IF(A1460="","",IFERROR(INDEX('Deck 5'!$A:$Z,ROW()-1250,'List Setup'!$J$7)&amp;"",""))</f>
        <v/>
      </c>
      <c r="P1460" s="2"/>
      <c r="Q1460" s="80" t="str">
        <f>IF(A1460="","",'List Setup'!$A$7)</f>
        <v/>
      </c>
      <c r="R1460" s="80" t="str">
        <f t="array" ref="R1460">IF(A1460="","",IFERROR(OR(INDEX(Binders!$J$6:$J$30,MATCH(Q1460,Binders!$I$6:$I$30,0))=TRUE(),UPPER(INDEX(Binders!$J$6:$J$30,MATCH(Q1460,Binders!$I$6:$I$30,0))&amp;"")="TRUE"),FALSE()))</f>
        <v/>
      </c>
    </row>
    <row r="1461" ht="15.75" customHeight="1">
      <c r="A1461" s="80" t="str">
        <f t="array" ref="A1461">IF(INDEX('Deck 5'!$A:$Z,ROW()-1250,'List Setup'!$D$7)="","",INDEX('Deck 5'!$A:$Z,ROW()-1250,'List Setup'!$D$7))</f>
        <v/>
      </c>
      <c r="B1461" s="80" t="str">
        <f t="array" ref="B1461">IF(A1461="","",IFERROR(INDEX('Binder Setup'!$B$2:$B$401,MIN(IF(ISNUMBER(SEARCH(CHAR(10)&amp;'Binder Setup'!$B$2:$B$401&amp;CHAR(10),$H1461)),'List Setup'!$Q$2:$Q$401,999),IF(ISNUMBER(SEARCH(CHAR(10)&amp;'Set Aliases'!$A$2:$A$501&amp;CHAR(10),$H1461)),'Set Aliases'!$C$2:$C$501,999))),"(none)"))</f>
        <v/>
      </c>
      <c r="C1461" s="80" t="str">
        <f t="shared" si="1"/>
        <v/>
      </c>
      <c r="D1461" s="80" t="str">
        <f t="array" ref="D1461">IF(A1461="","",IF(ISLOGICAL(INDEX('Deck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61" s="80" t="str">
        <f t="shared" si="2"/>
        <v/>
      </c>
      <c r="F1461" s="80" t="str">
        <f t="array" ref="F1461">IF(A1461="","",IF(ISNUMBER(J1461),J1461,IF(ISNUMBER(INDEX('Deck 5'!$A:$Z,ROW()-1250,'List Setup'!$F$7)),INDEX('Deck 5'!$A:$Z,ROW()-1250,'List Setup'!$F$7),0)))</f>
        <v/>
      </c>
      <c r="G1461" s="80" t="str">
        <f t="array" ref="G1461">IF(A1461="","",A1461&amp;IF(N(INDEX('Deck 5'!$A:$Z,ROW()-1250,'List Setup'!$C$7))&gt;1," (x"&amp;INDEX('Deck 5'!$A:$Z,ROW()-1250,'List Setup'!$C$7)&amp;")","")&amp;IF(COUNTIF(Binders!$J$6:$J$30,TRUE())&gt;1," ["&amp;Q1461&amp;"]",""))</f>
        <v/>
      </c>
      <c r="H1461" s="80" t="str">
        <f t="array" ref="H1461">IF(A1461="","",CHAR(10)&amp;INDEX('Deck 5'!$A:$Z,ROW()-1250,'List Setup'!$E$7)&amp;CHAR(10))</f>
        <v/>
      </c>
      <c r="I1461" s="80" t="str">
        <f t="array" ref="I1461">IF(OR(B1461="",B1461="(none)"),"",IF(ISNUMBER(SEARCH(CHAR(10)&amp;B1461&amp;CHAR(10),H1461)),B1461,IFERROR(INDEX('Set Aliases'!$A$2:$A$501,MATCH(1,('Set Aliases'!$B$2:$B$501=B1461)*ISNUMBER(SEARCH(CHAR(10)&amp;'Set Aliases'!$A$2:$A$501&amp;CHAR(10),H1461)),0)),"")))</f>
        <v/>
      </c>
      <c r="J1461" s="80" t="str">
        <f t="array" ref="J1461">IF(I1461="","",IFERROR(VALUE(TRIM(MID(SUBSTITUTE(INDEX('Deck 5'!$A:$Z,ROW()-1250,'List Setup'!$G$7),CHAR(10),REPT(" ",100)),((SEARCH(CHAR(10)&amp;I1461&amp;CHAR(10),H1461)-LEN(SUBSTITUTE(LEFT(H1461,SEARCH(CHAR(10)&amp;I1461&amp;CHAR(10),H1461)),CHAR(10),"")))-1)*100+1,100))),""))</f>
        <v/>
      </c>
      <c r="K1461" s="80" t="str">
        <f t="array" ref="K1461">IF(A1461="","",IF(ISNUMBER(SEARCH("Land",LEFT(IFERROR(INDEX('Deck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61" s="80" t="str">
        <f t="shared" si="3"/>
        <v/>
      </c>
      <c r="M1461" s="80" t="str">
        <f>IF(A1461="","",IF(AND(E1461="Y",B1461='Use at Shop'!$B$4),K1461*10000000000+(MAX(0,MIN(26,CODE(MID(UPPER(A1461)&amp;"    ",1,1))-64))*19683+MAX(0,MIN(26,CODE(MID(UPPER(A1461)&amp;"    ",2,1))-64))*729+MAX(0,MIN(26,CODE(MID(UPPER(A1461)&amp;"    ",3,1))-64))*27+MAX(0,MIN(26,CODE(MID(UPPER(A1461)&amp;"    ",4,1))-64))*1)*10000+ROW(),""))</f>
        <v/>
      </c>
      <c r="N1461" s="80" t="str">
        <f t="shared" si="9"/>
        <v/>
      </c>
      <c r="O1461" s="80" t="str">
        <f t="array" ref="O1461">IF(A1461="","",IFERROR(INDEX('Deck 5'!$A:$Z,ROW()-1250,'List Setup'!$J$7)&amp;"",""))</f>
        <v/>
      </c>
      <c r="P1461" s="2"/>
      <c r="Q1461" s="80" t="str">
        <f>IF(A1461="","",'List Setup'!$A$7)</f>
        <v/>
      </c>
      <c r="R1461" s="80" t="str">
        <f t="array" ref="R1461">IF(A1461="","",IFERROR(OR(INDEX(Binders!$J$6:$J$30,MATCH(Q1461,Binders!$I$6:$I$30,0))=TRUE(),UPPER(INDEX(Binders!$J$6:$J$30,MATCH(Q1461,Binders!$I$6:$I$30,0))&amp;"")="TRUE"),FALSE()))</f>
        <v/>
      </c>
    </row>
    <row r="1462" ht="15.75" customHeight="1">
      <c r="A1462" s="80" t="str">
        <f t="array" ref="A1462">IF(INDEX('Deck 5'!$A:$Z,ROW()-1250,'List Setup'!$D$7)="","",INDEX('Deck 5'!$A:$Z,ROW()-1250,'List Setup'!$D$7))</f>
        <v/>
      </c>
      <c r="B1462" s="80" t="str">
        <f t="array" ref="B1462">IF(A1462="","",IFERROR(INDEX('Binder Setup'!$B$2:$B$401,MIN(IF(ISNUMBER(SEARCH(CHAR(10)&amp;'Binder Setup'!$B$2:$B$401&amp;CHAR(10),$H1462)),'List Setup'!$Q$2:$Q$401,999),IF(ISNUMBER(SEARCH(CHAR(10)&amp;'Set Aliases'!$A$2:$A$501&amp;CHAR(10),$H1462)),'Set Aliases'!$C$2:$C$501,999))),"(none)"))</f>
        <v/>
      </c>
      <c r="C1462" s="80" t="str">
        <f t="shared" si="1"/>
        <v/>
      </c>
      <c r="D1462" s="80" t="str">
        <f t="array" ref="D1462">IF(A1462="","",IF(ISLOGICAL(INDEX('Deck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62" s="80" t="str">
        <f t="shared" si="2"/>
        <v/>
      </c>
      <c r="F1462" s="80" t="str">
        <f t="array" ref="F1462">IF(A1462="","",IF(ISNUMBER(J1462),J1462,IF(ISNUMBER(INDEX('Deck 5'!$A:$Z,ROW()-1250,'List Setup'!$F$7)),INDEX('Deck 5'!$A:$Z,ROW()-1250,'List Setup'!$F$7),0)))</f>
        <v/>
      </c>
      <c r="G1462" s="80" t="str">
        <f t="array" ref="G1462">IF(A1462="","",A1462&amp;IF(N(INDEX('Deck 5'!$A:$Z,ROW()-1250,'List Setup'!$C$7))&gt;1," (x"&amp;INDEX('Deck 5'!$A:$Z,ROW()-1250,'List Setup'!$C$7)&amp;")","")&amp;IF(COUNTIF(Binders!$J$6:$J$30,TRUE())&gt;1," ["&amp;Q1462&amp;"]",""))</f>
        <v/>
      </c>
      <c r="H1462" s="80" t="str">
        <f t="array" ref="H1462">IF(A1462="","",CHAR(10)&amp;INDEX('Deck 5'!$A:$Z,ROW()-1250,'List Setup'!$E$7)&amp;CHAR(10))</f>
        <v/>
      </c>
      <c r="I1462" s="80" t="str">
        <f t="array" ref="I1462">IF(OR(B1462="",B1462="(none)"),"",IF(ISNUMBER(SEARCH(CHAR(10)&amp;B1462&amp;CHAR(10),H1462)),B1462,IFERROR(INDEX('Set Aliases'!$A$2:$A$501,MATCH(1,('Set Aliases'!$B$2:$B$501=B1462)*ISNUMBER(SEARCH(CHAR(10)&amp;'Set Aliases'!$A$2:$A$501&amp;CHAR(10),H1462)),0)),"")))</f>
        <v/>
      </c>
      <c r="J1462" s="80" t="str">
        <f t="array" ref="J1462">IF(I1462="","",IFERROR(VALUE(TRIM(MID(SUBSTITUTE(INDEX('Deck 5'!$A:$Z,ROW()-1250,'List Setup'!$G$7),CHAR(10),REPT(" ",100)),((SEARCH(CHAR(10)&amp;I1462&amp;CHAR(10),H1462)-LEN(SUBSTITUTE(LEFT(H1462,SEARCH(CHAR(10)&amp;I1462&amp;CHAR(10),H1462)),CHAR(10),"")))-1)*100+1,100))),""))</f>
        <v/>
      </c>
      <c r="K1462" s="80" t="str">
        <f t="array" ref="K1462">IF(A1462="","",IF(ISNUMBER(SEARCH("Land",LEFT(IFERROR(INDEX('Deck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62" s="80" t="str">
        <f t="shared" si="3"/>
        <v/>
      </c>
      <c r="M1462" s="80" t="str">
        <f>IF(A1462="","",IF(AND(E1462="Y",B1462='Use at Shop'!$B$4),K1462*10000000000+(MAX(0,MIN(26,CODE(MID(UPPER(A1462)&amp;"    ",1,1))-64))*19683+MAX(0,MIN(26,CODE(MID(UPPER(A1462)&amp;"    ",2,1))-64))*729+MAX(0,MIN(26,CODE(MID(UPPER(A1462)&amp;"    ",3,1))-64))*27+MAX(0,MIN(26,CODE(MID(UPPER(A1462)&amp;"    ",4,1))-64))*1)*10000+ROW(),""))</f>
        <v/>
      </c>
      <c r="N1462" s="80" t="str">
        <f t="shared" si="9"/>
        <v/>
      </c>
      <c r="O1462" s="80" t="str">
        <f t="array" ref="O1462">IF(A1462="","",IFERROR(INDEX('Deck 5'!$A:$Z,ROW()-1250,'List Setup'!$J$7)&amp;"",""))</f>
        <v/>
      </c>
      <c r="P1462" s="2"/>
      <c r="Q1462" s="80" t="str">
        <f>IF(A1462="","",'List Setup'!$A$7)</f>
        <v/>
      </c>
      <c r="R1462" s="80" t="str">
        <f t="array" ref="R1462">IF(A1462="","",IFERROR(OR(INDEX(Binders!$J$6:$J$30,MATCH(Q1462,Binders!$I$6:$I$30,0))=TRUE(),UPPER(INDEX(Binders!$J$6:$J$30,MATCH(Q1462,Binders!$I$6:$I$30,0))&amp;"")="TRUE"),FALSE()))</f>
        <v/>
      </c>
    </row>
    <row r="1463" ht="15.75" customHeight="1">
      <c r="A1463" s="80" t="str">
        <f t="array" ref="A1463">IF(INDEX('Deck 5'!$A:$Z,ROW()-1250,'List Setup'!$D$7)="","",INDEX('Deck 5'!$A:$Z,ROW()-1250,'List Setup'!$D$7))</f>
        <v/>
      </c>
      <c r="B1463" s="80" t="str">
        <f t="array" ref="B1463">IF(A1463="","",IFERROR(INDEX('Binder Setup'!$B$2:$B$401,MIN(IF(ISNUMBER(SEARCH(CHAR(10)&amp;'Binder Setup'!$B$2:$B$401&amp;CHAR(10),$H1463)),'List Setup'!$Q$2:$Q$401,999),IF(ISNUMBER(SEARCH(CHAR(10)&amp;'Set Aliases'!$A$2:$A$501&amp;CHAR(10),$H1463)),'Set Aliases'!$C$2:$C$501,999))),"(none)"))</f>
        <v/>
      </c>
      <c r="C1463" s="80" t="str">
        <f t="shared" si="1"/>
        <v/>
      </c>
      <c r="D1463" s="80" t="str">
        <f t="array" ref="D1463">IF(A1463="","",IF(ISLOGICAL(INDEX('Deck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63" s="80" t="str">
        <f t="shared" si="2"/>
        <v/>
      </c>
      <c r="F1463" s="80" t="str">
        <f t="array" ref="F1463">IF(A1463="","",IF(ISNUMBER(J1463),J1463,IF(ISNUMBER(INDEX('Deck 5'!$A:$Z,ROW()-1250,'List Setup'!$F$7)),INDEX('Deck 5'!$A:$Z,ROW()-1250,'List Setup'!$F$7),0)))</f>
        <v/>
      </c>
      <c r="G1463" s="80" t="str">
        <f t="array" ref="G1463">IF(A1463="","",A1463&amp;IF(N(INDEX('Deck 5'!$A:$Z,ROW()-1250,'List Setup'!$C$7))&gt;1," (x"&amp;INDEX('Deck 5'!$A:$Z,ROW()-1250,'List Setup'!$C$7)&amp;")","")&amp;IF(COUNTIF(Binders!$J$6:$J$30,TRUE())&gt;1," ["&amp;Q1463&amp;"]",""))</f>
        <v/>
      </c>
      <c r="H1463" s="80" t="str">
        <f t="array" ref="H1463">IF(A1463="","",CHAR(10)&amp;INDEX('Deck 5'!$A:$Z,ROW()-1250,'List Setup'!$E$7)&amp;CHAR(10))</f>
        <v/>
      </c>
      <c r="I1463" s="80" t="str">
        <f t="array" ref="I1463">IF(OR(B1463="",B1463="(none)"),"",IF(ISNUMBER(SEARCH(CHAR(10)&amp;B1463&amp;CHAR(10),H1463)),B1463,IFERROR(INDEX('Set Aliases'!$A$2:$A$501,MATCH(1,('Set Aliases'!$B$2:$B$501=B1463)*ISNUMBER(SEARCH(CHAR(10)&amp;'Set Aliases'!$A$2:$A$501&amp;CHAR(10),H1463)),0)),"")))</f>
        <v/>
      </c>
      <c r="J1463" s="80" t="str">
        <f t="array" ref="J1463">IF(I1463="","",IFERROR(VALUE(TRIM(MID(SUBSTITUTE(INDEX('Deck 5'!$A:$Z,ROW()-1250,'List Setup'!$G$7),CHAR(10),REPT(" ",100)),((SEARCH(CHAR(10)&amp;I1463&amp;CHAR(10),H1463)-LEN(SUBSTITUTE(LEFT(H1463,SEARCH(CHAR(10)&amp;I1463&amp;CHAR(10),H1463)),CHAR(10),"")))-1)*100+1,100))),""))</f>
        <v/>
      </c>
      <c r="K1463" s="80" t="str">
        <f t="array" ref="K1463">IF(A1463="","",IF(ISNUMBER(SEARCH("Land",LEFT(IFERROR(INDEX('Deck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63" s="80" t="str">
        <f t="shared" si="3"/>
        <v/>
      </c>
      <c r="M1463" s="80" t="str">
        <f>IF(A1463="","",IF(AND(E1463="Y",B1463='Use at Shop'!$B$4),K1463*10000000000+(MAX(0,MIN(26,CODE(MID(UPPER(A1463)&amp;"    ",1,1))-64))*19683+MAX(0,MIN(26,CODE(MID(UPPER(A1463)&amp;"    ",2,1))-64))*729+MAX(0,MIN(26,CODE(MID(UPPER(A1463)&amp;"    ",3,1))-64))*27+MAX(0,MIN(26,CODE(MID(UPPER(A1463)&amp;"    ",4,1))-64))*1)*10000+ROW(),""))</f>
        <v/>
      </c>
      <c r="N1463" s="80" t="str">
        <f t="shared" si="9"/>
        <v/>
      </c>
      <c r="O1463" s="80" t="str">
        <f t="array" ref="O1463">IF(A1463="","",IFERROR(INDEX('Deck 5'!$A:$Z,ROW()-1250,'List Setup'!$J$7)&amp;"",""))</f>
        <v/>
      </c>
      <c r="P1463" s="2"/>
      <c r="Q1463" s="80" t="str">
        <f>IF(A1463="","",'List Setup'!$A$7)</f>
        <v/>
      </c>
      <c r="R1463" s="80" t="str">
        <f t="array" ref="R1463">IF(A1463="","",IFERROR(OR(INDEX(Binders!$J$6:$J$30,MATCH(Q1463,Binders!$I$6:$I$30,0))=TRUE(),UPPER(INDEX(Binders!$J$6:$J$30,MATCH(Q1463,Binders!$I$6:$I$30,0))&amp;"")="TRUE"),FALSE()))</f>
        <v/>
      </c>
    </row>
    <row r="1464" ht="15.75" customHeight="1">
      <c r="A1464" s="80" t="str">
        <f t="array" ref="A1464">IF(INDEX('Deck 5'!$A:$Z,ROW()-1250,'List Setup'!$D$7)="","",INDEX('Deck 5'!$A:$Z,ROW()-1250,'List Setup'!$D$7))</f>
        <v/>
      </c>
      <c r="B1464" s="80" t="str">
        <f t="array" ref="B1464">IF(A1464="","",IFERROR(INDEX('Binder Setup'!$B$2:$B$401,MIN(IF(ISNUMBER(SEARCH(CHAR(10)&amp;'Binder Setup'!$B$2:$B$401&amp;CHAR(10),$H1464)),'List Setup'!$Q$2:$Q$401,999),IF(ISNUMBER(SEARCH(CHAR(10)&amp;'Set Aliases'!$A$2:$A$501&amp;CHAR(10),$H1464)),'Set Aliases'!$C$2:$C$501,999))),"(none)"))</f>
        <v/>
      </c>
      <c r="C1464" s="80" t="str">
        <f t="shared" si="1"/>
        <v/>
      </c>
      <c r="D1464" s="80" t="str">
        <f t="array" ref="D1464">IF(A1464="","",IF(ISLOGICAL(INDEX('Deck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64" s="80" t="str">
        <f t="shared" si="2"/>
        <v/>
      </c>
      <c r="F1464" s="80" t="str">
        <f t="array" ref="F1464">IF(A1464="","",IF(ISNUMBER(J1464),J1464,IF(ISNUMBER(INDEX('Deck 5'!$A:$Z,ROW()-1250,'List Setup'!$F$7)),INDEX('Deck 5'!$A:$Z,ROW()-1250,'List Setup'!$F$7),0)))</f>
        <v/>
      </c>
      <c r="G1464" s="80" t="str">
        <f t="array" ref="G1464">IF(A1464="","",A1464&amp;IF(N(INDEX('Deck 5'!$A:$Z,ROW()-1250,'List Setup'!$C$7))&gt;1," (x"&amp;INDEX('Deck 5'!$A:$Z,ROW()-1250,'List Setup'!$C$7)&amp;")","")&amp;IF(COUNTIF(Binders!$J$6:$J$30,TRUE())&gt;1," ["&amp;Q1464&amp;"]",""))</f>
        <v/>
      </c>
      <c r="H1464" s="80" t="str">
        <f t="array" ref="H1464">IF(A1464="","",CHAR(10)&amp;INDEX('Deck 5'!$A:$Z,ROW()-1250,'List Setup'!$E$7)&amp;CHAR(10))</f>
        <v/>
      </c>
      <c r="I1464" s="80" t="str">
        <f t="array" ref="I1464">IF(OR(B1464="",B1464="(none)"),"",IF(ISNUMBER(SEARCH(CHAR(10)&amp;B1464&amp;CHAR(10),H1464)),B1464,IFERROR(INDEX('Set Aliases'!$A$2:$A$501,MATCH(1,('Set Aliases'!$B$2:$B$501=B1464)*ISNUMBER(SEARCH(CHAR(10)&amp;'Set Aliases'!$A$2:$A$501&amp;CHAR(10),H1464)),0)),"")))</f>
        <v/>
      </c>
      <c r="J1464" s="80" t="str">
        <f t="array" ref="J1464">IF(I1464="","",IFERROR(VALUE(TRIM(MID(SUBSTITUTE(INDEX('Deck 5'!$A:$Z,ROW()-1250,'List Setup'!$G$7),CHAR(10),REPT(" ",100)),((SEARCH(CHAR(10)&amp;I1464&amp;CHAR(10),H1464)-LEN(SUBSTITUTE(LEFT(H1464,SEARCH(CHAR(10)&amp;I1464&amp;CHAR(10),H1464)),CHAR(10),"")))-1)*100+1,100))),""))</f>
        <v/>
      </c>
      <c r="K1464" s="80" t="str">
        <f t="array" ref="K1464">IF(A1464="","",IF(ISNUMBER(SEARCH("Land",LEFT(IFERROR(INDEX('Deck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64" s="80" t="str">
        <f t="shared" si="3"/>
        <v/>
      </c>
      <c r="M1464" s="80" t="str">
        <f>IF(A1464="","",IF(AND(E1464="Y",B1464='Use at Shop'!$B$4),K1464*10000000000+(MAX(0,MIN(26,CODE(MID(UPPER(A1464)&amp;"    ",1,1))-64))*19683+MAX(0,MIN(26,CODE(MID(UPPER(A1464)&amp;"    ",2,1))-64))*729+MAX(0,MIN(26,CODE(MID(UPPER(A1464)&amp;"    ",3,1))-64))*27+MAX(0,MIN(26,CODE(MID(UPPER(A1464)&amp;"    ",4,1))-64))*1)*10000+ROW(),""))</f>
        <v/>
      </c>
      <c r="N1464" s="80" t="str">
        <f t="shared" si="9"/>
        <v/>
      </c>
      <c r="O1464" s="80" t="str">
        <f t="array" ref="O1464">IF(A1464="","",IFERROR(INDEX('Deck 5'!$A:$Z,ROW()-1250,'List Setup'!$J$7)&amp;"",""))</f>
        <v/>
      </c>
      <c r="P1464" s="2"/>
      <c r="Q1464" s="80" t="str">
        <f>IF(A1464="","",'List Setup'!$A$7)</f>
        <v/>
      </c>
      <c r="R1464" s="80" t="str">
        <f t="array" ref="R1464">IF(A1464="","",IFERROR(OR(INDEX(Binders!$J$6:$J$30,MATCH(Q1464,Binders!$I$6:$I$30,0))=TRUE(),UPPER(INDEX(Binders!$J$6:$J$30,MATCH(Q1464,Binders!$I$6:$I$30,0))&amp;"")="TRUE"),FALSE()))</f>
        <v/>
      </c>
    </row>
    <row r="1465" ht="15.75" customHeight="1">
      <c r="A1465" s="80" t="str">
        <f t="array" ref="A1465">IF(INDEX('Deck 5'!$A:$Z,ROW()-1250,'List Setup'!$D$7)="","",INDEX('Deck 5'!$A:$Z,ROW()-1250,'List Setup'!$D$7))</f>
        <v/>
      </c>
      <c r="B1465" s="80" t="str">
        <f t="array" ref="B1465">IF(A1465="","",IFERROR(INDEX('Binder Setup'!$B$2:$B$401,MIN(IF(ISNUMBER(SEARCH(CHAR(10)&amp;'Binder Setup'!$B$2:$B$401&amp;CHAR(10),$H1465)),'List Setup'!$Q$2:$Q$401,999),IF(ISNUMBER(SEARCH(CHAR(10)&amp;'Set Aliases'!$A$2:$A$501&amp;CHAR(10),$H1465)),'Set Aliases'!$C$2:$C$501,999))),"(none)"))</f>
        <v/>
      </c>
      <c r="C1465" s="80" t="str">
        <f t="shared" si="1"/>
        <v/>
      </c>
      <c r="D1465" s="80" t="str">
        <f t="array" ref="D1465">IF(A1465="","",IF(ISLOGICAL(INDEX('Deck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65" s="80" t="str">
        <f t="shared" si="2"/>
        <v/>
      </c>
      <c r="F1465" s="80" t="str">
        <f t="array" ref="F1465">IF(A1465="","",IF(ISNUMBER(J1465),J1465,IF(ISNUMBER(INDEX('Deck 5'!$A:$Z,ROW()-1250,'List Setup'!$F$7)),INDEX('Deck 5'!$A:$Z,ROW()-1250,'List Setup'!$F$7),0)))</f>
        <v/>
      </c>
      <c r="G1465" s="80" t="str">
        <f t="array" ref="G1465">IF(A1465="","",A1465&amp;IF(N(INDEX('Deck 5'!$A:$Z,ROW()-1250,'List Setup'!$C$7))&gt;1," (x"&amp;INDEX('Deck 5'!$A:$Z,ROW()-1250,'List Setup'!$C$7)&amp;")","")&amp;IF(COUNTIF(Binders!$J$6:$J$30,TRUE())&gt;1," ["&amp;Q1465&amp;"]",""))</f>
        <v/>
      </c>
      <c r="H1465" s="80" t="str">
        <f t="array" ref="H1465">IF(A1465="","",CHAR(10)&amp;INDEX('Deck 5'!$A:$Z,ROW()-1250,'List Setup'!$E$7)&amp;CHAR(10))</f>
        <v/>
      </c>
      <c r="I1465" s="80" t="str">
        <f t="array" ref="I1465">IF(OR(B1465="",B1465="(none)"),"",IF(ISNUMBER(SEARCH(CHAR(10)&amp;B1465&amp;CHAR(10),H1465)),B1465,IFERROR(INDEX('Set Aliases'!$A$2:$A$501,MATCH(1,('Set Aliases'!$B$2:$B$501=B1465)*ISNUMBER(SEARCH(CHAR(10)&amp;'Set Aliases'!$A$2:$A$501&amp;CHAR(10),H1465)),0)),"")))</f>
        <v/>
      </c>
      <c r="J1465" s="80" t="str">
        <f t="array" ref="J1465">IF(I1465="","",IFERROR(VALUE(TRIM(MID(SUBSTITUTE(INDEX('Deck 5'!$A:$Z,ROW()-1250,'List Setup'!$G$7),CHAR(10),REPT(" ",100)),((SEARCH(CHAR(10)&amp;I1465&amp;CHAR(10),H1465)-LEN(SUBSTITUTE(LEFT(H1465,SEARCH(CHAR(10)&amp;I1465&amp;CHAR(10),H1465)),CHAR(10),"")))-1)*100+1,100))),""))</f>
        <v/>
      </c>
      <c r="K1465" s="80" t="str">
        <f t="array" ref="K1465">IF(A1465="","",IF(ISNUMBER(SEARCH("Land",LEFT(IFERROR(INDEX('Deck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65" s="80" t="str">
        <f t="shared" si="3"/>
        <v/>
      </c>
      <c r="M1465" s="80" t="str">
        <f>IF(A1465="","",IF(AND(E1465="Y",B1465='Use at Shop'!$B$4),K1465*10000000000+(MAX(0,MIN(26,CODE(MID(UPPER(A1465)&amp;"    ",1,1))-64))*19683+MAX(0,MIN(26,CODE(MID(UPPER(A1465)&amp;"    ",2,1))-64))*729+MAX(0,MIN(26,CODE(MID(UPPER(A1465)&amp;"    ",3,1))-64))*27+MAX(0,MIN(26,CODE(MID(UPPER(A1465)&amp;"    ",4,1))-64))*1)*10000+ROW(),""))</f>
        <v/>
      </c>
      <c r="N1465" s="80" t="str">
        <f t="shared" si="9"/>
        <v/>
      </c>
      <c r="O1465" s="80" t="str">
        <f t="array" ref="O1465">IF(A1465="","",IFERROR(INDEX('Deck 5'!$A:$Z,ROW()-1250,'List Setup'!$J$7)&amp;"",""))</f>
        <v/>
      </c>
      <c r="P1465" s="2"/>
      <c r="Q1465" s="80" t="str">
        <f>IF(A1465="","",'List Setup'!$A$7)</f>
        <v/>
      </c>
      <c r="R1465" s="80" t="str">
        <f t="array" ref="R1465">IF(A1465="","",IFERROR(OR(INDEX(Binders!$J$6:$J$30,MATCH(Q1465,Binders!$I$6:$I$30,0))=TRUE(),UPPER(INDEX(Binders!$J$6:$J$30,MATCH(Q1465,Binders!$I$6:$I$30,0))&amp;"")="TRUE"),FALSE()))</f>
        <v/>
      </c>
    </row>
    <row r="1466" ht="15.75" customHeight="1">
      <c r="A1466" s="80" t="str">
        <f t="array" ref="A1466">IF(INDEX('Deck 5'!$A:$Z,ROW()-1250,'List Setup'!$D$7)="","",INDEX('Deck 5'!$A:$Z,ROW()-1250,'List Setup'!$D$7))</f>
        <v/>
      </c>
      <c r="B1466" s="80" t="str">
        <f t="array" ref="B1466">IF(A1466="","",IFERROR(INDEX('Binder Setup'!$B$2:$B$401,MIN(IF(ISNUMBER(SEARCH(CHAR(10)&amp;'Binder Setup'!$B$2:$B$401&amp;CHAR(10),$H1466)),'List Setup'!$Q$2:$Q$401,999),IF(ISNUMBER(SEARCH(CHAR(10)&amp;'Set Aliases'!$A$2:$A$501&amp;CHAR(10),$H1466)),'Set Aliases'!$C$2:$C$501,999))),"(none)"))</f>
        <v/>
      </c>
      <c r="C1466" s="80" t="str">
        <f t="shared" si="1"/>
        <v/>
      </c>
      <c r="D1466" s="80" t="str">
        <f t="array" ref="D1466">IF(A1466="","",IF(ISLOGICAL(INDEX('Deck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66" s="80" t="str">
        <f t="shared" si="2"/>
        <v/>
      </c>
      <c r="F1466" s="80" t="str">
        <f t="array" ref="F1466">IF(A1466="","",IF(ISNUMBER(J1466),J1466,IF(ISNUMBER(INDEX('Deck 5'!$A:$Z,ROW()-1250,'List Setup'!$F$7)),INDEX('Deck 5'!$A:$Z,ROW()-1250,'List Setup'!$F$7),0)))</f>
        <v/>
      </c>
      <c r="G1466" s="80" t="str">
        <f t="array" ref="G1466">IF(A1466="","",A1466&amp;IF(N(INDEX('Deck 5'!$A:$Z,ROW()-1250,'List Setup'!$C$7))&gt;1," (x"&amp;INDEX('Deck 5'!$A:$Z,ROW()-1250,'List Setup'!$C$7)&amp;")","")&amp;IF(COUNTIF(Binders!$J$6:$J$30,TRUE())&gt;1," ["&amp;Q1466&amp;"]",""))</f>
        <v/>
      </c>
      <c r="H1466" s="80" t="str">
        <f t="array" ref="H1466">IF(A1466="","",CHAR(10)&amp;INDEX('Deck 5'!$A:$Z,ROW()-1250,'List Setup'!$E$7)&amp;CHAR(10))</f>
        <v/>
      </c>
      <c r="I1466" s="80" t="str">
        <f t="array" ref="I1466">IF(OR(B1466="",B1466="(none)"),"",IF(ISNUMBER(SEARCH(CHAR(10)&amp;B1466&amp;CHAR(10),H1466)),B1466,IFERROR(INDEX('Set Aliases'!$A$2:$A$501,MATCH(1,('Set Aliases'!$B$2:$B$501=B1466)*ISNUMBER(SEARCH(CHAR(10)&amp;'Set Aliases'!$A$2:$A$501&amp;CHAR(10),H1466)),0)),"")))</f>
        <v/>
      </c>
      <c r="J1466" s="80" t="str">
        <f t="array" ref="J1466">IF(I1466="","",IFERROR(VALUE(TRIM(MID(SUBSTITUTE(INDEX('Deck 5'!$A:$Z,ROW()-1250,'List Setup'!$G$7),CHAR(10),REPT(" ",100)),((SEARCH(CHAR(10)&amp;I1466&amp;CHAR(10),H1466)-LEN(SUBSTITUTE(LEFT(H1466,SEARCH(CHAR(10)&amp;I1466&amp;CHAR(10),H1466)),CHAR(10),"")))-1)*100+1,100))),""))</f>
        <v/>
      </c>
      <c r="K1466" s="80" t="str">
        <f t="array" ref="K1466">IF(A1466="","",IF(ISNUMBER(SEARCH("Land",LEFT(IFERROR(INDEX('Deck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66" s="80" t="str">
        <f t="shared" si="3"/>
        <v/>
      </c>
      <c r="M1466" s="80" t="str">
        <f>IF(A1466="","",IF(AND(E1466="Y",B1466='Use at Shop'!$B$4),K1466*10000000000+(MAX(0,MIN(26,CODE(MID(UPPER(A1466)&amp;"    ",1,1))-64))*19683+MAX(0,MIN(26,CODE(MID(UPPER(A1466)&amp;"    ",2,1))-64))*729+MAX(0,MIN(26,CODE(MID(UPPER(A1466)&amp;"    ",3,1))-64))*27+MAX(0,MIN(26,CODE(MID(UPPER(A1466)&amp;"    ",4,1))-64))*1)*10000+ROW(),""))</f>
        <v/>
      </c>
      <c r="N1466" s="80" t="str">
        <f t="shared" si="9"/>
        <v/>
      </c>
      <c r="O1466" s="80" t="str">
        <f t="array" ref="O1466">IF(A1466="","",IFERROR(INDEX('Deck 5'!$A:$Z,ROW()-1250,'List Setup'!$J$7)&amp;"",""))</f>
        <v/>
      </c>
      <c r="P1466" s="2"/>
      <c r="Q1466" s="80" t="str">
        <f>IF(A1466="","",'List Setup'!$A$7)</f>
        <v/>
      </c>
      <c r="R1466" s="80" t="str">
        <f t="array" ref="R1466">IF(A1466="","",IFERROR(OR(INDEX(Binders!$J$6:$J$30,MATCH(Q1466,Binders!$I$6:$I$30,0))=TRUE(),UPPER(INDEX(Binders!$J$6:$J$30,MATCH(Q1466,Binders!$I$6:$I$30,0))&amp;"")="TRUE"),FALSE()))</f>
        <v/>
      </c>
    </row>
    <row r="1467" ht="15.75" customHeight="1">
      <c r="A1467" s="80" t="str">
        <f t="array" ref="A1467">IF(INDEX('Deck 5'!$A:$Z,ROW()-1250,'List Setup'!$D$7)="","",INDEX('Deck 5'!$A:$Z,ROW()-1250,'List Setup'!$D$7))</f>
        <v/>
      </c>
      <c r="B1467" s="80" t="str">
        <f t="array" ref="B1467">IF(A1467="","",IFERROR(INDEX('Binder Setup'!$B$2:$B$401,MIN(IF(ISNUMBER(SEARCH(CHAR(10)&amp;'Binder Setup'!$B$2:$B$401&amp;CHAR(10),$H1467)),'List Setup'!$Q$2:$Q$401,999),IF(ISNUMBER(SEARCH(CHAR(10)&amp;'Set Aliases'!$A$2:$A$501&amp;CHAR(10),$H1467)),'Set Aliases'!$C$2:$C$501,999))),"(none)"))</f>
        <v/>
      </c>
      <c r="C1467" s="80" t="str">
        <f t="shared" si="1"/>
        <v/>
      </c>
      <c r="D1467" s="80" t="str">
        <f t="array" ref="D1467">IF(A1467="","",IF(ISLOGICAL(INDEX('Deck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67" s="80" t="str">
        <f t="shared" si="2"/>
        <v/>
      </c>
      <c r="F1467" s="80" t="str">
        <f t="array" ref="F1467">IF(A1467="","",IF(ISNUMBER(J1467),J1467,IF(ISNUMBER(INDEX('Deck 5'!$A:$Z,ROW()-1250,'List Setup'!$F$7)),INDEX('Deck 5'!$A:$Z,ROW()-1250,'List Setup'!$F$7),0)))</f>
        <v/>
      </c>
      <c r="G1467" s="80" t="str">
        <f t="array" ref="G1467">IF(A1467="","",A1467&amp;IF(N(INDEX('Deck 5'!$A:$Z,ROW()-1250,'List Setup'!$C$7))&gt;1," (x"&amp;INDEX('Deck 5'!$A:$Z,ROW()-1250,'List Setup'!$C$7)&amp;")","")&amp;IF(COUNTIF(Binders!$J$6:$J$30,TRUE())&gt;1," ["&amp;Q1467&amp;"]",""))</f>
        <v/>
      </c>
      <c r="H1467" s="80" t="str">
        <f t="array" ref="H1467">IF(A1467="","",CHAR(10)&amp;INDEX('Deck 5'!$A:$Z,ROW()-1250,'List Setup'!$E$7)&amp;CHAR(10))</f>
        <v/>
      </c>
      <c r="I1467" s="80" t="str">
        <f t="array" ref="I1467">IF(OR(B1467="",B1467="(none)"),"",IF(ISNUMBER(SEARCH(CHAR(10)&amp;B1467&amp;CHAR(10),H1467)),B1467,IFERROR(INDEX('Set Aliases'!$A$2:$A$501,MATCH(1,('Set Aliases'!$B$2:$B$501=B1467)*ISNUMBER(SEARCH(CHAR(10)&amp;'Set Aliases'!$A$2:$A$501&amp;CHAR(10),H1467)),0)),"")))</f>
        <v/>
      </c>
      <c r="J1467" s="80" t="str">
        <f t="array" ref="J1467">IF(I1467="","",IFERROR(VALUE(TRIM(MID(SUBSTITUTE(INDEX('Deck 5'!$A:$Z,ROW()-1250,'List Setup'!$G$7),CHAR(10),REPT(" ",100)),((SEARCH(CHAR(10)&amp;I1467&amp;CHAR(10),H1467)-LEN(SUBSTITUTE(LEFT(H1467,SEARCH(CHAR(10)&amp;I1467&amp;CHAR(10),H1467)),CHAR(10),"")))-1)*100+1,100))),""))</f>
        <v/>
      </c>
      <c r="K1467" s="80" t="str">
        <f t="array" ref="K1467">IF(A1467="","",IF(ISNUMBER(SEARCH("Land",LEFT(IFERROR(INDEX('Deck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67" s="80" t="str">
        <f t="shared" si="3"/>
        <v/>
      </c>
      <c r="M1467" s="80" t="str">
        <f>IF(A1467="","",IF(AND(E1467="Y",B1467='Use at Shop'!$B$4),K1467*10000000000+(MAX(0,MIN(26,CODE(MID(UPPER(A1467)&amp;"    ",1,1))-64))*19683+MAX(0,MIN(26,CODE(MID(UPPER(A1467)&amp;"    ",2,1))-64))*729+MAX(0,MIN(26,CODE(MID(UPPER(A1467)&amp;"    ",3,1))-64))*27+MAX(0,MIN(26,CODE(MID(UPPER(A1467)&amp;"    ",4,1))-64))*1)*10000+ROW(),""))</f>
        <v/>
      </c>
      <c r="N1467" s="80" t="str">
        <f t="shared" si="9"/>
        <v/>
      </c>
      <c r="O1467" s="80" t="str">
        <f t="array" ref="O1467">IF(A1467="","",IFERROR(INDEX('Deck 5'!$A:$Z,ROW()-1250,'List Setup'!$J$7)&amp;"",""))</f>
        <v/>
      </c>
      <c r="P1467" s="2"/>
      <c r="Q1467" s="80" t="str">
        <f>IF(A1467="","",'List Setup'!$A$7)</f>
        <v/>
      </c>
      <c r="R1467" s="80" t="str">
        <f t="array" ref="R1467">IF(A1467="","",IFERROR(OR(INDEX(Binders!$J$6:$J$30,MATCH(Q1467,Binders!$I$6:$I$30,0))=TRUE(),UPPER(INDEX(Binders!$J$6:$J$30,MATCH(Q1467,Binders!$I$6:$I$30,0))&amp;"")="TRUE"),FALSE()))</f>
        <v/>
      </c>
    </row>
    <row r="1468" ht="15.75" customHeight="1">
      <c r="A1468" s="80" t="str">
        <f t="array" ref="A1468">IF(INDEX('Deck 5'!$A:$Z,ROW()-1250,'List Setup'!$D$7)="","",INDEX('Deck 5'!$A:$Z,ROW()-1250,'List Setup'!$D$7))</f>
        <v/>
      </c>
      <c r="B1468" s="80" t="str">
        <f t="array" ref="B1468">IF(A1468="","",IFERROR(INDEX('Binder Setup'!$B$2:$B$401,MIN(IF(ISNUMBER(SEARCH(CHAR(10)&amp;'Binder Setup'!$B$2:$B$401&amp;CHAR(10),$H1468)),'List Setup'!$Q$2:$Q$401,999),IF(ISNUMBER(SEARCH(CHAR(10)&amp;'Set Aliases'!$A$2:$A$501&amp;CHAR(10),$H1468)),'Set Aliases'!$C$2:$C$501,999))),"(none)"))</f>
        <v/>
      </c>
      <c r="C1468" s="80" t="str">
        <f t="shared" si="1"/>
        <v/>
      </c>
      <c r="D1468" s="80" t="str">
        <f t="array" ref="D1468">IF(A1468="","",IF(ISLOGICAL(INDEX('Deck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68" s="80" t="str">
        <f t="shared" si="2"/>
        <v/>
      </c>
      <c r="F1468" s="80" t="str">
        <f t="array" ref="F1468">IF(A1468="","",IF(ISNUMBER(J1468),J1468,IF(ISNUMBER(INDEX('Deck 5'!$A:$Z,ROW()-1250,'List Setup'!$F$7)),INDEX('Deck 5'!$A:$Z,ROW()-1250,'List Setup'!$F$7),0)))</f>
        <v/>
      </c>
      <c r="G1468" s="80" t="str">
        <f t="array" ref="G1468">IF(A1468="","",A1468&amp;IF(N(INDEX('Deck 5'!$A:$Z,ROW()-1250,'List Setup'!$C$7))&gt;1," (x"&amp;INDEX('Deck 5'!$A:$Z,ROW()-1250,'List Setup'!$C$7)&amp;")","")&amp;IF(COUNTIF(Binders!$J$6:$J$30,TRUE())&gt;1," ["&amp;Q1468&amp;"]",""))</f>
        <v/>
      </c>
      <c r="H1468" s="80" t="str">
        <f t="array" ref="H1468">IF(A1468="","",CHAR(10)&amp;INDEX('Deck 5'!$A:$Z,ROW()-1250,'List Setup'!$E$7)&amp;CHAR(10))</f>
        <v/>
      </c>
      <c r="I1468" s="80" t="str">
        <f t="array" ref="I1468">IF(OR(B1468="",B1468="(none)"),"",IF(ISNUMBER(SEARCH(CHAR(10)&amp;B1468&amp;CHAR(10),H1468)),B1468,IFERROR(INDEX('Set Aliases'!$A$2:$A$501,MATCH(1,('Set Aliases'!$B$2:$B$501=B1468)*ISNUMBER(SEARCH(CHAR(10)&amp;'Set Aliases'!$A$2:$A$501&amp;CHAR(10),H1468)),0)),"")))</f>
        <v/>
      </c>
      <c r="J1468" s="80" t="str">
        <f t="array" ref="J1468">IF(I1468="","",IFERROR(VALUE(TRIM(MID(SUBSTITUTE(INDEX('Deck 5'!$A:$Z,ROW()-1250,'List Setup'!$G$7),CHAR(10),REPT(" ",100)),((SEARCH(CHAR(10)&amp;I1468&amp;CHAR(10),H1468)-LEN(SUBSTITUTE(LEFT(H1468,SEARCH(CHAR(10)&amp;I1468&amp;CHAR(10),H1468)),CHAR(10),"")))-1)*100+1,100))),""))</f>
        <v/>
      </c>
      <c r="K1468" s="80" t="str">
        <f t="array" ref="K1468">IF(A1468="","",IF(ISNUMBER(SEARCH("Land",LEFT(IFERROR(INDEX('Deck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68" s="80" t="str">
        <f t="shared" si="3"/>
        <v/>
      </c>
      <c r="M1468" s="80" t="str">
        <f>IF(A1468="","",IF(AND(E1468="Y",B1468='Use at Shop'!$B$4),K1468*10000000000+(MAX(0,MIN(26,CODE(MID(UPPER(A1468)&amp;"    ",1,1))-64))*19683+MAX(0,MIN(26,CODE(MID(UPPER(A1468)&amp;"    ",2,1))-64))*729+MAX(0,MIN(26,CODE(MID(UPPER(A1468)&amp;"    ",3,1))-64))*27+MAX(0,MIN(26,CODE(MID(UPPER(A1468)&amp;"    ",4,1))-64))*1)*10000+ROW(),""))</f>
        <v/>
      </c>
      <c r="N1468" s="80" t="str">
        <f t="shared" si="9"/>
        <v/>
      </c>
      <c r="O1468" s="80" t="str">
        <f t="array" ref="O1468">IF(A1468="","",IFERROR(INDEX('Deck 5'!$A:$Z,ROW()-1250,'List Setup'!$J$7)&amp;"",""))</f>
        <v/>
      </c>
      <c r="P1468" s="2"/>
      <c r="Q1468" s="80" t="str">
        <f>IF(A1468="","",'List Setup'!$A$7)</f>
        <v/>
      </c>
      <c r="R1468" s="80" t="str">
        <f t="array" ref="R1468">IF(A1468="","",IFERROR(OR(INDEX(Binders!$J$6:$J$30,MATCH(Q1468,Binders!$I$6:$I$30,0))=TRUE(),UPPER(INDEX(Binders!$J$6:$J$30,MATCH(Q1468,Binders!$I$6:$I$30,0))&amp;"")="TRUE"),FALSE()))</f>
        <v/>
      </c>
    </row>
    <row r="1469" ht="15.75" customHeight="1">
      <c r="A1469" s="80" t="str">
        <f t="array" ref="A1469">IF(INDEX('Deck 5'!$A:$Z,ROW()-1250,'List Setup'!$D$7)="","",INDEX('Deck 5'!$A:$Z,ROW()-1250,'List Setup'!$D$7))</f>
        <v/>
      </c>
      <c r="B1469" s="80" t="str">
        <f t="array" ref="B1469">IF(A1469="","",IFERROR(INDEX('Binder Setup'!$B$2:$B$401,MIN(IF(ISNUMBER(SEARCH(CHAR(10)&amp;'Binder Setup'!$B$2:$B$401&amp;CHAR(10),$H1469)),'List Setup'!$Q$2:$Q$401,999),IF(ISNUMBER(SEARCH(CHAR(10)&amp;'Set Aliases'!$A$2:$A$501&amp;CHAR(10),$H1469)),'Set Aliases'!$C$2:$C$501,999))),"(none)"))</f>
        <v/>
      </c>
      <c r="C1469" s="80" t="str">
        <f t="shared" si="1"/>
        <v/>
      </c>
      <c r="D1469" s="80" t="str">
        <f t="array" ref="D1469">IF(A1469="","",IF(ISLOGICAL(INDEX('Deck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69" s="80" t="str">
        <f t="shared" si="2"/>
        <v/>
      </c>
      <c r="F1469" s="80" t="str">
        <f t="array" ref="F1469">IF(A1469="","",IF(ISNUMBER(J1469),J1469,IF(ISNUMBER(INDEX('Deck 5'!$A:$Z,ROW()-1250,'List Setup'!$F$7)),INDEX('Deck 5'!$A:$Z,ROW()-1250,'List Setup'!$F$7),0)))</f>
        <v/>
      </c>
      <c r="G1469" s="80" t="str">
        <f t="array" ref="G1469">IF(A1469="","",A1469&amp;IF(N(INDEX('Deck 5'!$A:$Z,ROW()-1250,'List Setup'!$C$7))&gt;1," (x"&amp;INDEX('Deck 5'!$A:$Z,ROW()-1250,'List Setup'!$C$7)&amp;")","")&amp;IF(COUNTIF(Binders!$J$6:$J$30,TRUE())&gt;1," ["&amp;Q1469&amp;"]",""))</f>
        <v/>
      </c>
      <c r="H1469" s="80" t="str">
        <f t="array" ref="H1469">IF(A1469="","",CHAR(10)&amp;INDEX('Deck 5'!$A:$Z,ROW()-1250,'List Setup'!$E$7)&amp;CHAR(10))</f>
        <v/>
      </c>
      <c r="I1469" s="80" t="str">
        <f t="array" ref="I1469">IF(OR(B1469="",B1469="(none)"),"",IF(ISNUMBER(SEARCH(CHAR(10)&amp;B1469&amp;CHAR(10),H1469)),B1469,IFERROR(INDEX('Set Aliases'!$A$2:$A$501,MATCH(1,('Set Aliases'!$B$2:$B$501=B1469)*ISNUMBER(SEARCH(CHAR(10)&amp;'Set Aliases'!$A$2:$A$501&amp;CHAR(10),H1469)),0)),"")))</f>
        <v/>
      </c>
      <c r="J1469" s="80" t="str">
        <f t="array" ref="J1469">IF(I1469="","",IFERROR(VALUE(TRIM(MID(SUBSTITUTE(INDEX('Deck 5'!$A:$Z,ROW()-1250,'List Setup'!$G$7),CHAR(10),REPT(" ",100)),((SEARCH(CHAR(10)&amp;I1469&amp;CHAR(10),H1469)-LEN(SUBSTITUTE(LEFT(H1469,SEARCH(CHAR(10)&amp;I1469&amp;CHAR(10),H1469)),CHAR(10),"")))-1)*100+1,100))),""))</f>
        <v/>
      </c>
      <c r="K1469" s="80" t="str">
        <f t="array" ref="K1469">IF(A1469="","",IF(ISNUMBER(SEARCH("Land",LEFT(IFERROR(INDEX('Deck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69" s="80" t="str">
        <f t="shared" si="3"/>
        <v/>
      </c>
      <c r="M1469" s="80" t="str">
        <f>IF(A1469="","",IF(AND(E1469="Y",B1469='Use at Shop'!$B$4),K1469*10000000000+(MAX(0,MIN(26,CODE(MID(UPPER(A1469)&amp;"    ",1,1))-64))*19683+MAX(0,MIN(26,CODE(MID(UPPER(A1469)&amp;"    ",2,1))-64))*729+MAX(0,MIN(26,CODE(MID(UPPER(A1469)&amp;"    ",3,1))-64))*27+MAX(0,MIN(26,CODE(MID(UPPER(A1469)&amp;"    ",4,1))-64))*1)*10000+ROW(),""))</f>
        <v/>
      </c>
      <c r="N1469" s="80" t="str">
        <f t="shared" si="9"/>
        <v/>
      </c>
      <c r="O1469" s="80" t="str">
        <f t="array" ref="O1469">IF(A1469="","",IFERROR(INDEX('Deck 5'!$A:$Z,ROW()-1250,'List Setup'!$J$7)&amp;"",""))</f>
        <v/>
      </c>
      <c r="P1469" s="2"/>
      <c r="Q1469" s="80" t="str">
        <f>IF(A1469="","",'List Setup'!$A$7)</f>
        <v/>
      </c>
      <c r="R1469" s="80" t="str">
        <f t="array" ref="R1469">IF(A1469="","",IFERROR(OR(INDEX(Binders!$J$6:$J$30,MATCH(Q1469,Binders!$I$6:$I$30,0))=TRUE(),UPPER(INDEX(Binders!$J$6:$J$30,MATCH(Q1469,Binders!$I$6:$I$30,0))&amp;"")="TRUE"),FALSE()))</f>
        <v/>
      </c>
    </row>
    <row r="1470" ht="15.75" customHeight="1">
      <c r="A1470" s="80" t="str">
        <f t="array" ref="A1470">IF(INDEX('Deck 5'!$A:$Z,ROW()-1250,'List Setup'!$D$7)="","",INDEX('Deck 5'!$A:$Z,ROW()-1250,'List Setup'!$D$7))</f>
        <v/>
      </c>
      <c r="B1470" s="80" t="str">
        <f t="array" ref="B1470">IF(A1470="","",IFERROR(INDEX('Binder Setup'!$B$2:$B$401,MIN(IF(ISNUMBER(SEARCH(CHAR(10)&amp;'Binder Setup'!$B$2:$B$401&amp;CHAR(10),$H1470)),'List Setup'!$Q$2:$Q$401,999),IF(ISNUMBER(SEARCH(CHAR(10)&amp;'Set Aliases'!$A$2:$A$501&amp;CHAR(10),$H1470)),'Set Aliases'!$C$2:$C$501,999))),"(none)"))</f>
        <v/>
      </c>
      <c r="C1470" s="80" t="str">
        <f t="shared" si="1"/>
        <v/>
      </c>
      <c r="D1470" s="80" t="str">
        <f t="array" ref="D1470">IF(A1470="","",IF(ISLOGICAL(INDEX('Deck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70" s="80" t="str">
        <f t="shared" si="2"/>
        <v/>
      </c>
      <c r="F1470" s="80" t="str">
        <f t="array" ref="F1470">IF(A1470="","",IF(ISNUMBER(J1470),J1470,IF(ISNUMBER(INDEX('Deck 5'!$A:$Z,ROW()-1250,'List Setup'!$F$7)),INDEX('Deck 5'!$A:$Z,ROW()-1250,'List Setup'!$F$7),0)))</f>
        <v/>
      </c>
      <c r="G1470" s="80" t="str">
        <f t="array" ref="G1470">IF(A1470="","",A1470&amp;IF(N(INDEX('Deck 5'!$A:$Z,ROW()-1250,'List Setup'!$C$7))&gt;1," (x"&amp;INDEX('Deck 5'!$A:$Z,ROW()-1250,'List Setup'!$C$7)&amp;")","")&amp;IF(COUNTIF(Binders!$J$6:$J$30,TRUE())&gt;1," ["&amp;Q1470&amp;"]",""))</f>
        <v/>
      </c>
      <c r="H1470" s="80" t="str">
        <f t="array" ref="H1470">IF(A1470="","",CHAR(10)&amp;INDEX('Deck 5'!$A:$Z,ROW()-1250,'List Setup'!$E$7)&amp;CHAR(10))</f>
        <v/>
      </c>
      <c r="I1470" s="80" t="str">
        <f t="array" ref="I1470">IF(OR(B1470="",B1470="(none)"),"",IF(ISNUMBER(SEARCH(CHAR(10)&amp;B1470&amp;CHAR(10),H1470)),B1470,IFERROR(INDEX('Set Aliases'!$A$2:$A$501,MATCH(1,('Set Aliases'!$B$2:$B$501=B1470)*ISNUMBER(SEARCH(CHAR(10)&amp;'Set Aliases'!$A$2:$A$501&amp;CHAR(10),H1470)),0)),"")))</f>
        <v/>
      </c>
      <c r="J1470" s="80" t="str">
        <f t="array" ref="J1470">IF(I1470="","",IFERROR(VALUE(TRIM(MID(SUBSTITUTE(INDEX('Deck 5'!$A:$Z,ROW()-1250,'List Setup'!$G$7),CHAR(10),REPT(" ",100)),((SEARCH(CHAR(10)&amp;I1470&amp;CHAR(10),H1470)-LEN(SUBSTITUTE(LEFT(H1470,SEARCH(CHAR(10)&amp;I1470&amp;CHAR(10),H1470)),CHAR(10),"")))-1)*100+1,100))),""))</f>
        <v/>
      </c>
      <c r="K1470" s="80" t="str">
        <f t="array" ref="K1470">IF(A1470="","",IF(ISNUMBER(SEARCH("Land",LEFT(IFERROR(INDEX('Deck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70" s="80" t="str">
        <f t="shared" si="3"/>
        <v/>
      </c>
      <c r="M1470" s="80" t="str">
        <f>IF(A1470="","",IF(AND(E1470="Y",B1470='Use at Shop'!$B$4),K1470*10000000000+(MAX(0,MIN(26,CODE(MID(UPPER(A1470)&amp;"    ",1,1))-64))*19683+MAX(0,MIN(26,CODE(MID(UPPER(A1470)&amp;"    ",2,1))-64))*729+MAX(0,MIN(26,CODE(MID(UPPER(A1470)&amp;"    ",3,1))-64))*27+MAX(0,MIN(26,CODE(MID(UPPER(A1470)&amp;"    ",4,1))-64))*1)*10000+ROW(),""))</f>
        <v/>
      </c>
      <c r="N1470" s="80" t="str">
        <f t="shared" si="9"/>
        <v/>
      </c>
      <c r="O1470" s="80" t="str">
        <f t="array" ref="O1470">IF(A1470="","",IFERROR(INDEX('Deck 5'!$A:$Z,ROW()-1250,'List Setup'!$J$7)&amp;"",""))</f>
        <v/>
      </c>
      <c r="P1470" s="2"/>
      <c r="Q1470" s="80" t="str">
        <f>IF(A1470="","",'List Setup'!$A$7)</f>
        <v/>
      </c>
      <c r="R1470" s="80" t="str">
        <f t="array" ref="R1470">IF(A1470="","",IFERROR(OR(INDEX(Binders!$J$6:$J$30,MATCH(Q1470,Binders!$I$6:$I$30,0))=TRUE(),UPPER(INDEX(Binders!$J$6:$J$30,MATCH(Q1470,Binders!$I$6:$I$30,0))&amp;"")="TRUE"),FALSE()))</f>
        <v/>
      </c>
    </row>
    <row r="1471" ht="15.75" customHeight="1">
      <c r="A1471" s="80" t="str">
        <f t="array" ref="A1471">IF(INDEX('Deck 5'!$A:$Z,ROW()-1250,'List Setup'!$D$7)="","",INDEX('Deck 5'!$A:$Z,ROW()-1250,'List Setup'!$D$7))</f>
        <v/>
      </c>
      <c r="B1471" s="80" t="str">
        <f t="array" ref="B1471">IF(A1471="","",IFERROR(INDEX('Binder Setup'!$B$2:$B$401,MIN(IF(ISNUMBER(SEARCH(CHAR(10)&amp;'Binder Setup'!$B$2:$B$401&amp;CHAR(10),$H1471)),'List Setup'!$Q$2:$Q$401,999),IF(ISNUMBER(SEARCH(CHAR(10)&amp;'Set Aliases'!$A$2:$A$501&amp;CHAR(10),$H1471)),'Set Aliases'!$C$2:$C$501,999))),"(none)"))</f>
        <v/>
      </c>
      <c r="C1471" s="80" t="str">
        <f t="shared" si="1"/>
        <v/>
      </c>
      <c r="D1471" s="80" t="str">
        <f t="array" ref="D1471">IF(A1471="","",IF(ISLOGICAL(INDEX('Deck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71" s="80" t="str">
        <f t="shared" si="2"/>
        <v/>
      </c>
      <c r="F1471" s="80" t="str">
        <f t="array" ref="F1471">IF(A1471="","",IF(ISNUMBER(J1471),J1471,IF(ISNUMBER(INDEX('Deck 5'!$A:$Z,ROW()-1250,'List Setup'!$F$7)),INDEX('Deck 5'!$A:$Z,ROW()-1250,'List Setup'!$F$7),0)))</f>
        <v/>
      </c>
      <c r="G1471" s="80" t="str">
        <f t="array" ref="G1471">IF(A1471="","",A1471&amp;IF(N(INDEX('Deck 5'!$A:$Z,ROW()-1250,'List Setup'!$C$7))&gt;1," (x"&amp;INDEX('Deck 5'!$A:$Z,ROW()-1250,'List Setup'!$C$7)&amp;")","")&amp;IF(COUNTIF(Binders!$J$6:$J$30,TRUE())&gt;1," ["&amp;Q1471&amp;"]",""))</f>
        <v/>
      </c>
      <c r="H1471" s="80" t="str">
        <f t="array" ref="H1471">IF(A1471="","",CHAR(10)&amp;INDEX('Deck 5'!$A:$Z,ROW()-1250,'List Setup'!$E$7)&amp;CHAR(10))</f>
        <v/>
      </c>
      <c r="I1471" s="80" t="str">
        <f t="array" ref="I1471">IF(OR(B1471="",B1471="(none)"),"",IF(ISNUMBER(SEARCH(CHAR(10)&amp;B1471&amp;CHAR(10),H1471)),B1471,IFERROR(INDEX('Set Aliases'!$A$2:$A$501,MATCH(1,('Set Aliases'!$B$2:$B$501=B1471)*ISNUMBER(SEARCH(CHAR(10)&amp;'Set Aliases'!$A$2:$A$501&amp;CHAR(10),H1471)),0)),"")))</f>
        <v/>
      </c>
      <c r="J1471" s="80" t="str">
        <f t="array" ref="J1471">IF(I1471="","",IFERROR(VALUE(TRIM(MID(SUBSTITUTE(INDEX('Deck 5'!$A:$Z,ROW()-1250,'List Setup'!$G$7),CHAR(10),REPT(" ",100)),((SEARCH(CHAR(10)&amp;I1471&amp;CHAR(10),H1471)-LEN(SUBSTITUTE(LEFT(H1471,SEARCH(CHAR(10)&amp;I1471&amp;CHAR(10),H1471)),CHAR(10),"")))-1)*100+1,100))),""))</f>
        <v/>
      </c>
      <c r="K1471" s="80" t="str">
        <f t="array" ref="K1471">IF(A1471="","",IF(ISNUMBER(SEARCH("Land",LEFT(IFERROR(INDEX('Deck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71" s="80" t="str">
        <f t="shared" si="3"/>
        <v/>
      </c>
      <c r="M1471" s="80" t="str">
        <f>IF(A1471="","",IF(AND(E1471="Y",B1471='Use at Shop'!$B$4),K1471*10000000000+(MAX(0,MIN(26,CODE(MID(UPPER(A1471)&amp;"    ",1,1))-64))*19683+MAX(0,MIN(26,CODE(MID(UPPER(A1471)&amp;"    ",2,1))-64))*729+MAX(0,MIN(26,CODE(MID(UPPER(A1471)&amp;"    ",3,1))-64))*27+MAX(0,MIN(26,CODE(MID(UPPER(A1471)&amp;"    ",4,1))-64))*1)*10000+ROW(),""))</f>
        <v/>
      </c>
      <c r="N1471" s="80" t="str">
        <f t="shared" si="9"/>
        <v/>
      </c>
      <c r="O1471" s="80" t="str">
        <f t="array" ref="O1471">IF(A1471="","",IFERROR(INDEX('Deck 5'!$A:$Z,ROW()-1250,'List Setup'!$J$7)&amp;"",""))</f>
        <v/>
      </c>
      <c r="P1471" s="2"/>
      <c r="Q1471" s="80" t="str">
        <f>IF(A1471="","",'List Setup'!$A$7)</f>
        <v/>
      </c>
      <c r="R1471" s="80" t="str">
        <f t="array" ref="R1471">IF(A1471="","",IFERROR(OR(INDEX(Binders!$J$6:$J$30,MATCH(Q1471,Binders!$I$6:$I$30,0))=TRUE(),UPPER(INDEX(Binders!$J$6:$J$30,MATCH(Q1471,Binders!$I$6:$I$30,0))&amp;"")="TRUE"),FALSE()))</f>
        <v/>
      </c>
    </row>
    <row r="1472" ht="15.75" customHeight="1">
      <c r="A1472" s="80" t="str">
        <f t="array" ref="A1472">IF(INDEX('Deck 5'!$A:$Z,ROW()-1250,'List Setup'!$D$7)="","",INDEX('Deck 5'!$A:$Z,ROW()-1250,'List Setup'!$D$7))</f>
        <v/>
      </c>
      <c r="B1472" s="80" t="str">
        <f t="array" ref="B1472">IF(A1472="","",IFERROR(INDEX('Binder Setup'!$B$2:$B$401,MIN(IF(ISNUMBER(SEARCH(CHAR(10)&amp;'Binder Setup'!$B$2:$B$401&amp;CHAR(10),$H1472)),'List Setup'!$Q$2:$Q$401,999),IF(ISNUMBER(SEARCH(CHAR(10)&amp;'Set Aliases'!$A$2:$A$501&amp;CHAR(10),$H1472)),'Set Aliases'!$C$2:$C$501,999))),"(none)"))</f>
        <v/>
      </c>
      <c r="C1472" s="80" t="str">
        <f t="shared" si="1"/>
        <v/>
      </c>
      <c r="D1472" s="80" t="str">
        <f t="array" ref="D1472">IF(A1472="","",IF(ISLOGICAL(INDEX('Deck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72" s="80" t="str">
        <f t="shared" si="2"/>
        <v/>
      </c>
      <c r="F1472" s="80" t="str">
        <f t="array" ref="F1472">IF(A1472="","",IF(ISNUMBER(J1472),J1472,IF(ISNUMBER(INDEX('Deck 5'!$A:$Z,ROW()-1250,'List Setup'!$F$7)),INDEX('Deck 5'!$A:$Z,ROW()-1250,'List Setup'!$F$7),0)))</f>
        <v/>
      </c>
      <c r="G1472" s="80" t="str">
        <f t="array" ref="G1472">IF(A1472="","",A1472&amp;IF(N(INDEX('Deck 5'!$A:$Z,ROW()-1250,'List Setup'!$C$7))&gt;1," (x"&amp;INDEX('Deck 5'!$A:$Z,ROW()-1250,'List Setup'!$C$7)&amp;")","")&amp;IF(COUNTIF(Binders!$J$6:$J$30,TRUE())&gt;1," ["&amp;Q1472&amp;"]",""))</f>
        <v/>
      </c>
      <c r="H1472" s="80" t="str">
        <f t="array" ref="H1472">IF(A1472="","",CHAR(10)&amp;INDEX('Deck 5'!$A:$Z,ROW()-1250,'List Setup'!$E$7)&amp;CHAR(10))</f>
        <v/>
      </c>
      <c r="I1472" s="80" t="str">
        <f t="array" ref="I1472">IF(OR(B1472="",B1472="(none)"),"",IF(ISNUMBER(SEARCH(CHAR(10)&amp;B1472&amp;CHAR(10),H1472)),B1472,IFERROR(INDEX('Set Aliases'!$A$2:$A$501,MATCH(1,('Set Aliases'!$B$2:$B$501=B1472)*ISNUMBER(SEARCH(CHAR(10)&amp;'Set Aliases'!$A$2:$A$501&amp;CHAR(10),H1472)),0)),"")))</f>
        <v/>
      </c>
      <c r="J1472" s="80" t="str">
        <f t="array" ref="J1472">IF(I1472="","",IFERROR(VALUE(TRIM(MID(SUBSTITUTE(INDEX('Deck 5'!$A:$Z,ROW()-1250,'List Setup'!$G$7),CHAR(10),REPT(" ",100)),((SEARCH(CHAR(10)&amp;I1472&amp;CHAR(10),H1472)-LEN(SUBSTITUTE(LEFT(H1472,SEARCH(CHAR(10)&amp;I1472&amp;CHAR(10),H1472)),CHAR(10),"")))-1)*100+1,100))),""))</f>
        <v/>
      </c>
      <c r="K1472" s="80" t="str">
        <f t="array" ref="K1472">IF(A1472="","",IF(ISNUMBER(SEARCH("Land",LEFT(IFERROR(INDEX('Deck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72" s="80" t="str">
        <f t="shared" si="3"/>
        <v/>
      </c>
      <c r="M1472" s="80" t="str">
        <f>IF(A1472="","",IF(AND(E1472="Y",B1472='Use at Shop'!$B$4),K1472*10000000000+(MAX(0,MIN(26,CODE(MID(UPPER(A1472)&amp;"    ",1,1))-64))*19683+MAX(0,MIN(26,CODE(MID(UPPER(A1472)&amp;"    ",2,1))-64))*729+MAX(0,MIN(26,CODE(MID(UPPER(A1472)&amp;"    ",3,1))-64))*27+MAX(0,MIN(26,CODE(MID(UPPER(A1472)&amp;"    ",4,1))-64))*1)*10000+ROW(),""))</f>
        <v/>
      </c>
      <c r="N1472" s="80" t="str">
        <f t="shared" si="9"/>
        <v/>
      </c>
      <c r="O1472" s="80" t="str">
        <f t="array" ref="O1472">IF(A1472="","",IFERROR(INDEX('Deck 5'!$A:$Z,ROW()-1250,'List Setup'!$J$7)&amp;"",""))</f>
        <v/>
      </c>
      <c r="P1472" s="2"/>
      <c r="Q1472" s="80" t="str">
        <f>IF(A1472="","",'List Setup'!$A$7)</f>
        <v/>
      </c>
      <c r="R1472" s="80" t="str">
        <f t="array" ref="R1472">IF(A1472="","",IFERROR(OR(INDEX(Binders!$J$6:$J$30,MATCH(Q1472,Binders!$I$6:$I$30,0))=TRUE(),UPPER(INDEX(Binders!$J$6:$J$30,MATCH(Q1472,Binders!$I$6:$I$30,0))&amp;"")="TRUE"),FALSE()))</f>
        <v/>
      </c>
    </row>
    <row r="1473" ht="15.75" customHeight="1">
      <c r="A1473" s="80" t="str">
        <f t="array" ref="A1473">IF(INDEX('Deck 5'!$A:$Z,ROW()-1250,'List Setup'!$D$7)="","",INDEX('Deck 5'!$A:$Z,ROW()-1250,'List Setup'!$D$7))</f>
        <v/>
      </c>
      <c r="B1473" s="80" t="str">
        <f t="array" ref="B1473">IF(A1473="","",IFERROR(INDEX('Binder Setup'!$B$2:$B$401,MIN(IF(ISNUMBER(SEARCH(CHAR(10)&amp;'Binder Setup'!$B$2:$B$401&amp;CHAR(10),$H1473)),'List Setup'!$Q$2:$Q$401,999),IF(ISNUMBER(SEARCH(CHAR(10)&amp;'Set Aliases'!$A$2:$A$501&amp;CHAR(10),$H1473)),'Set Aliases'!$C$2:$C$501,999))),"(none)"))</f>
        <v/>
      </c>
      <c r="C1473" s="80" t="str">
        <f t="shared" si="1"/>
        <v/>
      </c>
      <c r="D1473" s="80" t="str">
        <f t="array" ref="D1473">IF(A1473="","",IF(ISLOGICAL(INDEX('Deck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73" s="80" t="str">
        <f t="shared" si="2"/>
        <v/>
      </c>
      <c r="F1473" s="80" t="str">
        <f t="array" ref="F1473">IF(A1473="","",IF(ISNUMBER(J1473),J1473,IF(ISNUMBER(INDEX('Deck 5'!$A:$Z,ROW()-1250,'List Setup'!$F$7)),INDEX('Deck 5'!$A:$Z,ROW()-1250,'List Setup'!$F$7),0)))</f>
        <v/>
      </c>
      <c r="G1473" s="80" t="str">
        <f t="array" ref="G1473">IF(A1473="","",A1473&amp;IF(N(INDEX('Deck 5'!$A:$Z,ROW()-1250,'List Setup'!$C$7))&gt;1," (x"&amp;INDEX('Deck 5'!$A:$Z,ROW()-1250,'List Setup'!$C$7)&amp;")","")&amp;IF(COUNTIF(Binders!$J$6:$J$30,TRUE())&gt;1," ["&amp;Q1473&amp;"]",""))</f>
        <v/>
      </c>
      <c r="H1473" s="80" t="str">
        <f t="array" ref="H1473">IF(A1473="","",CHAR(10)&amp;INDEX('Deck 5'!$A:$Z,ROW()-1250,'List Setup'!$E$7)&amp;CHAR(10))</f>
        <v/>
      </c>
      <c r="I1473" s="80" t="str">
        <f t="array" ref="I1473">IF(OR(B1473="",B1473="(none)"),"",IF(ISNUMBER(SEARCH(CHAR(10)&amp;B1473&amp;CHAR(10),H1473)),B1473,IFERROR(INDEX('Set Aliases'!$A$2:$A$501,MATCH(1,('Set Aliases'!$B$2:$B$501=B1473)*ISNUMBER(SEARCH(CHAR(10)&amp;'Set Aliases'!$A$2:$A$501&amp;CHAR(10),H1473)),0)),"")))</f>
        <v/>
      </c>
      <c r="J1473" s="80" t="str">
        <f t="array" ref="J1473">IF(I1473="","",IFERROR(VALUE(TRIM(MID(SUBSTITUTE(INDEX('Deck 5'!$A:$Z,ROW()-1250,'List Setup'!$G$7),CHAR(10),REPT(" ",100)),((SEARCH(CHAR(10)&amp;I1473&amp;CHAR(10),H1473)-LEN(SUBSTITUTE(LEFT(H1473,SEARCH(CHAR(10)&amp;I1473&amp;CHAR(10),H1473)),CHAR(10),"")))-1)*100+1,100))),""))</f>
        <v/>
      </c>
      <c r="K1473" s="80" t="str">
        <f t="array" ref="K1473">IF(A1473="","",IF(ISNUMBER(SEARCH("Land",LEFT(IFERROR(INDEX('Deck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73" s="80" t="str">
        <f t="shared" si="3"/>
        <v/>
      </c>
      <c r="M1473" s="80" t="str">
        <f>IF(A1473="","",IF(AND(E1473="Y",B1473='Use at Shop'!$B$4),K1473*10000000000+(MAX(0,MIN(26,CODE(MID(UPPER(A1473)&amp;"    ",1,1))-64))*19683+MAX(0,MIN(26,CODE(MID(UPPER(A1473)&amp;"    ",2,1))-64))*729+MAX(0,MIN(26,CODE(MID(UPPER(A1473)&amp;"    ",3,1))-64))*27+MAX(0,MIN(26,CODE(MID(UPPER(A1473)&amp;"    ",4,1))-64))*1)*10000+ROW(),""))</f>
        <v/>
      </c>
      <c r="N1473" s="80" t="str">
        <f t="shared" si="9"/>
        <v/>
      </c>
      <c r="O1473" s="80" t="str">
        <f t="array" ref="O1473">IF(A1473="","",IFERROR(INDEX('Deck 5'!$A:$Z,ROW()-1250,'List Setup'!$J$7)&amp;"",""))</f>
        <v/>
      </c>
      <c r="P1473" s="2"/>
      <c r="Q1473" s="80" t="str">
        <f>IF(A1473="","",'List Setup'!$A$7)</f>
        <v/>
      </c>
      <c r="R1473" s="80" t="str">
        <f t="array" ref="R1473">IF(A1473="","",IFERROR(OR(INDEX(Binders!$J$6:$J$30,MATCH(Q1473,Binders!$I$6:$I$30,0))=TRUE(),UPPER(INDEX(Binders!$J$6:$J$30,MATCH(Q1473,Binders!$I$6:$I$30,0))&amp;"")="TRUE"),FALSE()))</f>
        <v/>
      </c>
    </row>
    <row r="1474" ht="15.75" customHeight="1">
      <c r="A1474" s="80" t="str">
        <f t="array" ref="A1474">IF(INDEX('Deck 5'!$A:$Z,ROW()-1250,'List Setup'!$D$7)="","",INDEX('Deck 5'!$A:$Z,ROW()-1250,'List Setup'!$D$7))</f>
        <v/>
      </c>
      <c r="B1474" s="80" t="str">
        <f t="array" ref="B1474">IF(A1474="","",IFERROR(INDEX('Binder Setup'!$B$2:$B$401,MIN(IF(ISNUMBER(SEARCH(CHAR(10)&amp;'Binder Setup'!$B$2:$B$401&amp;CHAR(10),$H1474)),'List Setup'!$Q$2:$Q$401,999),IF(ISNUMBER(SEARCH(CHAR(10)&amp;'Set Aliases'!$A$2:$A$501&amp;CHAR(10),$H1474)),'Set Aliases'!$C$2:$C$501,999))),"(none)"))</f>
        <v/>
      </c>
      <c r="C1474" s="80" t="str">
        <f t="shared" si="1"/>
        <v/>
      </c>
      <c r="D1474" s="80" t="str">
        <f t="array" ref="D1474">IF(A1474="","",IF(ISLOGICAL(INDEX('Deck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74" s="80" t="str">
        <f t="shared" si="2"/>
        <v/>
      </c>
      <c r="F1474" s="80" t="str">
        <f t="array" ref="F1474">IF(A1474="","",IF(ISNUMBER(J1474),J1474,IF(ISNUMBER(INDEX('Deck 5'!$A:$Z,ROW()-1250,'List Setup'!$F$7)),INDEX('Deck 5'!$A:$Z,ROW()-1250,'List Setup'!$F$7),0)))</f>
        <v/>
      </c>
      <c r="G1474" s="80" t="str">
        <f t="array" ref="G1474">IF(A1474="","",A1474&amp;IF(N(INDEX('Deck 5'!$A:$Z,ROW()-1250,'List Setup'!$C$7))&gt;1," (x"&amp;INDEX('Deck 5'!$A:$Z,ROW()-1250,'List Setup'!$C$7)&amp;")","")&amp;IF(COUNTIF(Binders!$J$6:$J$30,TRUE())&gt;1," ["&amp;Q1474&amp;"]",""))</f>
        <v/>
      </c>
      <c r="H1474" s="80" t="str">
        <f t="array" ref="H1474">IF(A1474="","",CHAR(10)&amp;INDEX('Deck 5'!$A:$Z,ROW()-1250,'List Setup'!$E$7)&amp;CHAR(10))</f>
        <v/>
      </c>
      <c r="I1474" s="80" t="str">
        <f t="array" ref="I1474">IF(OR(B1474="",B1474="(none)"),"",IF(ISNUMBER(SEARCH(CHAR(10)&amp;B1474&amp;CHAR(10),H1474)),B1474,IFERROR(INDEX('Set Aliases'!$A$2:$A$501,MATCH(1,('Set Aliases'!$B$2:$B$501=B1474)*ISNUMBER(SEARCH(CHAR(10)&amp;'Set Aliases'!$A$2:$A$501&amp;CHAR(10),H1474)),0)),"")))</f>
        <v/>
      </c>
      <c r="J1474" s="80" t="str">
        <f t="array" ref="J1474">IF(I1474="","",IFERROR(VALUE(TRIM(MID(SUBSTITUTE(INDEX('Deck 5'!$A:$Z,ROW()-1250,'List Setup'!$G$7),CHAR(10),REPT(" ",100)),((SEARCH(CHAR(10)&amp;I1474&amp;CHAR(10),H1474)-LEN(SUBSTITUTE(LEFT(H1474,SEARCH(CHAR(10)&amp;I1474&amp;CHAR(10),H1474)),CHAR(10),"")))-1)*100+1,100))),""))</f>
        <v/>
      </c>
      <c r="K1474" s="80" t="str">
        <f t="array" ref="K1474">IF(A1474="","",IF(ISNUMBER(SEARCH("Land",LEFT(IFERROR(INDEX('Deck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74" s="80" t="str">
        <f t="shared" si="3"/>
        <v/>
      </c>
      <c r="M1474" s="80" t="str">
        <f>IF(A1474="","",IF(AND(E1474="Y",B1474='Use at Shop'!$B$4),K1474*10000000000+(MAX(0,MIN(26,CODE(MID(UPPER(A1474)&amp;"    ",1,1))-64))*19683+MAX(0,MIN(26,CODE(MID(UPPER(A1474)&amp;"    ",2,1))-64))*729+MAX(0,MIN(26,CODE(MID(UPPER(A1474)&amp;"    ",3,1))-64))*27+MAX(0,MIN(26,CODE(MID(UPPER(A1474)&amp;"    ",4,1))-64))*1)*10000+ROW(),""))</f>
        <v/>
      </c>
      <c r="N1474" s="80" t="str">
        <f t="shared" si="9"/>
        <v/>
      </c>
      <c r="O1474" s="80" t="str">
        <f t="array" ref="O1474">IF(A1474="","",IFERROR(INDEX('Deck 5'!$A:$Z,ROW()-1250,'List Setup'!$J$7)&amp;"",""))</f>
        <v/>
      </c>
      <c r="P1474" s="2"/>
      <c r="Q1474" s="80" t="str">
        <f>IF(A1474="","",'List Setup'!$A$7)</f>
        <v/>
      </c>
      <c r="R1474" s="80" t="str">
        <f t="array" ref="R1474">IF(A1474="","",IFERROR(OR(INDEX(Binders!$J$6:$J$30,MATCH(Q1474,Binders!$I$6:$I$30,0))=TRUE(),UPPER(INDEX(Binders!$J$6:$J$30,MATCH(Q1474,Binders!$I$6:$I$30,0))&amp;"")="TRUE"),FALSE()))</f>
        <v/>
      </c>
    </row>
    <row r="1475" ht="15.75" customHeight="1">
      <c r="A1475" s="80" t="str">
        <f t="array" ref="A1475">IF(INDEX('Deck 5'!$A:$Z,ROW()-1250,'List Setup'!$D$7)="","",INDEX('Deck 5'!$A:$Z,ROW()-1250,'List Setup'!$D$7))</f>
        <v/>
      </c>
      <c r="B1475" s="80" t="str">
        <f t="array" ref="B1475">IF(A1475="","",IFERROR(INDEX('Binder Setup'!$B$2:$B$401,MIN(IF(ISNUMBER(SEARCH(CHAR(10)&amp;'Binder Setup'!$B$2:$B$401&amp;CHAR(10),$H1475)),'List Setup'!$Q$2:$Q$401,999),IF(ISNUMBER(SEARCH(CHAR(10)&amp;'Set Aliases'!$A$2:$A$501&amp;CHAR(10),$H1475)),'Set Aliases'!$C$2:$C$501,999))),"(none)"))</f>
        <v/>
      </c>
      <c r="C1475" s="80" t="str">
        <f t="shared" si="1"/>
        <v/>
      </c>
      <c r="D1475" s="80" t="str">
        <f t="array" ref="D1475">IF(A1475="","",IF(ISLOGICAL(INDEX('Deck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75" s="80" t="str">
        <f t="shared" si="2"/>
        <v/>
      </c>
      <c r="F1475" s="80" t="str">
        <f t="array" ref="F1475">IF(A1475="","",IF(ISNUMBER(J1475),J1475,IF(ISNUMBER(INDEX('Deck 5'!$A:$Z,ROW()-1250,'List Setup'!$F$7)),INDEX('Deck 5'!$A:$Z,ROW()-1250,'List Setup'!$F$7),0)))</f>
        <v/>
      </c>
      <c r="G1475" s="80" t="str">
        <f t="array" ref="G1475">IF(A1475="","",A1475&amp;IF(N(INDEX('Deck 5'!$A:$Z,ROW()-1250,'List Setup'!$C$7))&gt;1," (x"&amp;INDEX('Deck 5'!$A:$Z,ROW()-1250,'List Setup'!$C$7)&amp;")","")&amp;IF(COUNTIF(Binders!$J$6:$J$30,TRUE())&gt;1," ["&amp;Q1475&amp;"]",""))</f>
        <v/>
      </c>
      <c r="H1475" s="80" t="str">
        <f t="array" ref="H1475">IF(A1475="","",CHAR(10)&amp;INDEX('Deck 5'!$A:$Z,ROW()-1250,'List Setup'!$E$7)&amp;CHAR(10))</f>
        <v/>
      </c>
      <c r="I1475" s="80" t="str">
        <f t="array" ref="I1475">IF(OR(B1475="",B1475="(none)"),"",IF(ISNUMBER(SEARCH(CHAR(10)&amp;B1475&amp;CHAR(10),H1475)),B1475,IFERROR(INDEX('Set Aliases'!$A$2:$A$501,MATCH(1,('Set Aliases'!$B$2:$B$501=B1475)*ISNUMBER(SEARCH(CHAR(10)&amp;'Set Aliases'!$A$2:$A$501&amp;CHAR(10),H1475)),0)),"")))</f>
        <v/>
      </c>
      <c r="J1475" s="80" t="str">
        <f t="array" ref="J1475">IF(I1475="","",IFERROR(VALUE(TRIM(MID(SUBSTITUTE(INDEX('Deck 5'!$A:$Z,ROW()-1250,'List Setup'!$G$7),CHAR(10),REPT(" ",100)),((SEARCH(CHAR(10)&amp;I1475&amp;CHAR(10),H1475)-LEN(SUBSTITUTE(LEFT(H1475,SEARCH(CHAR(10)&amp;I1475&amp;CHAR(10),H1475)),CHAR(10),"")))-1)*100+1,100))),""))</f>
        <v/>
      </c>
      <c r="K1475" s="80" t="str">
        <f t="array" ref="K1475">IF(A1475="","",IF(ISNUMBER(SEARCH("Land",LEFT(IFERROR(INDEX('Deck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75" s="80" t="str">
        <f t="shared" si="3"/>
        <v/>
      </c>
      <c r="M1475" s="80" t="str">
        <f>IF(A1475="","",IF(AND(E1475="Y",B1475='Use at Shop'!$B$4),K1475*10000000000+(MAX(0,MIN(26,CODE(MID(UPPER(A1475)&amp;"    ",1,1))-64))*19683+MAX(0,MIN(26,CODE(MID(UPPER(A1475)&amp;"    ",2,1))-64))*729+MAX(0,MIN(26,CODE(MID(UPPER(A1475)&amp;"    ",3,1))-64))*27+MAX(0,MIN(26,CODE(MID(UPPER(A1475)&amp;"    ",4,1))-64))*1)*10000+ROW(),""))</f>
        <v/>
      </c>
      <c r="N1475" s="80" t="str">
        <f t="shared" si="9"/>
        <v/>
      </c>
      <c r="O1475" s="80" t="str">
        <f t="array" ref="O1475">IF(A1475="","",IFERROR(INDEX('Deck 5'!$A:$Z,ROW()-1250,'List Setup'!$J$7)&amp;"",""))</f>
        <v/>
      </c>
      <c r="P1475" s="2"/>
      <c r="Q1475" s="80" t="str">
        <f>IF(A1475="","",'List Setup'!$A$7)</f>
        <v/>
      </c>
      <c r="R1475" s="80" t="str">
        <f t="array" ref="R1475">IF(A1475="","",IFERROR(OR(INDEX(Binders!$J$6:$J$30,MATCH(Q1475,Binders!$I$6:$I$30,0))=TRUE(),UPPER(INDEX(Binders!$J$6:$J$30,MATCH(Q1475,Binders!$I$6:$I$30,0))&amp;"")="TRUE"),FALSE()))</f>
        <v/>
      </c>
    </row>
    <row r="1476" ht="15.75" customHeight="1">
      <c r="A1476" s="80" t="str">
        <f t="array" ref="A1476">IF(INDEX('Deck 5'!$A:$Z,ROW()-1250,'List Setup'!$D$7)="","",INDEX('Deck 5'!$A:$Z,ROW()-1250,'List Setup'!$D$7))</f>
        <v/>
      </c>
      <c r="B1476" s="80" t="str">
        <f t="array" ref="B1476">IF(A1476="","",IFERROR(INDEX('Binder Setup'!$B$2:$B$401,MIN(IF(ISNUMBER(SEARCH(CHAR(10)&amp;'Binder Setup'!$B$2:$B$401&amp;CHAR(10),$H1476)),'List Setup'!$Q$2:$Q$401,999),IF(ISNUMBER(SEARCH(CHAR(10)&amp;'Set Aliases'!$A$2:$A$501&amp;CHAR(10),$H1476)),'Set Aliases'!$C$2:$C$501,999))),"(none)"))</f>
        <v/>
      </c>
      <c r="C1476" s="80" t="str">
        <f t="shared" si="1"/>
        <v/>
      </c>
      <c r="D1476" s="80" t="str">
        <f t="array" ref="D1476">IF(A1476="","",IF(ISLOGICAL(INDEX('Deck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76" s="80" t="str">
        <f t="shared" si="2"/>
        <v/>
      </c>
      <c r="F1476" s="80" t="str">
        <f t="array" ref="F1476">IF(A1476="","",IF(ISNUMBER(J1476),J1476,IF(ISNUMBER(INDEX('Deck 5'!$A:$Z,ROW()-1250,'List Setup'!$F$7)),INDEX('Deck 5'!$A:$Z,ROW()-1250,'List Setup'!$F$7),0)))</f>
        <v/>
      </c>
      <c r="G1476" s="80" t="str">
        <f t="array" ref="G1476">IF(A1476="","",A1476&amp;IF(N(INDEX('Deck 5'!$A:$Z,ROW()-1250,'List Setup'!$C$7))&gt;1," (x"&amp;INDEX('Deck 5'!$A:$Z,ROW()-1250,'List Setup'!$C$7)&amp;")","")&amp;IF(COUNTIF(Binders!$J$6:$J$30,TRUE())&gt;1," ["&amp;Q1476&amp;"]",""))</f>
        <v/>
      </c>
      <c r="H1476" s="80" t="str">
        <f t="array" ref="H1476">IF(A1476="","",CHAR(10)&amp;INDEX('Deck 5'!$A:$Z,ROW()-1250,'List Setup'!$E$7)&amp;CHAR(10))</f>
        <v/>
      </c>
      <c r="I1476" s="80" t="str">
        <f t="array" ref="I1476">IF(OR(B1476="",B1476="(none)"),"",IF(ISNUMBER(SEARCH(CHAR(10)&amp;B1476&amp;CHAR(10),H1476)),B1476,IFERROR(INDEX('Set Aliases'!$A$2:$A$501,MATCH(1,('Set Aliases'!$B$2:$B$501=B1476)*ISNUMBER(SEARCH(CHAR(10)&amp;'Set Aliases'!$A$2:$A$501&amp;CHAR(10),H1476)),0)),"")))</f>
        <v/>
      </c>
      <c r="J1476" s="80" t="str">
        <f t="array" ref="J1476">IF(I1476="","",IFERROR(VALUE(TRIM(MID(SUBSTITUTE(INDEX('Deck 5'!$A:$Z,ROW()-1250,'List Setup'!$G$7),CHAR(10),REPT(" ",100)),((SEARCH(CHAR(10)&amp;I1476&amp;CHAR(10),H1476)-LEN(SUBSTITUTE(LEFT(H1476,SEARCH(CHAR(10)&amp;I1476&amp;CHAR(10),H1476)),CHAR(10),"")))-1)*100+1,100))),""))</f>
        <v/>
      </c>
      <c r="K1476" s="80" t="str">
        <f t="array" ref="K1476">IF(A1476="","",IF(ISNUMBER(SEARCH("Land",LEFT(IFERROR(INDEX('Deck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76" s="80" t="str">
        <f t="shared" si="3"/>
        <v/>
      </c>
      <c r="M1476" s="80" t="str">
        <f>IF(A1476="","",IF(AND(E1476="Y",B1476='Use at Shop'!$B$4),K1476*10000000000+(MAX(0,MIN(26,CODE(MID(UPPER(A1476)&amp;"    ",1,1))-64))*19683+MAX(0,MIN(26,CODE(MID(UPPER(A1476)&amp;"    ",2,1))-64))*729+MAX(0,MIN(26,CODE(MID(UPPER(A1476)&amp;"    ",3,1))-64))*27+MAX(0,MIN(26,CODE(MID(UPPER(A1476)&amp;"    ",4,1))-64))*1)*10000+ROW(),""))</f>
        <v/>
      </c>
      <c r="N1476" s="80" t="str">
        <f t="shared" si="9"/>
        <v/>
      </c>
      <c r="O1476" s="80" t="str">
        <f t="array" ref="O1476">IF(A1476="","",IFERROR(INDEX('Deck 5'!$A:$Z,ROW()-1250,'List Setup'!$J$7)&amp;"",""))</f>
        <v/>
      </c>
      <c r="P1476" s="2"/>
      <c r="Q1476" s="80" t="str">
        <f>IF(A1476="","",'List Setup'!$A$7)</f>
        <v/>
      </c>
      <c r="R1476" s="80" t="str">
        <f t="array" ref="R1476">IF(A1476="","",IFERROR(OR(INDEX(Binders!$J$6:$J$30,MATCH(Q1476,Binders!$I$6:$I$30,0))=TRUE(),UPPER(INDEX(Binders!$J$6:$J$30,MATCH(Q1476,Binders!$I$6:$I$30,0))&amp;"")="TRUE"),FALSE()))</f>
        <v/>
      </c>
    </row>
    <row r="1477" ht="15.75" customHeight="1">
      <c r="A1477" s="80" t="str">
        <f t="array" ref="A1477">IF(INDEX('Deck 5'!$A:$Z,ROW()-1250,'List Setup'!$D$7)="","",INDEX('Deck 5'!$A:$Z,ROW()-1250,'List Setup'!$D$7))</f>
        <v/>
      </c>
      <c r="B1477" s="80" t="str">
        <f t="array" ref="B1477">IF(A1477="","",IFERROR(INDEX('Binder Setup'!$B$2:$B$401,MIN(IF(ISNUMBER(SEARCH(CHAR(10)&amp;'Binder Setup'!$B$2:$B$401&amp;CHAR(10),$H1477)),'List Setup'!$Q$2:$Q$401,999),IF(ISNUMBER(SEARCH(CHAR(10)&amp;'Set Aliases'!$A$2:$A$501&amp;CHAR(10),$H1477)),'Set Aliases'!$C$2:$C$501,999))),"(none)"))</f>
        <v/>
      </c>
      <c r="C1477" s="80" t="str">
        <f t="shared" si="1"/>
        <v/>
      </c>
      <c r="D1477" s="80" t="str">
        <f t="array" ref="D1477">IF(A1477="","",IF(ISLOGICAL(INDEX('Deck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77" s="80" t="str">
        <f t="shared" si="2"/>
        <v/>
      </c>
      <c r="F1477" s="80" t="str">
        <f t="array" ref="F1477">IF(A1477="","",IF(ISNUMBER(J1477),J1477,IF(ISNUMBER(INDEX('Deck 5'!$A:$Z,ROW()-1250,'List Setup'!$F$7)),INDEX('Deck 5'!$A:$Z,ROW()-1250,'List Setup'!$F$7),0)))</f>
        <v/>
      </c>
      <c r="G1477" s="80" t="str">
        <f t="array" ref="G1477">IF(A1477="","",A1477&amp;IF(N(INDEX('Deck 5'!$A:$Z,ROW()-1250,'List Setup'!$C$7))&gt;1," (x"&amp;INDEX('Deck 5'!$A:$Z,ROW()-1250,'List Setup'!$C$7)&amp;")","")&amp;IF(COUNTIF(Binders!$J$6:$J$30,TRUE())&gt;1," ["&amp;Q1477&amp;"]",""))</f>
        <v/>
      </c>
      <c r="H1477" s="80" t="str">
        <f t="array" ref="H1477">IF(A1477="","",CHAR(10)&amp;INDEX('Deck 5'!$A:$Z,ROW()-1250,'List Setup'!$E$7)&amp;CHAR(10))</f>
        <v/>
      </c>
      <c r="I1477" s="80" t="str">
        <f t="array" ref="I1477">IF(OR(B1477="",B1477="(none)"),"",IF(ISNUMBER(SEARCH(CHAR(10)&amp;B1477&amp;CHAR(10),H1477)),B1477,IFERROR(INDEX('Set Aliases'!$A$2:$A$501,MATCH(1,('Set Aliases'!$B$2:$B$501=B1477)*ISNUMBER(SEARCH(CHAR(10)&amp;'Set Aliases'!$A$2:$A$501&amp;CHAR(10),H1477)),0)),"")))</f>
        <v/>
      </c>
      <c r="J1477" s="80" t="str">
        <f t="array" ref="J1477">IF(I1477="","",IFERROR(VALUE(TRIM(MID(SUBSTITUTE(INDEX('Deck 5'!$A:$Z,ROW()-1250,'List Setup'!$G$7),CHAR(10),REPT(" ",100)),((SEARCH(CHAR(10)&amp;I1477&amp;CHAR(10),H1477)-LEN(SUBSTITUTE(LEFT(H1477,SEARCH(CHAR(10)&amp;I1477&amp;CHAR(10),H1477)),CHAR(10),"")))-1)*100+1,100))),""))</f>
        <v/>
      </c>
      <c r="K1477" s="80" t="str">
        <f t="array" ref="K1477">IF(A1477="","",IF(ISNUMBER(SEARCH("Land",LEFT(IFERROR(INDEX('Deck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77" s="80" t="str">
        <f t="shared" si="3"/>
        <v/>
      </c>
      <c r="M1477" s="80" t="str">
        <f>IF(A1477="","",IF(AND(E1477="Y",B1477='Use at Shop'!$B$4),K1477*10000000000+(MAX(0,MIN(26,CODE(MID(UPPER(A1477)&amp;"    ",1,1))-64))*19683+MAX(0,MIN(26,CODE(MID(UPPER(A1477)&amp;"    ",2,1))-64))*729+MAX(0,MIN(26,CODE(MID(UPPER(A1477)&amp;"    ",3,1))-64))*27+MAX(0,MIN(26,CODE(MID(UPPER(A1477)&amp;"    ",4,1))-64))*1)*10000+ROW(),""))</f>
        <v/>
      </c>
      <c r="N1477" s="80" t="str">
        <f t="shared" si="9"/>
        <v/>
      </c>
      <c r="O1477" s="80" t="str">
        <f t="array" ref="O1477">IF(A1477="","",IFERROR(INDEX('Deck 5'!$A:$Z,ROW()-1250,'List Setup'!$J$7)&amp;"",""))</f>
        <v/>
      </c>
      <c r="P1477" s="2"/>
      <c r="Q1477" s="80" t="str">
        <f>IF(A1477="","",'List Setup'!$A$7)</f>
        <v/>
      </c>
      <c r="R1477" s="80" t="str">
        <f t="array" ref="R1477">IF(A1477="","",IFERROR(OR(INDEX(Binders!$J$6:$J$30,MATCH(Q1477,Binders!$I$6:$I$30,0))=TRUE(),UPPER(INDEX(Binders!$J$6:$J$30,MATCH(Q1477,Binders!$I$6:$I$30,0))&amp;"")="TRUE"),FALSE()))</f>
        <v/>
      </c>
    </row>
    <row r="1478" ht="15.75" customHeight="1">
      <c r="A1478" s="80" t="str">
        <f t="array" ref="A1478">IF(INDEX('Deck 5'!$A:$Z,ROW()-1250,'List Setup'!$D$7)="","",INDEX('Deck 5'!$A:$Z,ROW()-1250,'List Setup'!$D$7))</f>
        <v/>
      </c>
      <c r="B1478" s="80" t="str">
        <f t="array" ref="B1478">IF(A1478="","",IFERROR(INDEX('Binder Setup'!$B$2:$B$401,MIN(IF(ISNUMBER(SEARCH(CHAR(10)&amp;'Binder Setup'!$B$2:$B$401&amp;CHAR(10),$H1478)),'List Setup'!$Q$2:$Q$401,999),IF(ISNUMBER(SEARCH(CHAR(10)&amp;'Set Aliases'!$A$2:$A$501&amp;CHAR(10),$H1478)),'Set Aliases'!$C$2:$C$501,999))),"(none)"))</f>
        <v/>
      </c>
      <c r="C1478" s="80" t="str">
        <f t="shared" si="1"/>
        <v/>
      </c>
      <c r="D1478" s="80" t="str">
        <f t="array" ref="D1478">IF(A1478="","",IF(ISLOGICAL(INDEX('Deck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78" s="80" t="str">
        <f t="shared" si="2"/>
        <v/>
      </c>
      <c r="F1478" s="80" t="str">
        <f t="array" ref="F1478">IF(A1478="","",IF(ISNUMBER(J1478),J1478,IF(ISNUMBER(INDEX('Deck 5'!$A:$Z,ROW()-1250,'List Setup'!$F$7)),INDEX('Deck 5'!$A:$Z,ROW()-1250,'List Setup'!$F$7),0)))</f>
        <v/>
      </c>
      <c r="G1478" s="80" t="str">
        <f t="array" ref="G1478">IF(A1478="","",A1478&amp;IF(N(INDEX('Deck 5'!$A:$Z,ROW()-1250,'List Setup'!$C$7))&gt;1," (x"&amp;INDEX('Deck 5'!$A:$Z,ROW()-1250,'List Setup'!$C$7)&amp;")","")&amp;IF(COUNTIF(Binders!$J$6:$J$30,TRUE())&gt;1," ["&amp;Q1478&amp;"]",""))</f>
        <v/>
      </c>
      <c r="H1478" s="80" t="str">
        <f t="array" ref="H1478">IF(A1478="","",CHAR(10)&amp;INDEX('Deck 5'!$A:$Z,ROW()-1250,'List Setup'!$E$7)&amp;CHAR(10))</f>
        <v/>
      </c>
      <c r="I1478" s="80" t="str">
        <f t="array" ref="I1478">IF(OR(B1478="",B1478="(none)"),"",IF(ISNUMBER(SEARCH(CHAR(10)&amp;B1478&amp;CHAR(10),H1478)),B1478,IFERROR(INDEX('Set Aliases'!$A$2:$A$501,MATCH(1,('Set Aliases'!$B$2:$B$501=B1478)*ISNUMBER(SEARCH(CHAR(10)&amp;'Set Aliases'!$A$2:$A$501&amp;CHAR(10),H1478)),0)),"")))</f>
        <v/>
      </c>
      <c r="J1478" s="80" t="str">
        <f t="array" ref="J1478">IF(I1478="","",IFERROR(VALUE(TRIM(MID(SUBSTITUTE(INDEX('Deck 5'!$A:$Z,ROW()-1250,'List Setup'!$G$7),CHAR(10),REPT(" ",100)),((SEARCH(CHAR(10)&amp;I1478&amp;CHAR(10),H1478)-LEN(SUBSTITUTE(LEFT(H1478,SEARCH(CHAR(10)&amp;I1478&amp;CHAR(10),H1478)),CHAR(10),"")))-1)*100+1,100))),""))</f>
        <v/>
      </c>
      <c r="K1478" s="80" t="str">
        <f t="array" ref="K1478">IF(A1478="","",IF(ISNUMBER(SEARCH("Land",LEFT(IFERROR(INDEX('Deck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78" s="80" t="str">
        <f t="shared" si="3"/>
        <v/>
      </c>
      <c r="M1478" s="80" t="str">
        <f>IF(A1478="","",IF(AND(E1478="Y",B1478='Use at Shop'!$B$4),K1478*10000000000+(MAX(0,MIN(26,CODE(MID(UPPER(A1478)&amp;"    ",1,1))-64))*19683+MAX(0,MIN(26,CODE(MID(UPPER(A1478)&amp;"    ",2,1))-64))*729+MAX(0,MIN(26,CODE(MID(UPPER(A1478)&amp;"    ",3,1))-64))*27+MAX(0,MIN(26,CODE(MID(UPPER(A1478)&amp;"    ",4,1))-64))*1)*10000+ROW(),""))</f>
        <v/>
      </c>
      <c r="N1478" s="80" t="str">
        <f t="shared" si="9"/>
        <v/>
      </c>
      <c r="O1478" s="80" t="str">
        <f t="array" ref="O1478">IF(A1478="","",IFERROR(INDEX('Deck 5'!$A:$Z,ROW()-1250,'List Setup'!$J$7)&amp;"",""))</f>
        <v/>
      </c>
      <c r="P1478" s="2"/>
      <c r="Q1478" s="80" t="str">
        <f>IF(A1478="","",'List Setup'!$A$7)</f>
        <v/>
      </c>
      <c r="R1478" s="80" t="str">
        <f t="array" ref="R1478">IF(A1478="","",IFERROR(OR(INDEX(Binders!$J$6:$J$30,MATCH(Q1478,Binders!$I$6:$I$30,0))=TRUE(),UPPER(INDEX(Binders!$J$6:$J$30,MATCH(Q1478,Binders!$I$6:$I$30,0))&amp;"")="TRUE"),FALSE()))</f>
        <v/>
      </c>
    </row>
    <row r="1479" ht="15.75" customHeight="1">
      <c r="A1479" s="80" t="str">
        <f t="array" ref="A1479">IF(INDEX('Deck 5'!$A:$Z,ROW()-1250,'List Setup'!$D$7)="","",INDEX('Deck 5'!$A:$Z,ROW()-1250,'List Setup'!$D$7))</f>
        <v/>
      </c>
      <c r="B1479" s="80" t="str">
        <f t="array" ref="B1479">IF(A1479="","",IFERROR(INDEX('Binder Setup'!$B$2:$B$401,MIN(IF(ISNUMBER(SEARCH(CHAR(10)&amp;'Binder Setup'!$B$2:$B$401&amp;CHAR(10),$H1479)),'List Setup'!$Q$2:$Q$401,999),IF(ISNUMBER(SEARCH(CHAR(10)&amp;'Set Aliases'!$A$2:$A$501&amp;CHAR(10),$H1479)),'Set Aliases'!$C$2:$C$501,999))),"(none)"))</f>
        <v/>
      </c>
      <c r="C1479" s="80" t="str">
        <f t="shared" si="1"/>
        <v/>
      </c>
      <c r="D1479" s="80" t="str">
        <f t="array" ref="D1479">IF(A1479="","",IF(ISLOGICAL(INDEX('Deck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79" s="80" t="str">
        <f t="shared" si="2"/>
        <v/>
      </c>
      <c r="F1479" s="80" t="str">
        <f t="array" ref="F1479">IF(A1479="","",IF(ISNUMBER(J1479),J1479,IF(ISNUMBER(INDEX('Deck 5'!$A:$Z,ROW()-1250,'List Setup'!$F$7)),INDEX('Deck 5'!$A:$Z,ROW()-1250,'List Setup'!$F$7),0)))</f>
        <v/>
      </c>
      <c r="G1479" s="80" t="str">
        <f t="array" ref="G1479">IF(A1479="","",A1479&amp;IF(N(INDEX('Deck 5'!$A:$Z,ROW()-1250,'List Setup'!$C$7))&gt;1," (x"&amp;INDEX('Deck 5'!$A:$Z,ROW()-1250,'List Setup'!$C$7)&amp;")","")&amp;IF(COUNTIF(Binders!$J$6:$J$30,TRUE())&gt;1," ["&amp;Q1479&amp;"]",""))</f>
        <v/>
      </c>
      <c r="H1479" s="80" t="str">
        <f t="array" ref="H1479">IF(A1479="","",CHAR(10)&amp;INDEX('Deck 5'!$A:$Z,ROW()-1250,'List Setup'!$E$7)&amp;CHAR(10))</f>
        <v/>
      </c>
      <c r="I1479" s="80" t="str">
        <f t="array" ref="I1479">IF(OR(B1479="",B1479="(none)"),"",IF(ISNUMBER(SEARCH(CHAR(10)&amp;B1479&amp;CHAR(10),H1479)),B1479,IFERROR(INDEX('Set Aliases'!$A$2:$A$501,MATCH(1,('Set Aliases'!$B$2:$B$501=B1479)*ISNUMBER(SEARCH(CHAR(10)&amp;'Set Aliases'!$A$2:$A$501&amp;CHAR(10),H1479)),0)),"")))</f>
        <v/>
      </c>
      <c r="J1479" s="80" t="str">
        <f t="array" ref="J1479">IF(I1479="","",IFERROR(VALUE(TRIM(MID(SUBSTITUTE(INDEX('Deck 5'!$A:$Z,ROW()-1250,'List Setup'!$G$7),CHAR(10),REPT(" ",100)),((SEARCH(CHAR(10)&amp;I1479&amp;CHAR(10),H1479)-LEN(SUBSTITUTE(LEFT(H1479,SEARCH(CHAR(10)&amp;I1479&amp;CHAR(10),H1479)),CHAR(10),"")))-1)*100+1,100))),""))</f>
        <v/>
      </c>
      <c r="K1479" s="80" t="str">
        <f t="array" ref="K1479">IF(A1479="","",IF(ISNUMBER(SEARCH("Land",LEFT(IFERROR(INDEX('Deck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79" s="80" t="str">
        <f t="shared" si="3"/>
        <v/>
      </c>
      <c r="M1479" s="80" t="str">
        <f>IF(A1479="","",IF(AND(E1479="Y",B1479='Use at Shop'!$B$4),K1479*10000000000+(MAX(0,MIN(26,CODE(MID(UPPER(A1479)&amp;"    ",1,1))-64))*19683+MAX(0,MIN(26,CODE(MID(UPPER(A1479)&amp;"    ",2,1))-64))*729+MAX(0,MIN(26,CODE(MID(UPPER(A1479)&amp;"    ",3,1))-64))*27+MAX(0,MIN(26,CODE(MID(UPPER(A1479)&amp;"    ",4,1))-64))*1)*10000+ROW(),""))</f>
        <v/>
      </c>
      <c r="N1479" s="80" t="str">
        <f t="shared" si="9"/>
        <v/>
      </c>
      <c r="O1479" s="80" t="str">
        <f t="array" ref="O1479">IF(A1479="","",IFERROR(INDEX('Deck 5'!$A:$Z,ROW()-1250,'List Setup'!$J$7)&amp;"",""))</f>
        <v/>
      </c>
      <c r="P1479" s="2"/>
      <c r="Q1479" s="80" t="str">
        <f>IF(A1479="","",'List Setup'!$A$7)</f>
        <v/>
      </c>
      <c r="R1479" s="80" t="str">
        <f t="array" ref="R1479">IF(A1479="","",IFERROR(OR(INDEX(Binders!$J$6:$J$30,MATCH(Q1479,Binders!$I$6:$I$30,0))=TRUE(),UPPER(INDEX(Binders!$J$6:$J$30,MATCH(Q1479,Binders!$I$6:$I$30,0))&amp;"")="TRUE"),FALSE()))</f>
        <v/>
      </c>
    </row>
    <row r="1480" ht="15.75" customHeight="1">
      <c r="A1480" s="80" t="str">
        <f t="array" ref="A1480">IF(INDEX('Deck 5'!$A:$Z,ROW()-1250,'List Setup'!$D$7)="","",INDEX('Deck 5'!$A:$Z,ROW()-1250,'List Setup'!$D$7))</f>
        <v/>
      </c>
      <c r="B1480" s="80" t="str">
        <f t="array" ref="B1480">IF(A1480="","",IFERROR(INDEX('Binder Setup'!$B$2:$B$401,MIN(IF(ISNUMBER(SEARCH(CHAR(10)&amp;'Binder Setup'!$B$2:$B$401&amp;CHAR(10),$H1480)),'List Setup'!$Q$2:$Q$401,999),IF(ISNUMBER(SEARCH(CHAR(10)&amp;'Set Aliases'!$A$2:$A$501&amp;CHAR(10),$H1480)),'Set Aliases'!$C$2:$C$501,999))),"(none)"))</f>
        <v/>
      </c>
      <c r="C1480" s="80" t="str">
        <f t="shared" si="1"/>
        <v/>
      </c>
      <c r="D1480" s="80" t="str">
        <f t="array" ref="D1480">IF(A1480="","",IF(ISLOGICAL(INDEX('Deck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80" s="80" t="str">
        <f t="shared" si="2"/>
        <v/>
      </c>
      <c r="F1480" s="80" t="str">
        <f t="array" ref="F1480">IF(A1480="","",IF(ISNUMBER(J1480),J1480,IF(ISNUMBER(INDEX('Deck 5'!$A:$Z,ROW()-1250,'List Setup'!$F$7)),INDEX('Deck 5'!$A:$Z,ROW()-1250,'List Setup'!$F$7),0)))</f>
        <v/>
      </c>
      <c r="G1480" s="80" t="str">
        <f t="array" ref="G1480">IF(A1480="","",A1480&amp;IF(N(INDEX('Deck 5'!$A:$Z,ROW()-1250,'List Setup'!$C$7))&gt;1," (x"&amp;INDEX('Deck 5'!$A:$Z,ROW()-1250,'List Setup'!$C$7)&amp;")","")&amp;IF(COUNTIF(Binders!$J$6:$J$30,TRUE())&gt;1," ["&amp;Q1480&amp;"]",""))</f>
        <v/>
      </c>
      <c r="H1480" s="80" t="str">
        <f t="array" ref="H1480">IF(A1480="","",CHAR(10)&amp;INDEX('Deck 5'!$A:$Z,ROW()-1250,'List Setup'!$E$7)&amp;CHAR(10))</f>
        <v/>
      </c>
      <c r="I1480" s="80" t="str">
        <f t="array" ref="I1480">IF(OR(B1480="",B1480="(none)"),"",IF(ISNUMBER(SEARCH(CHAR(10)&amp;B1480&amp;CHAR(10),H1480)),B1480,IFERROR(INDEX('Set Aliases'!$A$2:$A$501,MATCH(1,('Set Aliases'!$B$2:$B$501=B1480)*ISNUMBER(SEARCH(CHAR(10)&amp;'Set Aliases'!$A$2:$A$501&amp;CHAR(10),H1480)),0)),"")))</f>
        <v/>
      </c>
      <c r="J1480" s="80" t="str">
        <f t="array" ref="J1480">IF(I1480="","",IFERROR(VALUE(TRIM(MID(SUBSTITUTE(INDEX('Deck 5'!$A:$Z,ROW()-1250,'List Setup'!$G$7),CHAR(10),REPT(" ",100)),((SEARCH(CHAR(10)&amp;I1480&amp;CHAR(10),H1480)-LEN(SUBSTITUTE(LEFT(H1480,SEARCH(CHAR(10)&amp;I1480&amp;CHAR(10),H1480)),CHAR(10),"")))-1)*100+1,100))),""))</f>
        <v/>
      </c>
      <c r="K1480" s="80" t="str">
        <f t="array" ref="K1480">IF(A1480="","",IF(ISNUMBER(SEARCH("Land",LEFT(IFERROR(INDEX('Deck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80" s="80" t="str">
        <f t="shared" si="3"/>
        <v/>
      </c>
      <c r="M1480" s="80" t="str">
        <f>IF(A1480="","",IF(AND(E1480="Y",B1480='Use at Shop'!$B$4),K1480*10000000000+(MAX(0,MIN(26,CODE(MID(UPPER(A1480)&amp;"    ",1,1))-64))*19683+MAX(0,MIN(26,CODE(MID(UPPER(A1480)&amp;"    ",2,1))-64))*729+MAX(0,MIN(26,CODE(MID(UPPER(A1480)&amp;"    ",3,1))-64))*27+MAX(0,MIN(26,CODE(MID(UPPER(A1480)&amp;"    ",4,1))-64))*1)*10000+ROW(),""))</f>
        <v/>
      </c>
      <c r="N1480" s="80" t="str">
        <f t="shared" si="9"/>
        <v/>
      </c>
      <c r="O1480" s="80" t="str">
        <f t="array" ref="O1480">IF(A1480="","",IFERROR(INDEX('Deck 5'!$A:$Z,ROW()-1250,'List Setup'!$J$7)&amp;"",""))</f>
        <v/>
      </c>
      <c r="P1480" s="2"/>
      <c r="Q1480" s="80" t="str">
        <f>IF(A1480="","",'List Setup'!$A$7)</f>
        <v/>
      </c>
      <c r="R1480" s="80" t="str">
        <f t="array" ref="R1480">IF(A1480="","",IFERROR(OR(INDEX(Binders!$J$6:$J$30,MATCH(Q1480,Binders!$I$6:$I$30,0))=TRUE(),UPPER(INDEX(Binders!$J$6:$J$30,MATCH(Q1480,Binders!$I$6:$I$30,0))&amp;"")="TRUE"),FALSE()))</f>
        <v/>
      </c>
    </row>
    <row r="1481" ht="15.75" customHeight="1">
      <c r="A1481" s="80" t="str">
        <f t="array" ref="A1481">IF(INDEX('Deck 5'!$A:$Z,ROW()-1250,'List Setup'!$D$7)="","",INDEX('Deck 5'!$A:$Z,ROW()-1250,'List Setup'!$D$7))</f>
        <v/>
      </c>
      <c r="B1481" s="80" t="str">
        <f t="array" ref="B1481">IF(A1481="","",IFERROR(INDEX('Binder Setup'!$B$2:$B$401,MIN(IF(ISNUMBER(SEARCH(CHAR(10)&amp;'Binder Setup'!$B$2:$B$401&amp;CHAR(10),$H1481)),'List Setup'!$Q$2:$Q$401,999),IF(ISNUMBER(SEARCH(CHAR(10)&amp;'Set Aliases'!$A$2:$A$501&amp;CHAR(10),$H1481)),'Set Aliases'!$C$2:$C$501,999))),"(none)"))</f>
        <v/>
      </c>
      <c r="C1481" s="80" t="str">
        <f t="shared" si="1"/>
        <v/>
      </c>
      <c r="D1481" s="80" t="str">
        <f t="array" ref="D1481">IF(A1481="","",IF(ISLOGICAL(INDEX('Deck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81" s="80" t="str">
        <f t="shared" si="2"/>
        <v/>
      </c>
      <c r="F1481" s="80" t="str">
        <f t="array" ref="F1481">IF(A1481="","",IF(ISNUMBER(J1481),J1481,IF(ISNUMBER(INDEX('Deck 5'!$A:$Z,ROW()-1250,'List Setup'!$F$7)),INDEX('Deck 5'!$A:$Z,ROW()-1250,'List Setup'!$F$7),0)))</f>
        <v/>
      </c>
      <c r="G1481" s="80" t="str">
        <f t="array" ref="G1481">IF(A1481="","",A1481&amp;IF(N(INDEX('Deck 5'!$A:$Z,ROW()-1250,'List Setup'!$C$7))&gt;1," (x"&amp;INDEX('Deck 5'!$A:$Z,ROW()-1250,'List Setup'!$C$7)&amp;")","")&amp;IF(COUNTIF(Binders!$J$6:$J$30,TRUE())&gt;1," ["&amp;Q1481&amp;"]",""))</f>
        <v/>
      </c>
      <c r="H1481" s="80" t="str">
        <f t="array" ref="H1481">IF(A1481="","",CHAR(10)&amp;INDEX('Deck 5'!$A:$Z,ROW()-1250,'List Setup'!$E$7)&amp;CHAR(10))</f>
        <v/>
      </c>
      <c r="I1481" s="80" t="str">
        <f t="array" ref="I1481">IF(OR(B1481="",B1481="(none)"),"",IF(ISNUMBER(SEARCH(CHAR(10)&amp;B1481&amp;CHAR(10),H1481)),B1481,IFERROR(INDEX('Set Aliases'!$A$2:$A$501,MATCH(1,('Set Aliases'!$B$2:$B$501=B1481)*ISNUMBER(SEARCH(CHAR(10)&amp;'Set Aliases'!$A$2:$A$501&amp;CHAR(10),H1481)),0)),"")))</f>
        <v/>
      </c>
      <c r="J1481" s="80" t="str">
        <f t="array" ref="J1481">IF(I1481="","",IFERROR(VALUE(TRIM(MID(SUBSTITUTE(INDEX('Deck 5'!$A:$Z,ROW()-1250,'List Setup'!$G$7),CHAR(10),REPT(" ",100)),((SEARCH(CHAR(10)&amp;I1481&amp;CHAR(10),H1481)-LEN(SUBSTITUTE(LEFT(H1481,SEARCH(CHAR(10)&amp;I1481&amp;CHAR(10),H1481)),CHAR(10),"")))-1)*100+1,100))),""))</f>
        <v/>
      </c>
      <c r="K1481" s="80" t="str">
        <f t="array" ref="K1481">IF(A1481="","",IF(ISNUMBER(SEARCH("Land",LEFT(IFERROR(INDEX('Deck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81" s="80" t="str">
        <f t="shared" si="3"/>
        <v/>
      </c>
      <c r="M1481" s="80" t="str">
        <f>IF(A1481="","",IF(AND(E1481="Y",B1481='Use at Shop'!$B$4),K1481*10000000000+(MAX(0,MIN(26,CODE(MID(UPPER(A1481)&amp;"    ",1,1))-64))*19683+MAX(0,MIN(26,CODE(MID(UPPER(A1481)&amp;"    ",2,1))-64))*729+MAX(0,MIN(26,CODE(MID(UPPER(A1481)&amp;"    ",3,1))-64))*27+MAX(0,MIN(26,CODE(MID(UPPER(A1481)&amp;"    ",4,1))-64))*1)*10000+ROW(),""))</f>
        <v/>
      </c>
      <c r="N1481" s="80" t="str">
        <f t="shared" si="9"/>
        <v/>
      </c>
      <c r="O1481" s="80" t="str">
        <f t="array" ref="O1481">IF(A1481="","",IFERROR(INDEX('Deck 5'!$A:$Z,ROW()-1250,'List Setup'!$J$7)&amp;"",""))</f>
        <v/>
      </c>
      <c r="P1481" s="2"/>
      <c r="Q1481" s="80" t="str">
        <f>IF(A1481="","",'List Setup'!$A$7)</f>
        <v/>
      </c>
      <c r="R1481" s="80" t="str">
        <f t="array" ref="R1481">IF(A1481="","",IFERROR(OR(INDEX(Binders!$J$6:$J$30,MATCH(Q1481,Binders!$I$6:$I$30,0))=TRUE(),UPPER(INDEX(Binders!$J$6:$J$30,MATCH(Q1481,Binders!$I$6:$I$30,0))&amp;"")="TRUE"),FALSE()))</f>
        <v/>
      </c>
    </row>
    <row r="1482" ht="15.75" customHeight="1">
      <c r="A1482" s="80" t="str">
        <f t="array" ref="A1482">IF(INDEX('Deck 5'!$A:$Z,ROW()-1250,'List Setup'!$D$7)="","",INDEX('Deck 5'!$A:$Z,ROW()-1250,'List Setup'!$D$7))</f>
        <v/>
      </c>
      <c r="B1482" s="80" t="str">
        <f t="array" ref="B1482">IF(A1482="","",IFERROR(INDEX('Binder Setup'!$B$2:$B$401,MIN(IF(ISNUMBER(SEARCH(CHAR(10)&amp;'Binder Setup'!$B$2:$B$401&amp;CHAR(10),$H1482)),'List Setup'!$Q$2:$Q$401,999),IF(ISNUMBER(SEARCH(CHAR(10)&amp;'Set Aliases'!$A$2:$A$501&amp;CHAR(10),$H1482)),'Set Aliases'!$C$2:$C$501,999))),"(none)"))</f>
        <v/>
      </c>
      <c r="C1482" s="80" t="str">
        <f t="shared" si="1"/>
        <v/>
      </c>
      <c r="D1482" s="80" t="str">
        <f t="array" ref="D1482">IF(A1482="","",IF(ISLOGICAL(INDEX('Deck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82" s="80" t="str">
        <f t="shared" si="2"/>
        <v/>
      </c>
      <c r="F1482" s="80" t="str">
        <f t="array" ref="F1482">IF(A1482="","",IF(ISNUMBER(J1482),J1482,IF(ISNUMBER(INDEX('Deck 5'!$A:$Z,ROW()-1250,'List Setup'!$F$7)),INDEX('Deck 5'!$A:$Z,ROW()-1250,'List Setup'!$F$7),0)))</f>
        <v/>
      </c>
      <c r="G1482" s="80" t="str">
        <f t="array" ref="G1482">IF(A1482="","",A1482&amp;IF(N(INDEX('Deck 5'!$A:$Z,ROW()-1250,'List Setup'!$C$7))&gt;1," (x"&amp;INDEX('Deck 5'!$A:$Z,ROW()-1250,'List Setup'!$C$7)&amp;")","")&amp;IF(COUNTIF(Binders!$J$6:$J$30,TRUE())&gt;1," ["&amp;Q1482&amp;"]",""))</f>
        <v/>
      </c>
      <c r="H1482" s="80" t="str">
        <f t="array" ref="H1482">IF(A1482="","",CHAR(10)&amp;INDEX('Deck 5'!$A:$Z,ROW()-1250,'List Setup'!$E$7)&amp;CHAR(10))</f>
        <v/>
      </c>
      <c r="I1482" s="80" t="str">
        <f t="array" ref="I1482">IF(OR(B1482="",B1482="(none)"),"",IF(ISNUMBER(SEARCH(CHAR(10)&amp;B1482&amp;CHAR(10),H1482)),B1482,IFERROR(INDEX('Set Aliases'!$A$2:$A$501,MATCH(1,('Set Aliases'!$B$2:$B$501=B1482)*ISNUMBER(SEARCH(CHAR(10)&amp;'Set Aliases'!$A$2:$A$501&amp;CHAR(10),H1482)),0)),"")))</f>
        <v/>
      </c>
      <c r="J1482" s="80" t="str">
        <f t="array" ref="J1482">IF(I1482="","",IFERROR(VALUE(TRIM(MID(SUBSTITUTE(INDEX('Deck 5'!$A:$Z,ROW()-1250,'List Setup'!$G$7),CHAR(10),REPT(" ",100)),((SEARCH(CHAR(10)&amp;I1482&amp;CHAR(10),H1482)-LEN(SUBSTITUTE(LEFT(H1482,SEARCH(CHAR(10)&amp;I1482&amp;CHAR(10),H1482)),CHAR(10),"")))-1)*100+1,100))),""))</f>
        <v/>
      </c>
      <c r="K1482" s="80" t="str">
        <f t="array" ref="K1482">IF(A1482="","",IF(ISNUMBER(SEARCH("Land",LEFT(IFERROR(INDEX('Deck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82" s="80" t="str">
        <f t="shared" si="3"/>
        <v/>
      </c>
      <c r="M1482" s="80" t="str">
        <f>IF(A1482="","",IF(AND(E1482="Y",B1482='Use at Shop'!$B$4),K1482*10000000000+(MAX(0,MIN(26,CODE(MID(UPPER(A1482)&amp;"    ",1,1))-64))*19683+MAX(0,MIN(26,CODE(MID(UPPER(A1482)&amp;"    ",2,1))-64))*729+MAX(0,MIN(26,CODE(MID(UPPER(A1482)&amp;"    ",3,1))-64))*27+MAX(0,MIN(26,CODE(MID(UPPER(A1482)&amp;"    ",4,1))-64))*1)*10000+ROW(),""))</f>
        <v/>
      </c>
      <c r="N1482" s="80" t="str">
        <f t="shared" si="9"/>
        <v/>
      </c>
      <c r="O1482" s="80" t="str">
        <f t="array" ref="O1482">IF(A1482="","",IFERROR(INDEX('Deck 5'!$A:$Z,ROW()-1250,'List Setup'!$J$7)&amp;"",""))</f>
        <v/>
      </c>
      <c r="P1482" s="2"/>
      <c r="Q1482" s="80" t="str">
        <f>IF(A1482="","",'List Setup'!$A$7)</f>
        <v/>
      </c>
      <c r="R1482" s="80" t="str">
        <f t="array" ref="R1482">IF(A1482="","",IFERROR(OR(INDEX(Binders!$J$6:$J$30,MATCH(Q1482,Binders!$I$6:$I$30,0))=TRUE(),UPPER(INDEX(Binders!$J$6:$J$30,MATCH(Q1482,Binders!$I$6:$I$30,0))&amp;"")="TRUE"),FALSE()))</f>
        <v/>
      </c>
    </row>
    <row r="1483" ht="15.75" customHeight="1">
      <c r="A1483" s="80" t="str">
        <f t="array" ref="A1483">IF(INDEX('Deck 5'!$A:$Z,ROW()-1250,'List Setup'!$D$7)="","",INDEX('Deck 5'!$A:$Z,ROW()-1250,'List Setup'!$D$7))</f>
        <v/>
      </c>
      <c r="B1483" s="80" t="str">
        <f t="array" ref="B1483">IF(A1483="","",IFERROR(INDEX('Binder Setup'!$B$2:$B$401,MIN(IF(ISNUMBER(SEARCH(CHAR(10)&amp;'Binder Setup'!$B$2:$B$401&amp;CHAR(10),$H1483)),'List Setup'!$Q$2:$Q$401,999),IF(ISNUMBER(SEARCH(CHAR(10)&amp;'Set Aliases'!$A$2:$A$501&amp;CHAR(10),$H1483)),'Set Aliases'!$C$2:$C$501,999))),"(none)"))</f>
        <v/>
      </c>
      <c r="C1483" s="80" t="str">
        <f t="shared" si="1"/>
        <v/>
      </c>
      <c r="D1483" s="80" t="str">
        <f t="array" ref="D1483">IF(A1483="","",IF(ISLOGICAL(INDEX('Deck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83" s="80" t="str">
        <f t="shared" si="2"/>
        <v/>
      </c>
      <c r="F1483" s="80" t="str">
        <f t="array" ref="F1483">IF(A1483="","",IF(ISNUMBER(J1483),J1483,IF(ISNUMBER(INDEX('Deck 5'!$A:$Z,ROW()-1250,'List Setup'!$F$7)),INDEX('Deck 5'!$A:$Z,ROW()-1250,'List Setup'!$F$7),0)))</f>
        <v/>
      </c>
      <c r="G1483" s="80" t="str">
        <f t="array" ref="G1483">IF(A1483="","",A1483&amp;IF(N(INDEX('Deck 5'!$A:$Z,ROW()-1250,'List Setup'!$C$7))&gt;1," (x"&amp;INDEX('Deck 5'!$A:$Z,ROW()-1250,'List Setup'!$C$7)&amp;")","")&amp;IF(COUNTIF(Binders!$J$6:$J$30,TRUE())&gt;1," ["&amp;Q1483&amp;"]",""))</f>
        <v/>
      </c>
      <c r="H1483" s="80" t="str">
        <f t="array" ref="H1483">IF(A1483="","",CHAR(10)&amp;INDEX('Deck 5'!$A:$Z,ROW()-1250,'List Setup'!$E$7)&amp;CHAR(10))</f>
        <v/>
      </c>
      <c r="I1483" s="80" t="str">
        <f t="array" ref="I1483">IF(OR(B1483="",B1483="(none)"),"",IF(ISNUMBER(SEARCH(CHAR(10)&amp;B1483&amp;CHAR(10),H1483)),B1483,IFERROR(INDEX('Set Aliases'!$A$2:$A$501,MATCH(1,('Set Aliases'!$B$2:$B$501=B1483)*ISNUMBER(SEARCH(CHAR(10)&amp;'Set Aliases'!$A$2:$A$501&amp;CHAR(10),H1483)),0)),"")))</f>
        <v/>
      </c>
      <c r="J1483" s="80" t="str">
        <f t="array" ref="J1483">IF(I1483="","",IFERROR(VALUE(TRIM(MID(SUBSTITUTE(INDEX('Deck 5'!$A:$Z,ROW()-1250,'List Setup'!$G$7),CHAR(10),REPT(" ",100)),((SEARCH(CHAR(10)&amp;I1483&amp;CHAR(10),H1483)-LEN(SUBSTITUTE(LEFT(H1483,SEARCH(CHAR(10)&amp;I1483&amp;CHAR(10),H1483)),CHAR(10),"")))-1)*100+1,100))),""))</f>
        <v/>
      </c>
      <c r="K1483" s="80" t="str">
        <f t="array" ref="K1483">IF(A1483="","",IF(ISNUMBER(SEARCH("Land",LEFT(IFERROR(INDEX('Deck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83" s="80" t="str">
        <f t="shared" si="3"/>
        <v/>
      </c>
      <c r="M1483" s="80" t="str">
        <f>IF(A1483="","",IF(AND(E1483="Y",B1483='Use at Shop'!$B$4),K1483*10000000000+(MAX(0,MIN(26,CODE(MID(UPPER(A1483)&amp;"    ",1,1))-64))*19683+MAX(0,MIN(26,CODE(MID(UPPER(A1483)&amp;"    ",2,1))-64))*729+MAX(0,MIN(26,CODE(MID(UPPER(A1483)&amp;"    ",3,1))-64))*27+MAX(0,MIN(26,CODE(MID(UPPER(A1483)&amp;"    ",4,1))-64))*1)*10000+ROW(),""))</f>
        <v/>
      </c>
      <c r="N1483" s="80" t="str">
        <f t="shared" si="9"/>
        <v/>
      </c>
      <c r="O1483" s="80" t="str">
        <f t="array" ref="O1483">IF(A1483="","",IFERROR(INDEX('Deck 5'!$A:$Z,ROW()-1250,'List Setup'!$J$7)&amp;"",""))</f>
        <v/>
      </c>
      <c r="P1483" s="2"/>
      <c r="Q1483" s="80" t="str">
        <f>IF(A1483="","",'List Setup'!$A$7)</f>
        <v/>
      </c>
      <c r="R1483" s="80" t="str">
        <f t="array" ref="R1483">IF(A1483="","",IFERROR(OR(INDEX(Binders!$J$6:$J$30,MATCH(Q1483,Binders!$I$6:$I$30,0))=TRUE(),UPPER(INDEX(Binders!$J$6:$J$30,MATCH(Q1483,Binders!$I$6:$I$30,0))&amp;"")="TRUE"),FALSE()))</f>
        <v/>
      </c>
    </row>
    <row r="1484" ht="15.75" customHeight="1">
      <c r="A1484" s="80" t="str">
        <f t="array" ref="A1484">IF(INDEX('Deck 5'!$A:$Z,ROW()-1250,'List Setup'!$D$7)="","",INDEX('Deck 5'!$A:$Z,ROW()-1250,'List Setup'!$D$7))</f>
        <v/>
      </c>
      <c r="B1484" s="80" t="str">
        <f t="array" ref="B1484">IF(A1484="","",IFERROR(INDEX('Binder Setup'!$B$2:$B$401,MIN(IF(ISNUMBER(SEARCH(CHAR(10)&amp;'Binder Setup'!$B$2:$B$401&amp;CHAR(10),$H1484)),'List Setup'!$Q$2:$Q$401,999),IF(ISNUMBER(SEARCH(CHAR(10)&amp;'Set Aliases'!$A$2:$A$501&amp;CHAR(10),$H1484)),'Set Aliases'!$C$2:$C$501,999))),"(none)"))</f>
        <v/>
      </c>
      <c r="C1484" s="80" t="str">
        <f t="shared" si="1"/>
        <v/>
      </c>
      <c r="D1484" s="80" t="str">
        <f t="array" ref="D1484">IF(A1484="","",IF(ISLOGICAL(INDEX('Deck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84" s="80" t="str">
        <f t="shared" si="2"/>
        <v/>
      </c>
      <c r="F1484" s="80" t="str">
        <f t="array" ref="F1484">IF(A1484="","",IF(ISNUMBER(J1484),J1484,IF(ISNUMBER(INDEX('Deck 5'!$A:$Z,ROW()-1250,'List Setup'!$F$7)),INDEX('Deck 5'!$A:$Z,ROW()-1250,'List Setup'!$F$7),0)))</f>
        <v/>
      </c>
      <c r="G1484" s="80" t="str">
        <f t="array" ref="G1484">IF(A1484="","",A1484&amp;IF(N(INDEX('Deck 5'!$A:$Z,ROW()-1250,'List Setup'!$C$7))&gt;1," (x"&amp;INDEX('Deck 5'!$A:$Z,ROW()-1250,'List Setup'!$C$7)&amp;")","")&amp;IF(COUNTIF(Binders!$J$6:$J$30,TRUE())&gt;1," ["&amp;Q1484&amp;"]",""))</f>
        <v/>
      </c>
      <c r="H1484" s="80" t="str">
        <f t="array" ref="H1484">IF(A1484="","",CHAR(10)&amp;INDEX('Deck 5'!$A:$Z,ROW()-1250,'List Setup'!$E$7)&amp;CHAR(10))</f>
        <v/>
      </c>
      <c r="I1484" s="80" t="str">
        <f t="array" ref="I1484">IF(OR(B1484="",B1484="(none)"),"",IF(ISNUMBER(SEARCH(CHAR(10)&amp;B1484&amp;CHAR(10),H1484)),B1484,IFERROR(INDEX('Set Aliases'!$A$2:$A$501,MATCH(1,('Set Aliases'!$B$2:$B$501=B1484)*ISNUMBER(SEARCH(CHAR(10)&amp;'Set Aliases'!$A$2:$A$501&amp;CHAR(10),H1484)),0)),"")))</f>
        <v/>
      </c>
      <c r="J1484" s="80" t="str">
        <f t="array" ref="J1484">IF(I1484="","",IFERROR(VALUE(TRIM(MID(SUBSTITUTE(INDEX('Deck 5'!$A:$Z,ROW()-1250,'List Setup'!$G$7),CHAR(10),REPT(" ",100)),((SEARCH(CHAR(10)&amp;I1484&amp;CHAR(10),H1484)-LEN(SUBSTITUTE(LEFT(H1484,SEARCH(CHAR(10)&amp;I1484&amp;CHAR(10),H1484)),CHAR(10),"")))-1)*100+1,100))),""))</f>
        <v/>
      </c>
      <c r="K1484" s="80" t="str">
        <f t="array" ref="K1484">IF(A1484="","",IF(ISNUMBER(SEARCH("Land",LEFT(IFERROR(INDEX('Deck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84" s="80" t="str">
        <f t="shared" si="3"/>
        <v/>
      </c>
      <c r="M1484" s="80" t="str">
        <f>IF(A1484="","",IF(AND(E1484="Y",B1484='Use at Shop'!$B$4),K1484*10000000000+(MAX(0,MIN(26,CODE(MID(UPPER(A1484)&amp;"    ",1,1))-64))*19683+MAX(0,MIN(26,CODE(MID(UPPER(A1484)&amp;"    ",2,1))-64))*729+MAX(0,MIN(26,CODE(MID(UPPER(A1484)&amp;"    ",3,1))-64))*27+MAX(0,MIN(26,CODE(MID(UPPER(A1484)&amp;"    ",4,1))-64))*1)*10000+ROW(),""))</f>
        <v/>
      </c>
      <c r="N1484" s="80" t="str">
        <f t="shared" si="9"/>
        <v/>
      </c>
      <c r="O1484" s="80" t="str">
        <f t="array" ref="O1484">IF(A1484="","",IFERROR(INDEX('Deck 5'!$A:$Z,ROW()-1250,'List Setup'!$J$7)&amp;"",""))</f>
        <v/>
      </c>
      <c r="P1484" s="2"/>
      <c r="Q1484" s="80" t="str">
        <f>IF(A1484="","",'List Setup'!$A$7)</f>
        <v/>
      </c>
      <c r="R1484" s="80" t="str">
        <f t="array" ref="R1484">IF(A1484="","",IFERROR(OR(INDEX(Binders!$J$6:$J$30,MATCH(Q1484,Binders!$I$6:$I$30,0))=TRUE(),UPPER(INDEX(Binders!$J$6:$J$30,MATCH(Q1484,Binders!$I$6:$I$30,0))&amp;"")="TRUE"),FALSE()))</f>
        <v/>
      </c>
    </row>
    <row r="1485" ht="15.75" customHeight="1">
      <c r="A1485" s="80" t="str">
        <f t="array" ref="A1485">IF(INDEX('Deck 5'!$A:$Z,ROW()-1250,'List Setup'!$D$7)="","",INDEX('Deck 5'!$A:$Z,ROW()-1250,'List Setup'!$D$7))</f>
        <v/>
      </c>
      <c r="B1485" s="80" t="str">
        <f t="array" ref="B1485">IF(A1485="","",IFERROR(INDEX('Binder Setup'!$B$2:$B$401,MIN(IF(ISNUMBER(SEARCH(CHAR(10)&amp;'Binder Setup'!$B$2:$B$401&amp;CHAR(10),$H1485)),'List Setup'!$Q$2:$Q$401,999),IF(ISNUMBER(SEARCH(CHAR(10)&amp;'Set Aliases'!$A$2:$A$501&amp;CHAR(10),$H1485)),'Set Aliases'!$C$2:$C$501,999))),"(none)"))</f>
        <v/>
      </c>
      <c r="C1485" s="80" t="str">
        <f t="shared" si="1"/>
        <v/>
      </c>
      <c r="D1485" s="80" t="str">
        <f t="array" ref="D1485">IF(A1485="","",IF(ISLOGICAL(INDEX('Deck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85" s="80" t="str">
        <f t="shared" si="2"/>
        <v/>
      </c>
      <c r="F1485" s="80" t="str">
        <f t="array" ref="F1485">IF(A1485="","",IF(ISNUMBER(J1485),J1485,IF(ISNUMBER(INDEX('Deck 5'!$A:$Z,ROW()-1250,'List Setup'!$F$7)),INDEX('Deck 5'!$A:$Z,ROW()-1250,'List Setup'!$F$7),0)))</f>
        <v/>
      </c>
      <c r="G1485" s="80" t="str">
        <f t="array" ref="G1485">IF(A1485="","",A1485&amp;IF(N(INDEX('Deck 5'!$A:$Z,ROW()-1250,'List Setup'!$C$7))&gt;1," (x"&amp;INDEX('Deck 5'!$A:$Z,ROW()-1250,'List Setup'!$C$7)&amp;")","")&amp;IF(COUNTIF(Binders!$J$6:$J$30,TRUE())&gt;1," ["&amp;Q1485&amp;"]",""))</f>
        <v/>
      </c>
      <c r="H1485" s="80" t="str">
        <f t="array" ref="H1485">IF(A1485="","",CHAR(10)&amp;INDEX('Deck 5'!$A:$Z,ROW()-1250,'List Setup'!$E$7)&amp;CHAR(10))</f>
        <v/>
      </c>
      <c r="I1485" s="80" t="str">
        <f t="array" ref="I1485">IF(OR(B1485="",B1485="(none)"),"",IF(ISNUMBER(SEARCH(CHAR(10)&amp;B1485&amp;CHAR(10),H1485)),B1485,IFERROR(INDEX('Set Aliases'!$A$2:$A$501,MATCH(1,('Set Aliases'!$B$2:$B$501=B1485)*ISNUMBER(SEARCH(CHAR(10)&amp;'Set Aliases'!$A$2:$A$501&amp;CHAR(10),H1485)),0)),"")))</f>
        <v/>
      </c>
      <c r="J1485" s="80" t="str">
        <f t="array" ref="J1485">IF(I1485="","",IFERROR(VALUE(TRIM(MID(SUBSTITUTE(INDEX('Deck 5'!$A:$Z,ROW()-1250,'List Setup'!$G$7),CHAR(10),REPT(" ",100)),((SEARCH(CHAR(10)&amp;I1485&amp;CHAR(10),H1485)-LEN(SUBSTITUTE(LEFT(H1485,SEARCH(CHAR(10)&amp;I1485&amp;CHAR(10),H1485)),CHAR(10),"")))-1)*100+1,100))),""))</f>
        <v/>
      </c>
      <c r="K1485" s="80" t="str">
        <f t="array" ref="K1485">IF(A1485="","",IF(ISNUMBER(SEARCH("Land",LEFT(IFERROR(INDEX('Deck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85" s="80" t="str">
        <f t="shared" si="3"/>
        <v/>
      </c>
      <c r="M1485" s="80" t="str">
        <f>IF(A1485="","",IF(AND(E1485="Y",B1485='Use at Shop'!$B$4),K1485*10000000000+(MAX(0,MIN(26,CODE(MID(UPPER(A1485)&amp;"    ",1,1))-64))*19683+MAX(0,MIN(26,CODE(MID(UPPER(A1485)&amp;"    ",2,1))-64))*729+MAX(0,MIN(26,CODE(MID(UPPER(A1485)&amp;"    ",3,1))-64))*27+MAX(0,MIN(26,CODE(MID(UPPER(A1485)&amp;"    ",4,1))-64))*1)*10000+ROW(),""))</f>
        <v/>
      </c>
      <c r="N1485" s="80" t="str">
        <f t="shared" si="9"/>
        <v/>
      </c>
      <c r="O1485" s="80" t="str">
        <f t="array" ref="O1485">IF(A1485="","",IFERROR(INDEX('Deck 5'!$A:$Z,ROW()-1250,'List Setup'!$J$7)&amp;"",""))</f>
        <v/>
      </c>
      <c r="P1485" s="2"/>
      <c r="Q1485" s="80" t="str">
        <f>IF(A1485="","",'List Setup'!$A$7)</f>
        <v/>
      </c>
      <c r="R1485" s="80" t="str">
        <f t="array" ref="R1485">IF(A1485="","",IFERROR(OR(INDEX(Binders!$J$6:$J$30,MATCH(Q1485,Binders!$I$6:$I$30,0))=TRUE(),UPPER(INDEX(Binders!$J$6:$J$30,MATCH(Q1485,Binders!$I$6:$I$30,0))&amp;"")="TRUE"),FALSE()))</f>
        <v/>
      </c>
    </row>
    <row r="1486" ht="15.75" customHeight="1">
      <c r="A1486" s="80" t="str">
        <f t="array" ref="A1486">IF(INDEX('Deck 5'!$A:$Z,ROW()-1250,'List Setup'!$D$7)="","",INDEX('Deck 5'!$A:$Z,ROW()-1250,'List Setup'!$D$7))</f>
        <v/>
      </c>
      <c r="B1486" s="80" t="str">
        <f t="array" ref="B1486">IF(A1486="","",IFERROR(INDEX('Binder Setup'!$B$2:$B$401,MIN(IF(ISNUMBER(SEARCH(CHAR(10)&amp;'Binder Setup'!$B$2:$B$401&amp;CHAR(10),$H1486)),'List Setup'!$Q$2:$Q$401,999),IF(ISNUMBER(SEARCH(CHAR(10)&amp;'Set Aliases'!$A$2:$A$501&amp;CHAR(10),$H1486)),'Set Aliases'!$C$2:$C$501,999))),"(none)"))</f>
        <v/>
      </c>
      <c r="C1486" s="80" t="str">
        <f t="shared" si="1"/>
        <v/>
      </c>
      <c r="D1486" s="80" t="str">
        <f t="array" ref="D1486">IF(A1486="","",IF(ISLOGICAL(INDEX('Deck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86" s="80" t="str">
        <f t="shared" si="2"/>
        <v/>
      </c>
      <c r="F1486" s="80" t="str">
        <f t="array" ref="F1486">IF(A1486="","",IF(ISNUMBER(J1486),J1486,IF(ISNUMBER(INDEX('Deck 5'!$A:$Z,ROW()-1250,'List Setup'!$F$7)),INDEX('Deck 5'!$A:$Z,ROW()-1250,'List Setup'!$F$7),0)))</f>
        <v/>
      </c>
      <c r="G1486" s="80" t="str">
        <f t="array" ref="G1486">IF(A1486="","",A1486&amp;IF(N(INDEX('Deck 5'!$A:$Z,ROW()-1250,'List Setup'!$C$7))&gt;1," (x"&amp;INDEX('Deck 5'!$A:$Z,ROW()-1250,'List Setup'!$C$7)&amp;")","")&amp;IF(COUNTIF(Binders!$J$6:$J$30,TRUE())&gt;1," ["&amp;Q1486&amp;"]",""))</f>
        <v/>
      </c>
      <c r="H1486" s="80" t="str">
        <f t="array" ref="H1486">IF(A1486="","",CHAR(10)&amp;INDEX('Deck 5'!$A:$Z,ROW()-1250,'List Setup'!$E$7)&amp;CHAR(10))</f>
        <v/>
      </c>
      <c r="I1486" s="80" t="str">
        <f t="array" ref="I1486">IF(OR(B1486="",B1486="(none)"),"",IF(ISNUMBER(SEARCH(CHAR(10)&amp;B1486&amp;CHAR(10),H1486)),B1486,IFERROR(INDEX('Set Aliases'!$A$2:$A$501,MATCH(1,('Set Aliases'!$B$2:$B$501=B1486)*ISNUMBER(SEARCH(CHAR(10)&amp;'Set Aliases'!$A$2:$A$501&amp;CHAR(10),H1486)),0)),"")))</f>
        <v/>
      </c>
      <c r="J1486" s="80" t="str">
        <f t="array" ref="J1486">IF(I1486="","",IFERROR(VALUE(TRIM(MID(SUBSTITUTE(INDEX('Deck 5'!$A:$Z,ROW()-1250,'List Setup'!$G$7),CHAR(10),REPT(" ",100)),((SEARCH(CHAR(10)&amp;I1486&amp;CHAR(10),H1486)-LEN(SUBSTITUTE(LEFT(H1486,SEARCH(CHAR(10)&amp;I1486&amp;CHAR(10),H1486)),CHAR(10),"")))-1)*100+1,100))),""))</f>
        <v/>
      </c>
      <c r="K1486" s="80" t="str">
        <f t="array" ref="K1486">IF(A1486="","",IF(ISNUMBER(SEARCH("Land",LEFT(IFERROR(INDEX('Deck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86" s="80" t="str">
        <f t="shared" si="3"/>
        <v/>
      </c>
      <c r="M1486" s="80" t="str">
        <f>IF(A1486="","",IF(AND(E1486="Y",B1486='Use at Shop'!$B$4),K1486*10000000000+(MAX(0,MIN(26,CODE(MID(UPPER(A1486)&amp;"    ",1,1))-64))*19683+MAX(0,MIN(26,CODE(MID(UPPER(A1486)&amp;"    ",2,1))-64))*729+MAX(0,MIN(26,CODE(MID(UPPER(A1486)&amp;"    ",3,1))-64))*27+MAX(0,MIN(26,CODE(MID(UPPER(A1486)&amp;"    ",4,1))-64))*1)*10000+ROW(),""))</f>
        <v/>
      </c>
      <c r="N1486" s="80" t="str">
        <f t="shared" si="9"/>
        <v/>
      </c>
      <c r="O1486" s="80" t="str">
        <f t="array" ref="O1486">IF(A1486="","",IFERROR(INDEX('Deck 5'!$A:$Z,ROW()-1250,'List Setup'!$J$7)&amp;"",""))</f>
        <v/>
      </c>
      <c r="P1486" s="2"/>
      <c r="Q1486" s="80" t="str">
        <f>IF(A1486="","",'List Setup'!$A$7)</f>
        <v/>
      </c>
      <c r="R1486" s="80" t="str">
        <f t="array" ref="R1486">IF(A1486="","",IFERROR(OR(INDEX(Binders!$J$6:$J$30,MATCH(Q1486,Binders!$I$6:$I$30,0))=TRUE(),UPPER(INDEX(Binders!$J$6:$J$30,MATCH(Q1486,Binders!$I$6:$I$30,0))&amp;"")="TRUE"),FALSE()))</f>
        <v/>
      </c>
    </row>
    <row r="1487" ht="15.75" customHeight="1">
      <c r="A1487" s="80" t="str">
        <f t="array" ref="A1487">IF(INDEX('Deck 5'!$A:$Z,ROW()-1250,'List Setup'!$D$7)="","",INDEX('Deck 5'!$A:$Z,ROW()-1250,'List Setup'!$D$7))</f>
        <v/>
      </c>
      <c r="B1487" s="80" t="str">
        <f t="array" ref="B1487">IF(A1487="","",IFERROR(INDEX('Binder Setup'!$B$2:$B$401,MIN(IF(ISNUMBER(SEARCH(CHAR(10)&amp;'Binder Setup'!$B$2:$B$401&amp;CHAR(10),$H1487)),'List Setup'!$Q$2:$Q$401,999),IF(ISNUMBER(SEARCH(CHAR(10)&amp;'Set Aliases'!$A$2:$A$501&amp;CHAR(10),$H1487)),'Set Aliases'!$C$2:$C$501,999))),"(none)"))</f>
        <v/>
      </c>
      <c r="C1487" s="80" t="str">
        <f t="shared" si="1"/>
        <v/>
      </c>
      <c r="D1487" s="80" t="str">
        <f t="array" ref="D1487">IF(A1487="","",IF(ISLOGICAL(INDEX('Deck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87" s="80" t="str">
        <f t="shared" si="2"/>
        <v/>
      </c>
      <c r="F1487" s="80" t="str">
        <f t="array" ref="F1487">IF(A1487="","",IF(ISNUMBER(J1487),J1487,IF(ISNUMBER(INDEX('Deck 5'!$A:$Z,ROW()-1250,'List Setup'!$F$7)),INDEX('Deck 5'!$A:$Z,ROW()-1250,'List Setup'!$F$7),0)))</f>
        <v/>
      </c>
      <c r="G1487" s="80" t="str">
        <f t="array" ref="G1487">IF(A1487="","",A1487&amp;IF(N(INDEX('Deck 5'!$A:$Z,ROW()-1250,'List Setup'!$C$7))&gt;1," (x"&amp;INDEX('Deck 5'!$A:$Z,ROW()-1250,'List Setup'!$C$7)&amp;")","")&amp;IF(COUNTIF(Binders!$J$6:$J$30,TRUE())&gt;1," ["&amp;Q1487&amp;"]",""))</f>
        <v/>
      </c>
      <c r="H1487" s="80" t="str">
        <f t="array" ref="H1487">IF(A1487="","",CHAR(10)&amp;INDEX('Deck 5'!$A:$Z,ROW()-1250,'List Setup'!$E$7)&amp;CHAR(10))</f>
        <v/>
      </c>
      <c r="I1487" s="80" t="str">
        <f t="array" ref="I1487">IF(OR(B1487="",B1487="(none)"),"",IF(ISNUMBER(SEARCH(CHAR(10)&amp;B1487&amp;CHAR(10),H1487)),B1487,IFERROR(INDEX('Set Aliases'!$A$2:$A$501,MATCH(1,('Set Aliases'!$B$2:$B$501=B1487)*ISNUMBER(SEARCH(CHAR(10)&amp;'Set Aliases'!$A$2:$A$501&amp;CHAR(10),H1487)),0)),"")))</f>
        <v/>
      </c>
      <c r="J1487" s="80" t="str">
        <f t="array" ref="J1487">IF(I1487="","",IFERROR(VALUE(TRIM(MID(SUBSTITUTE(INDEX('Deck 5'!$A:$Z,ROW()-1250,'List Setup'!$G$7),CHAR(10),REPT(" ",100)),((SEARCH(CHAR(10)&amp;I1487&amp;CHAR(10),H1487)-LEN(SUBSTITUTE(LEFT(H1487,SEARCH(CHAR(10)&amp;I1487&amp;CHAR(10),H1487)),CHAR(10),"")))-1)*100+1,100))),""))</f>
        <v/>
      </c>
      <c r="K1487" s="80" t="str">
        <f t="array" ref="K1487">IF(A1487="","",IF(ISNUMBER(SEARCH("Land",LEFT(IFERROR(INDEX('Deck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87" s="80" t="str">
        <f t="shared" si="3"/>
        <v/>
      </c>
      <c r="M1487" s="80" t="str">
        <f>IF(A1487="","",IF(AND(E1487="Y",B1487='Use at Shop'!$B$4),K1487*10000000000+(MAX(0,MIN(26,CODE(MID(UPPER(A1487)&amp;"    ",1,1))-64))*19683+MAX(0,MIN(26,CODE(MID(UPPER(A1487)&amp;"    ",2,1))-64))*729+MAX(0,MIN(26,CODE(MID(UPPER(A1487)&amp;"    ",3,1))-64))*27+MAX(0,MIN(26,CODE(MID(UPPER(A1487)&amp;"    ",4,1))-64))*1)*10000+ROW(),""))</f>
        <v/>
      </c>
      <c r="N1487" s="80" t="str">
        <f t="shared" si="9"/>
        <v/>
      </c>
      <c r="O1487" s="80" t="str">
        <f t="array" ref="O1487">IF(A1487="","",IFERROR(INDEX('Deck 5'!$A:$Z,ROW()-1250,'List Setup'!$J$7)&amp;"",""))</f>
        <v/>
      </c>
      <c r="P1487" s="2"/>
      <c r="Q1487" s="80" t="str">
        <f>IF(A1487="","",'List Setup'!$A$7)</f>
        <v/>
      </c>
      <c r="R1487" s="80" t="str">
        <f t="array" ref="R1487">IF(A1487="","",IFERROR(OR(INDEX(Binders!$J$6:$J$30,MATCH(Q1487,Binders!$I$6:$I$30,0))=TRUE(),UPPER(INDEX(Binders!$J$6:$J$30,MATCH(Q1487,Binders!$I$6:$I$30,0))&amp;"")="TRUE"),FALSE()))</f>
        <v/>
      </c>
    </row>
    <row r="1488" ht="15.75" customHeight="1">
      <c r="A1488" s="80" t="str">
        <f t="array" ref="A1488">IF(INDEX('Deck 5'!$A:$Z,ROW()-1250,'List Setup'!$D$7)="","",INDEX('Deck 5'!$A:$Z,ROW()-1250,'List Setup'!$D$7))</f>
        <v/>
      </c>
      <c r="B1488" s="80" t="str">
        <f t="array" ref="B1488">IF(A1488="","",IFERROR(INDEX('Binder Setup'!$B$2:$B$401,MIN(IF(ISNUMBER(SEARCH(CHAR(10)&amp;'Binder Setup'!$B$2:$B$401&amp;CHAR(10),$H1488)),'List Setup'!$Q$2:$Q$401,999),IF(ISNUMBER(SEARCH(CHAR(10)&amp;'Set Aliases'!$A$2:$A$501&amp;CHAR(10),$H1488)),'Set Aliases'!$C$2:$C$501,999))),"(none)"))</f>
        <v/>
      </c>
      <c r="C1488" s="80" t="str">
        <f t="shared" si="1"/>
        <v/>
      </c>
      <c r="D1488" s="80" t="str">
        <f t="array" ref="D1488">IF(A1488="","",IF(ISLOGICAL(INDEX('Deck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88" s="80" t="str">
        <f t="shared" si="2"/>
        <v/>
      </c>
      <c r="F1488" s="80" t="str">
        <f t="array" ref="F1488">IF(A1488="","",IF(ISNUMBER(J1488),J1488,IF(ISNUMBER(INDEX('Deck 5'!$A:$Z,ROW()-1250,'List Setup'!$F$7)),INDEX('Deck 5'!$A:$Z,ROW()-1250,'List Setup'!$F$7),0)))</f>
        <v/>
      </c>
      <c r="G1488" s="80" t="str">
        <f t="array" ref="G1488">IF(A1488="","",A1488&amp;IF(N(INDEX('Deck 5'!$A:$Z,ROW()-1250,'List Setup'!$C$7))&gt;1," (x"&amp;INDEX('Deck 5'!$A:$Z,ROW()-1250,'List Setup'!$C$7)&amp;")","")&amp;IF(COUNTIF(Binders!$J$6:$J$30,TRUE())&gt;1," ["&amp;Q1488&amp;"]",""))</f>
        <v/>
      </c>
      <c r="H1488" s="80" t="str">
        <f t="array" ref="H1488">IF(A1488="","",CHAR(10)&amp;INDEX('Deck 5'!$A:$Z,ROW()-1250,'List Setup'!$E$7)&amp;CHAR(10))</f>
        <v/>
      </c>
      <c r="I1488" s="80" t="str">
        <f t="array" ref="I1488">IF(OR(B1488="",B1488="(none)"),"",IF(ISNUMBER(SEARCH(CHAR(10)&amp;B1488&amp;CHAR(10),H1488)),B1488,IFERROR(INDEX('Set Aliases'!$A$2:$A$501,MATCH(1,('Set Aliases'!$B$2:$B$501=B1488)*ISNUMBER(SEARCH(CHAR(10)&amp;'Set Aliases'!$A$2:$A$501&amp;CHAR(10),H1488)),0)),"")))</f>
        <v/>
      </c>
      <c r="J1488" s="80" t="str">
        <f t="array" ref="J1488">IF(I1488="","",IFERROR(VALUE(TRIM(MID(SUBSTITUTE(INDEX('Deck 5'!$A:$Z,ROW()-1250,'List Setup'!$G$7),CHAR(10),REPT(" ",100)),((SEARCH(CHAR(10)&amp;I1488&amp;CHAR(10),H1488)-LEN(SUBSTITUTE(LEFT(H1488,SEARCH(CHAR(10)&amp;I1488&amp;CHAR(10),H1488)),CHAR(10),"")))-1)*100+1,100))),""))</f>
        <v/>
      </c>
      <c r="K1488" s="80" t="str">
        <f t="array" ref="K1488">IF(A1488="","",IF(ISNUMBER(SEARCH("Land",LEFT(IFERROR(INDEX('Deck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88" s="80" t="str">
        <f t="shared" si="3"/>
        <v/>
      </c>
      <c r="M1488" s="80" t="str">
        <f>IF(A1488="","",IF(AND(E1488="Y",B1488='Use at Shop'!$B$4),K1488*10000000000+(MAX(0,MIN(26,CODE(MID(UPPER(A1488)&amp;"    ",1,1))-64))*19683+MAX(0,MIN(26,CODE(MID(UPPER(A1488)&amp;"    ",2,1))-64))*729+MAX(0,MIN(26,CODE(MID(UPPER(A1488)&amp;"    ",3,1))-64))*27+MAX(0,MIN(26,CODE(MID(UPPER(A1488)&amp;"    ",4,1))-64))*1)*10000+ROW(),""))</f>
        <v/>
      </c>
      <c r="N1488" s="80" t="str">
        <f t="shared" si="9"/>
        <v/>
      </c>
      <c r="O1488" s="80" t="str">
        <f t="array" ref="O1488">IF(A1488="","",IFERROR(INDEX('Deck 5'!$A:$Z,ROW()-1250,'List Setup'!$J$7)&amp;"",""))</f>
        <v/>
      </c>
      <c r="P1488" s="2"/>
      <c r="Q1488" s="80" t="str">
        <f>IF(A1488="","",'List Setup'!$A$7)</f>
        <v/>
      </c>
      <c r="R1488" s="80" t="str">
        <f t="array" ref="R1488">IF(A1488="","",IFERROR(OR(INDEX(Binders!$J$6:$J$30,MATCH(Q1488,Binders!$I$6:$I$30,0))=TRUE(),UPPER(INDEX(Binders!$J$6:$J$30,MATCH(Q1488,Binders!$I$6:$I$30,0))&amp;"")="TRUE"),FALSE()))</f>
        <v/>
      </c>
    </row>
    <row r="1489" ht="15.75" customHeight="1">
      <c r="A1489" s="80" t="str">
        <f t="array" ref="A1489">IF(INDEX('Deck 5'!$A:$Z,ROW()-1250,'List Setup'!$D$7)="","",INDEX('Deck 5'!$A:$Z,ROW()-1250,'List Setup'!$D$7))</f>
        <v/>
      </c>
      <c r="B1489" s="80" t="str">
        <f t="array" ref="B1489">IF(A1489="","",IFERROR(INDEX('Binder Setup'!$B$2:$B$401,MIN(IF(ISNUMBER(SEARCH(CHAR(10)&amp;'Binder Setup'!$B$2:$B$401&amp;CHAR(10),$H1489)),'List Setup'!$Q$2:$Q$401,999),IF(ISNUMBER(SEARCH(CHAR(10)&amp;'Set Aliases'!$A$2:$A$501&amp;CHAR(10),$H1489)),'Set Aliases'!$C$2:$C$501,999))),"(none)"))</f>
        <v/>
      </c>
      <c r="C1489" s="80" t="str">
        <f t="shared" si="1"/>
        <v/>
      </c>
      <c r="D1489" s="80" t="str">
        <f t="array" ref="D1489">IF(A1489="","",IF(ISLOGICAL(INDEX('Deck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89" s="80" t="str">
        <f t="shared" si="2"/>
        <v/>
      </c>
      <c r="F1489" s="80" t="str">
        <f t="array" ref="F1489">IF(A1489="","",IF(ISNUMBER(J1489),J1489,IF(ISNUMBER(INDEX('Deck 5'!$A:$Z,ROW()-1250,'List Setup'!$F$7)),INDEX('Deck 5'!$A:$Z,ROW()-1250,'List Setup'!$F$7),0)))</f>
        <v/>
      </c>
      <c r="G1489" s="80" t="str">
        <f t="array" ref="G1489">IF(A1489="","",A1489&amp;IF(N(INDEX('Deck 5'!$A:$Z,ROW()-1250,'List Setup'!$C$7))&gt;1," (x"&amp;INDEX('Deck 5'!$A:$Z,ROW()-1250,'List Setup'!$C$7)&amp;")","")&amp;IF(COUNTIF(Binders!$J$6:$J$30,TRUE())&gt;1," ["&amp;Q1489&amp;"]",""))</f>
        <v/>
      </c>
      <c r="H1489" s="80" t="str">
        <f t="array" ref="H1489">IF(A1489="","",CHAR(10)&amp;INDEX('Deck 5'!$A:$Z,ROW()-1250,'List Setup'!$E$7)&amp;CHAR(10))</f>
        <v/>
      </c>
      <c r="I1489" s="80" t="str">
        <f t="array" ref="I1489">IF(OR(B1489="",B1489="(none)"),"",IF(ISNUMBER(SEARCH(CHAR(10)&amp;B1489&amp;CHAR(10),H1489)),B1489,IFERROR(INDEX('Set Aliases'!$A$2:$A$501,MATCH(1,('Set Aliases'!$B$2:$B$501=B1489)*ISNUMBER(SEARCH(CHAR(10)&amp;'Set Aliases'!$A$2:$A$501&amp;CHAR(10),H1489)),0)),"")))</f>
        <v/>
      </c>
      <c r="J1489" s="80" t="str">
        <f t="array" ref="J1489">IF(I1489="","",IFERROR(VALUE(TRIM(MID(SUBSTITUTE(INDEX('Deck 5'!$A:$Z,ROW()-1250,'List Setup'!$G$7),CHAR(10),REPT(" ",100)),((SEARCH(CHAR(10)&amp;I1489&amp;CHAR(10),H1489)-LEN(SUBSTITUTE(LEFT(H1489,SEARCH(CHAR(10)&amp;I1489&amp;CHAR(10),H1489)),CHAR(10),"")))-1)*100+1,100))),""))</f>
        <v/>
      </c>
      <c r="K1489" s="80" t="str">
        <f t="array" ref="K1489">IF(A1489="","",IF(ISNUMBER(SEARCH("Land",LEFT(IFERROR(INDEX('Deck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89" s="80" t="str">
        <f t="shared" si="3"/>
        <v/>
      </c>
      <c r="M1489" s="80" t="str">
        <f>IF(A1489="","",IF(AND(E1489="Y",B1489='Use at Shop'!$B$4),K1489*10000000000+(MAX(0,MIN(26,CODE(MID(UPPER(A1489)&amp;"    ",1,1))-64))*19683+MAX(0,MIN(26,CODE(MID(UPPER(A1489)&amp;"    ",2,1))-64))*729+MAX(0,MIN(26,CODE(MID(UPPER(A1489)&amp;"    ",3,1))-64))*27+MAX(0,MIN(26,CODE(MID(UPPER(A1489)&amp;"    ",4,1))-64))*1)*10000+ROW(),""))</f>
        <v/>
      </c>
      <c r="N1489" s="80" t="str">
        <f t="shared" si="9"/>
        <v/>
      </c>
      <c r="O1489" s="80" t="str">
        <f t="array" ref="O1489">IF(A1489="","",IFERROR(INDEX('Deck 5'!$A:$Z,ROW()-1250,'List Setup'!$J$7)&amp;"",""))</f>
        <v/>
      </c>
      <c r="P1489" s="2"/>
      <c r="Q1489" s="80" t="str">
        <f>IF(A1489="","",'List Setup'!$A$7)</f>
        <v/>
      </c>
      <c r="R1489" s="80" t="str">
        <f t="array" ref="R1489">IF(A1489="","",IFERROR(OR(INDEX(Binders!$J$6:$J$30,MATCH(Q1489,Binders!$I$6:$I$30,0))=TRUE(),UPPER(INDEX(Binders!$J$6:$J$30,MATCH(Q1489,Binders!$I$6:$I$30,0))&amp;"")="TRUE"),FALSE()))</f>
        <v/>
      </c>
    </row>
    <row r="1490" ht="15.75" customHeight="1">
      <c r="A1490" s="80" t="str">
        <f t="array" ref="A1490">IF(INDEX('Deck 5'!$A:$Z,ROW()-1250,'List Setup'!$D$7)="","",INDEX('Deck 5'!$A:$Z,ROW()-1250,'List Setup'!$D$7))</f>
        <v/>
      </c>
      <c r="B1490" s="80" t="str">
        <f t="array" ref="B1490">IF(A1490="","",IFERROR(INDEX('Binder Setup'!$B$2:$B$401,MIN(IF(ISNUMBER(SEARCH(CHAR(10)&amp;'Binder Setup'!$B$2:$B$401&amp;CHAR(10),$H1490)),'List Setup'!$Q$2:$Q$401,999),IF(ISNUMBER(SEARCH(CHAR(10)&amp;'Set Aliases'!$A$2:$A$501&amp;CHAR(10),$H1490)),'Set Aliases'!$C$2:$C$501,999))),"(none)"))</f>
        <v/>
      </c>
      <c r="C1490" s="80" t="str">
        <f t="shared" si="1"/>
        <v/>
      </c>
      <c r="D1490" s="80" t="str">
        <f t="array" ref="D1490">IF(A1490="","",IF(ISLOGICAL(INDEX('Deck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90" s="80" t="str">
        <f t="shared" si="2"/>
        <v/>
      </c>
      <c r="F1490" s="80" t="str">
        <f t="array" ref="F1490">IF(A1490="","",IF(ISNUMBER(J1490),J1490,IF(ISNUMBER(INDEX('Deck 5'!$A:$Z,ROW()-1250,'List Setup'!$F$7)),INDEX('Deck 5'!$A:$Z,ROW()-1250,'List Setup'!$F$7),0)))</f>
        <v/>
      </c>
      <c r="G1490" s="80" t="str">
        <f t="array" ref="G1490">IF(A1490="","",A1490&amp;IF(N(INDEX('Deck 5'!$A:$Z,ROW()-1250,'List Setup'!$C$7))&gt;1," (x"&amp;INDEX('Deck 5'!$A:$Z,ROW()-1250,'List Setup'!$C$7)&amp;")","")&amp;IF(COUNTIF(Binders!$J$6:$J$30,TRUE())&gt;1," ["&amp;Q1490&amp;"]",""))</f>
        <v/>
      </c>
      <c r="H1490" s="80" t="str">
        <f t="array" ref="H1490">IF(A1490="","",CHAR(10)&amp;INDEX('Deck 5'!$A:$Z,ROW()-1250,'List Setup'!$E$7)&amp;CHAR(10))</f>
        <v/>
      </c>
      <c r="I1490" s="80" t="str">
        <f t="array" ref="I1490">IF(OR(B1490="",B1490="(none)"),"",IF(ISNUMBER(SEARCH(CHAR(10)&amp;B1490&amp;CHAR(10),H1490)),B1490,IFERROR(INDEX('Set Aliases'!$A$2:$A$501,MATCH(1,('Set Aliases'!$B$2:$B$501=B1490)*ISNUMBER(SEARCH(CHAR(10)&amp;'Set Aliases'!$A$2:$A$501&amp;CHAR(10),H1490)),0)),"")))</f>
        <v/>
      </c>
      <c r="J1490" s="80" t="str">
        <f t="array" ref="J1490">IF(I1490="","",IFERROR(VALUE(TRIM(MID(SUBSTITUTE(INDEX('Deck 5'!$A:$Z,ROW()-1250,'List Setup'!$G$7),CHAR(10),REPT(" ",100)),((SEARCH(CHAR(10)&amp;I1490&amp;CHAR(10),H1490)-LEN(SUBSTITUTE(LEFT(H1490,SEARCH(CHAR(10)&amp;I1490&amp;CHAR(10),H1490)),CHAR(10),"")))-1)*100+1,100))),""))</f>
        <v/>
      </c>
      <c r="K1490" s="80" t="str">
        <f t="array" ref="K1490">IF(A1490="","",IF(ISNUMBER(SEARCH("Land",LEFT(IFERROR(INDEX('Deck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90" s="80" t="str">
        <f t="shared" si="3"/>
        <v/>
      </c>
      <c r="M1490" s="80" t="str">
        <f>IF(A1490="","",IF(AND(E1490="Y",B1490='Use at Shop'!$B$4),K1490*10000000000+(MAX(0,MIN(26,CODE(MID(UPPER(A1490)&amp;"    ",1,1))-64))*19683+MAX(0,MIN(26,CODE(MID(UPPER(A1490)&amp;"    ",2,1))-64))*729+MAX(0,MIN(26,CODE(MID(UPPER(A1490)&amp;"    ",3,1))-64))*27+MAX(0,MIN(26,CODE(MID(UPPER(A1490)&amp;"    ",4,1))-64))*1)*10000+ROW(),""))</f>
        <v/>
      </c>
      <c r="N1490" s="80" t="str">
        <f t="shared" si="9"/>
        <v/>
      </c>
      <c r="O1490" s="80" t="str">
        <f t="array" ref="O1490">IF(A1490="","",IFERROR(INDEX('Deck 5'!$A:$Z,ROW()-1250,'List Setup'!$J$7)&amp;"",""))</f>
        <v/>
      </c>
      <c r="P1490" s="2"/>
      <c r="Q1490" s="80" t="str">
        <f>IF(A1490="","",'List Setup'!$A$7)</f>
        <v/>
      </c>
      <c r="R1490" s="80" t="str">
        <f t="array" ref="R1490">IF(A1490="","",IFERROR(OR(INDEX(Binders!$J$6:$J$30,MATCH(Q1490,Binders!$I$6:$I$30,0))=TRUE(),UPPER(INDEX(Binders!$J$6:$J$30,MATCH(Q1490,Binders!$I$6:$I$30,0))&amp;"")="TRUE"),FALSE()))</f>
        <v/>
      </c>
    </row>
    <row r="1491" ht="15.75" customHeight="1">
      <c r="A1491" s="80" t="str">
        <f t="array" ref="A1491">IF(INDEX('Deck 5'!$A:$Z,ROW()-1250,'List Setup'!$D$7)="","",INDEX('Deck 5'!$A:$Z,ROW()-1250,'List Setup'!$D$7))</f>
        <v/>
      </c>
      <c r="B1491" s="80" t="str">
        <f t="array" ref="B1491">IF(A1491="","",IFERROR(INDEX('Binder Setup'!$B$2:$B$401,MIN(IF(ISNUMBER(SEARCH(CHAR(10)&amp;'Binder Setup'!$B$2:$B$401&amp;CHAR(10),$H1491)),'List Setup'!$Q$2:$Q$401,999),IF(ISNUMBER(SEARCH(CHAR(10)&amp;'Set Aliases'!$A$2:$A$501&amp;CHAR(10),$H1491)),'Set Aliases'!$C$2:$C$501,999))),"(none)"))</f>
        <v/>
      </c>
      <c r="C1491" s="80" t="str">
        <f t="shared" si="1"/>
        <v/>
      </c>
      <c r="D1491" s="80" t="str">
        <f t="array" ref="D1491">IF(A1491="","",IF(ISLOGICAL(INDEX('Deck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91" s="80" t="str">
        <f t="shared" si="2"/>
        <v/>
      </c>
      <c r="F1491" s="80" t="str">
        <f t="array" ref="F1491">IF(A1491="","",IF(ISNUMBER(J1491),J1491,IF(ISNUMBER(INDEX('Deck 5'!$A:$Z,ROW()-1250,'List Setup'!$F$7)),INDEX('Deck 5'!$A:$Z,ROW()-1250,'List Setup'!$F$7),0)))</f>
        <v/>
      </c>
      <c r="G1491" s="80" t="str">
        <f t="array" ref="G1491">IF(A1491="","",A1491&amp;IF(N(INDEX('Deck 5'!$A:$Z,ROW()-1250,'List Setup'!$C$7))&gt;1," (x"&amp;INDEX('Deck 5'!$A:$Z,ROW()-1250,'List Setup'!$C$7)&amp;")","")&amp;IF(COUNTIF(Binders!$J$6:$J$30,TRUE())&gt;1," ["&amp;Q1491&amp;"]",""))</f>
        <v/>
      </c>
      <c r="H1491" s="80" t="str">
        <f t="array" ref="H1491">IF(A1491="","",CHAR(10)&amp;INDEX('Deck 5'!$A:$Z,ROW()-1250,'List Setup'!$E$7)&amp;CHAR(10))</f>
        <v/>
      </c>
      <c r="I1491" s="80" t="str">
        <f t="array" ref="I1491">IF(OR(B1491="",B1491="(none)"),"",IF(ISNUMBER(SEARCH(CHAR(10)&amp;B1491&amp;CHAR(10),H1491)),B1491,IFERROR(INDEX('Set Aliases'!$A$2:$A$501,MATCH(1,('Set Aliases'!$B$2:$B$501=B1491)*ISNUMBER(SEARCH(CHAR(10)&amp;'Set Aliases'!$A$2:$A$501&amp;CHAR(10),H1491)),0)),"")))</f>
        <v/>
      </c>
      <c r="J1491" s="80" t="str">
        <f t="array" ref="J1491">IF(I1491="","",IFERROR(VALUE(TRIM(MID(SUBSTITUTE(INDEX('Deck 5'!$A:$Z,ROW()-1250,'List Setup'!$G$7),CHAR(10),REPT(" ",100)),((SEARCH(CHAR(10)&amp;I1491&amp;CHAR(10),H1491)-LEN(SUBSTITUTE(LEFT(H1491,SEARCH(CHAR(10)&amp;I1491&amp;CHAR(10),H1491)),CHAR(10),"")))-1)*100+1,100))),""))</f>
        <v/>
      </c>
      <c r="K1491" s="80" t="str">
        <f t="array" ref="K1491">IF(A1491="","",IF(ISNUMBER(SEARCH("Land",LEFT(IFERROR(INDEX('Deck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91" s="80" t="str">
        <f t="shared" si="3"/>
        <v/>
      </c>
      <c r="M1491" s="80" t="str">
        <f>IF(A1491="","",IF(AND(E1491="Y",B1491='Use at Shop'!$B$4),K1491*10000000000+(MAX(0,MIN(26,CODE(MID(UPPER(A1491)&amp;"    ",1,1))-64))*19683+MAX(0,MIN(26,CODE(MID(UPPER(A1491)&amp;"    ",2,1))-64))*729+MAX(0,MIN(26,CODE(MID(UPPER(A1491)&amp;"    ",3,1))-64))*27+MAX(0,MIN(26,CODE(MID(UPPER(A1491)&amp;"    ",4,1))-64))*1)*10000+ROW(),""))</f>
        <v/>
      </c>
      <c r="N1491" s="80" t="str">
        <f t="shared" si="9"/>
        <v/>
      </c>
      <c r="O1491" s="80" t="str">
        <f t="array" ref="O1491">IF(A1491="","",IFERROR(INDEX('Deck 5'!$A:$Z,ROW()-1250,'List Setup'!$J$7)&amp;"",""))</f>
        <v/>
      </c>
      <c r="P1491" s="2"/>
      <c r="Q1491" s="80" t="str">
        <f>IF(A1491="","",'List Setup'!$A$7)</f>
        <v/>
      </c>
      <c r="R1491" s="80" t="str">
        <f t="array" ref="R1491">IF(A1491="","",IFERROR(OR(INDEX(Binders!$J$6:$J$30,MATCH(Q1491,Binders!$I$6:$I$30,0))=TRUE(),UPPER(INDEX(Binders!$J$6:$J$30,MATCH(Q1491,Binders!$I$6:$I$30,0))&amp;"")="TRUE"),FALSE()))</f>
        <v/>
      </c>
    </row>
    <row r="1492" ht="15.75" customHeight="1">
      <c r="A1492" s="80" t="str">
        <f t="array" ref="A1492">IF(INDEX('Deck 5'!$A:$Z,ROW()-1250,'List Setup'!$D$7)="","",INDEX('Deck 5'!$A:$Z,ROW()-1250,'List Setup'!$D$7))</f>
        <v/>
      </c>
      <c r="B1492" s="80" t="str">
        <f t="array" ref="B1492">IF(A1492="","",IFERROR(INDEX('Binder Setup'!$B$2:$B$401,MIN(IF(ISNUMBER(SEARCH(CHAR(10)&amp;'Binder Setup'!$B$2:$B$401&amp;CHAR(10),$H1492)),'List Setup'!$Q$2:$Q$401,999),IF(ISNUMBER(SEARCH(CHAR(10)&amp;'Set Aliases'!$A$2:$A$501&amp;CHAR(10),$H1492)),'Set Aliases'!$C$2:$C$501,999))),"(none)"))</f>
        <v/>
      </c>
      <c r="C1492" s="80" t="str">
        <f t="shared" si="1"/>
        <v/>
      </c>
      <c r="D1492" s="80" t="str">
        <f t="array" ref="D1492">IF(A1492="","",IF(ISLOGICAL(INDEX('Deck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92" s="80" t="str">
        <f t="shared" si="2"/>
        <v/>
      </c>
      <c r="F1492" s="80" t="str">
        <f t="array" ref="F1492">IF(A1492="","",IF(ISNUMBER(J1492),J1492,IF(ISNUMBER(INDEX('Deck 5'!$A:$Z,ROW()-1250,'List Setup'!$F$7)),INDEX('Deck 5'!$A:$Z,ROW()-1250,'List Setup'!$F$7),0)))</f>
        <v/>
      </c>
      <c r="G1492" s="80" t="str">
        <f t="array" ref="G1492">IF(A1492="","",A1492&amp;IF(N(INDEX('Deck 5'!$A:$Z,ROW()-1250,'List Setup'!$C$7))&gt;1," (x"&amp;INDEX('Deck 5'!$A:$Z,ROW()-1250,'List Setup'!$C$7)&amp;")","")&amp;IF(COUNTIF(Binders!$J$6:$J$30,TRUE())&gt;1," ["&amp;Q1492&amp;"]",""))</f>
        <v/>
      </c>
      <c r="H1492" s="80" t="str">
        <f t="array" ref="H1492">IF(A1492="","",CHAR(10)&amp;INDEX('Deck 5'!$A:$Z,ROW()-1250,'List Setup'!$E$7)&amp;CHAR(10))</f>
        <v/>
      </c>
      <c r="I1492" s="80" t="str">
        <f t="array" ref="I1492">IF(OR(B1492="",B1492="(none)"),"",IF(ISNUMBER(SEARCH(CHAR(10)&amp;B1492&amp;CHAR(10),H1492)),B1492,IFERROR(INDEX('Set Aliases'!$A$2:$A$501,MATCH(1,('Set Aliases'!$B$2:$B$501=B1492)*ISNUMBER(SEARCH(CHAR(10)&amp;'Set Aliases'!$A$2:$A$501&amp;CHAR(10),H1492)),0)),"")))</f>
        <v/>
      </c>
      <c r="J1492" s="80" t="str">
        <f t="array" ref="J1492">IF(I1492="","",IFERROR(VALUE(TRIM(MID(SUBSTITUTE(INDEX('Deck 5'!$A:$Z,ROW()-1250,'List Setup'!$G$7),CHAR(10),REPT(" ",100)),((SEARCH(CHAR(10)&amp;I1492&amp;CHAR(10),H1492)-LEN(SUBSTITUTE(LEFT(H1492,SEARCH(CHAR(10)&amp;I1492&amp;CHAR(10),H1492)),CHAR(10),"")))-1)*100+1,100))),""))</f>
        <v/>
      </c>
      <c r="K1492" s="80" t="str">
        <f t="array" ref="K1492">IF(A1492="","",IF(ISNUMBER(SEARCH("Land",LEFT(IFERROR(INDEX('Deck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92" s="80" t="str">
        <f t="shared" si="3"/>
        <v/>
      </c>
      <c r="M1492" s="80" t="str">
        <f>IF(A1492="","",IF(AND(E1492="Y",B1492='Use at Shop'!$B$4),K1492*10000000000+(MAX(0,MIN(26,CODE(MID(UPPER(A1492)&amp;"    ",1,1))-64))*19683+MAX(0,MIN(26,CODE(MID(UPPER(A1492)&amp;"    ",2,1))-64))*729+MAX(0,MIN(26,CODE(MID(UPPER(A1492)&amp;"    ",3,1))-64))*27+MAX(0,MIN(26,CODE(MID(UPPER(A1492)&amp;"    ",4,1))-64))*1)*10000+ROW(),""))</f>
        <v/>
      </c>
      <c r="N1492" s="80" t="str">
        <f t="shared" si="9"/>
        <v/>
      </c>
      <c r="O1492" s="80" t="str">
        <f t="array" ref="O1492">IF(A1492="","",IFERROR(INDEX('Deck 5'!$A:$Z,ROW()-1250,'List Setup'!$J$7)&amp;"",""))</f>
        <v/>
      </c>
      <c r="P1492" s="2"/>
      <c r="Q1492" s="80" t="str">
        <f>IF(A1492="","",'List Setup'!$A$7)</f>
        <v/>
      </c>
      <c r="R1492" s="80" t="str">
        <f t="array" ref="R1492">IF(A1492="","",IFERROR(OR(INDEX(Binders!$J$6:$J$30,MATCH(Q1492,Binders!$I$6:$I$30,0))=TRUE(),UPPER(INDEX(Binders!$J$6:$J$30,MATCH(Q1492,Binders!$I$6:$I$30,0))&amp;"")="TRUE"),FALSE()))</f>
        <v/>
      </c>
    </row>
    <row r="1493" ht="15.75" customHeight="1">
      <c r="A1493" s="80" t="str">
        <f t="array" ref="A1493">IF(INDEX('Deck 5'!$A:$Z,ROW()-1250,'List Setup'!$D$7)="","",INDEX('Deck 5'!$A:$Z,ROW()-1250,'List Setup'!$D$7))</f>
        <v/>
      </c>
      <c r="B1493" s="80" t="str">
        <f t="array" ref="B1493">IF(A1493="","",IFERROR(INDEX('Binder Setup'!$B$2:$B$401,MIN(IF(ISNUMBER(SEARCH(CHAR(10)&amp;'Binder Setup'!$B$2:$B$401&amp;CHAR(10),$H1493)),'List Setup'!$Q$2:$Q$401,999),IF(ISNUMBER(SEARCH(CHAR(10)&amp;'Set Aliases'!$A$2:$A$501&amp;CHAR(10),$H1493)),'Set Aliases'!$C$2:$C$501,999))),"(none)"))</f>
        <v/>
      </c>
      <c r="C1493" s="80" t="str">
        <f t="shared" si="1"/>
        <v/>
      </c>
      <c r="D1493" s="80" t="str">
        <f t="array" ref="D1493">IF(A1493="","",IF(ISLOGICAL(INDEX('Deck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93" s="80" t="str">
        <f t="shared" si="2"/>
        <v/>
      </c>
      <c r="F1493" s="80" t="str">
        <f t="array" ref="F1493">IF(A1493="","",IF(ISNUMBER(J1493),J1493,IF(ISNUMBER(INDEX('Deck 5'!$A:$Z,ROW()-1250,'List Setup'!$F$7)),INDEX('Deck 5'!$A:$Z,ROW()-1250,'List Setup'!$F$7),0)))</f>
        <v/>
      </c>
      <c r="G1493" s="80" t="str">
        <f t="array" ref="G1493">IF(A1493="","",A1493&amp;IF(N(INDEX('Deck 5'!$A:$Z,ROW()-1250,'List Setup'!$C$7))&gt;1," (x"&amp;INDEX('Deck 5'!$A:$Z,ROW()-1250,'List Setup'!$C$7)&amp;")","")&amp;IF(COUNTIF(Binders!$J$6:$J$30,TRUE())&gt;1," ["&amp;Q1493&amp;"]",""))</f>
        <v/>
      </c>
      <c r="H1493" s="80" t="str">
        <f t="array" ref="H1493">IF(A1493="","",CHAR(10)&amp;INDEX('Deck 5'!$A:$Z,ROW()-1250,'List Setup'!$E$7)&amp;CHAR(10))</f>
        <v/>
      </c>
      <c r="I1493" s="80" t="str">
        <f t="array" ref="I1493">IF(OR(B1493="",B1493="(none)"),"",IF(ISNUMBER(SEARCH(CHAR(10)&amp;B1493&amp;CHAR(10),H1493)),B1493,IFERROR(INDEX('Set Aliases'!$A$2:$A$501,MATCH(1,('Set Aliases'!$B$2:$B$501=B1493)*ISNUMBER(SEARCH(CHAR(10)&amp;'Set Aliases'!$A$2:$A$501&amp;CHAR(10),H1493)),0)),"")))</f>
        <v/>
      </c>
      <c r="J1493" s="80" t="str">
        <f t="array" ref="J1493">IF(I1493="","",IFERROR(VALUE(TRIM(MID(SUBSTITUTE(INDEX('Deck 5'!$A:$Z,ROW()-1250,'List Setup'!$G$7),CHAR(10),REPT(" ",100)),((SEARCH(CHAR(10)&amp;I1493&amp;CHAR(10),H1493)-LEN(SUBSTITUTE(LEFT(H1493,SEARCH(CHAR(10)&amp;I1493&amp;CHAR(10),H1493)),CHAR(10),"")))-1)*100+1,100))),""))</f>
        <v/>
      </c>
      <c r="K1493" s="80" t="str">
        <f t="array" ref="K1493">IF(A1493="","",IF(ISNUMBER(SEARCH("Land",LEFT(IFERROR(INDEX('Deck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93" s="80" t="str">
        <f t="shared" si="3"/>
        <v/>
      </c>
      <c r="M1493" s="80" t="str">
        <f>IF(A1493="","",IF(AND(E1493="Y",B1493='Use at Shop'!$B$4),K1493*10000000000+(MAX(0,MIN(26,CODE(MID(UPPER(A1493)&amp;"    ",1,1))-64))*19683+MAX(0,MIN(26,CODE(MID(UPPER(A1493)&amp;"    ",2,1))-64))*729+MAX(0,MIN(26,CODE(MID(UPPER(A1493)&amp;"    ",3,1))-64))*27+MAX(0,MIN(26,CODE(MID(UPPER(A1493)&amp;"    ",4,1))-64))*1)*10000+ROW(),""))</f>
        <v/>
      </c>
      <c r="N1493" s="80" t="str">
        <f t="shared" si="9"/>
        <v/>
      </c>
      <c r="O1493" s="80" t="str">
        <f t="array" ref="O1493">IF(A1493="","",IFERROR(INDEX('Deck 5'!$A:$Z,ROW()-1250,'List Setup'!$J$7)&amp;"",""))</f>
        <v/>
      </c>
      <c r="P1493" s="2"/>
      <c r="Q1493" s="80" t="str">
        <f>IF(A1493="","",'List Setup'!$A$7)</f>
        <v/>
      </c>
      <c r="R1493" s="80" t="str">
        <f t="array" ref="R1493">IF(A1493="","",IFERROR(OR(INDEX(Binders!$J$6:$J$30,MATCH(Q1493,Binders!$I$6:$I$30,0))=TRUE(),UPPER(INDEX(Binders!$J$6:$J$30,MATCH(Q1493,Binders!$I$6:$I$30,0))&amp;"")="TRUE"),FALSE()))</f>
        <v/>
      </c>
    </row>
    <row r="1494" ht="15.75" customHeight="1">
      <c r="A1494" s="80" t="str">
        <f t="array" ref="A1494">IF(INDEX('Deck 5'!$A:$Z,ROW()-1250,'List Setup'!$D$7)="","",INDEX('Deck 5'!$A:$Z,ROW()-1250,'List Setup'!$D$7))</f>
        <v/>
      </c>
      <c r="B1494" s="80" t="str">
        <f t="array" ref="B1494">IF(A1494="","",IFERROR(INDEX('Binder Setup'!$B$2:$B$401,MIN(IF(ISNUMBER(SEARCH(CHAR(10)&amp;'Binder Setup'!$B$2:$B$401&amp;CHAR(10),$H1494)),'List Setup'!$Q$2:$Q$401,999),IF(ISNUMBER(SEARCH(CHAR(10)&amp;'Set Aliases'!$A$2:$A$501&amp;CHAR(10),$H1494)),'Set Aliases'!$C$2:$C$501,999))),"(none)"))</f>
        <v/>
      </c>
      <c r="C1494" s="80" t="str">
        <f t="shared" si="1"/>
        <v/>
      </c>
      <c r="D1494" s="80" t="str">
        <f t="array" ref="D1494">IF(A1494="","",IF(ISLOGICAL(INDEX('Deck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94" s="80" t="str">
        <f t="shared" si="2"/>
        <v/>
      </c>
      <c r="F1494" s="80" t="str">
        <f t="array" ref="F1494">IF(A1494="","",IF(ISNUMBER(J1494),J1494,IF(ISNUMBER(INDEX('Deck 5'!$A:$Z,ROW()-1250,'List Setup'!$F$7)),INDEX('Deck 5'!$A:$Z,ROW()-1250,'List Setup'!$F$7),0)))</f>
        <v/>
      </c>
      <c r="G1494" s="80" t="str">
        <f t="array" ref="G1494">IF(A1494="","",A1494&amp;IF(N(INDEX('Deck 5'!$A:$Z,ROW()-1250,'List Setup'!$C$7))&gt;1," (x"&amp;INDEX('Deck 5'!$A:$Z,ROW()-1250,'List Setup'!$C$7)&amp;")","")&amp;IF(COUNTIF(Binders!$J$6:$J$30,TRUE())&gt;1," ["&amp;Q1494&amp;"]",""))</f>
        <v/>
      </c>
      <c r="H1494" s="80" t="str">
        <f t="array" ref="H1494">IF(A1494="","",CHAR(10)&amp;INDEX('Deck 5'!$A:$Z,ROW()-1250,'List Setup'!$E$7)&amp;CHAR(10))</f>
        <v/>
      </c>
      <c r="I1494" s="80" t="str">
        <f t="array" ref="I1494">IF(OR(B1494="",B1494="(none)"),"",IF(ISNUMBER(SEARCH(CHAR(10)&amp;B1494&amp;CHAR(10),H1494)),B1494,IFERROR(INDEX('Set Aliases'!$A$2:$A$501,MATCH(1,('Set Aliases'!$B$2:$B$501=B1494)*ISNUMBER(SEARCH(CHAR(10)&amp;'Set Aliases'!$A$2:$A$501&amp;CHAR(10),H1494)),0)),"")))</f>
        <v/>
      </c>
      <c r="J1494" s="80" t="str">
        <f t="array" ref="J1494">IF(I1494="","",IFERROR(VALUE(TRIM(MID(SUBSTITUTE(INDEX('Deck 5'!$A:$Z,ROW()-1250,'List Setup'!$G$7),CHAR(10),REPT(" ",100)),((SEARCH(CHAR(10)&amp;I1494&amp;CHAR(10),H1494)-LEN(SUBSTITUTE(LEFT(H1494,SEARCH(CHAR(10)&amp;I1494&amp;CHAR(10),H1494)),CHAR(10),"")))-1)*100+1,100))),""))</f>
        <v/>
      </c>
      <c r="K1494" s="80" t="str">
        <f t="array" ref="K1494">IF(A1494="","",IF(ISNUMBER(SEARCH("Land",LEFT(IFERROR(INDEX('Deck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94" s="80" t="str">
        <f t="shared" si="3"/>
        <v/>
      </c>
      <c r="M1494" s="80" t="str">
        <f>IF(A1494="","",IF(AND(E1494="Y",B1494='Use at Shop'!$B$4),K1494*10000000000+(MAX(0,MIN(26,CODE(MID(UPPER(A1494)&amp;"    ",1,1))-64))*19683+MAX(0,MIN(26,CODE(MID(UPPER(A1494)&amp;"    ",2,1))-64))*729+MAX(0,MIN(26,CODE(MID(UPPER(A1494)&amp;"    ",3,1))-64))*27+MAX(0,MIN(26,CODE(MID(UPPER(A1494)&amp;"    ",4,1))-64))*1)*10000+ROW(),""))</f>
        <v/>
      </c>
      <c r="N1494" s="80" t="str">
        <f t="shared" si="9"/>
        <v/>
      </c>
      <c r="O1494" s="80" t="str">
        <f t="array" ref="O1494">IF(A1494="","",IFERROR(INDEX('Deck 5'!$A:$Z,ROW()-1250,'List Setup'!$J$7)&amp;"",""))</f>
        <v/>
      </c>
      <c r="P1494" s="2"/>
      <c r="Q1494" s="80" t="str">
        <f>IF(A1494="","",'List Setup'!$A$7)</f>
        <v/>
      </c>
      <c r="R1494" s="80" t="str">
        <f t="array" ref="R1494">IF(A1494="","",IFERROR(OR(INDEX(Binders!$J$6:$J$30,MATCH(Q1494,Binders!$I$6:$I$30,0))=TRUE(),UPPER(INDEX(Binders!$J$6:$J$30,MATCH(Q1494,Binders!$I$6:$I$30,0))&amp;"")="TRUE"),FALSE()))</f>
        <v/>
      </c>
    </row>
    <row r="1495" ht="15.75" customHeight="1">
      <c r="A1495" s="80" t="str">
        <f t="array" ref="A1495">IF(INDEX('Deck 5'!$A:$Z,ROW()-1250,'List Setup'!$D$7)="","",INDEX('Deck 5'!$A:$Z,ROW()-1250,'List Setup'!$D$7))</f>
        <v/>
      </c>
      <c r="B1495" s="80" t="str">
        <f t="array" ref="B1495">IF(A1495="","",IFERROR(INDEX('Binder Setup'!$B$2:$B$401,MIN(IF(ISNUMBER(SEARCH(CHAR(10)&amp;'Binder Setup'!$B$2:$B$401&amp;CHAR(10),$H1495)),'List Setup'!$Q$2:$Q$401,999),IF(ISNUMBER(SEARCH(CHAR(10)&amp;'Set Aliases'!$A$2:$A$501&amp;CHAR(10),$H1495)),'Set Aliases'!$C$2:$C$501,999))),"(none)"))</f>
        <v/>
      </c>
      <c r="C1495" s="80" t="str">
        <f t="shared" si="1"/>
        <v/>
      </c>
      <c r="D1495" s="80" t="str">
        <f t="array" ref="D1495">IF(A1495="","",IF(ISLOGICAL(INDEX('Deck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95" s="80" t="str">
        <f t="shared" si="2"/>
        <v/>
      </c>
      <c r="F1495" s="80" t="str">
        <f t="array" ref="F1495">IF(A1495="","",IF(ISNUMBER(J1495),J1495,IF(ISNUMBER(INDEX('Deck 5'!$A:$Z,ROW()-1250,'List Setup'!$F$7)),INDEX('Deck 5'!$A:$Z,ROW()-1250,'List Setup'!$F$7),0)))</f>
        <v/>
      </c>
      <c r="G1495" s="80" t="str">
        <f t="array" ref="G1495">IF(A1495="","",A1495&amp;IF(N(INDEX('Deck 5'!$A:$Z,ROW()-1250,'List Setup'!$C$7))&gt;1," (x"&amp;INDEX('Deck 5'!$A:$Z,ROW()-1250,'List Setup'!$C$7)&amp;")","")&amp;IF(COUNTIF(Binders!$J$6:$J$30,TRUE())&gt;1," ["&amp;Q1495&amp;"]",""))</f>
        <v/>
      </c>
      <c r="H1495" s="80" t="str">
        <f t="array" ref="H1495">IF(A1495="","",CHAR(10)&amp;INDEX('Deck 5'!$A:$Z,ROW()-1250,'List Setup'!$E$7)&amp;CHAR(10))</f>
        <v/>
      </c>
      <c r="I1495" s="80" t="str">
        <f t="array" ref="I1495">IF(OR(B1495="",B1495="(none)"),"",IF(ISNUMBER(SEARCH(CHAR(10)&amp;B1495&amp;CHAR(10),H1495)),B1495,IFERROR(INDEX('Set Aliases'!$A$2:$A$501,MATCH(1,('Set Aliases'!$B$2:$B$501=B1495)*ISNUMBER(SEARCH(CHAR(10)&amp;'Set Aliases'!$A$2:$A$501&amp;CHAR(10),H1495)),0)),"")))</f>
        <v/>
      </c>
      <c r="J1495" s="80" t="str">
        <f t="array" ref="J1495">IF(I1495="","",IFERROR(VALUE(TRIM(MID(SUBSTITUTE(INDEX('Deck 5'!$A:$Z,ROW()-1250,'List Setup'!$G$7),CHAR(10),REPT(" ",100)),((SEARCH(CHAR(10)&amp;I1495&amp;CHAR(10),H1495)-LEN(SUBSTITUTE(LEFT(H1495,SEARCH(CHAR(10)&amp;I1495&amp;CHAR(10),H1495)),CHAR(10),"")))-1)*100+1,100))),""))</f>
        <v/>
      </c>
      <c r="K1495" s="80" t="str">
        <f t="array" ref="K1495">IF(A1495="","",IF(ISNUMBER(SEARCH("Land",LEFT(IFERROR(INDEX('Deck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95" s="80" t="str">
        <f t="shared" si="3"/>
        <v/>
      </c>
      <c r="M1495" s="80" t="str">
        <f>IF(A1495="","",IF(AND(E1495="Y",B1495='Use at Shop'!$B$4),K1495*10000000000+(MAX(0,MIN(26,CODE(MID(UPPER(A1495)&amp;"    ",1,1))-64))*19683+MAX(0,MIN(26,CODE(MID(UPPER(A1495)&amp;"    ",2,1))-64))*729+MAX(0,MIN(26,CODE(MID(UPPER(A1495)&amp;"    ",3,1))-64))*27+MAX(0,MIN(26,CODE(MID(UPPER(A1495)&amp;"    ",4,1))-64))*1)*10000+ROW(),""))</f>
        <v/>
      </c>
      <c r="N1495" s="80" t="str">
        <f t="shared" si="9"/>
        <v/>
      </c>
      <c r="O1495" s="80" t="str">
        <f t="array" ref="O1495">IF(A1495="","",IFERROR(INDEX('Deck 5'!$A:$Z,ROW()-1250,'List Setup'!$J$7)&amp;"",""))</f>
        <v/>
      </c>
      <c r="P1495" s="2"/>
      <c r="Q1495" s="80" t="str">
        <f>IF(A1495="","",'List Setup'!$A$7)</f>
        <v/>
      </c>
      <c r="R1495" s="80" t="str">
        <f t="array" ref="R1495">IF(A1495="","",IFERROR(OR(INDEX(Binders!$J$6:$J$30,MATCH(Q1495,Binders!$I$6:$I$30,0))=TRUE(),UPPER(INDEX(Binders!$J$6:$J$30,MATCH(Q1495,Binders!$I$6:$I$30,0))&amp;"")="TRUE"),FALSE()))</f>
        <v/>
      </c>
    </row>
    <row r="1496" ht="15.75" customHeight="1">
      <c r="A1496" s="80" t="str">
        <f t="array" ref="A1496">IF(INDEX('Deck 5'!$A:$Z,ROW()-1250,'List Setup'!$D$7)="","",INDEX('Deck 5'!$A:$Z,ROW()-1250,'List Setup'!$D$7))</f>
        <v/>
      </c>
      <c r="B1496" s="80" t="str">
        <f t="array" ref="B1496">IF(A1496="","",IFERROR(INDEX('Binder Setup'!$B$2:$B$401,MIN(IF(ISNUMBER(SEARCH(CHAR(10)&amp;'Binder Setup'!$B$2:$B$401&amp;CHAR(10),$H1496)),'List Setup'!$Q$2:$Q$401,999),IF(ISNUMBER(SEARCH(CHAR(10)&amp;'Set Aliases'!$A$2:$A$501&amp;CHAR(10),$H1496)),'Set Aliases'!$C$2:$C$501,999))),"(none)"))</f>
        <v/>
      </c>
      <c r="C1496" s="80" t="str">
        <f t="shared" si="1"/>
        <v/>
      </c>
      <c r="D1496" s="80" t="str">
        <f t="array" ref="D1496">IF(A1496="","",IF(ISLOGICAL(INDEX('Deck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96" s="80" t="str">
        <f t="shared" si="2"/>
        <v/>
      </c>
      <c r="F1496" s="80" t="str">
        <f t="array" ref="F1496">IF(A1496="","",IF(ISNUMBER(J1496),J1496,IF(ISNUMBER(INDEX('Deck 5'!$A:$Z,ROW()-1250,'List Setup'!$F$7)),INDEX('Deck 5'!$A:$Z,ROW()-1250,'List Setup'!$F$7),0)))</f>
        <v/>
      </c>
      <c r="G1496" s="80" t="str">
        <f t="array" ref="G1496">IF(A1496="","",A1496&amp;IF(N(INDEX('Deck 5'!$A:$Z,ROW()-1250,'List Setup'!$C$7))&gt;1," (x"&amp;INDEX('Deck 5'!$A:$Z,ROW()-1250,'List Setup'!$C$7)&amp;")","")&amp;IF(COUNTIF(Binders!$J$6:$J$30,TRUE())&gt;1," ["&amp;Q1496&amp;"]",""))</f>
        <v/>
      </c>
      <c r="H1496" s="80" t="str">
        <f t="array" ref="H1496">IF(A1496="","",CHAR(10)&amp;INDEX('Deck 5'!$A:$Z,ROW()-1250,'List Setup'!$E$7)&amp;CHAR(10))</f>
        <v/>
      </c>
      <c r="I1496" s="80" t="str">
        <f t="array" ref="I1496">IF(OR(B1496="",B1496="(none)"),"",IF(ISNUMBER(SEARCH(CHAR(10)&amp;B1496&amp;CHAR(10),H1496)),B1496,IFERROR(INDEX('Set Aliases'!$A$2:$A$501,MATCH(1,('Set Aliases'!$B$2:$B$501=B1496)*ISNUMBER(SEARCH(CHAR(10)&amp;'Set Aliases'!$A$2:$A$501&amp;CHAR(10),H1496)),0)),"")))</f>
        <v/>
      </c>
      <c r="J1496" s="80" t="str">
        <f t="array" ref="J1496">IF(I1496="","",IFERROR(VALUE(TRIM(MID(SUBSTITUTE(INDEX('Deck 5'!$A:$Z,ROW()-1250,'List Setup'!$G$7),CHAR(10),REPT(" ",100)),((SEARCH(CHAR(10)&amp;I1496&amp;CHAR(10),H1496)-LEN(SUBSTITUTE(LEFT(H1496,SEARCH(CHAR(10)&amp;I1496&amp;CHAR(10),H1496)),CHAR(10),"")))-1)*100+1,100))),""))</f>
        <v/>
      </c>
      <c r="K1496" s="80" t="str">
        <f t="array" ref="K1496">IF(A1496="","",IF(ISNUMBER(SEARCH("Land",LEFT(IFERROR(INDEX('Deck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96" s="80" t="str">
        <f t="shared" si="3"/>
        <v/>
      </c>
      <c r="M1496" s="80" t="str">
        <f>IF(A1496="","",IF(AND(E1496="Y",B1496='Use at Shop'!$B$4),K1496*10000000000+(MAX(0,MIN(26,CODE(MID(UPPER(A1496)&amp;"    ",1,1))-64))*19683+MAX(0,MIN(26,CODE(MID(UPPER(A1496)&amp;"    ",2,1))-64))*729+MAX(0,MIN(26,CODE(MID(UPPER(A1496)&amp;"    ",3,1))-64))*27+MAX(0,MIN(26,CODE(MID(UPPER(A1496)&amp;"    ",4,1))-64))*1)*10000+ROW(),""))</f>
        <v/>
      </c>
      <c r="N1496" s="80" t="str">
        <f t="shared" si="9"/>
        <v/>
      </c>
      <c r="O1496" s="80" t="str">
        <f t="array" ref="O1496">IF(A1496="","",IFERROR(INDEX('Deck 5'!$A:$Z,ROW()-1250,'List Setup'!$J$7)&amp;"",""))</f>
        <v/>
      </c>
      <c r="P1496" s="2"/>
      <c r="Q1496" s="80" t="str">
        <f>IF(A1496="","",'List Setup'!$A$7)</f>
        <v/>
      </c>
      <c r="R1496" s="80" t="str">
        <f t="array" ref="R1496">IF(A1496="","",IFERROR(OR(INDEX(Binders!$J$6:$J$30,MATCH(Q1496,Binders!$I$6:$I$30,0))=TRUE(),UPPER(INDEX(Binders!$J$6:$J$30,MATCH(Q1496,Binders!$I$6:$I$30,0))&amp;"")="TRUE"),FALSE()))</f>
        <v/>
      </c>
    </row>
    <row r="1497" ht="15.75" customHeight="1">
      <c r="A1497" s="80" t="str">
        <f t="array" ref="A1497">IF(INDEX('Deck 5'!$A:$Z,ROW()-1250,'List Setup'!$D$7)="","",INDEX('Deck 5'!$A:$Z,ROW()-1250,'List Setup'!$D$7))</f>
        <v/>
      </c>
      <c r="B1497" s="80" t="str">
        <f t="array" ref="B1497">IF(A1497="","",IFERROR(INDEX('Binder Setup'!$B$2:$B$401,MIN(IF(ISNUMBER(SEARCH(CHAR(10)&amp;'Binder Setup'!$B$2:$B$401&amp;CHAR(10),$H1497)),'List Setup'!$Q$2:$Q$401,999),IF(ISNUMBER(SEARCH(CHAR(10)&amp;'Set Aliases'!$A$2:$A$501&amp;CHAR(10),$H1497)),'Set Aliases'!$C$2:$C$501,999))),"(none)"))</f>
        <v/>
      </c>
      <c r="C1497" s="80" t="str">
        <f t="shared" si="1"/>
        <v/>
      </c>
      <c r="D1497" s="80" t="str">
        <f t="array" ref="D1497">IF(A1497="","",IF(ISLOGICAL(INDEX('Deck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97" s="80" t="str">
        <f t="shared" si="2"/>
        <v/>
      </c>
      <c r="F1497" s="80" t="str">
        <f t="array" ref="F1497">IF(A1497="","",IF(ISNUMBER(J1497),J1497,IF(ISNUMBER(INDEX('Deck 5'!$A:$Z,ROW()-1250,'List Setup'!$F$7)),INDEX('Deck 5'!$A:$Z,ROW()-1250,'List Setup'!$F$7),0)))</f>
        <v/>
      </c>
      <c r="G1497" s="80" t="str">
        <f t="array" ref="G1497">IF(A1497="","",A1497&amp;IF(N(INDEX('Deck 5'!$A:$Z,ROW()-1250,'List Setup'!$C$7))&gt;1," (x"&amp;INDEX('Deck 5'!$A:$Z,ROW()-1250,'List Setup'!$C$7)&amp;")","")&amp;IF(COUNTIF(Binders!$J$6:$J$30,TRUE())&gt;1," ["&amp;Q1497&amp;"]",""))</f>
        <v/>
      </c>
      <c r="H1497" s="80" t="str">
        <f t="array" ref="H1497">IF(A1497="","",CHAR(10)&amp;INDEX('Deck 5'!$A:$Z,ROW()-1250,'List Setup'!$E$7)&amp;CHAR(10))</f>
        <v/>
      </c>
      <c r="I1497" s="80" t="str">
        <f t="array" ref="I1497">IF(OR(B1497="",B1497="(none)"),"",IF(ISNUMBER(SEARCH(CHAR(10)&amp;B1497&amp;CHAR(10),H1497)),B1497,IFERROR(INDEX('Set Aliases'!$A$2:$A$501,MATCH(1,('Set Aliases'!$B$2:$B$501=B1497)*ISNUMBER(SEARCH(CHAR(10)&amp;'Set Aliases'!$A$2:$A$501&amp;CHAR(10),H1497)),0)),"")))</f>
        <v/>
      </c>
      <c r="J1497" s="80" t="str">
        <f t="array" ref="J1497">IF(I1497="","",IFERROR(VALUE(TRIM(MID(SUBSTITUTE(INDEX('Deck 5'!$A:$Z,ROW()-1250,'List Setup'!$G$7),CHAR(10),REPT(" ",100)),((SEARCH(CHAR(10)&amp;I1497&amp;CHAR(10),H1497)-LEN(SUBSTITUTE(LEFT(H1497,SEARCH(CHAR(10)&amp;I1497&amp;CHAR(10),H1497)),CHAR(10),"")))-1)*100+1,100))),""))</f>
        <v/>
      </c>
      <c r="K1497" s="80" t="str">
        <f t="array" ref="K1497">IF(A1497="","",IF(ISNUMBER(SEARCH("Land",LEFT(IFERROR(INDEX('Deck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97" s="80" t="str">
        <f t="shared" si="3"/>
        <v/>
      </c>
      <c r="M1497" s="80" t="str">
        <f>IF(A1497="","",IF(AND(E1497="Y",B1497='Use at Shop'!$B$4),K1497*10000000000+(MAX(0,MIN(26,CODE(MID(UPPER(A1497)&amp;"    ",1,1))-64))*19683+MAX(0,MIN(26,CODE(MID(UPPER(A1497)&amp;"    ",2,1))-64))*729+MAX(0,MIN(26,CODE(MID(UPPER(A1497)&amp;"    ",3,1))-64))*27+MAX(0,MIN(26,CODE(MID(UPPER(A1497)&amp;"    ",4,1))-64))*1)*10000+ROW(),""))</f>
        <v/>
      </c>
      <c r="N1497" s="80" t="str">
        <f t="shared" si="9"/>
        <v/>
      </c>
      <c r="O1497" s="80" t="str">
        <f t="array" ref="O1497">IF(A1497="","",IFERROR(INDEX('Deck 5'!$A:$Z,ROW()-1250,'List Setup'!$J$7)&amp;"",""))</f>
        <v/>
      </c>
      <c r="P1497" s="2"/>
      <c r="Q1497" s="80" t="str">
        <f>IF(A1497="","",'List Setup'!$A$7)</f>
        <v/>
      </c>
      <c r="R1497" s="80" t="str">
        <f t="array" ref="R1497">IF(A1497="","",IFERROR(OR(INDEX(Binders!$J$6:$J$30,MATCH(Q1497,Binders!$I$6:$I$30,0))=TRUE(),UPPER(INDEX(Binders!$J$6:$J$30,MATCH(Q1497,Binders!$I$6:$I$30,0))&amp;"")="TRUE"),FALSE()))</f>
        <v/>
      </c>
    </row>
    <row r="1498" ht="15.75" customHeight="1">
      <c r="A1498" s="80" t="str">
        <f t="array" ref="A1498">IF(INDEX('Deck 5'!$A:$Z,ROW()-1250,'List Setup'!$D$7)="","",INDEX('Deck 5'!$A:$Z,ROW()-1250,'List Setup'!$D$7))</f>
        <v/>
      </c>
      <c r="B1498" s="80" t="str">
        <f t="array" ref="B1498">IF(A1498="","",IFERROR(INDEX('Binder Setup'!$B$2:$B$401,MIN(IF(ISNUMBER(SEARCH(CHAR(10)&amp;'Binder Setup'!$B$2:$B$401&amp;CHAR(10),$H1498)),'List Setup'!$Q$2:$Q$401,999),IF(ISNUMBER(SEARCH(CHAR(10)&amp;'Set Aliases'!$A$2:$A$501&amp;CHAR(10),$H1498)),'Set Aliases'!$C$2:$C$501,999))),"(none)"))</f>
        <v/>
      </c>
      <c r="C1498" s="80" t="str">
        <f t="shared" si="1"/>
        <v/>
      </c>
      <c r="D1498" s="80" t="str">
        <f t="array" ref="D1498">IF(A1498="","",IF(ISLOGICAL(INDEX('Deck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98" s="80" t="str">
        <f t="shared" si="2"/>
        <v/>
      </c>
      <c r="F1498" s="80" t="str">
        <f t="array" ref="F1498">IF(A1498="","",IF(ISNUMBER(J1498),J1498,IF(ISNUMBER(INDEX('Deck 5'!$A:$Z,ROW()-1250,'List Setup'!$F$7)),INDEX('Deck 5'!$A:$Z,ROW()-1250,'List Setup'!$F$7),0)))</f>
        <v/>
      </c>
      <c r="G1498" s="80" t="str">
        <f t="array" ref="G1498">IF(A1498="","",A1498&amp;IF(N(INDEX('Deck 5'!$A:$Z,ROW()-1250,'List Setup'!$C$7))&gt;1," (x"&amp;INDEX('Deck 5'!$A:$Z,ROW()-1250,'List Setup'!$C$7)&amp;")","")&amp;IF(COUNTIF(Binders!$J$6:$J$30,TRUE())&gt;1," ["&amp;Q1498&amp;"]",""))</f>
        <v/>
      </c>
      <c r="H1498" s="80" t="str">
        <f t="array" ref="H1498">IF(A1498="","",CHAR(10)&amp;INDEX('Deck 5'!$A:$Z,ROW()-1250,'List Setup'!$E$7)&amp;CHAR(10))</f>
        <v/>
      </c>
      <c r="I1498" s="80" t="str">
        <f t="array" ref="I1498">IF(OR(B1498="",B1498="(none)"),"",IF(ISNUMBER(SEARCH(CHAR(10)&amp;B1498&amp;CHAR(10),H1498)),B1498,IFERROR(INDEX('Set Aliases'!$A$2:$A$501,MATCH(1,('Set Aliases'!$B$2:$B$501=B1498)*ISNUMBER(SEARCH(CHAR(10)&amp;'Set Aliases'!$A$2:$A$501&amp;CHAR(10),H1498)),0)),"")))</f>
        <v/>
      </c>
      <c r="J1498" s="80" t="str">
        <f t="array" ref="J1498">IF(I1498="","",IFERROR(VALUE(TRIM(MID(SUBSTITUTE(INDEX('Deck 5'!$A:$Z,ROW()-1250,'List Setup'!$G$7),CHAR(10),REPT(" ",100)),((SEARCH(CHAR(10)&amp;I1498&amp;CHAR(10),H1498)-LEN(SUBSTITUTE(LEFT(H1498,SEARCH(CHAR(10)&amp;I1498&amp;CHAR(10),H1498)),CHAR(10),"")))-1)*100+1,100))),""))</f>
        <v/>
      </c>
      <c r="K1498" s="80" t="str">
        <f t="array" ref="K1498">IF(A1498="","",IF(ISNUMBER(SEARCH("Land",LEFT(IFERROR(INDEX('Deck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98" s="80" t="str">
        <f t="shared" si="3"/>
        <v/>
      </c>
      <c r="M1498" s="80" t="str">
        <f>IF(A1498="","",IF(AND(E1498="Y",B1498='Use at Shop'!$B$4),K1498*10000000000+(MAX(0,MIN(26,CODE(MID(UPPER(A1498)&amp;"    ",1,1))-64))*19683+MAX(0,MIN(26,CODE(MID(UPPER(A1498)&amp;"    ",2,1))-64))*729+MAX(0,MIN(26,CODE(MID(UPPER(A1498)&amp;"    ",3,1))-64))*27+MAX(0,MIN(26,CODE(MID(UPPER(A1498)&amp;"    ",4,1))-64))*1)*10000+ROW(),""))</f>
        <v/>
      </c>
      <c r="N1498" s="80" t="str">
        <f t="shared" si="9"/>
        <v/>
      </c>
      <c r="O1498" s="80" t="str">
        <f t="array" ref="O1498">IF(A1498="","",IFERROR(INDEX('Deck 5'!$A:$Z,ROW()-1250,'List Setup'!$J$7)&amp;"",""))</f>
        <v/>
      </c>
      <c r="P1498" s="2"/>
      <c r="Q1498" s="80" t="str">
        <f>IF(A1498="","",'List Setup'!$A$7)</f>
        <v/>
      </c>
      <c r="R1498" s="80" t="str">
        <f t="array" ref="R1498">IF(A1498="","",IFERROR(OR(INDEX(Binders!$J$6:$J$30,MATCH(Q1498,Binders!$I$6:$I$30,0))=TRUE(),UPPER(INDEX(Binders!$J$6:$J$30,MATCH(Q1498,Binders!$I$6:$I$30,0))&amp;"")="TRUE"),FALSE()))</f>
        <v/>
      </c>
    </row>
    <row r="1499" ht="15.75" customHeight="1">
      <c r="A1499" s="80" t="str">
        <f t="array" ref="A1499">IF(INDEX('Deck 5'!$A:$Z,ROW()-1250,'List Setup'!$D$7)="","",INDEX('Deck 5'!$A:$Z,ROW()-1250,'List Setup'!$D$7))</f>
        <v/>
      </c>
      <c r="B1499" s="80" t="str">
        <f t="array" ref="B1499">IF(A1499="","",IFERROR(INDEX('Binder Setup'!$B$2:$B$401,MIN(IF(ISNUMBER(SEARCH(CHAR(10)&amp;'Binder Setup'!$B$2:$B$401&amp;CHAR(10),$H1499)),'List Setup'!$Q$2:$Q$401,999),IF(ISNUMBER(SEARCH(CHAR(10)&amp;'Set Aliases'!$A$2:$A$501&amp;CHAR(10),$H1499)),'Set Aliases'!$C$2:$C$501,999))),"(none)"))</f>
        <v/>
      </c>
      <c r="C1499" s="80" t="str">
        <f t="shared" si="1"/>
        <v/>
      </c>
      <c r="D1499" s="80" t="str">
        <f t="array" ref="D1499">IF(A1499="","",IF(ISLOGICAL(INDEX('Deck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499" s="80" t="str">
        <f t="shared" si="2"/>
        <v/>
      </c>
      <c r="F1499" s="80" t="str">
        <f t="array" ref="F1499">IF(A1499="","",IF(ISNUMBER(J1499),J1499,IF(ISNUMBER(INDEX('Deck 5'!$A:$Z,ROW()-1250,'List Setup'!$F$7)),INDEX('Deck 5'!$A:$Z,ROW()-1250,'List Setup'!$F$7),0)))</f>
        <v/>
      </c>
      <c r="G1499" s="80" t="str">
        <f t="array" ref="G1499">IF(A1499="","",A1499&amp;IF(N(INDEX('Deck 5'!$A:$Z,ROW()-1250,'List Setup'!$C$7))&gt;1," (x"&amp;INDEX('Deck 5'!$A:$Z,ROW()-1250,'List Setup'!$C$7)&amp;")","")&amp;IF(COUNTIF(Binders!$J$6:$J$30,TRUE())&gt;1," ["&amp;Q1499&amp;"]",""))</f>
        <v/>
      </c>
      <c r="H1499" s="80" t="str">
        <f t="array" ref="H1499">IF(A1499="","",CHAR(10)&amp;INDEX('Deck 5'!$A:$Z,ROW()-1250,'List Setup'!$E$7)&amp;CHAR(10))</f>
        <v/>
      </c>
      <c r="I1499" s="80" t="str">
        <f t="array" ref="I1499">IF(OR(B1499="",B1499="(none)"),"",IF(ISNUMBER(SEARCH(CHAR(10)&amp;B1499&amp;CHAR(10),H1499)),B1499,IFERROR(INDEX('Set Aliases'!$A$2:$A$501,MATCH(1,('Set Aliases'!$B$2:$B$501=B1499)*ISNUMBER(SEARCH(CHAR(10)&amp;'Set Aliases'!$A$2:$A$501&amp;CHAR(10),H1499)),0)),"")))</f>
        <v/>
      </c>
      <c r="J1499" s="80" t="str">
        <f t="array" ref="J1499">IF(I1499="","",IFERROR(VALUE(TRIM(MID(SUBSTITUTE(INDEX('Deck 5'!$A:$Z,ROW()-1250,'List Setup'!$G$7),CHAR(10),REPT(" ",100)),((SEARCH(CHAR(10)&amp;I1499&amp;CHAR(10),H1499)-LEN(SUBSTITUTE(LEFT(H1499,SEARCH(CHAR(10)&amp;I1499&amp;CHAR(10),H1499)),CHAR(10),"")))-1)*100+1,100))),""))</f>
        <v/>
      </c>
      <c r="K1499" s="80" t="str">
        <f t="array" ref="K1499">IF(A1499="","",IF(ISNUMBER(SEARCH("Land",LEFT(IFERROR(INDEX('Deck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499" s="80" t="str">
        <f t="shared" si="3"/>
        <v/>
      </c>
      <c r="M1499" s="80" t="str">
        <f>IF(A1499="","",IF(AND(E1499="Y",B1499='Use at Shop'!$B$4),K1499*10000000000+(MAX(0,MIN(26,CODE(MID(UPPER(A1499)&amp;"    ",1,1))-64))*19683+MAX(0,MIN(26,CODE(MID(UPPER(A1499)&amp;"    ",2,1))-64))*729+MAX(0,MIN(26,CODE(MID(UPPER(A1499)&amp;"    ",3,1))-64))*27+MAX(0,MIN(26,CODE(MID(UPPER(A1499)&amp;"    ",4,1))-64))*1)*10000+ROW(),""))</f>
        <v/>
      </c>
      <c r="N1499" s="80" t="str">
        <f t="shared" si="9"/>
        <v/>
      </c>
      <c r="O1499" s="80" t="str">
        <f t="array" ref="O1499">IF(A1499="","",IFERROR(INDEX('Deck 5'!$A:$Z,ROW()-1250,'List Setup'!$J$7)&amp;"",""))</f>
        <v/>
      </c>
      <c r="P1499" s="2"/>
      <c r="Q1499" s="80" t="str">
        <f>IF(A1499="","",'List Setup'!$A$7)</f>
        <v/>
      </c>
      <c r="R1499" s="80" t="str">
        <f t="array" ref="R1499">IF(A1499="","",IFERROR(OR(INDEX(Binders!$J$6:$J$30,MATCH(Q1499,Binders!$I$6:$I$30,0))=TRUE(),UPPER(INDEX(Binders!$J$6:$J$30,MATCH(Q1499,Binders!$I$6:$I$30,0))&amp;"")="TRUE"),FALSE()))</f>
        <v/>
      </c>
    </row>
    <row r="1500" ht="15.75" customHeight="1">
      <c r="A1500" s="80" t="str">
        <f t="array" ref="A1500">IF(INDEX('Deck 5'!$A:$Z,ROW()-1250,'List Setup'!$D$7)="","",INDEX('Deck 5'!$A:$Z,ROW()-1250,'List Setup'!$D$7))</f>
        <v/>
      </c>
      <c r="B1500" s="80" t="str">
        <f t="array" ref="B1500">IF(A1500="","",IFERROR(INDEX('Binder Setup'!$B$2:$B$401,MIN(IF(ISNUMBER(SEARCH(CHAR(10)&amp;'Binder Setup'!$B$2:$B$401&amp;CHAR(10),$H1500)),'List Setup'!$Q$2:$Q$401,999),IF(ISNUMBER(SEARCH(CHAR(10)&amp;'Set Aliases'!$A$2:$A$501&amp;CHAR(10),$H1500)),'Set Aliases'!$C$2:$C$501,999))),"(none)"))</f>
        <v/>
      </c>
      <c r="C1500" s="80" t="str">
        <f t="shared" si="1"/>
        <v/>
      </c>
      <c r="D1500" s="80" t="str">
        <f t="array" ref="D1500">IF(A1500="","",IF(ISLOGICAL(INDEX('Deck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500" s="80" t="str">
        <f t="shared" si="2"/>
        <v/>
      </c>
      <c r="F1500" s="80" t="str">
        <f t="array" ref="F1500">IF(A1500="","",IF(ISNUMBER(J1500),J1500,IF(ISNUMBER(INDEX('Deck 5'!$A:$Z,ROW()-1250,'List Setup'!$F$7)),INDEX('Deck 5'!$A:$Z,ROW()-1250,'List Setup'!$F$7),0)))</f>
        <v/>
      </c>
      <c r="G1500" s="80" t="str">
        <f t="array" ref="G1500">IF(A1500="","",A1500&amp;IF(N(INDEX('Deck 5'!$A:$Z,ROW()-1250,'List Setup'!$C$7))&gt;1," (x"&amp;INDEX('Deck 5'!$A:$Z,ROW()-1250,'List Setup'!$C$7)&amp;")","")&amp;IF(COUNTIF(Binders!$J$6:$J$30,TRUE())&gt;1," ["&amp;Q1500&amp;"]",""))</f>
        <v/>
      </c>
      <c r="H1500" s="80" t="str">
        <f t="array" ref="H1500">IF(A1500="","",CHAR(10)&amp;INDEX('Deck 5'!$A:$Z,ROW()-1250,'List Setup'!$E$7)&amp;CHAR(10))</f>
        <v/>
      </c>
      <c r="I1500" s="80" t="str">
        <f t="array" ref="I1500">IF(OR(B1500="",B1500="(none)"),"",IF(ISNUMBER(SEARCH(CHAR(10)&amp;B1500&amp;CHAR(10),H1500)),B1500,IFERROR(INDEX('Set Aliases'!$A$2:$A$501,MATCH(1,('Set Aliases'!$B$2:$B$501=B1500)*ISNUMBER(SEARCH(CHAR(10)&amp;'Set Aliases'!$A$2:$A$501&amp;CHAR(10),H1500)),0)),"")))</f>
        <v/>
      </c>
      <c r="J1500" s="80" t="str">
        <f t="array" ref="J1500">IF(I1500="","",IFERROR(VALUE(TRIM(MID(SUBSTITUTE(INDEX('Deck 5'!$A:$Z,ROW()-1250,'List Setup'!$G$7),CHAR(10),REPT(" ",100)),((SEARCH(CHAR(10)&amp;I1500&amp;CHAR(10),H1500)-LEN(SUBSTITUTE(LEFT(H1500,SEARCH(CHAR(10)&amp;I1500&amp;CHAR(10),H1500)),CHAR(10),"")))-1)*100+1,100))),""))</f>
        <v/>
      </c>
      <c r="K1500" s="80" t="str">
        <f t="array" ref="K1500">IF(A1500="","",IF(ISNUMBER(SEARCH("Land",LEFT(IFERROR(INDEX('Deck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500" s="80" t="str">
        <f t="shared" si="3"/>
        <v/>
      </c>
      <c r="M1500" s="80" t="str">
        <f>IF(A1500="","",IF(AND(E1500="Y",B1500='Use at Shop'!$B$4),K1500*10000000000+(MAX(0,MIN(26,CODE(MID(UPPER(A1500)&amp;"    ",1,1))-64))*19683+MAX(0,MIN(26,CODE(MID(UPPER(A1500)&amp;"    ",2,1))-64))*729+MAX(0,MIN(26,CODE(MID(UPPER(A1500)&amp;"    ",3,1))-64))*27+MAX(0,MIN(26,CODE(MID(UPPER(A1500)&amp;"    ",4,1))-64))*1)*10000+ROW(),""))</f>
        <v/>
      </c>
      <c r="N1500" s="80" t="str">
        <f t="shared" si="9"/>
        <v/>
      </c>
      <c r="O1500" s="80" t="str">
        <f t="array" ref="O1500">IF(A1500="","",IFERROR(INDEX('Deck 5'!$A:$Z,ROW()-1250,'List Setup'!$J$7)&amp;"",""))</f>
        <v/>
      </c>
      <c r="P1500" s="2"/>
      <c r="Q1500" s="80" t="str">
        <f>IF(A1500="","",'List Setup'!$A$7)</f>
        <v/>
      </c>
      <c r="R1500" s="80" t="str">
        <f t="array" ref="R1500">IF(A1500="","",IFERROR(OR(INDEX(Binders!$J$6:$J$30,MATCH(Q1500,Binders!$I$6:$I$30,0))=TRUE(),UPPER(INDEX(Binders!$J$6:$J$30,MATCH(Q1500,Binders!$I$6:$I$30,0))&amp;"")="TRUE"),FALSE()))</f>
        <v/>
      </c>
    </row>
    <row r="1501" ht="15.75" customHeight="1">
      <c r="A1501" s="80" t="str">
        <f t="array" ref="A1501">IF(INDEX('Deck 5'!$A:$Z,ROW()-1250,'List Setup'!$D$7)="","",INDEX('Deck 5'!$A:$Z,ROW()-1250,'List Setup'!$D$7))</f>
        <v/>
      </c>
      <c r="B1501" s="80" t="str">
        <f t="array" ref="B1501">IF(A1501="","",IFERROR(INDEX('Binder Setup'!$B$2:$B$401,MIN(IF(ISNUMBER(SEARCH(CHAR(10)&amp;'Binder Setup'!$B$2:$B$401&amp;CHAR(10),$H1501)),'List Setup'!$Q$2:$Q$401,999),IF(ISNUMBER(SEARCH(CHAR(10)&amp;'Set Aliases'!$A$2:$A$501&amp;CHAR(10),$H1501)),'Set Aliases'!$C$2:$C$501,999))),"(none)"))</f>
        <v/>
      </c>
      <c r="C1501" s="80" t="str">
        <f t="shared" si="1"/>
        <v/>
      </c>
      <c r="D1501" s="80" t="str">
        <f t="array" ref="D1501">IF(A1501="","",IF(ISLOGICAL(INDEX('Deck 5'!$A:$Z,ROW()-1250,'List Setup'!$B$7)),IF(INDEX('Deck 5'!$A:$Z,ROW()-1250,'List Setup'!$B$7),"In collection","Needed"),IF(UPPER(TRIM(INDEX('Deck 5'!$A:$Z,ROW()-1250,'List Setup'!$B$7)))="ORDERED","Ordered",IF(UPPER(TRIM(INDEX('Deck 5'!$A:$Z,ROW()-1250,'List Setup'!$B$7)))="PROXY","Proxy",IF(UPPER(TRIM(INDEX('Deck 5'!$A:$Z,ROW()-1250,'List Setup'!$B$7)))="OUT OF DECK","Out of deck",IF(UPPER(TRIM(INDEX('Deck 5'!$A:$Z,ROW()-1250,'List Setup'!$B$7)))="TRUE","In collection","Needed"))))))</f>
        <v/>
      </c>
      <c r="E1501" s="80" t="str">
        <f t="shared" si="2"/>
        <v/>
      </c>
      <c r="F1501" s="80" t="str">
        <f t="array" ref="F1501">IF(A1501="","",IF(ISNUMBER(J1501),J1501,IF(ISNUMBER(INDEX('Deck 5'!$A:$Z,ROW()-1250,'List Setup'!$F$7)),INDEX('Deck 5'!$A:$Z,ROW()-1250,'List Setup'!$F$7),0)))</f>
        <v/>
      </c>
      <c r="G1501" s="80" t="str">
        <f t="array" ref="G1501">IF(A1501="","",A1501&amp;IF(N(INDEX('Deck 5'!$A:$Z,ROW()-1250,'List Setup'!$C$7))&gt;1," (x"&amp;INDEX('Deck 5'!$A:$Z,ROW()-1250,'List Setup'!$C$7)&amp;")","")&amp;IF(COUNTIF(Binders!$J$6:$J$30,TRUE())&gt;1," ["&amp;Q1501&amp;"]",""))</f>
        <v/>
      </c>
      <c r="H1501" s="80" t="str">
        <f t="array" ref="H1501">IF(A1501="","",CHAR(10)&amp;INDEX('Deck 5'!$A:$Z,ROW()-1250,'List Setup'!$E$7)&amp;CHAR(10))</f>
        <v/>
      </c>
      <c r="I1501" s="80" t="str">
        <f t="array" ref="I1501">IF(OR(B1501="",B1501="(none)"),"",IF(ISNUMBER(SEARCH(CHAR(10)&amp;B1501&amp;CHAR(10),H1501)),B1501,IFERROR(INDEX('Set Aliases'!$A$2:$A$501,MATCH(1,('Set Aliases'!$B$2:$B$501=B1501)*ISNUMBER(SEARCH(CHAR(10)&amp;'Set Aliases'!$A$2:$A$501&amp;CHAR(10),H1501)),0)),"")))</f>
        <v/>
      </c>
      <c r="J1501" s="80" t="str">
        <f t="array" ref="J1501">IF(I1501="","",IFERROR(VALUE(TRIM(MID(SUBSTITUTE(INDEX('Deck 5'!$A:$Z,ROW()-1250,'List Setup'!$G$7),CHAR(10),REPT(" ",100)),((SEARCH(CHAR(10)&amp;I1501&amp;CHAR(10),H1501)-LEN(SUBSTITUTE(LEFT(H1501,SEARCH(CHAR(10)&amp;I1501&amp;CHAR(10),H1501)),CHAR(10),"")))-1)*100+1,100))),""))</f>
        <v/>
      </c>
      <c r="K1501" s="80" t="str">
        <f t="array" ref="K1501">IF(A1501="","",IF(ISNUMBER(SEARCH("Land",LEFT(IFERROR(INDEX('Deck 5'!$A:$Z,ROW()-1250,'List Setup'!$I$7)&amp;"",""),IFERROR(SEARCH(" // ",IFERROR(INDEX('Deck 5'!$A:$Z,ROW()-1250,'List Setup'!$I$7)&amp;"",""))-1,LEN(IFERROR(INDEX('Deck 5'!$A:$Z,ROW()-1250,'List Setup'!$I$7)&amp;"","")))))),8,IF(LEN(IFERROR(INDEX('Deck 5'!$A:$Z,ROW()-1250,'List Setup'!$H$7)&amp;"",""))=0,7,IF(LEN(IFERROR(INDEX('Deck 5'!$A:$Z,ROW()-1250,'List Setup'!$H$7)&amp;"",""))&gt;1,6,FIND(IFERROR(INDEX('Deck 5'!$A:$Z,ROW()-1250,'List Setup'!$H$7)&amp;"",""),"WUBRG")))))</f>
        <v/>
      </c>
      <c r="L1501" s="80" t="str">
        <f t="shared" si="3"/>
        <v/>
      </c>
      <c r="M1501" s="80" t="str">
        <f>IF(A1501="","",IF(AND(E1501="Y",B1501='Use at Shop'!$B$4),K1501*10000000000+(MAX(0,MIN(26,CODE(MID(UPPER(A1501)&amp;"    ",1,1))-64))*19683+MAX(0,MIN(26,CODE(MID(UPPER(A1501)&amp;"    ",2,1))-64))*729+MAX(0,MIN(26,CODE(MID(UPPER(A1501)&amp;"    ",3,1))-64))*27+MAX(0,MIN(26,CODE(MID(UPPER(A1501)&amp;"    ",4,1))-64))*1)*10000+ROW(),""))</f>
        <v/>
      </c>
      <c r="N1501" s="80" t="str">
        <f t="shared" si="9"/>
        <v/>
      </c>
      <c r="O1501" s="80" t="str">
        <f t="array" ref="O1501">IF(A1501="","",IFERROR(INDEX('Deck 5'!$A:$Z,ROW()-1250,'List Setup'!$J$7)&amp;"",""))</f>
        <v/>
      </c>
      <c r="P1501" s="2"/>
      <c r="Q1501" s="80" t="str">
        <f>IF(A1501="","",'List Setup'!$A$7)</f>
        <v/>
      </c>
      <c r="R1501" s="80" t="str">
        <f t="array" ref="R1501">IF(A1501="","",IFERROR(OR(INDEX(Binders!$J$6:$J$30,MATCH(Q1501,Binders!$I$6:$I$30,0))=TRUE(),UPPER(INDEX(Binders!$J$6:$J$30,MATCH(Q1501,Binders!$I$6:$I$30,0))&amp;"")="TRUE"),FALSE()))</f>
        <v/>
      </c>
    </row>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A6A6"/>
    <pageSetUpPr/>
  </sheetPr>
  <sheetViews>
    <sheetView workbookViewId="0"/>
  </sheetViews>
  <sheetFormatPr customHeight="1" defaultColWidth="12.63" defaultRowHeight="15.0"/>
  <cols>
    <col customWidth="1" min="1" max="1" width="22.0"/>
    <col customWidth="1" min="2" max="6" width="11.0"/>
    <col customWidth="1" min="7" max="7" width="13.0"/>
    <col customWidth="1" min="8" max="8" width="12.0"/>
    <col customWidth="1" min="9" max="9" width="11.0"/>
    <col customWidth="1" min="10" max="10" width="12.0"/>
    <col customWidth="1" min="11" max="11" width="14.0"/>
    <col customWidth="1" min="12" max="15" width="8.63"/>
    <col customWidth="1" min="16" max="16" width="32.0"/>
    <col customWidth="1" min="17" max="17" width="13.0"/>
    <col customWidth="1" min="18" max="26" width="8.63"/>
  </cols>
  <sheetData>
    <row r="1">
      <c r="A1" s="15" t="s">
        <v>746</v>
      </c>
      <c r="B1" s="15" t="s">
        <v>747</v>
      </c>
      <c r="C1" s="15" t="s">
        <v>748</v>
      </c>
      <c r="D1" s="15" t="s">
        <v>749</v>
      </c>
      <c r="E1" s="15" t="s">
        <v>750</v>
      </c>
      <c r="F1" s="15" t="s">
        <v>751</v>
      </c>
      <c r="G1" s="15" t="s">
        <v>752</v>
      </c>
      <c r="H1" s="15" t="s">
        <v>753</v>
      </c>
      <c r="I1" s="15" t="s">
        <v>754</v>
      </c>
      <c r="J1" s="15" t="s">
        <v>755</v>
      </c>
      <c r="K1" s="15" t="s">
        <v>756</v>
      </c>
      <c r="P1" s="15" t="s">
        <v>757</v>
      </c>
      <c r="Q1" s="15" t="s">
        <v>758</v>
      </c>
    </row>
    <row r="2">
      <c r="A2" s="13" t="s">
        <v>85</v>
      </c>
      <c r="B2" s="80">
        <f>IFERROR(MATCH("In Collection*",Wishlist!$1:$1,0),1)</f>
        <v>1</v>
      </c>
      <c r="C2" s="80">
        <f>IFERROR(MATCH("count",Wishlist!$1:$1,0),IFERROR(MATCH("#",Wishlist!$1:$1,0),2))</f>
        <v>2</v>
      </c>
      <c r="D2" s="80">
        <f>IFERROR(MATCH("name",Wishlist!$1:$1,0),IFERROR(MATCH("printed_name",Wishlist!$1:$1,0),IFERROR(MATCH("Card Name",Wishlist!$1:$1,0),3)))</f>
        <v>3</v>
      </c>
      <c r="E2" s="80">
        <f>IFERROR(MATCH("set_name",Wishlist!$1:$1,0),7)</f>
        <v>7</v>
      </c>
      <c r="F2" s="80">
        <f>IFERROR(MATCH("price_usd",Wishlist!$1:$1,0),IFERROR(MATCH("Avg Price",Wishlist!$1:$1,0),IFERROR(MATCH("Price",Wishlist!$1:$1,0),10)))</f>
        <v>10</v>
      </c>
      <c r="G2" s="80">
        <f>IFERROR(MATCH("set_prices",Wishlist!$1:$1,0),"")</f>
        <v>14</v>
      </c>
      <c r="H2" s="80">
        <f>IFERROR(MATCH("colors",Wishlist!$1:$1,0),"")</f>
        <v>11</v>
      </c>
      <c r="I2" s="80">
        <f>IFERROR(MATCH("type_line",Wishlist!$1:$1,0),"")</f>
        <v>4</v>
      </c>
      <c r="J2" s="80">
        <f>IFERROR(MATCH("image_uri",Wishlist!$1:$1,0),"")</f>
        <v>15</v>
      </c>
      <c r="K2" s="81">
        <v>4.27988913E8</v>
      </c>
      <c r="P2" s="80" t="str">
        <f>'Binder Setup'!B2&amp;""</f>
        <v>Foundations</v>
      </c>
      <c r="Q2" s="80">
        <f>IF(P2="",999,IF('Binder Setup'!C2=TRUE(),999,IF(COUNTIFS('Set Aliases'!$A$2:$A$501,P2,'Set Aliases'!$B$2:$B$501,"?*")&gt;0,999,1)))</f>
        <v>999</v>
      </c>
    </row>
    <row r="3">
      <c r="A3" s="13" t="s">
        <v>86</v>
      </c>
      <c r="B3" s="80">
        <f>IFERROR(MATCH("In Collection*",'Deck 1'!$1:$1,0),1)</f>
        <v>1</v>
      </c>
      <c r="C3" s="80">
        <f>IFERROR(MATCH("count",'Deck 1'!$1:$1,0),IFERROR(MATCH("#",'Deck 1'!$1:$1,0),2))</f>
        <v>2</v>
      </c>
      <c r="D3" s="80">
        <f>IFERROR(MATCH("name",'Deck 1'!$1:$1,0),IFERROR(MATCH("printed_name",'Deck 1'!$1:$1,0),IFERROR(MATCH("Card Name",'Deck 1'!$1:$1,0),3)))</f>
        <v>3</v>
      </c>
      <c r="E3" s="80">
        <f>IFERROR(MATCH("set_name",'Deck 1'!$1:$1,0),7)</f>
        <v>7</v>
      </c>
      <c r="F3" s="80">
        <f>IFERROR(MATCH("price_usd",'Deck 1'!$1:$1,0),IFERROR(MATCH("Avg Price",'Deck 1'!$1:$1,0),IFERROR(MATCH("Price",'Deck 1'!$1:$1,0),10)))</f>
        <v>10</v>
      </c>
      <c r="G3" s="80">
        <f>IFERROR(MATCH("set_prices",'Deck 1'!$1:$1,0),"")</f>
        <v>14</v>
      </c>
      <c r="H3" s="80">
        <f>IFERROR(MATCH("colors",'Deck 1'!$1:$1,0),"")</f>
        <v>11</v>
      </c>
      <c r="I3" s="80">
        <f>IFERROR(MATCH("type_line",'Deck 1'!$1:$1,0),"")</f>
        <v>4</v>
      </c>
      <c r="J3" s="80">
        <f>IFERROR(MATCH("image_uri",'Deck 1'!$1:$1,0),"")</f>
        <v>15</v>
      </c>
      <c r="K3" s="81">
        <v>1.181732572E9</v>
      </c>
      <c r="P3" s="80" t="str">
        <f>'Binder Setup'!B3&amp;""</f>
        <v>Commander Box</v>
      </c>
      <c r="Q3" s="80">
        <f>IF(P3="",999,IF('Binder Setup'!C3=TRUE(),999,IF(COUNTIFS('Set Aliases'!$A$2:$A$501,P3,'Set Aliases'!$B$2:$B$501,"?*")&gt;0,999,2)))</f>
        <v>2</v>
      </c>
    </row>
    <row r="4">
      <c r="A4" s="13" t="s">
        <v>87</v>
      </c>
      <c r="B4" s="80">
        <f>IFERROR(MATCH("In Collection*",'Deck 2'!$1:$1,0),1)</f>
        <v>1</v>
      </c>
      <c r="C4" s="80">
        <f>IFERROR(MATCH("count",'Deck 2'!$1:$1,0),IFERROR(MATCH("#",'Deck 2'!$1:$1,0),2))</f>
        <v>2</v>
      </c>
      <c r="D4" s="80">
        <f>IFERROR(MATCH("name",'Deck 2'!$1:$1,0),IFERROR(MATCH("printed_name",'Deck 2'!$1:$1,0),IFERROR(MATCH("Card Name",'Deck 2'!$1:$1,0),3)))</f>
        <v>3</v>
      </c>
      <c r="E4" s="80">
        <f>IFERROR(MATCH("set_name",'Deck 2'!$1:$1,0),7)</f>
        <v>7</v>
      </c>
      <c r="F4" s="80">
        <f>IFERROR(MATCH("price_usd",'Deck 2'!$1:$1,0),IFERROR(MATCH("Avg Price",'Deck 2'!$1:$1,0),IFERROR(MATCH("Price",'Deck 2'!$1:$1,0),10)))</f>
        <v>10</v>
      </c>
      <c r="G4" s="80">
        <f>IFERROR(MATCH("set_prices",'Deck 2'!$1:$1,0),"")</f>
        <v>14</v>
      </c>
      <c r="H4" s="80">
        <f>IFERROR(MATCH("colors",'Deck 2'!$1:$1,0),"")</f>
        <v>11</v>
      </c>
      <c r="I4" s="80">
        <f>IFERROR(MATCH("type_line",'Deck 2'!$1:$1,0),"")</f>
        <v>4</v>
      </c>
      <c r="J4" s="80">
        <f>IFERROR(MATCH("image_uri",'Deck 2'!$1:$1,0),"")</f>
        <v>15</v>
      </c>
      <c r="K4" s="81">
        <v>1.976790516E9</v>
      </c>
      <c r="P4" s="80" t="str">
        <f>'Binder Setup'!B4&amp;""</f>
        <v>Secret Lair Drop</v>
      </c>
      <c r="Q4" s="80">
        <f>IF(P4="",999,IF('Binder Setup'!C4=TRUE(),999,IF(COUNTIFS('Set Aliases'!$A$2:$A$501,P4,'Set Aliases'!$B$2:$B$501,"?*")&gt;0,999,3)))</f>
        <v>3</v>
      </c>
    </row>
    <row r="5">
      <c r="A5" s="13" t="s">
        <v>88</v>
      </c>
      <c r="B5" s="80">
        <f>IFERROR(MATCH("In Collection*",'Deck 3'!$1:$1,0),1)</f>
        <v>1</v>
      </c>
      <c r="C5" s="80">
        <f>IFERROR(MATCH("count",'Deck 3'!$1:$1,0),IFERROR(MATCH("#",'Deck 3'!$1:$1,0),2))</f>
        <v>2</v>
      </c>
      <c r="D5" s="80">
        <f>IFERROR(MATCH("name",'Deck 3'!$1:$1,0),IFERROR(MATCH("printed_name",'Deck 3'!$1:$1,0),IFERROR(MATCH("Card Name",'Deck 3'!$1:$1,0),3)))</f>
        <v>3</v>
      </c>
      <c r="E5" s="80">
        <f>IFERROR(MATCH("set_name",'Deck 3'!$1:$1,0),7)</f>
        <v>7</v>
      </c>
      <c r="F5" s="80">
        <f>IFERROR(MATCH("price_usd",'Deck 3'!$1:$1,0),IFERROR(MATCH("Avg Price",'Deck 3'!$1:$1,0),IFERROR(MATCH("Price",'Deck 3'!$1:$1,0),10)))</f>
        <v>10</v>
      </c>
      <c r="G5" s="80">
        <f>IFERROR(MATCH("set_prices",'Deck 3'!$1:$1,0),"")</f>
        <v>14</v>
      </c>
      <c r="H5" s="80">
        <f>IFERROR(MATCH("colors",'Deck 3'!$1:$1,0),"")</f>
        <v>11</v>
      </c>
      <c r="I5" s="80">
        <f>IFERROR(MATCH("type_line",'Deck 3'!$1:$1,0),"")</f>
        <v>4</v>
      </c>
      <c r="J5" s="80">
        <f>IFERROR(MATCH("image_uri",'Deck 3'!$1:$1,0),"")</f>
        <v>15</v>
      </c>
      <c r="K5" s="81">
        <v>7.98980729E8</v>
      </c>
      <c r="P5" s="80" t="str">
        <f>'Binder Setup'!B5&amp;""</f>
        <v>Commander Masters</v>
      </c>
      <c r="Q5" s="80">
        <f>IF(P5="",999,IF('Binder Setup'!C5=TRUE(),999,IF(COUNTIFS('Set Aliases'!$A$2:$A$501,P5,'Set Aliases'!$B$2:$B$501,"?*")&gt;0,999,4)))</f>
        <v>4</v>
      </c>
    </row>
    <row r="6">
      <c r="A6" s="13" t="s">
        <v>89</v>
      </c>
      <c r="B6" s="80">
        <f>IFERROR(MATCH("In Collection*",'Deck 4'!$1:$1,0),1)</f>
        <v>1</v>
      </c>
      <c r="C6" s="80">
        <f>IFERROR(MATCH("count",'Deck 4'!$1:$1,0),IFERROR(MATCH("#",'Deck 4'!$1:$1,0),2))</f>
        <v>2</v>
      </c>
      <c r="D6" s="80">
        <f>IFERROR(MATCH("name",'Deck 4'!$1:$1,0),IFERROR(MATCH("printed_name",'Deck 4'!$1:$1,0),IFERROR(MATCH("Card Name",'Deck 4'!$1:$1,0),3)))</f>
        <v>3</v>
      </c>
      <c r="E6" s="80">
        <f>IFERROR(MATCH("set_name",'Deck 4'!$1:$1,0),7)</f>
        <v>7</v>
      </c>
      <c r="F6" s="80">
        <f>IFERROR(MATCH("price_usd",'Deck 4'!$1:$1,0),IFERROR(MATCH("Avg Price",'Deck 4'!$1:$1,0),IFERROR(MATCH("Price",'Deck 4'!$1:$1,0),10)))</f>
        <v>10</v>
      </c>
      <c r="G6" s="80">
        <f>IFERROR(MATCH("set_prices",'Deck 4'!$1:$1,0),"")</f>
        <v>14</v>
      </c>
      <c r="H6" s="80">
        <f>IFERROR(MATCH("colors",'Deck 4'!$1:$1,0),"")</f>
        <v>11</v>
      </c>
      <c r="I6" s="80">
        <f>IFERROR(MATCH("type_line",'Deck 4'!$1:$1,0),"")</f>
        <v>4</v>
      </c>
      <c r="J6" s="80">
        <f>IFERROR(MATCH("image_uri",'Deck 4'!$1:$1,0),"")</f>
        <v>15</v>
      </c>
      <c r="K6" s="81">
        <v>1.04257568E9</v>
      </c>
      <c r="P6" s="80" t="str">
        <f>'Binder Setup'!B6&amp;""</f>
        <v>Tarkir: Dragonstorm Commander</v>
      </c>
      <c r="Q6" s="80">
        <f>IF(P6="",999,IF('Binder Setup'!C6=TRUE(),999,IF(COUNTIFS('Set Aliases'!$A$2:$A$501,P6,'Set Aliases'!$B$2:$B$501,"?*")&gt;0,999,5)))</f>
        <v>5</v>
      </c>
    </row>
    <row r="7">
      <c r="A7" s="13" t="s">
        <v>90</v>
      </c>
      <c r="B7" s="80">
        <f>IFERROR(MATCH("In Collection*",'Deck 5'!$1:$1,0),1)</f>
        <v>1</v>
      </c>
      <c r="C7" s="80">
        <f>IFERROR(MATCH("count",'Deck 5'!$1:$1,0),IFERROR(MATCH("#",'Deck 5'!$1:$1,0),2))</f>
        <v>2</v>
      </c>
      <c r="D7" s="80">
        <f>IFERROR(MATCH("name",'Deck 5'!$1:$1,0),IFERROR(MATCH("printed_name",'Deck 5'!$1:$1,0),IFERROR(MATCH("Card Name",'Deck 5'!$1:$1,0),3)))</f>
        <v>3</v>
      </c>
      <c r="E7" s="80">
        <f>IFERROR(MATCH("set_name",'Deck 5'!$1:$1,0),7)</f>
        <v>7</v>
      </c>
      <c r="F7" s="80">
        <f>IFERROR(MATCH("price_usd",'Deck 5'!$1:$1,0),IFERROR(MATCH("Avg Price",'Deck 5'!$1:$1,0),IFERROR(MATCH("Price",'Deck 5'!$1:$1,0),10)))</f>
        <v>10</v>
      </c>
      <c r="G7" s="80">
        <f>IFERROR(MATCH("set_prices",'Deck 5'!$1:$1,0),"")</f>
        <v>14</v>
      </c>
      <c r="H7" s="80">
        <f>IFERROR(MATCH("colors",'Deck 5'!$1:$1,0),"")</f>
        <v>11</v>
      </c>
      <c r="I7" s="80">
        <f>IFERROR(MATCH("type_line",'Deck 5'!$1:$1,0),"")</f>
        <v>4</v>
      </c>
      <c r="J7" s="80">
        <f>IFERROR(MATCH("image_uri",'Deck 5'!$1:$1,0),"")</f>
        <v>15</v>
      </c>
      <c r="K7" s="81">
        <v>1.418689852E9</v>
      </c>
      <c r="P7" s="80" t="str">
        <f>'Binder Setup'!B7&amp;""</f>
        <v>Final Fantasy Commander</v>
      </c>
      <c r="Q7" s="80">
        <f>IF(P7="",999,IF('Binder Setup'!C7=TRUE(),999,IF(COUNTIFS('Set Aliases'!$A$2:$A$501,P7,'Set Aliases'!$B$2:$B$501,"?*")&gt;0,999,6)))</f>
        <v>6</v>
      </c>
    </row>
    <row r="8">
      <c r="A8" s="2"/>
      <c r="B8" s="2"/>
      <c r="C8" s="2"/>
      <c r="D8" s="2"/>
      <c r="E8" s="2"/>
      <c r="F8" s="2"/>
      <c r="G8" s="2"/>
      <c r="H8" s="2"/>
      <c r="I8" s="2"/>
      <c r="J8" s="2"/>
      <c r="K8" s="2"/>
      <c r="P8" s="80" t="str">
        <f>'Binder Setup'!B8&amp;""</f>
        <v>Secrets of Strixhaven Commander</v>
      </c>
      <c r="Q8" s="80">
        <f>IF(P8="",999,IF('Binder Setup'!C8=TRUE(),999,IF(COUNTIFS('Set Aliases'!$A$2:$A$501,P8,'Set Aliases'!$B$2:$B$501,"?*")&gt;0,999,7)))</f>
        <v>7</v>
      </c>
    </row>
    <row r="9">
      <c r="A9" s="2"/>
      <c r="B9" s="2"/>
      <c r="C9" s="2"/>
      <c r="D9" s="2"/>
      <c r="E9" s="2"/>
      <c r="F9" s="2"/>
      <c r="G9" s="2"/>
      <c r="H9" s="2"/>
      <c r="I9" s="2"/>
      <c r="J9" s="2"/>
      <c r="K9" s="2"/>
      <c r="P9" s="80" t="str">
        <f>'Binder Setup'!B9&amp;""</f>
        <v>Commander 2021</v>
      </c>
      <c r="Q9" s="80">
        <f>IF(P9="",999,IF('Binder Setup'!C9=TRUE(),999,IF(COUNTIFS('Set Aliases'!$A$2:$A$501,P9,'Set Aliases'!$B$2:$B$501,"?*")&gt;0,999,8)))</f>
        <v>8</v>
      </c>
    </row>
    <row r="10">
      <c r="A10" s="2"/>
      <c r="B10" s="2"/>
      <c r="C10" s="2"/>
      <c r="D10" s="2"/>
      <c r="E10" s="2"/>
      <c r="F10" s="2"/>
      <c r="G10" s="2"/>
      <c r="H10" s="2"/>
      <c r="I10" s="2"/>
      <c r="J10" s="2"/>
      <c r="K10" s="2"/>
      <c r="P10" s="80" t="str">
        <f>'Binder Setup'!B10&amp;""</f>
        <v>Edge of Eternities Commander</v>
      </c>
      <c r="Q10" s="80">
        <f>IF(P10="",999,IF('Binder Setup'!C10=TRUE(),999,IF(COUNTIFS('Set Aliases'!$A$2:$A$501,P10,'Set Aliases'!$B$2:$B$501,"?*")&gt;0,999,9)))</f>
        <v>9</v>
      </c>
    </row>
    <row r="11">
      <c r="A11" s="2"/>
      <c r="B11" s="2"/>
      <c r="C11" s="2"/>
      <c r="D11" s="2"/>
      <c r="E11" s="2"/>
      <c r="F11" s="2"/>
      <c r="G11" s="2"/>
      <c r="H11" s="2"/>
      <c r="I11" s="2"/>
      <c r="J11" s="2"/>
      <c r="K11" s="2"/>
      <c r="P11" s="80" t="str">
        <f>'Binder Setup'!B11&amp;""</f>
        <v>Phyrexia: All Will Be One Commander</v>
      </c>
      <c r="Q11" s="80">
        <f>IF(P11="",999,IF('Binder Setup'!C11=TRUE(),999,IF(COUNTIFS('Set Aliases'!$A$2:$A$501,P11,'Set Aliases'!$B$2:$B$501,"?*")&gt;0,999,10)))</f>
        <v>10</v>
      </c>
    </row>
    <row r="12">
      <c r="A12" s="2"/>
      <c r="B12" s="2"/>
      <c r="C12" s="2"/>
      <c r="D12" s="2"/>
      <c r="E12" s="2"/>
      <c r="F12" s="2"/>
      <c r="G12" s="2"/>
      <c r="H12" s="2"/>
      <c r="I12" s="2"/>
      <c r="J12" s="2"/>
      <c r="K12" s="2"/>
      <c r="P12" s="80" t="str">
        <f>'Binder Setup'!B12&amp;""</f>
        <v>Aetherdrift Commander</v>
      </c>
      <c r="Q12" s="80">
        <f>IF(P12="",999,IF('Binder Setup'!C12=TRUE(),999,IF(COUNTIFS('Set Aliases'!$A$2:$A$501,P12,'Set Aliases'!$B$2:$B$501,"?*")&gt;0,999,11)))</f>
        <v>11</v>
      </c>
    </row>
    <row r="13">
      <c r="A13" s="2"/>
      <c r="B13" s="2"/>
      <c r="C13" s="2"/>
      <c r="D13" s="2"/>
      <c r="E13" s="2"/>
      <c r="F13" s="2"/>
      <c r="G13" s="2"/>
      <c r="H13" s="2"/>
      <c r="I13" s="2"/>
      <c r="J13" s="2"/>
      <c r="K13" s="2"/>
      <c r="P13" s="80" t="str">
        <f>'Binder Setup'!B13&amp;""</f>
        <v>Bloomburrow Commander</v>
      </c>
      <c r="Q13" s="80">
        <f>IF(P13="",999,IF('Binder Setup'!C13=TRUE(),999,IF(COUNTIFS('Set Aliases'!$A$2:$A$501,P13,'Set Aliases'!$B$2:$B$501,"?*")&gt;0,999,12)))</f>
        <v>12</v>
      </c>
    </row>
    <row r="14">
      <c r="A14" s="2"/>
      <c r="B14" s="2"/>
      <c r="C14" s="2"/>
      <c r="D14" s="2"/>
      <c r="E14" s="2"/>
      <c r="F14" s="2"/>
      <c r="G14" s="2"/>
      <c r="H14" s="2"/>
      <c r="I14" s="2"/>
      <c r="J14" s="2"/>
      <c r="K14" s="2"/>
      <c r="P14" s="80" t="str">
        <f>'Binder Setup'!B14&amp;""</f>
        <v>Foundations Commander</v>
      </c>
      <c r="Q14" s="80">
        <f>IF(P14="",999,IF('Binder Setup'!C14=TRUE(),999,IF(COUNTIFS('Set Aliases'!$A$2:$A$501,P14,'Set Aliases'!$B$2:$B$501,"?*")&gt;0,999,13)))</f>
        <v>13</v>
      </c>
    </row>
    <row r="15">
      <c r="A15" s="2"/>
      <c r="B15" s="2"/>
      <c r="C15" s="2"/>
      <c r="D15" s="2"/>
      <c r="E15" s="2"/>
      <c r="F15" s="2"/>
      <c r="G15" s="2"/>
      <c r="H15" s="2"/>
      <c r="I15" s="2"/>
      <c r="J15" s="2"/>
      <c r="K15" s="2"/>
      <c r="P15" s="80" t="str">
        <f>'Binder Setup'!B15&amp;""</f>
        <v>Marvel Super Heroes Commander</v>
      </c>
      <c r="Q15" s="80">
        <f>IF(P15="",999,IF('Binder Setup'!C15=TRUE(),999,IF(COUNTIFS('Set Aliases'!$A$2:$A$501,P15,'Set Aliases'!$B$2:$B$501,"?*")&gt;0,999,14)))</f>
        <v>14</v>
      </c>
    </row>
    <row r="16">
      <c r="A16" s="2"/>
      <c r="B16" s="2"/>
      <c r="C16" s="2"/>
      <c r="D16" s="2"/>
      <c r="E16" s="2"/>
      <c r="F16" s="2"/>
      <c r="G16" s="2"/>
      <c r="H16" s="2"/>
      <c r="I16" s="2"/>
      <c r="J16" s="2"/>
      <c r="K16" s="2"/>
      <c r="P16" s="80" t="str">
        <f>'Binder Setup'!B16&amp;""</f>
        <v>Outlaws of Thunder Junction Commander</v>
      </c>
      <c r="Q16" s="80">
        <f>IF(P16="",999,IF('Binder Setup'!C16=TRUE(),999,IF(COUNTIFS('Set Aliases'!$A$2:$A$501,P16,'Set Aliases'!$B$2:$B$501,"?*")&gt;0,999,15)))</f>
        <v>15</v>
      </c>
    </row>
    <row r="17">
      <c r="A17" s="2"/>
      <c r="B17" s="2"/>
      <c r="C17" s="2"/>
      <c r="D17" s="2"/>
      <c r="E17" s="2"/>
      <c r="F17" s="2"/>
      <c r="G17" s="2"/>
      <c r="H17" s="2"/>
      <c r="I17" s="2"/>
      <c r="J17" s="2"/>
      <c r="K17" s="2"/>
      <c r="P17" s="80" t="str">
        <f>'Binder Setup'!B17&amp;""</f>
        <v>Tales of Middle-earth Commander</v>
      </c>
      <c r="Q17" s="80">
        <f>IF(P17="",999,IF('Binder Setup'!C17=TRUE(),999,IF(COUNTIFS('Set Aliases'!$A$2:$A$501,P17,'Set Aliases'!$B$2:$B$501,"?*")&gt;0,999,16)))</f>
        <v>16</v>
      </c>
    </row>
    <row r="18">
      <c r="A18" s="2"/>
      <c r="B18" s="2"/>
      <c r="C18" s="2"/>
      <c r="D18" s="2"/>
      <c r="E18" s="2"/>
      <c r="F18" s="2"/>
      <c r="G18" s="2"/>
      <c r="H18" s="2"/>
      <c r="I18" s="2"/>
      <c r="J18" s="2"/>
      <c r="K18" s="2"/>
      <c r="P18" s="80" t="str">
        <f>'Binder Setup'!B18&amp;""</f>
        <v>The Brothers' War Commander</v>
      </c>
      <c r="Q18" s="80">
        <f>IF(P18="",999,IF('Binder Setup'!C18=TRUE(),999,IF(COUNTIFS('Set Aliases'!$A$2:$A$501,P18,'Set Aliases'!$B$2:$B$501,"?*")&gt;0,999,17)))</f>
        <v>17</v>
      </c>
    </row>
    <row r="19">
      <c r="A19" s="2"/>
      <c r="B19" s="2"/>
      <c r="C19" s="2"/>
      <c r="D19" s="2"/>
      <c r="E19" s="2"/>
      <c r="F19" s="2"/>
      <c r="G19" s="2"/>
      <c r="H19" s="2"/>
      <c r="I19" s="2"/>
      <c r="J19" s="2"/>
      <c r="K19" s="2"/>
      <c r="P19" s="80" t="str">
        <f>'Binder Setup'!B19&amp;""</f>
        <v>Commander Legends: Battle for Baldur's Gate</v>
      </c>
      <c r="Q19" s="80">
        <f>IF(P19="",999,IF('Binder Setup'!C19=TRUE(),999,IF(COUNTIFS('Set Aliases'!$A$2:$A$501,P19,'Set Aliases'!$B$2:$B$501,"?*")&gt;0,999,18)))</f>
        <v>18</v>
      </c>
    </row>
    <row r="20">
      <c r="A20" s="2"/>
      <c r="B20" s="2"/>
      <c r="C20" s="2"/>
      <c r="D20" s="2"/>
      <c r="E20" s="2"/>
      <c r="F20" s="2"/>
      <c r="G20" s="2"/>
      <c r="H20" s="2"/>
      <c r="I20" s="2"/>
      <c r="J20" s="2"/>
      <c r="K20" s="2"/>
      <c r="P20" s="80" t="str">
        <f>'Binder Setup'!B20&amp;""</f>
        <v>Doctor Who</v>
      </c>
      <c r="Q20" s="80">
        <f>IF(P20="",999,IF('Binder Setup'!C20=TRUE(),999,IF(COUNTIFS('Set Aliases'!$A$2:$A$501,P20,'Set Aliases'!$B$2:$B$501,"?*")&gt;0,999,19)))</f>
        <v>19</v>
      </c>
    </row>
    <row r="21" ht="15.75" customHeight="1">
      <c r="A21" s="2"/>
      <c r="B21" s="2"/>
      <c r="C21" s="2"/>
      <c r="D21" s="2"/>
      <c r="E21" s="2"/>
      <c r="F21" s="2"/>
      <c r="G21" s="2"/>
      <c r="H21" s="2"/>
      <c r="I21" s="2"/>
      <c r="J21" s="2"/>
      <c r="K21" s="2"/>
      <c r="P21" s="80" t="str">
        <f>'Binder Setup'!B21&amp;""</f>
        <v>Modern Horizons 3 Commander</v>
      </c>
      <c r="Q21" s="80">
        <f>IF(P21="",999,IF('Binder Setup'!C21=TRUE(),999,IF(COUNTIFS('Set Aliases'!$A$2:$A$501,P21,'Set Aliases'!$B$2:$B$501,"?*")&gt;0,999,20)))</f>
        <v>20</v>
      </c>
    </row>
    <row r="22" ht="15.75" customHeight="1">
      <c r="A22" s="2"/>
      <c r="B22" s="2"/>
      <c r="C22" s="2"/>
      <c r="D22" s="2"/>
      <c r="E22" s="2"/>
      <c r="F22" s="2"/>
      <c r="G22" s="2"/>
      <c r="H22" s="2"/>
      <c r="I22" s="2"/>
      <c r="J22" s="2"/>
      <c r="K22" s="2"/>
      <c r="P22" s="80" t="str">
        <f>'Binder Setup'!B22&amp;""</f>
        <v>Murders at Karlov Manor Commander</v>
      </c>
      <c r="Q22" s="80">
        <f>IF(P22="",999,IF('Binder Setup'!C22=TRUE(),999,IF(COUNTIFS('Set Aliases'!$A$2:$A$501,P22,'Set Aliases'!$B$2:$B$501,"?*")&gt;0,999,21)))</f>
        <v>21</v>
      </c>
    </row>
    <row r="23" ht="15.75" customHeight="1">
      <c r="A23" s="2"/>
      <c r="B23" s="2"/>
      <c r="C23" s="2"/>
      <c r="D23" s="2"/>
      <c r="E23" s="2"/>
      <c r="F23" s="2"/>
      <c r="G23" s="2"/>
      <c r="H23" s="2"/>
      <c r="I23" s="2"/>
      <c r="J23" s="2"/>
      <c r="K23" s="2"/>
      <c r="P23" s="80" t="str">
        <f>'Binder Setup'!B23&amp;""</f>
        <v>The Lost Caverns of Ixalan Commander</v>
      </c>
      <c r="Q23" s="80">
        <f>IF(P23="",999,IF('Binder Setup'!C23=TRUE(),999,IF(COUNTIFS('Set Aliases'!$A$2:$A$501,P23,'Set Aliases'!$B$2:$B$501,"?*")&gt;0,999,22)))</f>
        <v>22</v>
      </c>
    </row>
    <row r="24" ht="15.75" customHeight="1">
      <c r="A24" s="2"/>
      <c r="B24" s="2"/>
      <c r="C24" s="2"/>
      <c r="D24" s="2"/>
      <c r="E24" s="2"/>
      <c r="F24" s="2"/>
      <c r="G24" s="2"/>
      <c r="H24" s="2"/>
      <c r="I24" s="2"/>
      <c r="J24" s="2"/>
      <c r="K24" s="2"/>
      <c r="P24" s="80" t="str">
        <f>'Binder Setup'!B24&amp;""</f>
        <v>Commander 2020</v>
      </c>
      <c r="Q24" s="80">
        <f>IF(P24="",999,IF('Binder Setup'!C24=TRUE(),999,IF(COUNTIFS('Set Aliases'!$A$2:$A$501,P24,'Set Aliases'!$B$2:$B$501,"?*")&gt;0,999,23)))</f>
        <v>23</v>
      </c>
    </row>
    <row r="25" ht="15.75" customHeight="1">
      <c r="A25" s="2"/>
      <c r="B25" s="2"/>
      <c r="C25" s="2"/>
      <c r="D25" s="2"/>
      <c r="E25" s="2"/>
      <c r="F25" s="2"/>
      <c r="G25" s="2"/>
      <c r="H25" s="2"/>
      <c r="I25" s="2"/>
      <c r="J25" s="2"/>
      <c r="K25" s="2"/>
      <c r="P25" s="80" t="str">
        <f>'Binder Setup'!B25&amp;""</f>
        <v>New Capenna Commander</v>
      </c>
      <c r="Q25" s="80">
        <f>IF(P25="",999,IF('Binder Setup'!C25=TRUE(),999,IF(COUNTIFS('Set Aliases'!$A$2:$A$501,P25,'Set Aliases'!$B$2:$B$501,"?*")&gt;0,999,24)))</f>
        <v>24</v>
      </c>
    </row>
    <row r="26" ht="15.75" customHeight="1">
      <c r="A26" s="2"/>
      <c r="B26" s="2"/>
      <c r="C26" s="2"/>
      <c r="D26" s="2"/>
      <c r="E26" s="2"/>
      <c r="F26" s="2"/>
      <c r="G26" s="2"/>
      <c r="H26" s="2"/>
      <c r="I26" s="2"/>
      <c r="J26" s="2"/>
      <c r="K26" s="2"/>
      <c r="P26" s="80" t="str">
        <f>'Binder Setup'!B26&amp;""</f>
        <v>Commander 2016</v>
      </c>
      <c r="Q26" s="80">
        <f>IF(P26="",999,IF('Binder Setup'!C26=TRUE(),999,IF(COUNTIFS('Set Aliases'!$A$2:$A$501,P26,'Set Aliases'!$B$2:$B$501,"?*")&gt;0,999,25)))</f>
        <v>25</v>
      </c>
    </row>
    <row r="27" ht="15.75" customHeight="1">
      <c r="A27" s="2"/>
      <c r="B27" s="2"/>
      <c r="C27" s="2"/>
      <c r="D27" s="2"/>
      <c r="E27" s="2"/>
      <c r="F27" s="2"/>
      <c r="G27" s="2"/>
      <c r="H27" s="2"/>
      <c r="I27" s="2"/>
      <c r="J27" s="2"/>
      <c r="K27" s="2"/>
      <c r="P27" s="80" t="str">
        <f>'Binder Setup'!B27&amp;""</f>
        <v>Commander 2018</v>
      </c>
      <c r="Q27" s="80">
        <f>IF(P27="",999,IF('Binder Setup'!C27=TRUE(),999,IF(COUNTIFS('Set Aliases'!$A$2:$A$501,P27,'Set Aliases'!$B$2:$B$501,"?*")&gt;0,999,26)))</f>
        <v>26</v>
      </c>
    </row>
    <row r="28" ht="15.75" customHeight="1">
      <c r="A28" s="2"/>
      <c r="B28" s="2"/>
      <c r="C28" s="2"/>
      <c r="D28" s="2"/>
      <c r="E28" s="2"/>
      <c r="F28" s="2"/>
      <c r="G28" s="2"/>
      <c r="H28" s="2"/>
      <c r="I28" s="2"/>
      <c r="J28" s="2"/>
      <c r="K28" s="2"/>
      <c r="P28" s="80" t="str">
        <f>'Binder Setup'!B28&amp;""</f>
        <v>Kaladesh</v>
      </c>
      <c r="Q28" s="80">
        <f>IF(P28="",999,IF('Binder Setup'!C28=TRUE(),999,IF(COUNTIFS('Set Aliases'!$A$2:$A$501,P28,'Set Aliases'!$B$2:$B$501,"?*")&gt;0,999,27)))</f>
        <v>27</v>
      </c>
    </row>
    <row r="29" ht="15.75" customHeight="1">
      <c r="A29" s="29" t="s">
        <v>587</v>
      </c>
      <c r="B29" s="2"/>
      <c r="C29" s="2"/>
      <c r="D29" s="2"/>
      <c r="E29" s="2"/>
      <c r="F29" s="2"/>
      <c r="G29" s="2"/>
      <c r="H29" s="2"/>
      <c r="I29" s="2"/>
      <c r="J29" s="2"/>
      <c r="K29" s="2"/>
      <c r="P29" s="80" t="str">
        <f>'Binder Setup'!B29&amp;""</f>
        <v>March of the Machine Commander</v>
      </c>
      <c r="Q29" s="80">
        <f>IF(P29="",999,IF('Binder Setup'!C29=TRUE(),999,IF(COUNTIFS('Set Aliases'!$A$2:$A$501,P29,'Set Aliases'!$B$2:$B$501,"?*")&gt;0,999,28)))</f>
        <v>28</v>
      </c>
    </row>
    <row r="30" ht="15.75" customHeight="1">
      <c r="A30" s="27" t="s">
        <v>759</v>
      </c>
      <c r="P30" s="80" t="str">
        <f>'Binder Setup'!B30&amp;""</f>
        <v>Reality Fracture Commander</v>
      </c>
      <c r="Q30" s="80">
        <f>IF(P30="",999,IF('Binder Setup'!C30=TRUE(),999,IF(COUNTIFS('Set Aliases'!$A$2:$A$501,P30,'Set Aliases'!$B$2:$B$501,"?*")&gt;0,999,29)))</f>
        <v>29</v>
      </c>
    </row>
    <row r="31" ht="15.75" customHeight="1">
      <c r="P31" s="80" t="str">
        <f>'Binder Setup'!B31&amp;""</f>
        <v>Commander Anthology Volume II</v>
      </c>
      <c r="Q31" s="80">
        <f>IF(P31="",999,IF('Binder Setup'!C31=TRUE(),999,IF(COUNTIFS('Set Aliases'!$A$2:$A$501,P31,'Set Aliases'!$B$2:$B$501,"?*")&gt;0,999,30)))</f>
        <v>30</v>
      </c>
    </row>
    <row r="32" ht="15.75" customHeight="1">
      <c r="P32" s="80" t="str">
        <f>'Binder Setup'!B32&amp;""</f>
        <v>Commander Legends</v>
      </c>
      <c r="Q32" s="80">
        <f>IF(P32="",999,IF('Binder Setup'!C32=TRUE(),999,IF(COUNTIFS('Set Aliases'!$A$2:$A$501,P32,'Set Aliases'!$B$2:$B$501,"?*")&gt;0,999,31)))</f>
        <v>31</v>
      </c>
    </row>
    <row r="33" ht="15.75" customHeight="1">
      <c r="A33" s="9"/>
      <c r="B33" s="9"/>
      <c r="C33" s="9"/>
      <c r="D33" s="9"/>
      <c r="E33" s="9"/>
      <c r="F33" s="9"/>
      <c r="G33" s="9"/>
      <c r="H33" s="9"/>
      <c r="I33" s="9"/>
      <c r="J33" s="9"/>
      <c r="K33" s="9"/>
      <c r="P33" s="80" t="str">
        <f>'Binder Setup'!B33&amp;""</f>
        <v>Forgotten Realms Commander</v>
      </c>
      <c r="Q33" s="80">
        <f>IF(P33="",999,IF('Binder Setup'!C33=TRUE(),999,IF(COUNTIFS('Set Aliases'!$A$2:$A$501,P33,'Set Aliases'!$B$2:$B$501,"?*")&gt;0,999,32)))</f>
        <v>32</v>
      </c>
    </row>
    <row r="34" ht="15.75" customHeight="1">
      <c r="A34" s="2"/>
      <c r="B34" s="2"/>
      <c r="C34" s="2"/>
      <c r="D34" s="2"/>
      <c r="E34" s="2"/>
      <c r="F34" s="2"/>
      <c r="G34" s="2"/>
      <c r="H34" s="2"/>
      <c r="I34" s="2"/>
      <c r="J34" s="2"/>
      <c r="K34" s="2"/>
      <c r="P34" s="80" t="str">
        <f>'Binder Setup'!B34&amp;""</f>
        <v>Kaladesh Promos</v>
      </c>
      <c r="Q34" s="80">
        <f>IF(P34="",999,IF('Binder Setup'!C34=TRUE(),999,IF(COUNTIFS('Set Aliases'!$A$2:$A$501,P34,'Set Aliases'!$B$2:$B$501,"?*")&gt;0,999,33)))</f>
        <v>33</v>
      </c>
    </row>
    <row r="35" ht="15.75" customHeight="1">
      <c r="A35" s="2"/>
      <c r="B35" s="2"/>
      <c r="C35" s="2"/>
      <c r="D35" s="2"/>
      <c r="E35" s="2"/>
      <c r="F35" s="2"/>
      <c r="G35" s="2"/>
      <c r="H35" s="2"/>
      <c r="I35" s="2"/>
      <c r="J35" s="2"/>
      <c r="K35" s="2"/>
      <c r="P35" s="80" t="str">
        <f>'Binder Setup'!B35&amp;""</f>
        <v>Modern Horizons 3</v>
      </c>
      <c r="Q35" s="80">
        <f>IF(P35="",999,IF('Binder Setup'!C35=TRUE(),999,IF(COUNTIFS('Set Aliases'!$A$2:$A$501,P35,'Set Aliases'!$B$2:$B$501,"?*")&gt;0,999,34)))</f>
        <v>34</v>
      </c>
    </row>
    <row r="36" ht="15.75" customHeight="1">
      <c r="A36" s="2"/>
      <c r="B36" s="2"/>
      <c r="C36" s="2"/>
      <c r="D36" s="2"/>
      <c r="E36" s="2"/>
      <c r="F36" s="2"/>
      <c r="G36" s="2"/>
      <c r="H36" s="2"/>
      <c r="I36" s="2"/>
      <c r="J36" s="2"/>
      <c r="K36" s="2"/>
      <c r="P36" s="80" t="str">
        <f>'Binder Setup'!B36&amp;""</f>
        <v>Commander 2015</v>
      </c>
      <c r="Q36" s="80">
        <f>IF(P36="",999,IF('Binder Setup'!C36=TRUE(),999,IF(COUNTIFS('Set Aliases'!$A$2:$A$501,P36,'Set Aliases'!$B$2:$B$501,"?*")&gt;0,999,35)))</f>
        <v>35</v>
      </c>
    </row>
    <row r="37" ht="15.75" customHeight="1">
      <c r="A37" s="2"/>
      <c r="B37" s="2"/>
      <c r="C37" s="2"/>
      <c r="D37" s="2"/>
      <c r="E37" s="2"/>
      <c r="F37" s="2"/>
      <c r="G37" s="2"/>
      <c r="H37" s="2"/>
      <c r="I37" s="2"/>
      <c r="J37" s="2"/>
      <c r="K37" s="2"/>
      <c r="P37" s="80" t="str">
        <f>'Binder Setup'!B37&amp;""</f>
        <v>Commander 2017</v>
      </c>
      <c r="Q37" s="80">
        <f>IF(P37="",999,IF('Binder Setup'!C37=TRUE(),999,IF(COUNTIFS('Set Aliases'!$A$2:$A$501,P37,'Set Aliases'!$B$2:$B$501,"?*")&gt;0,999,36)))</f>
        <v>36</v>
      </c>
    </row>
    <row r="38" ht="15.75" customHeight="1">
      <c r="A38" s="2"/>
      <c r="B38" s="2"/>
      <c r="C38" s="2"/>
      <c r="D38" s="2"/>
      <c r="E38" s="2"/>
      <c r="F38" s="2"/>
      <c r="G38" s="2"/>
      <c r="H38" s="2"/>
      <c r="I38" s="2"/>
      <c r="J38" s="2"/>
      <c r="K38" s="2"/>
      <c r="P38" s="80" t="str">
        <f>'Binder Setup'!B38&amp;""</f>
        <v>Crimson Vow Commander</v>
      </c>
      <c r="Q38" s="80">
        <f>IF(P38="",999,IF('Binder Setup'!C38=TRUE(),999,IF(COUNTIFS('Set Aliases'!$A$2:$A$501,P38,'Set Aliases'!$B$2:$B$501,"?*")&gt;0,999,37)))</f>
        <v>37</v>
      </c>
    </row>
    <row r="39" ht="15.75" customHeight="1">
      <c r="A39" s="2"/>
      <c r="B39" s="2"/>
      <c r="C39" s="2"/>
      <c r="D39" s="2"/>
      <c r="E39" s="2"/>
      <c r="F39" s="2"/>
      <c r="G39" s="2"/>
      <c r="H39" s="2"/>
      <c r="I39" s="2"/>
      <c r="J39" s="2"/>
      <c r="K39" s="2"/>
      <c r="P39" s="80" t="str">
        <f>'Binder Setup'!B39&amp;""</f>
        <v>Dominaria United Commander</v>
      </c>
      <c r="Q39" s="80">
        <f>IF(P39="",999,IF('Binder Setup'!C39=TRUE(),999,IF(COUNTIFS('Set Aliases'!$A$2:$A$501,P39,'Set Aliases'!$B$2:$B$501,"?*")&gt;0,999,38)))</f>
        <v>38</v>
      </c>
    </row>
    <row r="40" ht="15.75" customHeight="1">
      <c r="A40" s="2"/>
      <c r="B40" s="2"/>
      <c r="C40" s="2"/>
      <c r="D40" s="2"/>
      <c r="E40" s="2"/>
      <c r="F40" s="2"/>
      <c r="G40" s="2"/>
      <c r="H40" s="2"/>
      <c r="I40" s="2"/>
      <c r="J40" s="2"/>
      <c r="K40" s="2"/>
      <c r="P40" s="80" t="str">
        <f>'Binder Setup'!B40&amp;""</f>
        <v>Double Masters</v>
      </c>
      <c r="Q40" s="80">
        <f>IF(P40="",999,IF('Binder Setup'!C40=TRUE(),999,IF(COUNTIFS('Set Aliases'!$A$2:$A$501,P40,'Set Aliases'!$B$2:$B$501,"?*")&gt;0,999,39)))</f>
        <v>39</v>
      </c>
    </row>
    <row r="41" ht="15.75" customHeight="1">
      <c r="A41" s="2"/>
      <c r="B41" s="2"/>
      <c r="C41" s="2"/>
      <c r="D41" s="2"/>
      <c r="E41" s="2"/>
      <c r="F41" s="2"/>
      <c r="G41" s="2"/>
      <c r="H41" s="2"/>
      <c r="I41" s="2"/>
      <c r="J41" s="2"/>
      <c r="K41" s="2"/>
      <c r="P41" s="80" t="str">
        <f>'Binder Setup'!B41&amp;""</f>
        <v>Duskmourn: House of Horror Commander</v>
      </c>
      <c r="Q41" s="80">
        <f>IF(P41="",999,IF('Binder Setup'!C41=TRUE(),999,IF(COUNTIFS('Set Aliases'!$A$2:$A$501,P41,'Set Aliases'!$B$2:$B$501,"?*")&gt;0,999,40)))</f>
        <v>40</v>
      </c>
    </row>
    <row r="42" ht="15.75" customHeight="1">
      <c r="A42" s="2"/>
      <c r="B42" s="2"/>
      <c r="C42" s="2"/>
      <c r="D42" s="2"/>
      <c r="E42" s="2"/>
      <c r="F42" s="2"/>
      <c r="G42" s="2"/>
      <c r="H42" s="2"/>
      <c r="I42" s="2"/>
      <c r="J42" s="2"/>
      <c r="K42" s="2"/>
      <c r="P42" s="80" t="str">
        <f>'Binder Setup'!B42&amp;""</f>
        <v>Jumpstart 2022</v>
      </c>
      <c r="Q42" s="80">
        <f>IF(P42="",999,IF('Binder Setup'!C42=TRUE(),999,IF(COUNTIFS('Set Aliases'!$A$2:$A$501,P42,'Set Aliases'!$B$2:$B$501,"?*")&gt;0,999,41)))</f>
        <v>41</v>
      </c>
    </row>
    <row r="43" ht="15.75" customHeight="1">
      <c r="A43" s="2"/>
      <c r="B43" s="2"/>
      <c r="C43" s="2"/>
      <c r="D43" s="2"/>
      <c r="E43" s="2"/>
      <c r="F43" s="2"/>
      <c r="G43" s="2"/>
      <c r="H43" s="2"/>
      <c r="I43" s="2"/>
      <c r="J43" s="2"/>
      <c r="K43" s="2"/>
      <c r="P43" s="80" t="str">
        <f>'Binder Setup'!B43&amp;""</f>
        <v>Lorwyn Eclipsed Commander</v>
      </c>
      <c r="Q43" s="80">
        <f>IF(P43="",999,IF('Binder Setup'!C43=TRUE(),999,IF(COUNTIFS('Set Aliases'!$A$2:$A$501,P43,'Set Aliases'!$B$2:$B$501,"?*")&gt;0,999,42)))</f>
        <v>42</v>
      </c>
    </row>
    <row r="44" ht="15.75" customHeight="1">
      <c r="A44" s="2"/>
      <c r="B44" s="2"/>
      <c r="C44" s="2"/>
      <c r="D44" s="2"/>
      <c r="E44" s="2"/>
      <c r="F44" s="2"/>
      <c r="G44" s="2"/>
      <c r="H44" s="2"/>
      <c r="I44" s="2"/>
      <c r="J44" s="2"/>
      <c r="K44" s="2"/>
      <c r="P44" s="80" t="str">
        <f>'Binder Setup'!B44&amp;""</f>
        <v>Neon Dynasty Commander</v>
      </c>
      <c r="Q44" s="80">
        <f>IF(P44="",999,IF('Binder Setup'!C44=TRUE(),999,IF(COUNTIFS('Set Aliases'!$A$2:$A$501,P44,'Set Aliases'!$B$2:$B$501,"?*")&gt;0,999,43)))</f>
        <v>43</v>
      </c>
    </row>
    <row r="45" ht="15.75" customHeight="1">
      <c r="A45" s="2"/>
      <c r="B45" s="2"/>
      <c r="C45" s="2"/>
      <c r="D45" s="2"/>
      <c r="E45" s="2"/>
      <c r="F45" s="2"/>
      <c r="G45" s="2"/>
      <c r="H45" s="2"/>
      <c r="I45" s="2"/>
      <c r="J45" s="2"/>
      <c r="K45" s="2"/>
      <c r="P45" s="80" t="str">
        <f>'Binder Setup'!B45&amp;""</f>
        <v>Starter Commander Decks</v>
      </c>
      <c r="Q45" s="80">
        <f>IF(P45="",999,IF('Binder Setup'!C45=TRUE(),999,IF(COUNTIFS('Set Aliases'!$A$2:$A$501,P45,'Set Aliases'!$B$2:$B$501,"?*")&gt;0,999,44)))</f>
        <v>44</v>
      </c>
    </row>
    <row r="46" ht="15.75" customHeight="1">
      <c r="A46" s="2"/>
      <c r="B46" s="2"/>
      <c r="C46" s="2"/>
      <c r="D46" s="2"/>
      <c r="E46" s="2"/>
      <c r="F46" s="2"/>
      <c r="G46" s="2"/>
      <c r="H46" s="2"/>
      <c r="I46" s="2"/>
      <c r="J46" s="2"/>
      <c r="K46" s="2"/>
      <c r="P46" s="80" t="str">
        <f>'Binder Setup'!B46&amp;""</f>
        <v>Teenage Mutant Ninja Turtles Eternal</v>
      </c>
      <c r="Q46" s="80">
        <f>IF(P46="",999,IF('Binder Setup'!C46=TRUE(),999,IF(COUNTIFS('Set Aliases'!$A$2:$A$501,P46,'Set Aliases'!$B$2:$B$501,"?*")&gt;0,999,45)))</f>
        <v>45</v>
      </c>
    </row>
    <row r="47" ht="15.75" customHeight="1">
      <c r="A47" s="2"/>
      <c r="B47" s="2"/>
      <c r="C47" s="2"/>
      <c r="D47" s="2"/>
      <c r="E47" s="2"/>
      <c r="F47" s="2"/>
      <c r="G47" s="2"/>
      <c r="H47" s="2"/>
      <c r="I47" s="2"/>
      <c r="J47" s="2"/>
      <c r="K47" s="2"/>
      <c r="P47" s="80" t="str">
        <f>'Binder Setup'!B47&amp;""</f>
        <v>Warhammer 40,000 Commander</v>
      </c>
      <c r="Q47" s="80">
        <f>IF(P47="",999,IF('Binder Setup'!C47=TRUE(),999,IF(COUNTIFS('Set Aliases'!$A$2:$A$501,P47,'Set Aliases'!$B$2:$B$501,"?*")&gt;0,999,46)))</f>
        <v>46</v>
      </c>
    </row>
    <row r="48" ht="15.75" customHeight="1">
      <c r="A48" s="2"/>
      <c r="B48" s="2"/>
      <c r="C48" s="2"/>
      <c r="D48" s="2"/>
      <c r="E48" s="2"/>
      <c r="F48" s="2"/>
      <c r="G48" s="2"/>
      <c r="H48" s="2"/>
      <c r="I48" s="2"/>
      <c r="J48" s="2"/>
      <c r="K48" s="2"/>
      <c r="P48" s="80" t="str">
        <f>'Binder Setup'!B48&amp;""</f>
        <v>Avatar: The Last Airbender Eternal</v>
      </c>
      <c r="Q48" s="80">
        <f>IF(P48="",999,IF('Binder Setup'!C48=TRUE(),999,IF(COUNTIFS('Set Aliases'!$A$2:$A$501,P48,'Set Aliases'!$B$2:$B$501,"?*")&gt;0,999,47)))</f>
        <v>47</v>
      </c>
    </row>
    <row r="49" ht="15.75" customHeight="1">
      <c r="A49" s="2"/>
      <c r="B49" s="2"/>
      <c r="C49" s="2"/>
      <c r="D49" s="2"/>
      <c r="E49" s="2"/>
      <c r="F49" s="2"/>
      <c r="G49" s="2"/>
      <c r="H49" s="2"/>
      <c r="I49" s="2"/>
      <c r="J49" s="2"/>
      <c r="K49" s="2"/>
      <c r="P49" s="80" t="str">
        <f>'Binder Setup'!B49&amp;""</f>
        <v>Bloomburrow</v>
      </c>
      <c r="Q49" s="80">
        <f>IF(P49="",999,IF('Binder Setup'!C49=TRUE(),999,IF(COUNTIFS('Set Aliases'!$A$2:$A$501,P49,'Set Aliases'!$B$2:$B$501,"?*")&gt;0,999,48)))</f>
        <v>48</v>
      </c>
    </row>
    <row r="50" ht="15.75" customHeight="1">
      <c r="A50" s="2"/>
      <c r="B50" s="2"/>
      <c r="C50" s="2"/>
      <c r="D50" s="2"/>
      <c r="E50" s="2"/>
      <c r="F50" s="2"/>
      <c r="G50" s="2"/>
      <c r="H50" s="2"/>
      <c r="I50" s="2"/>
      <c r="J50" s="2"/>
      <c r="K50" s="2"/>
      <c r="P50" s="80" t="str">
        <f>'Binder Setup'!B50&amp;""</f>
        <v>Commander 2011</v>
      </c>
      <c r="Q50" s="80">
        <f>IF(P50="",999,IF('Binder Setup'!C50=TRUE(),999,IF(COUNTIFS('Set Aliases'!$A$2:$A$501,P50,'Set Aliases'!$B$2:$B$501,"?*")&gt;0,999,49)))</f>
        <v>49</v>
      </c>
    </row>
    <row r="51" ht="15.75" customHeight="1">
      <c r="A51" s="2"/>
      <c r="B51" s="2"/>
      <c r="C51" s="2"/>
      <c r="D51" s="2"/>
      <c r="E51" s="2"/>
      <c r="F51" s="2"/>
      <c r="G51" s="2"/>
      <c r="H51" s="2"/>
      <c r="I51" s="2"/>
      <c r="J51" s="2"/>
      <c r="K51" s="2"/>
      <c r="P51" s="80" t="str">
        <f>'Binder Setup'!B51&amp;""</f>
        <v>Commander 2019</v>
      </c>
      <c r="Q51" s="80">
        <f>IF(P51="",999,IF('Binder Setup'!C51=TRUE(),999,IF(COUNTIFS('Set Aliases'!$A$2:$A$501,P51,'Set Aliases'!$B$2:$B$501,"?*")&gt;0,999,50)))</f>
        <v>50</v>
      </c>
    </row>
    <row r="52" ht="15.75" customHeight="1">
      <c r="A52" s="2"/>
      <c r="B52" s="2"/>
      <c r="C52" s="2"/>
      <c r="D52" s="2"/>
      <c r="E52" s="2"/>
      <c r="F52" s="2"/>
      <c r="G52" s="2"/>
      <c r="H52" s="2"/>
      <c r="I52" s="2"/>
      <c r="J52" s="2"/>
      <c r="K52" s="2"/>
      <c r="P52" s="80" t="str">
        <f>'Binder Setup'!B52&amp;""</f>
        <v>Commander Anthology</v>
      </c>
      <c r="Q52" s="80">
        <f>IF(P52="",999,IF('Binder Setup'!C52=TRUE(),999,IF(COUNTIFS('Set Aliases'!$A$2:$A$501,P52,'Set Aliases'!$B$2:$B$501,"?*")&gt;0,999,51)))</f>
        <v>51</v>
      </c>
    </row>
    <row r="53" ht="15.75" customHeight="1">
      <c r="A53" s="2"/>
      <c r="B53" s="2"/>
      <c r="C53" s="2"/>
      <c r="D53" s="2"/>
      <c r="E53" s="2"/>
      <c r="F53" s="2"/>
      <c r="G53" s="2"/>
      <c r="H53" s="2"/>
      <c r="I53" s="2"/>
      <c r="J53" s="2"/>
      <c r="K53" s="2"/>
      <c r="P53" s="80" t="str">
        <f>'Binder Setup'!B53&amp;""</f>
        <v>Core Set 2020</v>
      </c>
      <c r="Q53" s="80">
        <f>IF(P53="",999,IF('Binder Setup'!C53=TRUE(),999,IF(COUNTIFS('Set Aliases'!$A$2:$A$501,P53,'Set Aliases'!$B$2:$B$501,"?*")&gt;0,999,52)))</f>
        <v>52</v>
      </c>
    </row>
    <row r="54" ht="15.75" customHeight="1">
      <c r="A54" s="2"/>
      <c r="B54" s="2"/>
      <c r="C54" s="2"/>
      <c r="D54" s="2"/>
      <c r="E54" s="2"/>
      <c r="F54" s="2"/>
      <c r="G54" s="2"/>
      <c r="H54" s="2"/>
      <c r="I54" s="2"/>
      <c r="J54" s="2"/>
      <c r="K54" s="2"/>
      <c r="P54" s="80" t="str">
        <f>'Binder Setup'!B54&amp;""</f>
        <v>Core Set 2020 Promos</v>
      </c>
      <c r="Q54" s="80">
        <f>IF(P54="",999,IF('Binder Setup'!C54=TRUE(),999,IF(COUNTIFS('Set Aliases'!$A$2:$A$501,P54,'Set Aliases'!$B$2:$B$501,"?*")&gt;0,999,53)))</f>
        <v>53</v>
      </c>
    </row>
    <row r="55" ht="15.75" customHeight="1">
      <c r="A55" s="2"/>
      <c r="B55" s="2"/>
      <c r="C55" s="2"/>
      <c r="D55" s="2"/>
      <c r="E55" s="2"/>
      <c r="F55" s="2"/>
      <c r="G55" s="2"/>
      <c r="H55" s="2"/>
      <c r="I55" s="2"/>
      <c r="J55" s="2"/>
      <c r="K55" s="2"/>
      <c r="P55" s="80" t="str">
        <f>'Binder Setup'!B55&amp;""</f>
        <v>Duskmourn: House of Horror</v>
      </c>
      <c r="Q55" s="80">
        <f>IF(P55="",999,IF('Binder Setup'!C55=TRUE(),999,IF(COUNTIFS('Set Aliases'!$A$2:$A$501,P55,'Set Aliases'!$B$2:$B$501,"?*")&gt;0,999,54)))</f>
        <v>54</v>
      </c>
    </row>
    <row r="56" ht="15.75" customHeight="1">
      <c r="A56" s="2"/>
      <c r="B56" s="2"/>
      <c r="C56" s="2"/>
      <c r="D56" s="2"/>
      <c r="E56" s="2"/>
      <c r="F56" s="2"/>
      <c r="G56" s="2"/>
      <c r="H56" s="2"/>
      <c r="I56" s="2"/>
      <c r="J56" s="2"/>
      <c r="K56" s="2"/>
      <c r="P56" s="80" t="str">
        <f>'Binder Setup'!B56&amp;""</f>
        <v>Innistrad</v>
      </c>
      <c r="Q56" s="80">
        <f>IF(P56="",999,IF('Binder Setup'!C56=TRUE(),999,IF(COUNTIFS('Set Aliases'!$A$2:$A$501,P56,'Set Aliases'!$B$2:$B$501,"?*")&gt;0,999,55)))</f>
        <v>55</v>
      </c>
    </row>
    <row r="57" ht="15.75" customHeight="1">
      <c r="A57" s="2"/>
      <c r="B57" s="2"/>
      <c r="C57" s="2"/>
      <c r="D57" s="2"/>
      <c r="E57" s="2"/>
      <c r="F57" s="2"/>
      <c r="G57" s="2"/>
      <c r="H57" s="2"/>
      <c r="I57" s="2"/>
      <c r="J57" s="2"/>
      <c r="K57" s="2"/>
      <c r="P57" s="80" t="str">
        <f>'Binder Setup'!B57&amp;""</f>
        <v>Innistrad: Crimson Vow</v>
      </c>
      <c r="Q57" s="80">
        <f>IF(P57="",999,IF('Binder Setup'!C57=TRUE(),999,IF(COUNTIFS('Set Aliases'!$A$2:$A$501,P57,'Set Aliases'!$B$2:$B$501,"?*")&gt;0,999,56)))</f>
        <v>56</v>
      </c>
    </row>
    <row r="58" ht="15.75" customHeight="1">
      <c r="A58" s="2"/>
      <c r="B58" s="2"/>
      <c r="C58" s="2"/>
      <c r="D58" s="2"/>
      <c r="E58" s="2"/>
      <c r="F58" s="2"/>
      <c r="G58" s="2"/>
      <c r="H58" s="2"/>
      <c r="I58" s="2"/>
      <c r="J58" s="2"/>
      <c r="K58" s="2"/>
      <c r="P58" s="80" t="str">
        <f>'Binder Setup'!B58&amp;""</f>
        <v>Innistrad: Crimson Vow Promos</v>
      </c>
      <c r="Q58" s="80">
        <f>IF(P58="",999,IF('Binder Setup'!C58=TRUE(),999,IF(COUNTIFS('Set Aliases'!$A$2:$A$501,P58,'Set Aliases'!$B$2:$B$501,"?*")&gt;0,999,57)))</f>
        <v>57</v>
      </c>
    </row>
    <row r="59" ht="15.75" customHeight="1">
      <c r="A59" s="2"/>
      <c r="B59" s="2"/>
      <c r="C59" s="2"/>
      <c r="D59" s="2"/>
      <c r="E59" s="2"/>
      <c r="F59" s="2"/>
      <c r="G59" s="2"/>
      <c r="H59" s="2"/>
      <c r="I59" s="2"/>
      <c r="J59" s="2"/>
      <c r="K59" s="2"/>
      <c r="P59" s="80" t="str">
        <f>'Binder Setup'!B59&amp;""</f>
        <v>Innistrad: Double Feature</v>
      </c>
      <c r="Q59" s="80">
        <f>IF(P59="",999,IF('Binder Setup'!C59=TRUE(),999,IF(COUNTIFS('Set Aliases'!$A$2:$A$501,P59,'Set Aliases'!$B$2:$B$501,"?*")&gt;0,999,58)))</f>
        <v>58</v>
      </c>
    </row>
    <row r="60" ht="15.75" customHeight="1">
      <c r="A60" s="2"/>
      <c r="B60" s="2"/>
      <c r="C60" s="2"/>
      <c r="D60" s="2"/>
      <c r="E60" s="2"/>
      <c r="F60" s="2"/>
      <c r="G60" s="2"/>
      <c r="H60" s="2"/>
      <c r="I60" s="2"/>
      <c r="J60" s="2"/>
      <c r="K60" s="2"/>
      <c r="P60" s="80" t="str">
        <f>'Binder Setup'!B60&amp;""</f>
        <v>Magic Origins</v>
      </c>
      <c r="Q60" s="80">
        <f>IF(P60="",999,IF('Binder Setup'!C60=TRUE(),999,IF(COUNTIFS('Set Aliases'!$A$2:$A$501,P60,'Set Aliases'!$B$2:$B$501,"?*")&gt;0,999,59)))</f>
        <v>59</v>
      </c>
    </row>
    <row r="61" ht="15.75" customHeight="1">
      <c r="A61" s="2"/>
      <c r="B61" s="2"/>
      <c r="C61" s="2"/>
      <c r="D61" s="2"/>
      <c r="E61" s="2"/>
      <c r="F61" s="2"/>
      <c r="G61" s="2"/>
      <c r="H61" s="2"/>
      <c r="I61" s="2"/>
      <c r="J61" s="2"/>
      <c r="K61" s="2"/>
      <c r="P61" s="80" t="str">
        <f>'Binder Setup'!B61&amp;""</f>
        <v>Marvel's Spider-Man</v>
      </c>
      <c r="Q61" s="80">
        <f>IF(P61="",999,IF('Binder Setup'!C61=TRUE(),999,IF(COUNTIFS('Set Aliases'!$A$2:$A$501,P61,'Set Aliases'!$B$2:$B$501,"?*")&gt;0,999,60)))</f>
        <v>60</v>
      </c>
    </row>
    <row r="62" ht="15.75" customHeight="1">
      <c r="A62" s="2"/>
      <c r="B62" s="2"/>
      <c r="C62" s="2"/>
      <c r="D62" s="2"/>
      <c r="E62" s="2"/>
      <c r="F62" s="2"/>
      <c r="G62" s="2"/>
      <c r="H62" s="2"/>
      <c r="I62" s="2"/>
      <c r="J62" s="2"/>
      <c r="K62" s="2"/>
      <c r="P62" s="80" t="str">
        <f>'Binder Setup'!B62&amp;""</f>
        <v>Marvel's Spider-Man Promos</v>
      </c>
      <c r="Q62" s="80">
        <f>IF(P62="",999,IF('Binder Setup'!C62=TRUE(),999,IF(COUNTIFS('Set Aliases'!$A$2:$A$501,P62,'Set Aliases'!$B$2:$B$501,"?*")&gt;0,999,61)))</f>
        <v>61</v>
      </c>
    </row>
    <row r="63" ht="15.75" customHeight="1">
      <c r="A63" s="2"/>
      <c r="B63" s="2"/>
      <c r="C63" s="2"/>
      <c r="D63" s="2"/>
      <c r="E63" s="2"/>
      <c r="F63" s="2"/>
      <c r="G63" s="2"/>
      <c r="H63" s="2"/>
      <c r="I63" s="2"/>
      <c r="J63" s="2"/>
      <c r="K63" s="2"/>
      <c r="P63" s="80" t="str">
        <f>'Binder Setup'!B63&amp;""</f>
        <v>Media and Collaboration Promos</v>
      </c>
      <c r="Q63" s="80">
        <f>IF(P63="",999,IF('Binder Setup'!C63=TRUE(),999,IF(COUNTIFS('Set Aliases'!$A$2:$A$501,P63,'Set Aliases'!$B$2:$B$501,"?*")&gt;0,999,62)))</f>
        <v>62</v>
      </c>
    </row>
    <row r="64" ht="15.75" customHeight="1">
      <c r="A64" s="2"/>
      <c r="B64" s="2"/>
      <c r="C64" s="2"/>
      <c r="D64" s="2"/>
      <c r="E64" s="2"/>
      <c r="F64" s="2"/>
      <c r="G64" s="2"/>
      <c r="H64" s="2"/>
      <c r="I64" s="2"/>
      <c r="J64" s="2"/>
      <c r="K64" s="2"/>
      <c r="P64" s="80" t="str">
        <f>'Binder Setup'!B64&amp;""</f>
        <v>Midnight Hunt Commander</v>
      </c>
      <c r="Q64" s="80">
        <f>IF(P64="",999,IF('Binder Setup'!C64=TRUE(),999,IF(COUNTIFS('Set Aliases'!$A$2:$A$501,P64,'Set Aliases'!$B$2:$B$501,"?*")&gt;0,999,63)))</f>
        <v>63</v>
      </c>
    </row>
    <row r="65" ht="15.75" customHeight="1">
      <c r="A65" s="2"/>
      <c r="B65" s="2"/>
      <c r="C65" s="2"/>
      <c r="D65" s="2"/>
      <c r="E65" s="2"/>
      <c r="F65" s="2"/>
      <c r="G65" s="2"/>
      <c r="H65" s="2"/>
      <c r="I65" s="2"/>
      <c r="J65" s="2"/>
      <c r="K65" s="2"/>
      <c r="P65" s="80" t="str">
        <f>'Binder Setup'!B65&amp;""</f>
        <v>Modern Horizons</v>
      </c>
      <c r="Q65" s="80">
        <f>IF(P65="",999,IF('Binder Setup'!C65=TRUE(),999,IF(COUNTIFS('Set Aliases'!$A$2:$A$501,P65,'Set Aliases'!$B$2:$B$501,"?*")&gt;0,999,64)))</f>
        <v>64</v>
      </c>
    </row>
    <row r="66" ht="15.75" customHeight="1">
      <c r="A66" s="2"/>
      <c r="B66" s="2"/>
      <c r="C66" s="2"/>
      <c r="D66" s="2"/>
      <c r="E66" s="2"/>
      <c r="F66" s="2"/>
      <c r="G66" s="2"/>
      <c r="H66" s="2"/>
      <c r="I66" s="2"/>
      <c r="J66" s="2"/>
      <c r="K66" s="2"/>
      <c r="P66" s="80" t="str">
        <f>'Binder Setup'!B66&amp;""</f>
        <v>Modern Horizons 2</v>
      </c>
      <c r="Q66" s="80">
        <f>IF(P66="",999,IF('Binder Setup'!C66=TRUE(),999,IF(COUNTIFS('Set Aliases'!$A$2:$A$501,P66,'Set Aliases'!$B$2:$B$501,"?*")&gt;0,999,65)))</f>
        <v>65</v>
      </c>
    </row>
    <row r="67" ht="15.75" customHeight="1">
      <c r="A67" s="2"/>
      <c r="B67" s="2"/>
      <c r="C67" s="2"/>
      <c r="D67" s="2"/>
      <c r="E67" s="2"/>
      <c r="F67" s="2"/>
      <c r="G67" s="2"/>
      <c r="H67" s="2"/>
      <c r="I67" s="2"/>
      <c r="J67" s="2"/>
      <c r="K67" s="2"/>
      <c r="P67" s="80" t="str">
        <f>'Binder Setup'!B67&amp;""</f>
        <v>Secrets of Strixhaven</v>
      </c>
      <c r="Q67" s="80">
        <f>IF(P67="",999,IF('Binder Setup'!C67=TRUE(),999,IF(COUNTIFS('Set Aliases'!$A$2:$A$501,P67,'Set Aliases'!$B$2:$B$501,"?*")&gt;0,999,66)))</f>
        <v>66</v>
      </c>
    </row>
    <row r="68" ht="15.75" customHeight="1">
      <c r="A68" s="2"/>
      <c r="B68" s="2"/>
      <c r="C68" s="2"/>
      <c r="D68" s="2"/>
      <c r="E68" s="2"/>
      <c r="F68" s="2"/>
      <c r="G68" s="2"/>
      <c r="H68" s="2"/>
      <c r="I68" s="2"/>
      <c r="J68" s="2"/>
      <c r="K68" s="2"/>
      <c r="P68" s="80" t="str">
        <f>'Binder Setup'!B68&amp;""</f>
        <v>Secrets of Strixhaven Promos</v>
      </c>
      <c r="Q68" s="80">
        <f>IF(P68="",999,IF('Binder Setup'!C68=TRUE(),999,IF(COUNTIFS('Set Aliases'!$A$2:$A$501,P68,'Set Aliases'!$B$2:$B$501,"?*")&gt;0,999,67)))</f>
        <v>67</v>
      </c>
    </row>
    <row r="69" ht="15.75" customHeight="1">
      <c r="A69" s="2"/>
      <c r="B69" s="2"/>
      <c r="C69" s="2"/>
      <c r="D69" s="2"/>
      <c r="E69" s="2"/>
      <c r="F69" s="2"/>
      <c r="G69" s="2"/>
      <c r="H69" s="2"/>
      <c r="I69" s="2"/>
      <c r="J69" s="2"/>
      <c r="K69" s="2"/>
      <c r="P69" s="80" t="str">
        <f>'Binder Setup'!B69&amp;""</f>
        <v>Streets of New Capenna</v>
      </c>
      <c r="Q69" s="80">
        <f>IF(P69="",999,IF('Binder Setup'!C69=TRUE(),999,IF(COUNTIFS('Set Aliases'!$A$2:$A$501,P69,'Set Aliases'!$B$2:$B$501,"?*")&gt;0,999,68)))</f>
        <v>68</v>
      </c>
    </row>
    <row r="70" ht="15.75" customHeight="1">
      <c r="A70" s="2"/>
      <c r="B70" s="2"/>
      <c r="C70" s="2"/>
      <c r="D70" s="2"/>
      <c r="E70" s="2"/>
      <c r="F70" s="2"/>
      <c r="G70" s="2"/>
      <c r="H70" s="2"/>
      <c r="I70" s="2"/>
      <c r="J70" s="2"/>
      <c r="K70" s="2"/>
      <c r="P70" s="80" t="str">
        <f>'Binder Setup'!B70&amp;""</f>
        <v>The Brothers' War</v>
      </c>
      <c r="Q70" s="80">
        <f>IF(P70="",999,IF('Binder Setup'!C70=TRUE(),999,IF(COUNTIFS('Set Aliases'!$A$2:$A$501,P70,'Set Aliases'!$B$2:$B$501,"?*")&gt;0,999,69)))</f>
        <v>69</v>
      </c>
    </row>
    <row r="71" ht="15.75" customHeight="1">
      <c r="A71" s="2"/>
      <c r="B71" s="2"/>
      <c r="C71" s="2"/>
      <c r="D71" s="2"/>
      <c r="E71" s="2"/>
      <c r="F71" s="2"/>
      <c r="G71" s="2"/>
      <c r="H71" s="2"/>
      <c r="I71" s="2"/>
      <c r="J71" s="2"/>
      <c r="K71" s="2"/>
      <c r="P71" s="80" t="str">
        <f>'Binder Setup'!B71&amp;""</f>
        <v>The Lost Caverns of Ixalan</v>
      </c>
      <c r="Q71" s="80">
        <f>IF(P71="",999,IF('Binder Setup'!C71=TRUE(),999,IF(COUNTIFS('Set Aliases'!$A$2:$A$501,P71,'Set Aliases'!$B$2:$B$501,"?*")&gt;0,999,70)))</f>
        <v>70</v>
      </c>
    </row>
    <row r="72" ht="15.75" customHeight="1">
      <c r="A72" s="2"/>
      <c r="B72" s="2"/>
      <c r="C72" s="2"/>
      <c r="D72" s="2"/>
      <c r="E72" s="2"/>
      <c r="F72" s="2"/>
      <c r="G72" s="2"/>
      <c r="H72" s="2"/>
      <c r="I72" s="2"/>
      <c r="J72" s="2"/>
      <c r="K72" s="2"/>
      <c r="P72" s="80" t="str">
        <f>'Binder Setup'!B72&amp;""</f>
        <v>The Lost Caverns of Ixalan Promos</v>
      </c>
      <c r="Q72" s="80">
        <f>IF(P72="",999,IF('Binder Setup'!C72=TRUE(),999,IF(COUNTIFS('Set Aliases'!$A$2:$A$501,P72,'Set Aliases'!$B$2:$B$501,"?*")&gt;0,999,71)))</f>
        <v>71</v>
      </c>
    </row>
    <row r="73" ht="15.75" customHeight="1">
      <c r="A73" s="2"/>
      <c r="B73" s="2"/>
      <c r="C73" s="2"/>
      <c r="D73" s="2"/>
      <c r="E73" s="2"/>
      <c r="F73" s="2"/>
      <c r="G73" s="2"/>
      <c r="H73" s="2"/>
      <c r="I73" s="2"/>
      <c r="J73" s="2"/>
      <c r="K73" s="2"/>
      <c r="P73" s="80" t="str">
        <f>'Binder Setup'!B73&amp;""</f>
        <v>Throne of Eldraine</v>
      </c>
      <c r="Q73" s="80">
        <f>IF(P73="",999,IF('Binder Setup'!C73=TRUE(),999,IF(COUNTIFS('Set Aliases'!$A$2:$A$501,P73,'Set Aliases'!$B$2:$B$501,"?*")&gt;0,999,72)))</f>
        <v>72</v>
      </c>
    </row>
    <row r="74" ht="15.75" customHeight="1">
      <c r="A74" s="2"/>
      <c r="B74" s="2"/>
      <c r="C74" s="2"/>
      <c r="D74" s="2"/>
      <c r="E74" s="2"/>
      <c r="F74" s="2"/>
      <c r="G74" s="2"/>
      <c r="H74" s="2"/>
      <c r="I74" s="2"/>
      <c r="J74" s="2"/>
      <c r="K74" s="2"/>
      <c r="P74" s="80" t="str">
        <f>'Binder Setup'!B74&amp;""</f>
        <v>Wilds of Eldraine Commander</v>
      </c>
      <c r="Q74" s="80">
        <f>IF(P74="",999,IF('Binder Setup'!C74=TRUE(),999,IF(COUNTIFS('Set Aliases'!$A$2:$A$501,P74,'Set Aliases'!$B$2:$B$501,"?*")&gt;0,999,73)))</f>
        <v>73</v>
      </c>
    </row>
    <row r="75" ht="15.75" customHeight="1">
      <c r="A75" s="2"/>
      <c r="B75" s="2"/>
      <c r="C75" s="2"/>
      <c r="D75" s="2"/>
      <c r="E75" s="2"/>
      <c r="F75" s="2"/>
      <c r="G75" s="2"/>
      <c r="H75" s="2"/>
      <c r="I75" s="2"/>
      <c r="J75" s="2"/>
      <c r="K75" s="2"/>
      <c r="P75" s="80" t="str">
        <f>'Binder Setup'!B75&amp;""</f>
        <v>Aether Revolt</v>
      </c>
      <c r="Q75" s="80">
        <f>IF(P75="",999,IF('Binder Setup'!C75=TRUE(),999,IF(COUNTIFS('Set Aliases'!$A$2:$A$501,P75,'Set Aliases'!$B$2:$B$501,"?*")&gt;0,999,74)))</f>
        <v>74</v>
      </c>
    </row>
    <row r="76" ht="15.75" customHeight="1">
      <c r="A76" s="2"/>
      <c r="B76" s="2"/>
      <c r="C76" s="2"/>
      <c r="D76" s="2"/>
      <c r="E76" s="2"/>
      <c r="F76" s="2"/>
      <c r="G76" s="2"/>
      <c r="H76" s="2"/>
      <c r="I76" s="2"/>
      <c r="J76" s="2"/>
      <c r="K76" s="2"/>
      <c r="P76" s="80" t="str">
        <f>'Binder Setup'!B76&amp;""</f>
        <v>Aether Revolt Promos</v>
      </c>
      <c r="Q76" s="80">
        <f>IF(P76="",999,IF('Binder Setup'!C76=TRUE(),999,IF(COUNTIFS('Set Aliases'!$A$2:$A$501,P76,'Set Aliases'!$B$2:$B$501,"?*")&gt;0,999,75)))</f>
        <v>75</v>
      </c>
    </row>
    <row r="77" ht="15.75" customHeight="1">
      <c r="A77" s="2"/>
      <c r="B77" s="2"/>
      <c r="C77" s="2"/>
      <c r="D77" s="2"/>
      <c r="E77" s="2"/>
      <c r="F77" s="2"/>
      <c r="G77" s="2"/>
      <c r="H77" s="2"/>
      <c r="I77" s="2"/>
      <c r="J77" s="2"/>
      <c r="K77" s="2"/>
      <c r="P77" s="80" t="str">
        <f>'Binder Setup'!B77&amp;""</f>
        <v>Aetherdrift</v>
      </c>
      <c r="Q77" s="80">
        <f>IF(P77="",999,IF('Binder Setup'!C77=TRUE(),999,IF(COUNTIFS('Set Aliases'!$A$2:$A$501,P77,'Set Aliases'!$B$2:$B$501,"?*")&gt;0,999,76)))</f>
        <v>76</v>
      </c>
    </row>
    <row r="78" ht="15.75" customHeight="1">
      <c r="A78" s="2"/>
      <c r="B78" s="2"/>
      <c r="C78" s="2"/>
      <c r="D78" s="2"/>
      <c r="E78" s="2"/>
      <c r="F78" s="2"/>
      <c r="G78" s="2"/>
      <c r="H78" s="2"/>
      <c r="I78" s="2"/>
      <c r="J78" s="2"/>
      <c r="K78" s="2"/>
      <c r="P78" s="80" t="str">
        <f>'Binder Setup'!B78&amp;""</f>
        <v>Aetherdrift Promos</v>
      </c>
      <c r="Q78" s="80">
        <f>IF(P78="",999,IF('Binder Setup'!C78=TRUE(),999,IF(COUNTIFS('Set Aliases'!$A$2:$A$501,P78,'Set Aliases'!$B$2:$B$501,"?*")&gt;0,999,77)))</f>
        <v>77</v>
      </c>
    </row>
    <row r="79" ht="15.75" customHeight="1">
      <c r="A79" s="2"/>
      <c r="B79" s="2"/>
      <c r="C79" s="2"/>
      <c r="D79" s="2"/>
      <c r="E79" s="2"/>
      <c r="F79" s="2"/>
      <c r="G79" s="2"/>
      <c r="H79" s="2"/>
      <c r="I79" s="2"/>
      <c r="J79" s="2"/>
      <c r="K79" s="2"/>
      <c r="P79" s="80" t="str">
        <f>'Binder Setup'!B79&amp;""</f>
        <v>Apocalypse</v>
      </c>
      <c r="Q79" s="80">
        <f>IF(P79="",999,IF('Binder Setup'!C79=TRUE(),999,IF(COUNTIFS('Set Aliases'!$A$2:$A$501,P79,'Set Aliases'!$B$2:$B$501,"?*")&gt;0,999,78)))</f>
        <v>78</v>
      </c>
    </row>
    <row r="80" ht="15.75" customHeight="1">
      <c r="A80" s="2"/>
      <c r="B80" s="2"/>
      <c r="C80" s="2"/>
      <c r="D80" s="2"/>
      <c r="E80" s="2"/>
      <c r="F80" s="2"/>
      <c r="G80" s="2"/>
      <c r="H80" s="2"/>
      <c r="I80" s="2"/>
      <c r="J80" s="2"/>
      <c r="K80" s="2"/>
      <c r="P80" s="80" t="str">
        <f>'Binder Setup'!B80&amp;""</f>
        <v>Assassin's Creed</v>
      </c>
      <c r="Q80" s="80">
        <f>IF(P80="",999,IF('Binder Setup'!C80=TRUE(),999,IF(COUNTIFS('Set Aliases'!$A$2:$A$501,P80,'Set Aliases'!$B$2:$B$501,"?*")&gt;0,999,79)))</f>
        <v>79</v>
      </c>
    </row>
    <row r="81" ht="15.75" customHeight="1">
      <c r="A81" s="2"/>
      <c r="B81" s="2"/>
      <c r="C81" s="2"/>
      <c r="D81" s="2"/>
      <c r="E81" s="2"/>
      <c r="F81" s="2"/>
      <c r="G81" s="2"/>
      <c r="H81" s="2"/>
      <c r="I81" s="2"/>
      <c r="J81" s="2"/>
      <c r="K81" s="2"/>
      <c r="P81" s="80" t="str">
        <f>'Binder Setup'!B81&amp;""</f>
        <v>Bloomburrow Promos</v>
      </c>
      <c r="Q81" s="80">
        <f>IF(P81="",999,IF('Binder Setup'!C81=TRUE(),999,IF(COUNTIFS('Set Aliases'!$A$2:$A$501,P81,'Set Aliases'!$B$2:$B$501,"?*")&gt;0,999,80)))</f>
        <v>80</v>
      </c>
    </row>
    <row r="82" ht="15.75" customHeight="1">
      <c r="A82" s="2"/>
      <c r="B82" s="2"/>
      <c r="C82" s="2"/>
      <c r="D82" s="2"/>
      <c r="E82" s="2"/>
      <c r="F82" s="2"/>
      <c r="G82" s="2"/>
      <c r="H82" s="2"/>
      <c r="I82" s="2"/>
      <c r="J82" s="2"/>
      <c r="K82" s="2"/>
      <c r="P82" s="80" t="str">
        <f>'Binder Setup'!B82&amp;""</f>
        <v>Commander 2013</v>
      </c>
      <c r="Q82" s="80">
        <f>IF(P82="",999,IF('Binder Setup'!C82=TRUE(),999,IF(COUNTIFS('Set Aliases'!$A$2:$A$501,P82,'Set Aliases'!$B$2:$B$501,"?*")&gt;0,999,81)))</f>
        <v>81</v>
      </c>
    </row>
    <row r="83" ht="15.75" customHeight="1">
      <c r="A83" s="2"/>
      <c r="B83" s="2"/>
      <c r="C83" s="2"/>
      <c r="D83" s="2"/>
      <c r="E83" s="2"/>
      <c r="F83" s="2"/>
      <c r="G83" s="2"/>
      <c r="H83" s="2"/>
      <c r="I83" s="2"/>
      <c r="J83" s="2"/>
      <c r="K83" s="2"/>
      <c r="P83" s="80" t="str">
        <f>'Binder Setup'!B83&amp;""</f>
        <v>Commander 2014</v>
      </c>
      <c r="Q83" s="80">
        <f>IF(P83="",999,IF('Binder Setup'!C83=TRUE(),999,IF(COUNTIFS('Set Aliases'!$A$2:$A$501,P83,'Set Aliases'!$B$2:$B$501,"?*")&gt;0,999,82)))</f>
        <v>82</v>
      </c>
    </row>
    <row r="84" ht="15.75" customHeight="1">
      <c r="A84" s="2"/>
      <c r="B84" s="2"/>
      <c r="C84" s="2"/>
      <c r="D84" s="2"/>
      <c r="E84" s="2"/>
      <c r="F84" s="2"/>
      <c r="G84" s="2"/>
      <c r="H84" s="2"/>
      <c r="I84" s="2"/>
      <c r="J84" s="2"/>
      <c r="K84" s="2"/>
      <c r="P84" s="80" t="str">
        <f>'Binder Setup'!B84&amp;""</f>
        <v>Commander Collection: Black</v>
      </c>
      <c r="Q84" s="80">
        <f>IF(P84="",999,IF('Binder Setup'!C84=TRUE(),999,IF(COUNTIFS('Set Aliases'!$A$2:$A$501,P84,'Set Aliases'!$B$2:$B$501,"?*")&gt;0,999,83)))</f>
        <v>83</v>
      </c>
    </row>
    <row r="85" ht="15.75" customHeight="1">
      <c r="A85" s="2"/>
      <c r="B85" s="2"/>
      <c r="C85" s="2"/>
      <c r="D85" s="2"/>
      <c r="E85" s="2"/>
      <c r="F85" s="2"/>
      <c r="G85" s="2"/>
      <c r="H85" s="2"/>
      <c r="I85" s="2"/>
      <c r="J85" s="2"/>
      <c r="K85" s="2"/>
      <c r="P85" s="80" t="str">
        <f>'Binder Setup'!B85&amp;""</f>
        <v>Commander Collection: Green</v>
      </c>
      <c r="Q85" s="80">
        <f>IF(P85="",999,IF('Binder Setup'!C85=TRUE(),999,IF(COUNTIFS('Set Aliases'!$A$2:$A$501,P85,'Set Aliases'!$B$2:$B$501,"?*")&gt;0,999,84)))</f>
        <v>84</v>
      </c>
    </row>
    <row r="86" ht="15.75" customHeight="1">
      <c r="A86" s="2"/>
      <c r="B86" s="2"/>
      <c r="C86" s="2"/>
      <c r="D86" s="2"/>
      <c r="E86" s="2"/>
      <c r="F86" s="2"/>
      <c r="G86" s="2"/>
      <c r="H86" s="2"/>
      <c r="I86" s="2"/>
      <c r="J86" s="2"/>
      <c r="K86" s="2"/>
      <c r="P86" s="80" t="str">
        <f>'Binder Setup'!B86&amp;""</f>
        <v>Commander Legends Promos</v>
      </c>
      <c r="Q86" s="80">
        <f>IF(P86="",999,IF('Binder Setup'!C86=TRUE(),999,IF(COUNTIFS('Set Aliases'!$A$2:$A$501,P86,'Set Aliases'!$B$2:$B$501,"?*")&gt;0,999,85)))</f>
        <v>85</v>
      </c>
    </row>
    <row r="87" ht="15.75" customHeight="1">
      <c r="A87" s="2"/>
      <c r="B87" s="2"/>
      <c r="C87" s="2"/>
      <c r="D87" s="2"/>
      <c r="E87" s="2"/>
      <c r="F87" s="2"/>
      <c r="G87" s="2"/>
      <c r="H87" s="2"/>
      <c r="I87" s="2"/>
      <c r="J87" s="2"/>
      <c r="K87" s="2"/>
      <c r="P87" s="80" t="str">
        <f>'Binder Setup'!B87&amp;""</f>
        <v>Commander's Arsenal</v>
      </c>
      <c r="Q87" s="80">
        <f>IF(P87="",999,IF('Binder Setup'!C87=TRUE(),999,IF(COUNTIFS('Set Aliases'!$A$2:$A$501,P87,'Set Aliases'!$B$2:$B$501,"?*")&gt;0,999,86)))</f>
        <v>86</v>
      </c>
    </row>
    <row r="88" ht="15.75" customHeight="1">
      <c r="A88" s="2"/>
      <c r="B88" s="2"/>
      <c r="C88" s="2"/>
      <c r="D88" s="2"/>
      <c r="E88" s="2"/>
      <c r="F88" s="2"/>
      <c r="G88" s="2"/>
      <c r="H88" s="2"/>
      <c r="I88" s="2"/>
      <c r="J88" s="2"/>
      <c r="K88" s="2"/>
      <c r="P88" s="80" t="str">
        <f>'Binder Setup'!B88&amp;""</f>
        <v>Conflux</v>
      </c>
      <c r="Q88" s="80">
        <f>IF(P88="",999,IF('Binder Setup'!C88=TRUE(),999,IF(COUNTIFS('Set Aliases'!$A$2:$A$501,P88,'Set Aliases'!$B$2:$B$501,"?*")&gt;0,999,87)))</f>
        <v>87</v>
      </c>
    </row>
    <row r="89" ht="15.75" customHeight="1">
      <c r="A89" s="2"/>
      <c r="B89" s="2"/>
      <c r="C89" s="2"/>
      <c r="D89" s="2"/>
      <c r="E89" s="2"/>
      <c r="F89" s="2"/>
      <c r="G89" s="2"/>
      <c r="H89" s="2"/>
      <c r="I89" s="2"/>
      <c r="J89" s="2"/>
      <c r="K89" s="2"/>
      <c r="P89" s="80" t="str">
        <f>'Binder Setup'!B89&amp;""</f>
        <v>Conspiracy: Take the Crown</v>
      </c>
      <c r="Q89" s="80">
        <f>IF(P89="",999,IF('Binder Setup'!C89=TRUE(),999,IF(COUNTIFS('Set Aliases'!$A$2:$A$501,P89,'Set Aliases'!$B$2:$B$501,"?*")&gt;0,999,88)))</f>
        <v>88</v>
      </c>
    </row>
    <row r="90" ht="15.75" customHeight="1">
      <c r="A90" s="2"/>
      <c r="B90" s="2"/>
      <c r="C90" s="2"/>
      <c r="D90" s="2"/>
      <c r="E90" s="2"/>
      <c r="F90" s="2"/>
      <c r="G90" s="2"/>
      <c r="H90" s="2"/>
      <c r="I90" s="2"/>
      <c r="J90" s="2"/>
      <c r="K90" s="2"/>
      <c r="P90" s="80" t="str">
        <f>'Binder Setup'!B90&amp;""</f>
        <v>Core Set 2019</v>
      </c>
      <c r="Q90" s="80">
        <f>IF(P90="",999,IF('Binder Setup'!C90=TRUE(),999,IF(COUNTIFS('Set Aliases'!$A$2:$A$501,P90,'Set Aliases'!$B$2:$B$501,"?*")&gt;0,999,89)))</f>
        <v>89</v>
      </c>
    </row>
    <row r="91" ht="15.75" customHeight="1">
      <c r="A91" s="2"/>
      <c r="B91" s="2"/>
      <c r="C91" s="2"/>
      <c r="D91" s="2"/>
      <c r="E91" s="2"/>
      <c r="F91" s="2"/>
      <c r="G91" s="2"/>
      <c r="H91" s="2"/>
      <c r="I91" s="2"/>
      <c r="J91" s="2"/>
      <c r="K91" s="2"/>
      <c r="P91" s="80" t="str">
        <f>'Binder Setup'!B91&amp;""</f>
        <v>Core Set 2019 Promos</v>
      </c>
      <c r="Q91" s="80">
        <f>IF(P91="",999,IF('Binder Setup'!C91=TRUE(),999,IF(COUNTIFS('Set Aliases'!$A$2:$A$501,P91,'Set Aliases'!$B$2:$B$501,"?*")&gt;0,999,90)))</f>
        <v>90</v>
      </c>
    </row>
    <row r="92" ht="15.75" customHeight="1">
      <c r="A92" s="2"/>
      <c r="B92" s="2"/>
      <c r="C92" s="2"/>
      <c r="D92" s="2"/>
      <c r="E92" s="2"/>
      <c r="F92" s="2"/>
      <c r="G92" s="2"/>
      <c r="H92" s="2"/>
      <c r="I92" s="2"/>
      <c r="J92" s="2"/>
      <c r="K92" s="2"/>
      <c r="P92" s="80" t="str">
        <f>'Binder Setup'!B92&amp;""</f>
        <v>Dominaria</v>
      </c>
      <c r="Q92" s="80">
        <f>IF(P92="",999,IF('Binder Setup'!C92=TRUE(),999,IF(COUNTIFS('Set Aliases'!$A$2:$A$501,P92,'Set Aliases'!$B$2:$B$501,"?*")&gt;0,999,91)))</f>
        <v>91</v>
      </c>
    </row>
    <row r="93" ht="15.75" customHeight="1">
      <c r="A93" s="2"/>
      <c r="B93" s="2"/>
      <c r="C93" s="2"/>
      <c r="D93" s="2"/>
      <c r="E93" s="2"/>
      <c r="F93" s="2"/>
      <c r="G93" s="2"/>
      <c r="H93" s="2"/>
      <c r="I93" s="2"/>
      <c r="J93" s="2"/>
      <c r="K93" s="2"/>
      <c r="P93" s="80" t="str">
        <f>'Binder Setup'!B93&amp;""</f>
        <v>Dominaria Promos</v>
      </c>
      <c r="Q93" s="80">
        <f>IF(P93="",999,IF('Binder Setup'!C93=TRUE(),999,IF(COUNTIFS('Set Aliases'!$A$2:$A$501,P93,'Set Aliases'!$B$2:$B$501,"?*")&gt;0,999,92)))</f>
        <v>92</v>
      </c>
    </row>
    <row r="94" ht="15.75" customHeight="1">
      <c r="A94" s="2"/>
      <c r="B94" s="2"/>
      <c r="C94" s="2"/>
      <c r="D94" s="2"/>
      <c r="E94" s="2"/>
      <c r="F94" s="2"/>
      <c r="G94" s="2"/>
      <c r="H94" s="2"/>
      <c r="I94" s="2"/>
      <c r="J94" s="2"/>
      <c r="K94" s="2"/>
      <c r="P94" s="80" t="str">
        <f>'Binder Setup'!B94&amp;""</f>
        <v>Dominaria Remastered</v>
      </c>
      <c r="Q94" s="80">
        <f>IF(P94="",999,IF('Binder Setup'!C94=TRUE(),999,IF(COUNTIFS('Set Aliases'!$A$2:$A$501,P94,'Set Aliases'!$B$2:$B$501,"?*")&gt;0,999,93)))</f>
        <v>93</v>
      </c>
    </row>
    <row r="95" ht="15.75" customHeight="1">
      <c r="A95" s="2"/>
      <c r="B95" s="2"/>
      <c r="C95" s="2"/>
      <c r="D95" s="2"/>
      <c r="E95" s="2"/>
      <c r="F95" s="2"/>
      <c r="G95" s="2"/>
      <c r="H95" s="2"/>
      <c r="I95" s="2"/>
      <c r="J95" s="2"/>
      <c r="K95" s="2"/>
      <c r="P95" s="80" t="str">
        <f>'Binder Setup'!B95&amp;""</f>
        <v>Double Masters 2022</v>
      </c>
      <c r="Q95" s="80">
        <f>IF(P95="",999,IF('Binder Setup'!C95=TRUE(),999,IF(COUNTIFS('Set Aliases'!$A$2:$A$501,P95,'Set Aliases'!$B$2:$B$501,"?*")&gt;0,999,94)))</f>
        <v>94</v>
      </c>
    </row>
    <row r="96" ht="15.75" customHeight="1">
      <c r="A96" s="2"/>
      <c r="B96" s="2"/>
      <c r="C96" s="2"/>
      <c r="D96" s="2"/>
      <c r="E96" s="2"/>
      <c r="F96" s="2"/>
      <c r="G96" s="2"/>
      <c r="H96" s="2"/>
      <c r="I96" s="2"/>
      <c r="J96" s="2"/>
      <c r="K96" s="2"/>
      <c r="P96" s="80" t="str">
        <f>'Binder Setup'!B96&amp;""</f>
        <v>Duel Decks: Elspeth vs. Tezzeret</v>
      </c>
      <c r="Q96" s="80">
        <f>IF(P96="",999,IF('Binder Setup'!C96=TRUE(),999,IF(COUNTIFS('Set Aliases'!$A$2:$A$501,P96,'Set Aliases'!$B$2:$B$501,"?*")&gt;0,999,95)))</f>
        <v>95</v>
      </c>
    </row>
    <row r="97" ht="15.75" customHeight="1">
      <c r="A97" s="2"/>
      <c r="B97" s="2"/>
      <c r="C97" s="2"/>
      <c r="D97" s="2"/>
      <c r="E97" s="2"/>
      <c r="F97" s="2"/>
      <c r="G97" s="2"/>
      <c r="H97" s="2"/>
      <c r="I97" s="2"/>
      <c r="J97" s="2"/>
      <c r="K97" s="2"/>
      <c r="P97" s="80" t="str">
        <f>'Binder Setup'!B97&amp;""</f>
        <v>Duskmourn: House of Horror Promos</v>
      </c>
      <c r="Q97" s="80">
        <f>IF(P97="",999,IF('Binder Setup'!C97=TRUE(),999,IF(COUNTIFS('Set Aliases'!$A$2:$A$501,P97,'Set Aliases'!$B$2:$B$501,"?*")&gt;0,999,96)))</f>
        <v>96</v>
      </c>
    </row>
    <row r="98" ht="15.75" customHeight="1">
      <c r="A98" s="2"/>
      <c r="B98" s="2"/>
      <c r="C98" s="2"/>
      <c r="D98" s="2"/>
      <c r="E98" s="2"/>
      <c r="F98" s="2"/>
      <c r="G98" s="2"/>
      <c r="H98" s="2"/>
      <c r="I98" s="2"/>
      <c r="J98" s="2"/>
      <c r="K98" s="2"/>
      <c r="P98" s="80" t="str">
        <f>'Binder Setup'!B98&amp;""</f>
        <v>Edge of Eternities</v>
      </c>
      <c r="Q98" s="80">
        <f>IF(P98="",999,IF('Binder Setup'!C98=TRUE(),999,IF(COUNTIFS('Set Aliases'!$A$2:$A$501,P98,'Set Aliases'!$B$2:$B$501,"?*")&gt;0,999,97)))</f>
        <v>97</v>
      </c>
    </row>
    <row r="99" ht="15.75" customHeight="1">
      <c r="A99" s="2"/>
      <c r="B99" s="2"/>
      <c r="C99" s="2"/>
      <c r="D99" s="2"/>
      <c r="E99" s="2"/>
      <c r="F99" s="2"/>
      <c r="G99" s="2"/>
      <c r="H99" s="2"/>
      <c r="I99" s="2"/>
      <c r="J99" s="2"/>
      <c r="K99" s="2"/>
      <c r="P99" s="80" t="str">
        <f>'Binder Setup'!B99&amp;""</f>
        <v>Edge of Eternities: Stellar Sights</v>
      </c>
      <c r="Q99" s="80">
        <f>IF(P99="",999,IF('Binder Setup'!C99=TRUE(),999,IF(COUNTIFS('Set Aliases'!$A$2:$A$501,P99,'Set Aliases'!$B$2:$B$501,"?*")&gt;0,999,98)))</f>
        <v>98</v>
      </c>
    </row>
    <row r="100" ht="15.75" customHeight="1">
      <c r="A100" s="2"/>
      <c r="B100" s="2"/>
      <c r="C100" s="2"/>
      <c r="D100" s="2"/>
      <c r="E100" s="2"/>
      <c r="F100" s="2"/>
      <c r="G100" s="2"/>
      <c r="H100" s="2"/>
      <c r="I100" s="2"/>
      <c r="J100" s="2"/>
      <c r="K100" s="2"/>
      <c r="P100" s="80" t="str">
        <f>'Binder Setup'!B100&amp;""</f>
        <v>Eventide</v>
      </c>
      <c r="Q100" s="80">
        <f>IF(P100="",999,IF('Binder Setup'!C100=TRUE(),999,IF(COUNTIFS('Set Aliases'!$A$2:$A$501,P100,'Set Aliases'!$B$2:$B$501,"?*")&gt;0,999,99)))</f>
        <v>99</v>
      </c>
    </row>
    <row r="101" ht="15.75" customHeight="1">
      <c r="A101" s="2"/>
      <c r="B101" s="2"/>
      <c r="C101" s="2"/>
      <c r="D101" s="2"/>
      <c r="E101" s="2"/>
      <c r="F101" s="2"/>
      <c r="G101" s="2"/>
      <c r="H101" s="2"/>
      <c r="I101" s="2"/>
      <c r="J101" s="2"/>
      <c r="K101" s="2"/>
      <c r="P101" s="80" t="str">
        <f>'Binder Setup'!B101&amp;""</f>
        <v>Final Fantasy: Through the Ages</v>
      </c>
      <c r="Q101" s="80">
        <f>IF(P101="",999,IF('Binder Setup'!C101=TRUE(),999,IF(COUNTIFS('Set Aliases'!$A$2:$A$501,P101,'Set Aliases'!$B$2:$B$501,"?*")&gt;0,999,100)))</f>
        <v>100</v>
      </c>
    </row>
    <row r="102" ht="15.75" customHeight="1">
      <c r="A102" s="2"/>
      <c r="B102" s="2"/>
      <c r="C102" s="2"/>
      <c r="D102" s="2"/>
      <c r="E102" s="2"/>
      <c r="F102" s="2"/>
      <c r="G102" s="2"/>
      <c r="H102" s="2"/>
      <c r="I102" s="2"/>
      <c r="J102" s="2"/>
      <c r="K102" s="2"/>
      <c r="P102" s="80" t="str">
        <f>'Binder Setup'!B102&amp;""</f>
        <v>From the Vault: Realms</v>
      </c>
      <c r="Q102" s="80">
        <f>IF(P102="",999,IF('Binder Setup'!C102=TRUE(),999,IF(COUNTIFS('Set Aliases'!$A$2:$A$501,P102,'Set Aliases'!$B$2:$B$501,"?*")&gt;0,999,101)))</f>
        <v>101</v>
      </c>
    </row>
    <row r="103" ht="15.75" customHeight="1">
      <c r="A103" s="2"/>
      <c r="B103" s="2"/>
      <c r="C103" s="2"/>
      <c r="D103" s="2"/>
      <c r="E103" s="2"/>
      <c r="F103" s="2"/>
      <c r="G103" s="2"/>
      <c r="H103" s="2"/>
      <c r="I103" s="2"/>
      <c r="J103" s="2"/>
      <c r="K103" s="2"/>
      <c r="P103" s="80" t="str">
        <f>'Binder Setup'!B103&amp;""</f>
        <v>GRN Guild Kit</v>
      </c>
      <c r="Q103" s="80">
        <f>IF(P103="",999,IF('Binder Setup'!C103=TRUE(),999,IF(COUNTIFS('Set Aliases'!$A$2:$A$501,P103,'Set Aliases'!$B$2:$B$501,"?*")&gt;0,999,102)))</f>
        <v>102</v>
      </c>
    </row>
    <row r="104" ht="15.75" customHeight="1">
      <c r="A104" s="2"/>
      <c r="B104" s="2"/>
      <c r="C104" s="2"/>
      <c r="D104" s="2"/>
      <c r="E104" s="2"/>
      <c r="F104" s="2"/>
      <c r="G104" s="2"/>
      <c r="H104" s="2"/>
      <c r="I104" s="2"/>
      <c r="J104" s="2"/>
      <c r="K104" s="2"/>
      <c r="P104" s="80" t="str">
        <f>'Binder Setup'!B104&amp;""</f>
        <v>Hour of Devastation</v>
      </c>
      <c r="Q104" s="80">
        <f>IF(P104="",999,IF('Binder Setup'!C104=TRUE(),999,IF(COUNTIFS('Set Aliases'!$A$2:$A$501,P104,'Set Aliases'!$B$2:$B$501,"?*")&gt;0,999,103)))</f>
        <v>103</v>
      </c>
    </row>
    <row r="105" ht="15.75" customHeight="1">
      <c r="A105" s="2"/>
      <c r="B105" s="2"/>
      <c r="C105" s="2"/>
      <c r="D105" s="2"/>
      <c r="E105" s="2"/>
      <c r="F105" s="2"/>
      <c r="G105" s="2"/>
      <c r="H105" s="2"/>
      <c r="I105" s="2"/>
      <c r="J105" s="2"/>
      <c r="K105" s="2"/>
      <c r="P105" s="80" t="str">
        <f>'Binder Setup'!B105&amp;""</f>
        <v>Hour of Devastation Promos</v>
      </c>
      <c r="Q105" s="80">
        <f>IF(P105="",999,IF('Binder Setup'!C105=TRUE(),999,IF(COUNTIFS('Set Aliases'!$A$2:$A$501,P105,'Set Aliases'!$B$2:$B$501,"?*")&gt;0,999,104)))</f>
        <v>104</v>
      </c>
    </row>
    <row r="106" ht="15.75" customHeight="1">
      <c r="A106" s="2"/>
      <c r="B106" s="2"/>
      <c r="C106" s="2"/>
      <c r="D106" s="2"/>
      <c r="E106" s="2"/>
      <c r="F106" s="2"/>
      <c r="G106" s="2"/>
      <c r="H106" s="2"/>
      <c r="I106" s="2"/>
      <c r="J106" s="2"/>
      <c r="K106" s="2"/>
      <c r="P106" s="80" t="str">
        <f>'Binder Setup'!B106&amp;""</f>
        <v>Innistrad Remastered</v>
      </c>
      <c r="Q106" s="80">
        <f>IF(P106="",999,IF('Binder Setup'!C106=TRUE(),999,IF(COUNTIFS('Set Aliases'!$A$2:$A$501,P106,'Set Aliases'!$B$2:$B$501,"?*")&gt;0,999,105)))</f>
        <v>105</v>
      </c>
    </row>
    <row r="107" ht="15.75" customHeight="1">
      <c r="A107" s="2"/>
      <c r="B107" s="2"/>
      <c r="C107" s="2"/>
      <c r="D107" s="2"/>
      <c r="E107" s="2"/>
      <c r="F107" s="2"/>
      <c r="G107" s="2"/>
      <c r="H107" s="2"/>
      <c r="I107" s="2"/>
      <c r="J107" s="2"/>
      <c r="K107" s="2"/>
      <c r="P107" s="80" t="str">
        <f>'Binder Setup'!B107&amp;""</f>
        <v>Judge Gift Cards 2012</v>
      </c>
      <c r="Q107" s="80">
        <f>IF(P107="",999,IF('Binder Setup'!C107=TRUE(),999,IF(COUNTIFS('Set Aliases'!$A$2:$A$501,P107,'Set Aliases'!$B$2:$B$501,"?*")&gt;0,999,106)))</f>
        <v>106</v>
      </c>
    </row>
    <row r="108" ht="15.75" customHeight="1">
      <c r="A108" s="2"/>
      <c r="B108" s="2"/>
      <c r="C108" s="2"/>
      <c r="D108" s="2"/>
      <c r="E108" s="2"/>
      <c r="F108" s="2"/>
      <c r="G108" s="2"/>
      <c r="H108" s="2"/>
      <c r="I108" s="2"/>
      <c r="J108" s="2"/>
      <c r="K108" s="2"/>
      <c r="P108" s="80" t="str">
        <f>'Binder Setup'!B108&amp;""</f>
        <v>Judge Gift Cards 2016</v>
      </c>
      <c r="Q108" s="80">
        <f>IF(P108="",999,IF('Binder Setup'!C108=TRUE(),999,IF(COUNTIFS('Set Aliases'!$A$2:$A$501,P108,'Set Aliases'!$B$2:$B$501,"?*")&gt;0,999,107)))</f>
        <v>107</v>
      </c>
    </row>
    <row r="109" ht="15.75" customHeight="1">
      <c r="A109" s="2"/>
      <c r="B109" s="2"/>
      <c r="C109" s="2"/>
      <c r="D109" s="2"/>
      <c r="E109" s="2"/>
      <c r="F109" s="2"/>
      <c r="G109" s="2"/>
      <c r="H109" s="2"/>
      <c r="I109" s="2"/>
      <c r="J109" s="2"/>
      <c r="K109" s="2"/>
      <c r="P109" s="80" t="str">
        <f>'Binder Setup'!B109&amp;""</f>
        <v>Judge Gift Cards 2023</v>
      </c>
      <c r="Q109" s="80">
        <f>IF(P109="",999,IF('Binder Setup'!C109=TRUE(),999,IF(COUNTIFS('Set Aliases'!$A$2:$A$501,P109,'Set Aliases'!$B$2:$B$501,"?*")&gt;0,999,108)))</f>
        <v>108</v>
      </c>
    </row>
    <row r="110" ht="15.75" customHeight="1">
      <c r="A110" s="2"/>
      <c r="B110" s="2"/>
      <c r="C110" s="2"/>
      <c r="D110" s="2"/>
      <c r="E110" s="2"/>
      <c r="F110" s="2"/>
      <c r="G110" s="2"/>
      <c r="H110" s="2"/>
      <c r="I110" s="2"/>
      <c r="J110" s="2"/>
      <c r="K110" s="2"/>
      <c r="P110" s="80" t="str">
        <f>'Binder Setup'!B110&amp;""</f>
        <v>Jurassic World Collection</v>
      </c>
      <c r="Q110" s="80">
        <f>IF(P110="",999,IF('Binder Setup'!C110=TRUE(),999,IF(COUNTIFS('Set Aliases'!$A$2:$A$501,P110,'Set Aliases'!$B$2:$B$501,"?*")&gt;0,999,109)))</f>
        <v>109</v>
      </c>
    </row>
    <row r="111" ht="15.75" customHeight="1">
      <c r="A111" s="2"/>
      <c r="B111" s="2"/>
      <c r="C111" s="2"/>
      <c r="D111" s="2"/>
      <c r="E111" s="2"/>
      <c r="F111" s="2"/>
      <c r="G111" s="2"/>
      <c r="H111" s="2"/>
      <c r="I111" s="2"/>
      <c r="J111" s="2"/>
      <c r="K111" s="2"/>
      <c r="P111" s="80" t="str">
        <f>'Binder Setup'!B111&amp;""</f>
        <v>Kaladesh Inventions</v>
      </c>
      <c r="Q111" s="80">
        <f>IF(P111="",999,IF('Binder Setup'!C111=TRUE(),999,IF(COUNTIFS('Set Aliases'!$A$2:$A$501,P111,'Set Aliases'!$B$2:$B$501,"?*")&gt;0,999,110)))</f>
        <v>110</v>
      </c>
    </row>
    <row r="112" ht="15.75" customHeight="1">
      <c r="A112" s="2"/>
      <c r="B112" s="2"/>
      <c r="C112" s="2"/>
      <c r="D112" s="2"/>
      <c r="E112" s="2"/>
      <c r="F112" s="2"/>
      <c r="G112" s="2"/>
      <c r="H112" s="2"/>
      <c r="I112" s="2"/>
      <c r="J112" s="2"/>
      <c r="K112" s="2"/>
      <c r="P112" s="80" t="str">
        <f>'Binder Setup'!B112&amp;""</f>
        <v>Kaldheim Commander</v>
      </c>
      <c r="Q112" s="80">
        <f>IF(P112="",999,IF('Binder Setup'!C112=TRUE(),999,IF(COUNTIFS('Set Aliases'!$A$2:$A$501,P112,'Set Aliases'!$B$2:$B$501,"?*")&gt;0,999,111)))</f>
        <v>111</v>
      </c>
    </row>
    <row r="113" ht="15.75" customHeight="1">
      <c r="A113" s="2"/>
      <c r="B113" s="2"/>
      <c r="C113" s="2"/>
      <c r="D113" s="2"/>
      <c r="E113" s="2"/>
      <c r="F113" s="2"/>
      <c r="G113" s="2"/>
      <c r="H113" s="2"/>
      <c r="I113" s="2"/>
      <c r="J113" s="2"/>
      <c r="K113" s="2"/>
      <c r="P113" s="80" t="str">
        <f>'Binder Setup'!B113&amp;""</f>
        <v>Lorwyn</v>
      </c>
      <c r="Q113" s="80">
        <f>IF(P113="",999,IF('Binder Setup'!C113=TRUE(),999,IF(COUNTIFS('Set Aliases'!$A$2:$A$501,P113,'Set Aliases'!$B$2:$B$501,"?*")&gt;0,999,112)))</f>
        <v>112</v>
      </c>
    </row>
    <row r="114" ht="15.75" customHeight="1">
      <c r="A114" s="2"/>
      <c r="B114" s="2"/>
      <c r="C114" s="2"/>
      <c r="D114" s="2"/>
      <c r="E114" s="2"/>
      <c r="F114" s="2"/>
      <c r="G114" s="2"/>
      <c r="H114" s="2"/>
      <c r="I114" s="2"/>
      <c r="J114" s="2"/>
      <c r="K114" s="2"/>
      <c r="P114" s="80" t="str">
        <f>'Binder Setup'!B114&amp;""</f>
        <v>Magic 2011</v>
      </c>
      <c r="Q114" s="80">
        <f>IF(P114="",999,IF('Binder Setup'!C114=TRUE(),999,IF(COUNTIFS('Set Aliases'!$A$2:$A$501,P114,'Set Aliases'!$B$2:$B$501,"?*")&gt;0,999,113)))</f>
        <v>113</v>
      </c>
    </row>
    <row r="115" ht="15.75" customHeight="1">
      <c r="A115" s="2"/>
      <c r="B115" s="2"/>
      <c r="C115" s="2"/>
      <c r="D115" s="2"/>
      <c r="E115" s="2"/>
      <c r="F115" s="2"/>
      <c r="G115" s="2"/>
      <c r="H115" s="2"/>
      <c r="I115" s="2"/>
      <c r="J115" s="2"/>
      <c r="K115" s="2"/>
      <c r="P115" s="80" t="str">
        <f>'Binder Setup'!B115&amp;""</f>
        <v>Magic 2015</v>
      </c>
      <c r="Q115" s="80">
        <f>IF(P115="",999,IF('Binder Setup'!C115=TRUE(),999,IF(COUNTIFS('Set Aliases'!$A$2:$A$501,P115,'Set Aliases'!$B$2:$B$501,"?*")&gt;0,999,114)))</f>
        <v>114</v>
      </c>
    </row>
    <row r="116" ht="15.75" customHeight="1">
      <c r="A116" s="2"/>
      <c r="B116" s="2"/>
      <c r="C116" s="2"/>
      <c r="D116" s="2"/>
      <c r="E116" s="2"/>
      <c r="F116" s="2"/>
      <c r="G116" s="2"/>
      <c r="H116" s="2"/>
      <c r="I116" s="2"/>
      <c r="J116" s="2"/>
      <c r="K116" s="2"/>
      <c r="P116" s="80" t="str">
        <f>'Binder Setup'!B116&amp;""</f>
        <v>March of the Machine</v>
      </c>
      <c r="Q116" s="80">
        <f>IF(P116="",999,IF('Binder Setup'!C116=TRUE(),999,IF(COUNTIFS('Set Aliases'!$A$2:$A$501,P116,'Set Aliases'!$B$2:$B$501,"?*")&gt;0,999,115)))</f>
        <v>115</v>
      </c>
    </row>
    <row r="117" ht="15.75" customHeight="1">
      <c r="A117" s="2"/>
      <c r="B117" s="2"/>
      <c r="C117" s="2"/>
      <c r="D117" s="2"/>
      <c r="E117" s="2"/>
      <c r="F117" s="2"/>
      <c r="G117" s="2"/>
      <c r="H117" s="2"/>
      <c r="I117" s="2"/>
      <c r="J117" s="2"/>
      <c r="K117" s="2"/>
      <c r="P117" s="80" t="str">
        <f>'Binder Setup'!B117&amp;""</f>
        <v>March of the Machine Promos</v>
      </c>
      <c r="Q117" s="80">
        <f>IF(P117="",999,IF('Binder Setup'!C117=TRUE(),999,IF(COUNTIFS('Set Aliases'!$A$2:$A$501,P117,'Set Aliases'!$B$2:$B$501,"?*")&gt;0,999,116)))</f>
        <v>116</v>
      </c>
    </row>
    <row r="118" ht="15.75" customHeight="1">
      <c r="A118" s="2"/>
      <c r="B118" s="2"/>
      <c r="C118" s="2"/>
      <c r="D118" s="2"/>
      <c r="E118" s="2"/>
      <c r="F118" s="2"/>
      <c r="G118" s="2"/>
      <c r="H118" s="2"/>
      <c r="I118" s="2"/>
      <c r="J118" s="2"/>
      <c r="K118" s="2"/>
      <c r="P118" s="80" t="str">
        <f>'Binder Setup'!B118&amp;""</f>
        <v>March of the Machine: The Aftermath</v>
      </c>
      <c r="Q118" s="80">
        <f>IF(P118="",999,IF('Binder Setup'!C118=TRUE(),999,IF(COUNTIFS('Set Aliases'!$A$2:$A$501,P118,'Set Aliases'!$B$2:$B$501,"?*")&gt;0,999,117)))</f>
        <v>117</v>
      </c>
    </row>
    <row r="119" ht="15.75" customHeight="1">
      <c r="A119" s="2"/>
      <c r="B119" s="2"/>
      <c r="C119" s="2"/>
      <c r="D119" s="2"/>
      <c r="E119" s="2"/>
      <c r="F119" s="2"/>
      <c r="G119" s="2"/>
      <c r="H119" s="2"/>
      <c r="I119" s="2"/>
      <c r="J119" s="2"/>
      <c r="K119" s="2"/>
      <c r="P119" s="80" t="str">
        <f>'Binder Setup'!B119&amp;""</f>
        <v>Marvel Super Heroes</v>
      </c>
      <c r="Q119" s="80">
        <f>IF(P119="",999,IF('Binder Setup'!C119=TRUE(),999,IF(COUNTIFS('Set Aliases'!$A$2:$A$501,P119,'Set Aliases'!$B$2:$B$501,"?*")&gt;0,999,118)))</f>
        <v>118</v>
      </c>
    </row>
    <row r="120" ht="15.75" customHeight="1">
      <c r="A120" s="2"/>
      <c r="B120" s="2"/>
      <c r="C120" s="2"/>
      <c r="D120" s="2"/>
      <c r="E120" s="2"/>
      <c r="F120" s="2"/>
      <c r="G120" s="2"/>
      <c r="H120" s="2"/>
      <c r="I120" s="2"/>
      <c r="J120" s="2"/>
      <c r="K120" s="2"/>
      <c r="P120" s="80" t="str">
        <f>'Binder Setup'!B120&amp;""</f>
        <v>Masters 25</v>
      </c>
      <c r="Q120" s="80">
        <f>IF(P120="",999,IF('Binder Setup'!C120=TRUE(),999,IF(COUNTIFS('Set Aliases'!$A$2:$A$501,P120,'Set Aliases'!$B$2:$B$501,"?*")&gt;0,999,119)))</f>
        <v>119</v>
      </c>
    </row>
    <row r="121" ht="15.75" customHeight="1">
      <c r="A121" s="2"/>
      <c r="B121" s="2"/>
      <c r="C121" s="2"/>
      <c r="D121" s="2"/>
      <c r="E121" s="2"/>
      <c r="F121" s="2"/>
      <c r="G121" s="2"/>
      <c r="H121" s="2"/>
      <c r="I121" s="2"/>
      <c r="J121" s="2"/>
      <c r="K121" s="2"/>
      <c r="P121" s="80" t="str">
        <f>'Binder Setup'!B121&amp;""</f>
        <v>Modern Event Deck 2014</v>
      </c>
      <c r="Q121" s="80">
        <f>IF(P121="",999,IF('Binder Setup'!C121=TRUE(),999,IF(COUNTIFS('Set Aliases'!$A$2:$A$501,P121,'Set Aliases'!$B$2:$B$501,"?*")&gt;0,999,120)))</f>
        <v>120</v>
      </c>
    </row>
    <row r="122" ht="15.75" customHeight="1">
      <c r="A122" s="2"/>
      <c r="B122" s="2"/>
      <c r="C122" s="2"/>
      <c r="D122" s="2"/>
      <c r="E122" s="2"/>
      <c r="F122" s="2"/>
      <c r="G122" s="2"/>
      <c r="H122" s="2"/>
      <c r="I122" s="2"/>
      <c r="J122" s="2"/>
      <c r="K122" s="2"/>
      <c r="P122" s="80" t="str">
        <f>'Binder Setup'!B122&amp;""</f>
        <v>Modern Horizons 1 Timeshifts</v>
      </c>
      <c r="Q122" s="80">
        <f>IF(P122="",999,IF('Binder Setup'!C122=TRUE(),999,IF(COUNTIFS('Set Aliases'!$A$2:$A$501,P122,'Set Aliases'!$B$2:$B$501,"?*")&gt;0,999,121)))</f>
        <v>121</v>
      </c>
    </row>
    <row r="123" ht="15.75" customHeight="1">
      <c r="A123" s="2"/>
      <c r="B123" s="2"/>
      <c r="C123" s="2"/>
      <c r="D123" s="2"/>
      <c r="E123" s="2"/>
      <c r="F123" s="2"/>
      <c r="G123" s="2"/>
      <c r="H123" s="2"/>
      <c r="I123" s="2"/>
      <c r="J123" s="2"/>
      <c r="K123" s="2"/>
      <c r="P123" s="80" t="str">
        <f>'Binder Setup'!B123&amp;""</f>
        <v>Modern Horizons 2 Promos</v>
      </c>
      <c r="Q123" s="80">
        <f>IF(P123="",999,IF('Binder Setup'!C123=TRUE(),999,IF(COUNTIFS('Set Aliases'!$A$2:$A$501,P123,'Set Aliases'!$B$2:$B$501,"?*")&gt;0,999,122)))</f>
        <v>122</v>
      </c>
    </row>
    <row r="124" ht="15.75" customHeight="1">
      <c r="A124" s="2"/>
      <c r="B124" s="2"/>
      <c r="C124" s="2"/>
      <c r="D124" s="2"/>
      <c r="E124" s="2"/>
      <c r="F124" s="2"/>
      <c r="G124" s="2"/>
      <c r="H124" s="2"/>
      <c r="I124" s="2"/>
      <c r="J124" s="2"/>
      <c r="K124" s="2"/>
      <c r="P124" s="80" t="str">
        <f>'Binder Setup'!B124&amp;""</f>
        <v>Modern Horizons 3 Promos</v>
      </c>
      <c r="Q124" s="80">
        <f>IF(P124="",999,IF('Binder Setup'!C124=TRUE(),999,IF(COUNTIFS('Set Aliases'!$A$2:$A$501,P124,'Set Aliases'!$B$2:$B$501,"?*")&gt;0,999,123)))</f>
        <v>123</v>
      </c>
    </row>
    <row r="125" ht="15.75" customHeight="1">
      <c r="A125" s="2"/>
      <c r="B125" s="2"/>
      <c r="C125" s="2"/>
      <c r="D125" s="2"/>
      <c r="E125" s="2"/>
      <c r="F125" s="2"/>
      <c r="G125" s="2"/>
      <c r="H125" s="2"/>
      <c r="I125" s="2"/>
      <c r="J125" s="2"/>
      <c r="K125" s="2"/>
      <c r="P125" s="80" t="str">
        <f>'Binder Setup'!B125&amp;""</f>
        <v>Modern Masters 2017</v>
      </c>
      <c r="Q125" s="80">
        <f>IF(P125="",999,IF('Binder Setup'!C125=TRUE(),999,IF(COUNTIFS('Set Aliases'!$A$2:$A$501,P125,'Set Aliases'!$B$2:$B$501,"?*")&gt;0,999,124)))</f>
        <v>124</v>
      </c>
    </row>
    <row r="126" ht="15.75" customHeight="1">
      <c r="A126" s="2"/>
      <c r="B126" s="2"/>
      <c r="C126" s="2"/>
      <c r="D126" s="2"/>
      <c r="E126" s="2"/>
      <c r="F126" s="2"/>
      <c r="G126" s="2"/>
      <c r="H126" s="2"/>
      <c r="I126" s="2"/>
      <c r="J126" s="2"/>
      <c r="K126" s="2"/>
      <c r="P126" s="80" t="str">
        <f>'Binder Setup'!B126&amp;""</f>
        <v>Mystery Booster 2</v>
      </c>
      <c r="Q126" s="80">
        <f>IF(P126="",999,IF('Binder Setup'!C126=TRUE(),999,IF(COUNTIFS('Set Aliases'!$A$2:$A$501,P126,'Set Aliases'!$B$2:$B$501,"?*")&gt;0,999,125)))</f>
        <v>125</v>
      </c>
    </row>
    <row r="127" ht="15.75" customHeight="1">
      <c r="A127" s="2"/>
      <c r="B127" s="2"/>
      <c r="C127" s="2"/>
      <c r="D127" s="2"/>
      <c r="E127" s="2"/>
      <c r="F127" s="2"/>
      <c r="G127" s="2"/>
      <c r="H127" s="2"/>
      <c r="I127" s="2"/>
      <c r="J127" s="2"/>
      <c r="K127" s="2"/>
      <c r="P127" s="80" t="str">
        <f>'Binder Setup'!B127&amp;""</f>
        <v>Mystery Booster Commander Edition</v>
      </c>
      <c r="Q127" s="80">
        <f>IF(P127="",999,IF('Binder Setup'!C127=TRUE(),999,IF(COUNTIFS('Set Aliases'!$A$2:$A$501,P127,'Set Aliases'!$B$2:$B$501,"?*")&gt;0,999,126)))</f>
        <v>126</v>
      </c>
    </row>
    <row r="128" ht="15.75" customHeight="1">
      <c r="A128" s="2"/>
      <c r="B128" s="2"/>
      <c r="C128" s="2"/>
      <c r="D128" s="2"/>
      <c r="E128" s="2"/>
      <c r="F128" s="2"/>
      <c r="G128" s="2"/>
      <c r="H128" s="2"/>
      <c r="I128" s="2"/>
      <c r="J128" s="2"/>
      <c r="K128" s="2"/>
      <c r="P128" s="80" t="str">
        <f>'Binder Setup'!B128&amp;""</f>
        <v>New Phyrexia</v>
      </c>
      <c r="Q128" s="80">
        <f>IF(P128="",999,IF('Binder Setup'!C128=TRUE(),999,IF(COUNTIFS('Set Aliases'!$A$2:$A$501,P128,'Set Aliases'!$B$2:$B$501,"?*")&gt;0,999,127)))</f>
        <v>127</v>
      </c>
    </row>
    <row r="129" ht="15.75" customHeight="1">
      <c r="A129" s="2"/>
      <c r="B129" s="2"/>
      <c r="C129" s="2"/>
      <c r="D129" s="2"/>
      <c r="E129" s="2"/>
      <c r="F129" s="2"/>
      <c r="G129" s="2"/>
      <c r="H129" s="2"/>
      <c r="I129" s="2"/>
      <c r="J129" s="2"/>
      <c r="K129" s="2"/>
      <c r="P129" s="80" t="str">
        <f>'Binder Setup'!B129&amp;""</f>
        <v>Ninth Edition</v>
      </c>
      <c r="Q129" s="80">
        <f>IF(P129="",999,IF('Binder Setup'!C129=TRUE(),999,IF(COUNTIFS('Set Aliases'!$A$2:$A$501,P129,'Set Aliases'!$B$2:$B$501,"?*")&gt;0,999,128)))</f>
        <v>128</v>
      </c>
    </row>
    <row r="130" ht="15.75" customHeight="1">
      <c r="A130" s="2"/>
      <c r="B130" s="2"/>
      <c r="C130" s="2"/>
      <c r="D130" s="2"/>
      <c r="E130" s="2"/>
      <c r="F130" s="2"/>
      <c r="G130" s="2"/>
      <c r="H130" s="2"/>
      <c r="I130" s="2"/>
      <c r="J130" s="2"/>
      <c r="K130" s="2"/>
      <c r="P130" s="80" t="str">
        <f>'Binder Setup'!B130&amp;""</f>
        <v>Pioneer Challenger Decks 2021</v>
      </c>
      <c r="Q130" s="80">
        <f>IF(P130="",999,IF('Binder Setup'!C130=TRUE(),999,IF(COUNTIFS('Set Aliases'!$A$2:$A$501,P130,'Set Aliases'!$B$2:$B$501,"?*")&gt;0,999,129)))</f>
        <v>129</v>
      </c>
    </row>
    <row r="131" ht="15.75" customHeight="1">
      <c r="A131" s="2"/>
      <c r="B131" s="2"/>
      <c r="C131" s="2"/>
      <c r="D131" s="2"/>
      <c r="E131" s="2"/>
      <c r="F131" s="2"/>
      <c r="G131" s="2"/>
      <c r="H131" s="2"/>
      <c r="I131" s="2"/>
      <c r="J131" s="2"/>
      <c r="K131" s="2"/>
      <c r="P131" s="80" t="str">
        <f>'Binder Setup'!B131&amp;""</f>
        <v>Planechase</v>
      </c>
      <c r="Q131" s="80">
        <f>IF(P131="",999,IF('Binder Setup'!C131=TRUE(),999,IF(COUNTIFS('Set Aliases'!$A$2:$A$501,P131,'Set Aliases'!$B$2:$B$501,"?*")&gt;0,999,130)))</f>
        <v>130</v>
      </c>
    </row>
    <row r="132" ht="15.75" customHeight="1">
      <c r="A132" s="2"/>
      <c r="B132" s="2"/>
      <c r="C132" s="2"/>
      <c r="D132" s="2"/>
      <c r="E132" s="2"/>
      <c r="F132" s="2"/>
      <c r="G132" s="2"/>
      <c r="H132" s="2"/>
      <c r="I132" s="2"/>
      <c r="J132" s="2"/>
      <c r="K132" s="2"/>
      <c r="P132" s="80" t="str">
        <f>'Binder Setup'!B132&amp;""</f>
        <v>Planechase 2012</v>
      </c>
      <c r="Q132" s="80">
        <f>IF(P132="",999,IF('Binder Setup'!C132=TRUE(),999,IF(COUNTIFS('Set Aliases'!$A$2:$A$501,P132,'Set Aliases'!$B$2:$B$501,"?*")&gt;0,999,131)))</f>
        <v>131</v>
      </c>
    </row>
    <row r="133" ht="15.75" customHeight="1">
      <c r="A133" s="2"/>
      <c r="B133" s="2"/>
      <c r="C133" s="2"/>
      <c r="D133" s="2"/>
      <c r="E133" s="2"/>
      <c r="F133" s="2"/>
      <c r="G133" s="2"/>
      <c r="H133" s="2"/>
      <c r="I133" s="2"/>
      <c r="J133" s="2"/>
      <c r="K133" s="2"/>
      <c r="P133" s="80" t="str">
        <f>'Binder Setup'!B133&amp;""</f>
        <v>Planechase Anthology</v>
      </c>
      <c r="Q133" s="80">
        <f>IF(P133="",999,IF('Binder Setup'!C133=TRUE(),999,IF(COUNTIFS('Set Aliases'!$A$2:$A$501,P133,'Set Aliases'!$B$2:$B$501,"?*")&gt;0,999,132)))</f>
        <v>132</v>
      </c>
    </row>
    <row r="134" ht="15.75" customHeight="1">
      <c r="A134" s="2"/>
      <c r="B134" s="2"/>
      <c r="C134" s="2"/>
      <c r="D134" s="2"/>
      <c r="E134" s="2"/>
      <c r="F134" s="2"/>
      <c r="G134" s="2"/>
      <c r="H134" s="2"/>
      <c r="I134" s="2"/>
      <c r="J134" s="2"/>
      <c r="K134" s="2"/>
      <c r="P134" s="80" t="str">
        <f>'Binder Setup'!B134&amp;""</f>
        <v>Ravnica Remastered</v>
      </c>
      <c r="Q134" s="80">
        <f>IF(P134="",999,IF('Binder Setup'!C134=TRUE(),999,IF(COUNTIFS('Set Aliases'!$A$2:$A$501,P134,'Set Aliases'!$B$2:$B$501,"?*")&gt;0,999,133)))</f>
        <v>133</v>
      </c>
    </row>
    <row r="135" ht="15.75" customHeight="1">
      <c r="A135" s="2"/>
      <c r="B135" s="2"/>
      <c r="C135" s="2"/>
      <c r="D135" s="2"/>
      <c r="E135" s="2"/>
      <c r="F135" s="2"/>
      <c r="G135" s="2"/>
      <c r="H135" s="2"/>
      <c r="I135" s="2"/>
      <c r="J135" s="2"/>
      <c r="K135" s="2"/>
      <c r="P135" s="80" t="str">
        <f>'Binder Setup'!B135&amp;""</f>
        <v>Ravnica: City of Guilds</v>
      </c>
      <c r="Q135" s="80">
        <f>IF(P135="",999,IF('Binder Setup'!C135=TRUE(),999,IF(COUNTIFS('Set Aliases'!$A$2:$A$501,P135,'Set Aliases'!$B$2:$B$501,"?*")&gt;0,999,134)))</f>
        <v>134</v>
      </c>
    </row>
    <row r="136" ht="15.75" customHeight="1">
      <c r="A136" s="2"/>
      <c r="B136" s="2"/>
      <c r="C136" s="2"/>
      <c r="D136" s="2"/>
      <c r="E136" s="2"/>
      <c r="F136" s="2"/>
      <c r="G136" s="2"/>
      <c r="H136" s="2"/>
      <c r="I136" s="2"/>
      <c r="J136" s="2"/>
      <c r="K136" s="2"/>
      <c r="P136" s="80" t="str">
        <f>'Binder Setup'!B136&amp;""</f>
        <v>Ravnica: Clue Edition</v>
      </c>
      <c r="Q136" s="80">
        <f>IF(P136="",999,IF('Binder Setup'!C136=TRUE(),999,IF(COUNTIFS('Set Aliases'!$A$2:$A$501,P136,'Set Aliases'!$B$2:$B$501,"?*")&gt;0,999,135)))</f>
        <v>135</v>
      </c>
    </row>
    <row r="137" ht="15.75" customHeight="1">
      <c r="A137" s="2"/>
      <c r="B137" s="2"/>
      <c r="C137" s="2"/>
      <c r="D137" s="2"/>
      <c r="E137" s="2"/>
      <c r="F137" s="2"/>
      <c r="G137" s="2"/>
      <c r="H137" s="2"/>
      <c r="I137" s="2"/>
      <c r="J137" s="2"/>
      <c r="K137" s="2"/>
      <c r="P137" s="80" t="str">
        <f>'Binder Setup'!B137&amp;""</f>
        <v>Reality Fracture</v>
      </c>
      <c r="Q137" s="80">
        <f>IF(P137="",999,IF('Binder Setup'!C137=TRUE(),999,IF(COUNTIFS('Set Aliases'!$A$2:$A$501,P137,'Set Aliases'!$B$2:$B$501,"?*")&gt;0,999,136)))</f>
        <v>136</v>
      </c>
    </row>
    <row r="138" ht="15.75" customHeight="1">
      <c r="A138" s="2"/>
      <c r="B138" s="2"/>
      <c r="C138" s="2"/>
      <c r="D138" s="2"/>
      <c r="E138" s="2"/>
      <c r="F138" s="2"/>
      <c r="G138" s="2"/>
      <c r="H138" s="2"/>
      <c r="I138" s="2"/>
      <c r="J138" s="2"/>
      <c r="K138" s="2"/>
      <c r="P138" s="80" t="str">
        <f>'Binder Setup'!B138&amp;""</f>
        <v>Reality Fracture Promos</v>
      </c>
      <c r="Q138" s="80">
        <f>IF(P138="",999,IF('Binder Setup'!C138=TRUE(),999,IF(COUNTIFS('Set Aliases'!$A$2:$A$501,P138,'Set Aliases'!$B$2:$B$501,"?*")&gt;0,999,137)))</f>
        <v>137</v>
      </c>
    </row>
    <row r="139" ht="15.75" customHeight="1">
      <c r="A139" s="2"/>
      <c r="B139" s="2"/>
      <c r="C139" s="2"/>
      <c r="D139" s="2"/>
      <c r="E139" s="2"/>
      <c r="F139" s="2"/>
      <c r="G139" s="2"/>
      <c r="H139" s="2"/>
      <c r="I139" s="2"/>
      <c r="J139" s="2"/>
      <c r="K139" s="2"/>
      <c r="P139" s="80" t="str">
        <f>'Binder Setup'!B139&amp;""</f>
        <v>San Diego Comic-Con 2017</v>
      </c>
      <c r="Q139" s="80">
        <f>IF(P139="",999,IF('Binder Setup'!C139=TRUE(),999,IF(COUNTIFS('Set Aliases'!$A$2:$A$501,P139,'Set Aliases'!$B$2:$B$501,"?*")&gt;0,999,138)))</f>
        <v>138</v>
      </c>
    </row>
    <row r="140" ht="15.75" customHeight="1">
      <c r="A140" s="2"/>
      <c r="B140" s="2"/>
      <c r="C140" s="2"/>
      <c r="D140" s="2"/>
      <c r="E140" s="2"/>
      <c r="F140" s="2"/>
      <c r="G140" s="2"/>
      <c r="H140" s="2"/>
      <c r="I140" s="2"/>
      <c r="J140" s="2"/>
      <c r="K140" s="2"/>
      <c r="P140" s="80" t="str">
        <f>'Binder Setup'!B140&amp;""</f>
        <v>San Diego Comic-Con 2018</v>
      </c>
      <c r="Q140" s="80">
        <f>IF(P140="",999,IF('Binder Setup'!C140=TRUE(),999,IF(COUNTIFS('Set Aliases'!$A$2:$A$501,P140,'Set Aliases'!$B$2:$B$501,"?*")&gt;0,999,139)))</f>
        <v>139</v>
      </c>
    </row>
    <row r="141" ht="15.75" customHeight="1">
      <c r="A141" s="2"/>
      <c r="B141" s="2"/>
      <c r="C141" s="2"/>
      <c r="D141" s="2"/>
      <c r="E141" s="2"/>
      <c r="F141" s="2"/>
      <c r="G141" s="2"/>
      <c r="H141" s="2"/>
      <c r="I141" s="2"/>
      <c r="J141" s="2"/>
      <c r="K141" s="2"/>
      <c r="P141" s="80" t="str">
        <f>'Binder Setup'!B141&amp;""</f>
        <v>Secret Lair Countdown</v>
      </c>
      <c r="Q141" s="80">
        <f>IF(P141="",999,IF('Binder Setup'!C141=TRUE(),999,IF(COUNTIFS('Set Aliases'!$A$2:$A$501,P141,'Set Aliases'!$B$2:$B$501,"?*")&gt;0,999,140)))</f>
        <v>140</v>
      </c>
    </row>
    <row r="142" ht="15.75" customHeight="1">
      <c r="A142" s="2"/>
      <c r="B142" s="2"/>
      <c r="C142" s="2"/>
      <c r="D142" s="2"/>
      <c r="E142" s="2"/>
      <c r="F142" s="2"/>
      <c r="G142" s="2"/>
      <c r="H142" s="2"/>
      <c r="I142" s="2"/>
      <c r="J142" s="2"/>
      <c r="K142" s="2"/>
      <c r="P142" s="80" t="str">
        <f>'Binder Setup'!B142&amp;""</f>
        <v>Signature Spellbook: Chandra</v>
      </c>
      <c r="Q142" s="80">
        <f>IF(P142="",999,IF('Binder Setup'!C142=TRUE(),999,IF(COUNTIFS('Set Aliases'!$A$2:$A$501,P142,'Set Aliases'!$B$2:$B$501,"?*")&gt;0,999,141)))</f>
        <v>141</v>
      </c>
    </row>
    <row r="143" ht="15.75" customHeight="1">
      <c r="A143" s="2"/>
      <c r="B143" s="2"/>
      <c r="C143" s="2"/>
      <c r="D143" s="2"/>
      <c r="E143" s="2"/>
      <c r="F143" s="2"/>
      <c r="G143" s="2"/>
      <c r="H143" s="2"/>
      <c r="I143" s="2"/>
      <c r="J143" s="2"/>
      <c r="K143" s="2"/>
      <c r="P143" s="80" t="str">
        <f>'Binder Setup'!B143&amp;""</f>
        <v>Streets of New Capenna Promos</v>
      </c>
      <c r="Q143" s="80">
        <f>IF(P143="",999,IF('Binder Setup'!C143=TRUE(),999,IF(COUNTIFS('Set Aliases'!$A$2:$A$501,P143,'Set Aliases'!$B$2:$B$501,"?*")&gt;0,999,142)))</f>
        <v>142</v>
      </c>
    </row>
    <row r="144" ht="15.75" customHeight="1">
      <c r="A144" s="2"/>
      <c r="B144" s="2"/>
      <c r="C144" s="2"/>
      <c r="D144" s="2"/>
      <c r="E144" s="2"/>
      <c r="F144" s="2"/>
      <c r="G144" s="2"/>
      <c r="H144" s="2"/>
      <c r="I144" s="2"/>
      <c r="J144" s="2"/>
      <c r="K144" s="2"/>
      <c r="P144" s="80" t="str">
        <f>'Binder Setup'!B144&amp;""</f>
        <v>Strixhaven: School of Mages</v>
      </c>
      <c r="Q144" s="80">
        <f>IF(P144="",999,IF('Binder Setup'!C144=TRUE(),999,IF(COUNTIFS('Set Aliases'!$A$2:$A$501,P144,'Set Aliases'!$B$2:$B$501,"?*")&gt;0,999,143)))</f>
        <v>143</v>
      </c>
    </row>
    <row r="145" ht="15.75" customHeight="1">
      <c r="A145" s="2"/>
      <c r="B145" s="2"/>
      <c r="C145" s="2"/>
      <c r="D145" s="2"/>
      <c r="E145" s="2"/>
      <c r="F145" s="2"/>
      <c r="G145" s="2"/>
      <c r="H145" s="2"/>
      <c r="I145" s="2"/>
      <c r="J145" s="2"/>
      <c r="K145" s="2"/>
      <c r="P145" s="80" t="str">
        <f>'Binder Setup'!B145&amp;""</f>
        <v>Strixhaven: School of Mages Promos</v>
      </c>
      <c r="Q145" s="80">
        <f>IF(P145="",999,IF('Binder Setup'!C145=TRUE(),999,IF(COUNTIFS('Set Aliases'!$A$2:$A$501,P145,'Set Aliases'!$B$2:$B$501,"?*")&gt;0,999,144)))</f>
        <v>144</v>
      </c>
    </row>
    <row r="146" ht="15.75" customHeight="1">
      <c r="A146" s="2"/>
      <c r="B146" s="2"/>
      <c r="C146" s="2"/>
      <c r="D146" s="2"/>
      <c r="E146" s="2"/>
      <c r="F146" s="2"/>
      <c r="G146" s="2"/>
      <c r="H146" s="2"/>
      <c r="I146" s="2"/>
      <c r="J146" s="2"/>
      <c r="K146" s="2"/>
      <c r="P146" s="80" t="str">
        <f>'Binder Setup'!B146&amp;""</f>
        <v>Tarkir: Dragonstorm</v>
      </c>
      <c r="Q146" s="80">
        <f>IF(P146="",999,IF('Binder Setup'!C146=TRUE(),999,IF(COUNTIFS('Set Aliases'!$A$2:$A$501,P146,'Set Aliases'!$B$2:$B$501,"?*")&gt;0,999,145)))</f>
        <v>145</v>
      </c>
    </row>
    <row r="147" ht="15.75" customHeight="1">
      <c r="A147" s="2"/>
      <c r="B147" s="2"/>
      <c r="C147" s="2"/>
      <c r="D147" s="2"/>
      <c r="E147" s="2"/>
      <c r="F147" s="2"/>
      <c r="G147" s="2"/>
      <c r="H147" s="2"/>
      <c r="I147" s="2"/>
      <c r="J147" s="2"/>
      <c r="K147" s="2"/>
      <c r="P147" s="80" t="str">
        <f>'Binder Setup'!B147&amp;""</f>
        <v>Tarkir: Dragonstorm Promos</v>
      </c>
      <c r="Q147" s="80">
        <f>IF(P147="",999,IF('Binder Setup'!C147=TRUE(),999,IF(COUNTIFS('Set Aliases'!$A$2:$A$501,P147,'Set Aliases'!$B$2:$B$501,"?*")&gt;0,999,146)))</f>
        <v>146</v>
      </c>
    </row>
    <row r="148" ht="15.75" customHeight="1">
      <c r="A148" s="2"/>
      <c r="B148" s="2"/>
      <c r="C148" s="2"/>
      <c r="D148" s="2"/>
      <c r="E148" s="2"/>
      <c r="F148" s="2"/>
      <c r="G148" s="2"/>
      <c r="H148" s="2"/>
      <c r="I148" s="2"/>
      <c r="J148" s="2"/>
      <c r="K148" s="2"/>
      <c r="P148" s="80" t="str">
        <f>'Binder Setup'!B148&amp;""</f>
        <v>Tenth Edition</v>
      </c>
      <c r="Q148" s="80">
        <f>IF(P148="",999,IF('Binder Setup'!C148=TRUE(),999,IF(COUNTIFS('Set Aliases'!$A$2:$A$501,P148,'Set Aliases'!$B$2:$B$501,"?*")&gt;0,999,147)))</f>
        <v>147</v>
      </c>
    </row>
    <row r="149" ht="15.75" customHeight="1">
      <c r="A149" s="2"/>
      <c r="B149" s="2"/>
      <c r="C149" s="2"/>
      <c r="D149" s="2"/>
      <c r="E149" s="2"/>
      <c r="F149" s="2"/>
      <c r="G149" s="2"/>
      <c r="H149" s="2"/>
      <c r="I149" s="2"/>
      <c r="J149" s="2"/>
      <c r="K149" s="2"/>
      <c r="P149" s="80" t="str">
        <f>'Binder Setup'!B149&amp;""</f>
        <v>The Brothers' War Promos</v>
      </c>
      <c r="Q149" s="80">
        <f>IF(P149="",999,IF('Binder Setup'!C149=TRUE(),999,IF(COUNTIFS('Set Aliases'!$A$2:$A$501,P149,'Set Aliases'!$B$2:$B$501,"?*")&gt;0,999,148)))</f>
        <v>148</v>
      </c>
    </row>
    <row r="150" ht="15.75" customHeight="1">
      <c r="A150" s="2"/>
      <c r="B150" s="2"/>
      <c r="C150" s="2"/>
      <c r="D150" s="2"/>
      <c r="E150" s="2"/>
      <c r="F150" s="2"/>
      <c r="G150" s="2"/>
      <c r="H150" s="2"/>
      <c r="I150" s="2"/>
      <c r="J150" s="2"/>
      <c r="K150" s="2"/>
      <c r="P150" s="80" t="str">
        <f>'Binder Setup'!B150&amp;""</f>
        <v>The Hobbit</v>
      </c>
      <c r="Q150" s="80">
        <f>IF(P150="",999,IF('Binder Setup'!C150=TRUE(),999,IF(COUNTIFS('Set Aliases'!$A$2:$A$501,P150,'Set Aliases'!$B$2:$B$501,"?*")&gt;0,999,149)))</f>
        <v>149</v>
      </c>
    </row>
    <row r="151" ht="15.75" customHeight="1">
      <c r="A151" s="2"/>
      <c r="B151" s="2"/>
      <c r="C151" s="2"/>
      <c r="D151" s="2"/>
      <c r="E151" s="2"/>
      <c r="F151" s="2"/>
      <c r="G151" s="2"/>
      <c r="H151" s="2"/>
      <c r="I151" s="2"/>
      <c r="J151" s="2"/>
      <c r="K151" s="2"/>
      <c r="P151" s="80" t="str">
        <f>'Binder Setup'!B151&amp;""</f>
        <v>The Zeta Set</v>
      </c>
      <c r="Q151" s="80">
        <f>IF(P151="",999,IF('Binder Setup'!C151=TRUE(),999,IF(COUNTIFS('Set Aliases'!$A$2:$A$501,P151,'Set Aliases'!$B$2:$B$501,"?*")&gt;0,999,150)))</f>
        <v>150</v>
      </c>
    </row>
    <row r="152" ht="15.75" customHeight="1">
      <c r="A152" s="2"/>
      <c r="B152" s="2"/>
      <c r="C152" s="2"/>
      <c r="D152" s="2"/>
      <c r="E152" s="2"/>
      <c r="F152" s="2"/>
      <c r="G152" s="2"/>
      <c r="H152" s="2"/>
      <c r="I152" s="2"/>
      <c r="J152" s="2"/>
      <c r="K152" s="2"/>
      <c r="P152" s="80" t="str">
        <f>'Binder Setup'!B152&amp;""</f>
        <v>Throne of Eldraine Promos</v>
      </c>
      <c r="Q152" s="80">
        <f>IF(P152="",999,IF('Binder Setup'!C152=TRUE(),999,IF(COUNTIFS('Set Aliases'!$A$2:$A$501,P152,'Set Aliases'!$B$2:$B$501,"?*")&gt;0,999,151)))</f>
        <v>151</v>
      </c>
    </row>
    <row r="153" ht="15.75" customHeight="1">
      <c r="A153" s="2"/>
      <c r="B153" s="2"/>
      <c r="C153" s="2"/>
      <c r="D153" s="2"/>
      <c r="E153" s="2"/>
      <c r="F153" s="2"/>
      <c r="G153" s="2"/>
      <c r="H153" s="2"/>
      <c r="I153" s="2"/>
      <c r="J153" s="2"/>
      <c r="K153" s="2"/>
      <c r="P153" s="80" t="str">
        <f>'Binder Setup'!B153&amp;""</f>
        <v>War of the Spark</v>
      </c>
      <c r="Q153" s="80">
        <f>IF(P153="",999,IF('Binder Setup'!C153=TRUE(),999,IF(COUNTIFS('Set Aliases'!$A$2:$A$501,P153,'Set Aliases'!$B$2:$B$501,"?*")&gt;0,999,152)))</f>
        <v>152</v>
      </c>
    </row>
    <row r="154" ht="15.75" customHeight="1">
      <c r="A154" s="2"/>
      <c r="B154" s="2"/>
      <c r="C154" s="2"/>
      <c r="D154" s="2"/>
      <c r="E154" s="2"/>
      <c r="F154" s="2"/>
      <c r="G154" s="2"/>
      <c r="H154" s="2"/>
      <c r="I154" s="2"/>
      <c r="J154" s="2"/>
      <c r="K154" s="2"/>
      <c r="P154" s="80" t="str">
        <f>'Binder Setup'!B154&amp;""</f>
        <v>War of the Spark Promos</v>
      </c>
      <c r="Q154" s="80">
        <f>IF(P154="",999,IF('Binder Setup'!C154=TRUE(),999,IF(COUNTIFS('Set Aliases'!$A$2:$A$501,P154,'Set Aliases'!$B$2:$B$501,"?*")&gt;0,999,153)))</f>
        <v>153</v>
      </c>
    </row>
    <row r="155" ht="15.75" customHeight="1">
      <c r="A155" s="2"/>
      <c r="B155" s="2"/>
      <c r="C155" s="2"/>
      <c r="D155" s="2"/>
      <c r="E155" s="2"/>
      <c r="F155" s="2"/>
      <c r="G155" s="2"/>
      <c r="H155" s="2"/>
      <c r="I155" s="2"/>
      <c r="J155" s="2"/>
      <c r="K155" s="2"/>
      <c r="P155" s="80" t="str">
        <f>'Binder Setup'!B155&amp;""</f>
        <v>Wizards Play Network 2025</v>
      </c>
      <c r="Q155" s="80">
        <f>IF(P155="",999,IF('Binder Setup'!C155=TRUE(),999,IF(COUNTIFS('Set Aliases'!$A$2:$A$501,P155,'Set Aliases'!$B$2:$B$501,"?*")&gt;0,999,154)))</f>
        <v>154</v>
      </c>
    </row>
    <row r="156" ht="15.75" customHeight="1">
      <c r="A156" s="2"/>
      <c r="B156" s="2"/>
      <c r="C156" s="2"/>
      <c r="D156" s="2"/>
      <c r="E156" s="2"/>
      <c r="F156" s="2"/>
      <c r="G156" s="2"/>
      <c r="H156" s="2"/>
      <c r="I156" s="2"/>
      <c r="J156" s="2"/>
      <c r="K156" s="2"/>
      <c r="P156" s="80" t="str">
        <f>'Binder Setup'!B156&amp;""</f>
        <v>Zendikar Expeditions</v>
      </c>
      <c r="Q156" s="80">
        <f>IF(P156="",999,IF('Binder Setup'!C156=TRUE(),999,IF(COUNTIFS('Set Aliases'!$A$2:$A$501,P156,'Set Aliases'!$B$2:$B$501,"?*")&gt;0,999,155)))</f>
        <v>155</v>
      </c>
    </row>
    <row r="157" ht="15.75" customHeight="1">
      <c r="A157" s="2"/>
      <c r="B157" s="2"/>
      <c r="C157" s="2"/>
      <c r="D157" s="2"/>
      <c r="E157" s="2"/>
      <c r="F157" s="2"/>
      <c r="G157" s="2"/>
      <c r="H157" s="2"/>
      <c r="I157" s="2"/>
      <c r="J157" s="2"/>
      <c r="K157" s="2"/>
      <c r="P157" s="80" t="str">
        <f>'Binder Setup'!B157&amp;""</f>
        <v>Zendikar Rising Commander</v>
      </c>
      <c r="Q157" s="80">
        <f>IF(P157="",999,IF('Binder Setup'!C157=TRUE(),999,IF(COUNTIFS('Set Aliases'!$A$2:$A$501,P157,'Set Aliases'!$B$2:$B$501,"?*")&gt;0,999,156)))</f>
        <v>156</v>
      </c>
    </row>
    <row r="158" ht="15.75" customHeight="1">
      <c r="A158" s="2"/>
      <c r="B158" s="2"/>
      <c r="C158" s="2"/>
      <c r="D158" s="2"/>
      <c r="E158" s="2"/>
      <c r="F158" s="2"/>
      <c r="G158" s="2"/>
      <c r="H158" s="2"/>
      <c r="I158" s="2"/>
      <c r="J158" s="2"/>
      <c r="K158" s="2"/>
      <c r="P158" s="80" t="str">
        <f>'Binder Setup'!B158&amp;""</f>
        <v/>
      </c>
      <c r="Q158" s="80">
        <f>IF(P158="",999,IF('Binder Setup'!C158=TRUE(),999,IF(COUNTIFS('Set Aliases'!$A$2:$A$501,P158,'Set Aliases'!$B$2:$B$501,"?*")&gt;0,999,157)))</f>
        <v>999</v>
      </c>
    </row>
    <row r="159" ht="15.75" customHeight="1">
      <c r="A159" s="2"/>
      <c r="B159" s="2"/>
      <c r="C159" s="2"/>
      <c r="D159" s="2"/>
      <c r="E159" s="2"/>
      <c r="F159" s="2"/>
      <c r="G159" s="2"/>
      <c r="H159" s="2"/>
      <c r="I159" s="2"/>
      <c r="J159" s="2"/>
      <c r="K159" s="2"/>
      <c r="P159" s="80" t="str">
        <f>'Binder Setup'!B159&amp;""</f>
        <v/>
      </c>
      <c r="Q159" s="80">
        <f>IF(P159="",999,IF('Binder Setup'!C159=TRUE(),999,IF(COUNTIFS('Set Aliases'!$A$2:$A$501,P159,'Set Aliases'!$B$2:$B$501,"?*")&gt;0,999,158)))</f>
        <v>999</v>
      </c>
    </row>
    <row r="160" ht="15.75" customHeight="1">
      <c r="A160" s="2"/>
      <c r="B160" s="2"/>
      <c r="C160" s="2"/>
      <c r="D160" s="2"/>
      <c r="E160" s="2"/>
      <c r="F160" s="2"/>
      <c r="G160" s="2"/>
      <c r="H160" s="2"/>
      <c r="I160" s="2"/>
      <c r="J160" s="2"/>
      <c r="K160" s="2"/>
      <c r="P160" s="80" t="str">
        <f>'Binder Setup'!B160&amp;""</f>
        <v/>
      </c>
      <c r="Q160" s="80">
        <f>IF(P160="",999,IF('Binder Setup'!C160=TRUE(),999,IF(COUNTIFS('Set Aliases'!$A$2:$A$501,P160,'Set Aliases'!$B$2:$B$501,"?*")&gt;0,999,159)))</f>
        <v>999</v>
      </c>
    </row>
    <row r="161" ht="15.75" customHeight="1">
      <c r="A161" s="2"/>
      <c r="B161" s="2"/>
      <c r="C161" s="2"/>
      <c r="D161" s="2"/>
      <c r="E161" s="2"/>
      <c r="F161" s="2"/>
      <c r="G161" s="2"/>
      <c r="H161" s="2"/>
      <c r="I161" s="2"/>
      <c r="J161" s="2"/>
      <c r="K161" s="2"/>
      <c r="P161" s="80" t="str">
        <f>'Binder Setup'!B161&amp;""</f>
        <v/>
      </c>
      <c r="Q161" s="80">
        <f>IF(P161="",999,IF('Binder Setup'!C161=TRUE(),999,IF(COUNTIFS('Set Aliases'!$A$2:$A$501,P161,'Set Aliases'!$B$2:$B$501,"?*")&gt;0,999,160)))</f>
        <v>999</v>
      </c>
    </row>
    <row r="162" ht="15.75" customHeight="1">
      <c r="A162" s="2"/>
      <c r="B162" s="2"/>
      <c r="C162" s="2"/>
      <c r="D162" s="2"/>
      <c r="E162" s="2"/>
      <c r="F162" s="2"/>
      <c r="G162" s="2"/>
      <c r="H162" s="2"/>
      <c r="I162" s="2"/>
      <c r="J162" s="2"/>
      <c r="K162" s="2"/>
      <c r="P162" s="80" t="str">
        <f>'Binder Setup'!B162&amp;""</f>
        <v/>
      </c>
      <c r="Q162" s="80">
        <f>IF(P162="",999,IF('Binder Setup'!C162=TRUE(),999,IF(COUNTIFS('Set Aliases'!$A$2:$A$501,P162,'Set Aliases'!$B$2:$B$501,"?*")&gt;0,999,161)))</f>
        <v>999</v>
      </c>
    </row>
    <row r="163" ht="15.75" customHeight="1">
      <c r="A163" s="2"/>
      <c r="B163" s="2"/>
      <c r="C163" s="2"/>
      <c r="D163" s="2"/>
      <c r="E163" s="2"/>
      <c r="F163" s="2"/>
      <c r="G163" s="2"/>
      <c r="H163" s="2"/>
      <c r="I163" s="2"/>
      <c r="J163" s="2"/>
      <c r="K163" s="2"/>
      <c r="P163" s="80" t="str">
        <f>'Binder Setup'!B163&amp;""</f>
        <v/>
      </c>
      <c r="Q163" s="80">
        <f>IF(P163="",999,IF('Binder Setup'!C163=TRUE(),999,IF(COUNTIFS('Set Aliases'!$A$2:$A$501,P163,'Set Aliases'!$B$2:$B$501,"?*")&gt;0,999,162)))</f>
        <v>999</v>
      </c>
    </row>
    <row r="164" ht="15.75" customHeight="1">
      <c r="A164" s="2"/>
      <c r="B164" s="2"/>
      <c r="C164" s="2"/>
      <c r="D164" s="2"/>
      <c r="E164" s="2"/>
      <c r="F164" s="2"/>
      <c r="G164" s="2"/>
      <c r="H164" s="2"/>
      <c r="I164" s="2"/>
      <c r="J164" s="2"/>
      <c r="K164" s="2"/>
      <c r="P164" s="80" t="str">
        <f>'Binder Setup'!B164&amp;""</f>
        <v/>
      </c>
      <c r="Q164" s="80">
        <f>IF(P164="",999,IF('Binder Setup'!C164=TRUE(),999,IF(COUNTIFS('Set Aliases'!$A$2:$A$501,P164,'Set Aliases'!$B$2:$B$501,"?*")&gt;0,999,163)))</f>
        <v>999</v>
      </c>
    </row>
    <row r="165" ht="15.75" customHeight="1">
      <c r="A165" s="2"/>
      <c r="B165" s="2"/>
      <c r="C165" s="2"/>
      <c r="D165" s="2"/>
      <c r="E165" s="2"/>
      <c r="F165" s="2"/>
      <c r="G165" s="2"/>
      <c r="H165" s="2"/>
      <c r="I165" s="2"/>
      <c r="J165" s="2"/>
      <c r="K165" s="2"/>
      <c r="P165" s="80" t="str">
        <f>'Binder Setup'!B165&amp;""</f>
        <v/>
      </c>
      <c r="Q165" s="80">
        <f>IF(P165="",999,IF('Binder Setup'!C165=TRUE(),999,IF(COUNTIFS('Set Aliases'!$A$2:$A$501,P165,'Set Aliases'!$B$2:$B$501,"?*")&gt;0,999,164)))</f>
        <v>999</v>
      </c>
    </row>
    <row r="166" ht="15.75" customHeight="1">
      <c r="A166" s="2"/>
      <c r="B166" s="2"/>
      <c r="C166" s="2"/>
      <c r="D166" s="2"/>
      <c r="E166" s="2"/>
      <c r="F166" s="2"/>
      <c r="G166" s="2"/>
      <c r="H166" s="2"/>
      <c r="I166" s="2"/>
      <c r="J166" s="2"/>
      <c r="K166" s="2"/>
      <c r="P166" s="80" t="str">
        <f>'Binder Setup'!B166&amp;""</f>
        <v/>
      </c>
      <c r="Q166" s="80">
        <f>IF(P166="",999,IF('Binder Setup'!C166=TRUE(),999,IF(COUNTIFS('Set Aliases'!$A$2:$A$501,P166,'Set Aliases'!$B$2:$B$501,"?*")&gt;0,999,165)))</f>
        <v>999</v>
      </c>
    </row>
    <row r="167" ht="15.75" customHeight="1">
      <c r="A167" s="2"/>
      <c r="B167" s="2"/>
      <c r="C167" s="2"/>
      <c r="D167" s="2"/>
      <c r="E167" s="2"/>
      <c r="F167" s="2"/>
      <c r="G167" s="2"/>
      <c r="H167" s="2"/>
      <c r="I167" s="2"/>
      <c r="J167" s="2"/>
      <c r="K167" s="2"/>
      <c r="P167" s="80" t="str">
        <f>'Binder Setup'!B167&amp;""</f>
        <v/>
      </c>
      <c r="Q167" s="80">
        <f>IF(P167="",999,IF('Binder Setup'!C167=TRUE(),999,IF(COUNTIFS('Set Aliases'!$A$2:$A$501,P167,'Set Aliases'!$B$2:$B$501,"?*")&gt;0,999,166)))</f>
        <v>999</v>
      </c>
    </row>
    <row r="168" ht="15.75" customHeight="1">
      <c r="A168" s="2"/>
      <c r="B168" s="2"/>
      <c r="C168" s="2"/>
      <c r="D168" s="2"/>
      <c r="E168" s="2"/>
      <c r="F168" s="2"/>
      <c r="G168" s="2"/>
      <c r="H168" s="2"/>
      <c r="I168" s="2"/>
      <c r="J168" s="2"/>
      <c r="K168" s="2"/>
      <c r="P168" s="80" t="str">
        <f>'Binder Setup'!B168&amp;""</f>
        <v/>
      </c>
      <c r="Q168" s="80">
        <f>IF(P168="",999,IF('Binder Setup'!C168=TRUE(),999,IF(COUNTIFS('Set Aliases'!$A$2:$A$501,P168,'Set Aliases'!$B$2:$B$501,"?*")&gt;0,999,167)))</f>
        <v>999</v>
      </c>
    </row>
    <row r="169" ht="15.75" customHeight="1">
      <c r="A169" s="2"/>
      <c r="B169" s="2"/>
      <c r="C169" s="2"/>
      <c r="D169" s="2"/>
      <c r="E169" s="2"/>
      <c r="F169" s="2"/>
      <c r="G169" s="2"/>
      <c r="H169" s="2"/>
      <c r="I169" s="2"/>
      <c r="J169" s="2"/>
      <c r="K169" s="2"/>
      <c r="P169" s="80" t="str">
        <f>'Binder Setup'!B169&amp;""</f>
        <v/>
      </c>
      <c r="Q169" s="80">
        <f>IF(P169="",999,IF('Binder Setup'!C169=TRUE(),999,IF(COUNTIFS('Set Aliases'!$A$2:$A$501,P169,'Set Aliases'!$B$2:$B$501,"?*")&gt;0,999,168)))</f>
        <v>999</v>
      </c>
    </row>
    <row r="170" ht="15.75" customHeight="1">
      <c r="A170" s="2"/>
      <c r="B170" s="2"/>
      <c r="C170" s="2"/>
      <c r="D170" s="2"/>
      <c r="E170" s="2"/>
      <c r="F170" s="2"/>
      <c r="G170" s="2"/>
      <c r="H170" s="2"/>
      <c r="I170" s="2"/>
      <c r="J170" s="2"/>
      <c r="K170" s="2"/>
      <c r="P170" s="80" t="str">
        <f>'Binder Setup'!B170&amp;""</f>
        <v/>
      </c>
      <c r="Q170" s="80">
        <f>IF(P170="",999,IF('Binder Setup'!C170=TRUE(),999,IF(COUNTIFS('Set Aliases'!$A$2:$A$501,P170,'Set Aliases'!$B$2:$B$501,"?*")&gt;0,999,169)))</f>
        <v>999</v>
      </c>
    </row>
    <row r="171" ht="15.75" customHeight="1">
      <c r="A171" s="2"/>
      <c r="B171" s="2"/>
      <c r="C171" s="2"/>
      <c r="D171" s="2"/>
      <c r="E171" s="2"/>
      <c r="F171" s="2"/>
      <c r="G171" s="2"/>
      <c r="H171" s="2"/>
      <c r="I171" s="2"/>
      <c r="J171" s="2"/>
      <c r="K171" s="2"/>
      <c r="P171" s="80" t="str">
        <f>'Binder Setup'!B171&amp;""</f>
        <v/>
      </c>
      <c r="Q171" s="80">
        <f>IF(P171="",999,IF('Binder Setup'!C171=TRUE(),999,IF(COUNTIFS('Set Aliases'!$A$2:$A$501,P171,'Set Aliases'!$B$2:$B$501,"?*")&gt;0,999,170)))</f>
        <v>999</v>
      </c>
    </row>
    <row r="172" ht="15.75" customHeight="1">
      <c r="A172" s="2"/>
      <c r="B172" s="2"/>
      <c r="C172" s="2"/>
      <c r="D172" s="2"/>
      <c r="E172" s="2"/>
      <c r="F172" s="2"/>
      <c r="G172" s="2"/>
      <c r="H172" s="2"/>
      <c r="I172" s="2"/>
      <c r="J172" s="2"/>
      <c r="K172" s="2"/>
      <c r="P172" s="80" t="str">
        <f>'Binder Setup'!B172&amp;""</f>
        <v/>
      </c>
      <c r="Q172" s="80">
        <f>IF(P172="",999,IF('Binder Setup'!C172=TRUE(),999,IF(COUNTIFS('Set Aliases'!$A$2:$A$501,P172,'Set Aliases'!$B$2:$B$501,"?*")&gt;0,999,171)))</f>
        <v>999</v>
      </c>
    </row>
    <row r="173" ht="15.75" customHeight="1">
      <c r="A173" s="2"/>
      <c r="B173" s="2"/>
      <c r="C173" s="2"/>
      <c r="D173" s="2"/>
      <c r="E173" s="2"/>
      <c r="F173" s="2"/>
      <c r="G173" s="2"/>
      <c r="H173" s="2"/>
      <c r="I173" s="2"/>
      <c r="J173" s="2"/>
      <c r="K173" s="2"/>
      <c r="P173" s="80" t="str">
        <f>'Binder Setup'!B173&amp;""</f>
        <v/>
      </c>
      <c r="Q173" s="80">
        <f>IF(P173="",999,IF('Binder Setup'!C173=TRUE(),999,IF(COUNTIFS('Set Aliases'!$A$2:$A$501,P173,'Set Aliases'!$B$2:$B$501,"?*")&gt;0,999,172)))</f>
        <v>999</v>
      </c>
    </row>
    <row r="174" ht="15.75" customHeight="1">
      <c r="A174" s="2"/>
      <c r="B174" s="2"/>
      <c r="C174" s="2"/>
      <c r="D174" s="2"/>
      <c r="E174" s="2"/>
      <c r="F174" s="2"/>
      <c r="G174" s="2"/>
      <c r="H174" s="2"/>
      <c r="I174" s="2"/>
      <c r="J174" s="2"/>
      <c r="K174" s="2"/>
      <c r="P174" s="80" t="str">
        <f>'Binder Setup'!B174&amp;""</f>
        <v/>
      </c>
      <c r="Q174" s="80">
        <f>IF(P174="",999,IF('Binder Setup'!C174=TRUE(),999,IF(COUNTIFS('Set Aliases'!$A$2:$A$501,P174,'Set Aliases'!$B$2:$B$501,"?*")&gt;0,999,173)))</f>
        <v>999</v>
      </c>
    </row>
    <row r="175" ht="15.75" customHeight="1">
      <c r="A175" s="2"/>
      <c r="B175" s="2"/>
      <c r="C175" s="2"/>
      <c r="D175" s="2"/>
      <c r="E175" s="2"/>
      <c r="F175" s="2"/>
      <c r="G175" s="2"/>
      <c r="H175" s="2"/>
      <c r="I175" s="2"/>
      <c r="J175" s="2"/>
      <c r="K175" s="2"/>
      <c r="P175" s="80" t="str">
        <f>'Binder Setup'!B175&amp;""</f>
        <v/>
      </c>
      <c r="Q175" s="80">
        <f>IF(P175="",999,IF('Binder Setup'!C175=TRUE(),999,IF(COUNTIFS('Set Aliases'!$A$2:$A$501,P175,'Set Aliases'!$B$2:$B$501,"?*")&gt;0,999,174)))</f>
        <v>999</v>
      </c>
    </row>
    <row r="176" ht="15.75" customHeight="1">
      <c r="A176" s="2"/>
      <c r="B176" s="2"/>
      <c r="C176" s="2"/>
      <c r="D176" s="2"/>
      <c r="E176" s="2"/>
      <c r="F176" s="2"/>
      <c r="G176" s="2"/>
      <c r="H176" s="2"/>
      <c r="I176" s="2"/>
      <c r="J176" s="2"/>
      <c r="K176" s="2"/>
      <c r="P176" s="80" t="str">
        <f>'Binder Setup'!B176&amp;""</f>
        <v/>
      </c>
      <c r="Q176" s="80">
        <f>IF(P176="",999,IF('Binder Setup'!C176=TRUE(),999,IF(COUNTIFS('Set Aliases'!$A$2:$A$501,P176,'Set Aliases'!$B$2:$B$501,"?*")&gt;0,999,175)))</f>
        <v>999</v>
      </c>
    </row>
    <row r="177" ht="15.75" customHeight="1">
      <c r="A177" s="2"/>
      <c r="B177" s="2"/>
      <c r="C177" s="2"/>
      <c r="D177" s="2"/>
      <c r="E177" s="2"/>
      <c r="F177" s="2"/>
      <c r="G177" s="2"/>
      <c r="H177" s="2"/>
      <c r="I177" s="2"/>
      <c r="J177" s="2"/>
      <c r="K177" s="2"/>
      <c r="P177" s="80" t="str">
        <f>'Binder Setup'!B177&amp;""</f>
        <v/>
      </c>
      <c r="Q177" s="80">
        <f>IF(P177="",999,IF('Binder Setup'!C177=TRUE(),999,IF(COUNTIFS('Set Aliases'!$A$2:$A$501,P177,'Set Aliases'!$B$2:$B$501,"?*")&gt;0,999,176)))</f>
        <v>999</v>
      </c>
    </row>
    <row r="178" ht="15.75" customHeight="1">
      <c r="A178" s="2"/>
      <c r="B178" s="2"/>
      <c r="C178" s="2"/>
      <c r="D178" s="2"/>
      <c r="E178" s="2"/>
      <c r="F178" s="2"/>
      <c r="G178" s="2"/>
      <c r="H178" s="2"/>
      <c r="I178" s="2"/>
      <c r="J178" s="2"/>
      <c r="K178" s="2"/>
      <c r="P178" s="80" t="str">
        <f>'Binder Setup'!B178&amp;""</f>
        <v/>
      </c>
      <c r="Q178" s="80">
        <f>IF(P178="",999,IF('Binder Setup'!C178=TRUE(),999,IF(COUNTIFS('Set Aliases'!$A$2:$A$501,P178,'Set Aliases'!$B$2:$B$501,"?*")&gt;0,999,177)))</f>
        <v>999</v>
      </c>
    </row>
    <row r="179" ht="15.75" customHeight="1">
      <c r="A179" s="2"/>
      <c r="B179" s="2"/>
      <c r="C179" s="2"/>
      <c r="D179" s="2"/>
      <c r="E179" s="2"/>
      <c r="F179" s="2"/>
      <c r="G179" s="2"/>
      <c r="H179" s="2"/>
      <c r="I179" s="2"/>
      <c r="J179" s="2"/>
      <c r="K179" s="2"/>
      <c r="P179" s="80" t="str">
        <f>'Binder Setup'!B179&amp;""</f>
        <v/>
      </c>
      <c r="Q179" s="80">
        <f>IF(P179="",999,IF('Binder Setup'!C179=TRUE(),999,IF(COUNTIFS('Set Aliases'!$A$2:$A$501,P179,'Set Aliases'!$B$2:$B$501,"?*")&gt;0,999,178)))</f>
        <v>999</v>
      </c>
    </row>
    <row r="180" ht="15.75" customHeight="1">
      <c r="A180" s="2"/>
      <c r="B180" s="2"/>
      <c r="C180" s="2"/>
      <c r="D180" s="2"/>
      <c r="E180" s="2"/>
      <c r="F180" s="2"/>
      <c r="G180" s="2"/>
      <c r="H180" s="2"/>
      <c r="I180" s="2"/>
      <c r="J180" s="2"/>
      <c r="K180" s="2"/>
      <c r="P180" s="80" t="str">
        <f>'Binder Setup'!B180&amp;""</f>
        <v/>
      </c>
      <c r="Q180" s="80">
        <f>IF(P180="",999,IF('Binder Setup'!C180=TRUE(),999,IF(COUNTIFS('Set Aliases'!$A$2:$A$501,P180,'Set Aliases'!$B$2:$B$501,"?*")&gt;0,999,179)))</f>
        <v>999</v>
      </c>
    </row>
    <row r="181" ht="15.75" customHeight="1">
      <c r="A181" s="2"/>
      <c r="B181" s="2"/>
      <c r="C181" s="2"/>
      <c r="D181" s="2"/>
      <c r="E181" s="2"/>
      <c r="F181" s="2"/>
      <c r="G181" s="2"/>
      <c r="H181" s="2"/>
      <c r="I181" s="2"/>
      <c r="J181" s="2"/>
      <c r="K181" s="2"/>
      <c r="P181" s="80" t="str">
        <f>'Binder Setup'!B181&amp;""</f>
        <v/>
      </c>
      <c r="Q181" s="80">
        <f>IF(P181="",999,IF('Binder Setup'!C181=TRUE(),999,IF(COUNTIFS('Set Aliases'!$A$2:$A$501,P181,'Set Aliases'!$B$2:$B$501,"?*")&gt;0,999,180)))</f>
        <v>999</v>
      </c>
    </row>
    <row r="182" ht="15.75" customHeight="1">
      <c r="A182" s="2"/>
      <c r="B182" s="2"/>
      <c r="C182" s="2"/>
      <c r="D182" s="2"/>
      <c r="E182" s="2"/>
      <c r="F182" s="2"/>
      <c r="G182" s="2"/>
      <c r="H182" s="2"/>
      <c r="I182" s="2"/>
      <c r="J182" s="2"/>
      <c r="K182" s="2"/>
      <c r="P182" s="80" t="str">
        <f>'Binder Setup'!B182&amp;""</f>
        <v/>
      </c>
      <c r="Q182" s="80">
        <f>IF(P182="",999,IF('Binder Setup'!C182=TRUE(),999,IF(COUNTIFS('Set Aliases'!$A$2:$A$501,P182,'Set Aliases'!$B$2:$B$501,"?*")&gt;0,999,181)))</f>
        <v>999</v>
      </c>
    </row>
    <row r="183" ht="15.75" customHeight="1">
      <c r="A183" s="2"/>
      <c r="B183" s="2"/>
      <c r="C183" s="2"/>
      <c r="D183" s="2"/>
      <c r="E183" s="2"/>
      <c r="F183" s="2"/>
      <c r="G183" s="2"/>
      <c r="H183" s="2"/>
      <c r="I183" s="2"/>
      <c r="J183" s="2"/>
      <c r="K183" s="2"/>
      <c r="P183" s="80" t="str">
        <f>'Binder Setup'!B183&amp;""</f>
        <v/>
      </c>
      <c r="Q183" s="80">
        <f>IF(P183="",999,IF('Binder Setup'!C183=TRUE(),999,IF(COUNTIFS('Set Aliases'!$A$2:$A$501,P183,'Set Aliases'!$B$2:$B$501,"?*")&gt;0,999,182)))</f>
        <v>999</v>
      </c>
    </row>
    <row r="184" ht="15.75" customHeight="1">
      <c r="A184" s="2"/>
      <c r="B184" s="2"/>
      <c r="C184" s="2"/>
      <c r="D184" s="2"/>
      <c r="E184" s="2"/>
      <c r="F184" s="2"/>
      <c r="G184" s="2"/>
      <c r="H184" s="2"/>
      <c r="I184" s="2"/>
      <c r="J184" s="2"/>
      <c r="K184" s="2"/>
      <c r="P184" s="80" t="str">
        <f>'Binder Setup'!B184&amp;""</f>
        <v/>
      </c>
      <c r="Q184" s="80">
        <f>IF(P184="",999,IF('Binder Setup'!C184=TRUE(),999,IF(COUNTIFS('Set Aliases'!$A$2:$A$501,P184,'Set Aliases'!$B$2:$B$501,"?*")&gt;0,999,183)))</f>
        <v>999</v>
      </c>
    </row>
    <row r="185" ht="15.75" customHeight="1">
      <c r="A185" s="2"/>
      <c r="B185" s="2"/>
      <c r="C185" s="2"/>
      <c r="D185" s="2"/>
      <c r="E185" s="2"/>
      <c r="F185" s="2"/>
      <c r="G185" s="2"/>
      <c r="H185" s="2"/>
      <c r="I185" s="2"/>
      <c r="J185" s="2"/>
      <c r="K185" s="2"/>
      <c r="P185" s="80" t="str">
        <f>'Binder Setup'!B185&amp;""</f>
        <v/>
      </c>
      <c r="Q185" s="80">
        <f>IF(P185="",999,IF('Binder Setup'!C185=TRUE(),999,IF(COUNTIFS('Set Aliases'!$A$2:$A$501,P185,'Set Aliases'!$B$2:$B$501,"?*")&gt;0,999,184)))</f>
        <v>999</v>
      </c>
    </row>
    <row r="186" ht="15.75" customHeight="1">
      <c r="A186" s="2"/>
      <c r="B186" s="2"/>
      <c r="C186" s="2"/>
      <c r="D186" s="2"/>
      <c r="E186" s="2"/>
      <c r="F186" s="2"/>
      <c r="G186" s="2"/>
      <c r="H186" s="2"/>
      <c r="I186" s="2"/>
      <c r="J186" s="2"/>
      <c r="K186" s="2"/>
      <c r="P186" s="80" t="str">
        <f>'Binder Setup'!B186&amp;""</f>
        <v/>
      </c>
      <c r="Q186" s="80">
        <f>IF(P186="",999,IF('Binder Setup'!C186=TRUE(),999,IF(COUNTIFS('Set Aliases'!$A$2:$A$501,P186,'Set Aliases'!$B$2:$B$501,"?*")&gt;0,999,185)))</f>
        <v>999</v>
      </c>
    </row>
    <row r="187" ht="15.75" customHeight="1">
      <c r="A187" s="2"/>
      <c r="B187" s="2"/>
      <c r="C187" s="2"/>
      <c r="D187" s="2"/>
      <c r="E187" s="2"/>
      <c r="F187" s="2"/>
      <c r="G187" s="2"/>
      <c r="H187" s="2"/>
      <c r="I187" s="2"/>
      <c r="J187" s="2"/>
      <c r="K187" s="2"/>
      <c r="P187" s="80" t="str">
        <f>'Binder Setup'!B187&amp;""</f>
        <v/>
      </c>
      <c r="Q187" s="80">
        <f>IF(P187="",999,IF('Binder Setup'!C187=TRUE(),999,IF(COUNTIFS('Set Aliases'!$A$2:$A$501,P187,'Set Aliases'!$B$2:$B$501,"?*")&gt;0,999,186)))</f>
        <v>999</v>
      </c>
    </row>
    <row r="188" ht="15.75" customHeight="1">
      <c r="A188" s="2"/>
      <c r="B188" s="2"/>
      <c r="C188" s="2"/>
      <c r="D188" s="2"/>
      <c r="E188" s="2"/>
      <c r="F188" s="2"/>
      <c r="G188" s="2"/>
      <c r="H188" s="2"/>
      <c r="I188" s="2"/>
      <c r="J188" s="2"/>
      <c r="K188" s="2"/>
      <c r="P188" s="80" t="str">
        <f>'Binder Setup'!B188&amp;""</f>
        <v/>
      </c>
      <c r="Q188" s="80">
        <f>IF(P188="",999,IF('Binder Setup'!C188=TRUE(),999,IF(COUNTIFS('Set Aliases'!$A$2:$A$501,P188,'Set Aliases'!$B$2:$B$501,"?*")&gt;0,999,187)))</f>
        <v>999</v>
      </c>
    </row>
    <row r="189" ht="15.75" customHeight="1">
      <c r="A189" s="2"/>
      <c r="B189" s="2"/>
      <c r="C189" s="2"/>
      <c r="D189" s="2"/>
      <c r="E189" s="2"/>
      <c r="F189" s="2"/>
      <c r="G189" s="2"/>
      <c r="H189" s="2"/>
      <c r="I189" s="2"/>
      <c r="J189" s="2"/>
      <c r="K189" s="2"/>
      <c r="P189" s="80" t="str">
        <f>'Binder Setup'!B189&amp;""</f>
        <v/>
      </c>
      <c r="Q189" s="80">
        <f>IF(P189="",999,IF('Binder Setup'!C189=TRUE(),999,IF(COUNTIFS('Set Aliases'!$A$2:$A$501,P189,'Set Aliases'!$B$2:$B$501,"?*")&gt;0,999,188)))</f>
        <v>999</v>
      </c>
    </row>
    <row r="190" ht="15.75" customHeight="1">
      <c r="A190" s="2"/>
      <c r="B190" s="2"/>
      <c r="C190" s="2"/>
      <c r="D190" s="2"/>
      <c r="E190" s="2"/>
      <c r="F190" s="2"/>
      <c r="G190" s="2"/>
      <c r="H190" s="2"/>
      <c r="I190" s="2"/>
      <c r="J190" s="2"/>
      <c r="K190" s="2"/>
      <c r="P190" s="80" t="str">
        <f>'Binder Setup'!B190&amp;""</f>
        <v/>
      </c>
      <c r="Q190" s="80">
        <f>IF(P190="",999,IF('Binder Setup'!C190=TRUE(),999,IF(COUNTIFS('Set Aliases'!$A$2:$A$501,P190,'Set Aliases'!$B$2:$B$501,"?*")&gt;0,999,189)))</f>
        <v>999</v>
      </c>
    </row>
    <row r="191" ht="15.75" customHeight="1">
      <c r="A191" s="2"/>
      <c r="B191" s="2"/>
      <c r="C191" s="2"/>
      <c r="D191" s="2"/>
      <c r="E191" s="2"/>
      <c r="F191" s="2"/>
      <c r="G191" s="2"/>
      <c r="H191" s="2"/>
      <c r="I191" s="2"/>
      <c r="J191" s="2"/>
      <c r="K191" s="2"/>
      <c r="P191" s="80" t="str">
        <f>'Binder Setup'!B191&amp;""</f>
        <v/>
      </c>
      <c r="Q191" s="80">
        <f>IF(P191="",999,IF('Binder Setup'!C191=TRUE(),999,IF(COUNTIFS('Set Aliases'!$A$2:$A$501,P191,'Set Aliases'!$B$2:$B$501,"?*")&gt;0,999,190)))</f>
        <v>999</v>
      </c>
    </row>
    <row r="192" ht="15.75" customHeight="1">
      <c r="A192" s="2"/>
      <c r="B192" s="2"/>
      <c r="C192" s="2"/>
      <c r="D192" s="2"/>
      <c r="E192" s="2"/>
      <c r="F192" s="2"/>
      <c r="G192" s="2"/>
      <c r="H192" s="2"/>
      <c r="I192" s="2"/>
      <c r="J192" s="2"/>
      <c r="K192" s="2"/>
      <c r="P192" s="80" t="str">
        <f>'Binder Setup'!B192&amp;""</f>
        <v/>
      </c>
      <c r="Q192" s="80">
        <f>IF(P192="",999,IF('Binder Setup'!C192=TRUE(),999,IF(COUNTIFS('Set Aliases'!$A$2:$A$501,P192,'Set Aliases'!$B$2:$B$501,"?*")&gt;0,999,191)))</f>
        <v>999</v>
      </c>
    </row>
    <row r="193" ht="15.75" customHeight="1">
      <c r="A193" s="2"/>
      <c r="B193" s="2"/>
      <c r="C193" s="2"/>
      <c r="D193" s="2"/>
      <c r="E193" s="2"/>
      <c r="F193" s="2"/>
      <c r="G193" s="2"/>
      <c r="H193" s="2"/>
      <c r="I193" s="2"/>
      <c r="J193" s="2"/>
      <c r="K193" s="2"/>
      <c r="P193" s="80" t="str">
        <f>'Binder Setup'!B193&amp;""</f>
        <v/>
      </c>
      <c r="Q193" s="80">
        <f>IF(P193="",999,IF('Binder Setup'!C193=TRUE(),999,IF(COUNTIFS('Set Aliases'!$A$2:$A$501,P193,'Set Aliases'!$B$2:$B$501,"?*")&gt;0,999,192)))</f>
        <v>999</v>
      </c>
    </row>
    <row r="194" ht="15.75" customHeight="1">
      <c r="A194" s="2"/>
      <c r="B194" s="2"/>
      <c r="C194" s="2"/>
      <c r="D194" s="2"/>
      <c r="E194" s="2"/>
      <c r="F194" s="2"/>
      <c r="G194" s="2"/>
      <c r="H194" s="2"/>
      <c r="I194" s="2"/>
      <c r="J194" s="2"/>
      <c r="K194" s="2"/>
      <c r="P194" s="80" t="str">
        <f>'Binder Setup'!B194&amp;""</f>
        <v/>
      </c>
      <c r="Q194" s="80">
        <f>IF(P194="",999,IF('Binder Setup'!C194=TRUE(),999,IF(COUNTIFS('Set Aliases'!$A$2:$A$501,P194,'Set Aliases'!$B$2:$B$501,"?*")&gt;0,999,193)))</f>
        <v>999</v>
      </c>
    </row>
    <row r="195" ht="15.75" customHeight="1">
      <c r="A195" s="2"/>
      <c r="B195" s="2"/>
      <c r="C195" s="2"/>
      <c r="D195" s="2"/>
      <c r="E195" s="2"/>
      <c r="F195" s="2"/>
      <c r="G195" s="2"/>
      <c r="H195" s="2"/>
      <c r="I195" s="2"/>
      <c r="J195" s="2"/>
      <c r="K195" s="2"/>
      <c r="P195" s="80" t="str">
        <f>'Binder Setup'!B195&amp;""</f>
        <v/>
      </c>
      <c r="Q195" s="80">
        <f>IF(P195="",999,IF('Binder Setup'!C195=TRUE(),999,IF(COUNTIFS('Set Aliases'!$A$2:$A$501,P195,'Set Aliases'!$B$2:$B$501,"?*")&gt;0,999,194)))</f>
        <v>999</v>
      </c>
    </row>
    <row r="196" ht="15.75" customHeight="1">
      <c r="A196" s="2"/>
      <c r="B196" s="2"/>
      <c r="C196" s="2"/>
      <c r="D196" s="2"/>
      <c r="E196" s="2"/>
      <c r="F196" s="2"/>
      <c r="G196" s="2"/>
      <c r="H196" s="2"/>
      <c r="I196" s="2"/>
      <c r="J196" s="2"/>
      <c r="K196" s="2"/>
      <c r="P196" s="80" t="str">
        <f>'Binder Setup'!B196&amp;""</f>
        <v/>
      </c>
      <c r="Q196" s="80">
        <f>IF(P196="",999,IF('Binder Setup'!C196=TRUE(),999,IF(COUNTIFS('Set Aliases'!$A$2:$A$501,P196,'Set Aliases'!$B$2:$B$501,"?*")&gt;0,999,195)))</f>
        <v>999</v>
      </c>
    </row>
    <row r="197" ht="15.75" customHeight="1">
      <c r="A197" s="2"/>
      <c r="B197" s="2"/>
      <c r="C197" s="2"/>
      <c r="D197" s="2"/>
      <c r="E197" s="2"/>
      <c r="F197" s="2"/>
      <c r="G197" s="2"/>
      <c r="H197" s="2"/>
      <c r="I197" s="2"/>
      <c r="J197" s="2"/>
      <c r="K197" s="2"/>
      <c r="P197" s="80" t="str">
        <f>'Binder Setup'!B197&amp;""</f>
        <v/>
      </c>
      <c r="Q197" s="80">
        <f>IF(P197="",999,IF('Binder Setup'!C197=TRUE(),999,IF(COUNTIFS('Set Aliases'!$A$2:$A$501,P197,'Set Aliases'!$B$2:$B$501,"?*")&gt;0,999,196)))</f>
        <v>999</v>
      </c>
    </row>
    <row r="198" ht="15.75" customHeight="1">
      <c r="A198" s="2"/>
      <c r="B198" s="2"/>
      <c r="C198" s="2"/>
      <c r="D198" s="2"/>
      <c r="E198" s="2"/>
      <c r="F198" s="2"/>
      <c r="G198" s="2"/>
      <c r="H198" s="2"/>
      <c r="I198" s="2"/>
      <c r="J198" s="2"/>
      <c r="K198" s="2"/>
      <c r="P198" s="80" t="str">
        <f>'Binder Setup'!B198&amp;""</f>
        <v/>
      </c>
      <c r="Q198" s="80">
        <f>IF(P198="",999,IF('Binder Setup'!C198=TRUE(),999,IF(COUNTIFS('Set Aliases'!$A$2:$A$501,P198,'Set Aliases'!$B$2:$B$501,"?*")&gt;0,999,197)))</f>
        <v>999</v>
      </c>
    </row>
    <row r="199" ht="15.75" customHeight="1">
      <c r="A199" s="2"/>
      <c r="B199" s="2"/>
      <c r="C199" s="2"/>
      <c r="D199" s="2"/>
      <c r="E199" s="2"/>
      <c r="F199" s="2"/>
      <c r="G199" s="2"/>
      <c r="H199" s="2"/>
      <c r="I199" s="2"/>
      <c r="J199" s="2"/>
      <c r="K199" s="2"/>
      <c r="P199" s="80" t="str">
        <f>'Binder Setup'!B199&amp;""</f>
        <v/>
      </c>
      <c r="Q199" s="80">
        <f>IF(P199="",999,IF('Binder Setup'!C199=TRUE(),999,IF(COUNTIFS('Set Aliases'!$A$2:$A$501,P199,'Set Aliases'!$B$2:$B$501,"?*")&gt;0,999,198)))</f>
        <v>999</v>
      </c>
    </row>
    <row r="200" ht="15.75" customHeight="1">
      <c r="A200" s="2"/>
      <c r="B200" s="2"/>
      <c r="C200" s="2"/>
      <c r="D200" s="2"/>
      <c r="E200" s="2"/>
      <c r="F200" s="2"/>
      <c r="G200" s="2"/>
      <c r="H200" s="2"/>
      <c r="I200" s="2"/>
      <c r="J200" s="2"/>
      <c r="K200" s="2"/>
      <c r="P200" s="80" t="str">
        <f>'Binder Setup'!B200&amp;""</f>
        <v/>
      </c>
      <c r="Q200" s="80">
        <f>IF(P200="",999,IF('Binder Setup'!C200=TRUE(),999,IF(COUNTIFS('Set Aliases'!$A$2:$A$501,P200,'Set Aliases'!$B$2:$B$501,"?*")&gt;0,999,199)))</f>
        <v>999</v>
      </c>
    </row>
    <row r="201" ht="15.75" customHeight="1">
      <c r="A201" s="2"/>
      <c r="B201" s="2"/>
      <c r="C201" s="2"/>
      <c r="D201" s="2"/>
      <c r="E201" s="2"/>
      <c r="F201" s="2"/>
      <c r="G201" s="2"/>
      <c r="H201" s="2"/>
      <c r="I201" s="2"/>
      <c r="J201" s="2"/>
      <c r="K201" s="2"/>
      <c r="P201" s="80" t="str">
        <f>'Binder Setup'!B201&amp;""</f>
        <v/>
      </c>
      <c r="Q201" s="80">
        <f>IF(P201="",999,IF('Binder Setup'!C201=TRUE(),999,IF(COUNTIFS('Set Aliases'!$A$2:$A$501,P201,'Set Aliases'!$B$2:$B$501,"?*")&gt;0,999,200)))</f>
        <v>999</v>
      </c>
    </row>
    <row r="202" ht="15.75" customHeight="1">
      <c r="A202" s="2"/>
      <c r="B202" s="2"/>
      <c r="C202" s="2"/>
      <c r="D202" s="2"/>
      <c r="E202" s="2"/>
      <c r="F202" s="2"/>
      <c r="G202" s="2"/>
      <c r="H202" s="2"/>
      <c r="I202" s="2"/>
      <c r="J202" s="2"/>
      <c r="K202" s="2"/>
      <c r="P202" s="80" t="str">
        <f>'Binder Setup'!B202&amp;""</f>
        <v/>
      </c>
      <c r="Q202" s="80">
        <f>IF(P202="",999,IF('Binder Setup'!C202=TRUE(),999,IF(COUNTIFS('Set Aliases'!$A$2:$A$501,P202,'Set Aliases'!$B$2:$B$501,"?*")&gt;0,999,201)))</f>
        <v>999</v>
      </c>
    </row>
    <row r="203" ht="15.75" customHeight="1">
      <c r="A203" s="2"/>
      <c r="B203" s="2"/>
      <c r="C203" s="2"/>
      <c r="D203" s="2"/>
      <c r="E203" s="2"/>
      <c r="F203" s="2"/>
      <c r="G203" s="2"/>
      <c r="H203" s="2"/>
      <c r="I203" s="2"/>
      <c r="J203" s="2"/>
      <c r="K203" s="2"/>
      <c r="P203" s="80" t="str">
        <f>'Binder Setup'!B203&amp;""</f>
        <v/>
      </c>
      <c r="Q203" s="80">
        <f>IF(P203="",999,IF('Binder Setup'!C203=TRUE(),999,IF(COUNTIFS('Set Aliases'!$A$2:$A$501,P203,'Set Aliases'!$B$2:$B$501,"?*")&gt;0,999,202)))</f>
        <v>999</v>
      </c>
    </row>
    <row r="204" ht="15.75" customHeight="1">
      <c r="A204" s="2"/>
      <c r="B204" s="2"/>
      <c r="C204" s="2"/>
      <c r="D204" s="2"/>
      <c r="E204" s="2"/>
      <c r="F204" s="2"/>
      <c r="G204" s="2"/>
      <c r="H204" s="2"/>
      <c r="I204" s="2"/>
      <c r="J204" s="2"/>
      <c r="K204" s="2"/>
      <c r="P204" s="80" t="str">
        <f>'Binder Setup'!B204&amp;""</f>
        <v/>
      </c>
      <c r="Q204" s="80">
        <f>IF(P204="",999,IF('Binder Setup'!C204=TRUE(),999,IF(COUNTIFS('Set Aliases'!$A$2:$A$501,P204,'Set Aliases'!$B$2:$B$501,"?*")&gt;0,999,203)))</f>
        <v>999</v>
      </c>
    </row>
    <row r="205" ht="15.75" customHeight="1">
      <c r="A205" s="2"/>
      <c r="B205" s="2"/>
      <c r="C205" s="2"/>
      <c r="D205" s="2"/>
      <c r="E205" s="2"/>
      <c r="F205" s="2"/>
      <c r="G205" s="2"/>
      <c r="H205" s="2"/>
      <c r="I205" s="2"/>
      <c r="J205" s="2"/>
      <c r="K205" s="2"/>
      <c r="P205" s="80" t="str">
        <f>'Binder Setup'!B205&amp;""</f>
        <v/>
      </c>
      <c r="Q205" s="80">
        <f>IF(P205="",999,IF('Binder Setup'!C205=TRUE(),999,IF(COUNTIFS('Set Aliases'!$A$2:$A$501,P205,'Set Aliases'!$B$2:$B$501,"?*")&gt;0,999,204)))</f>
        <v>999</v>
      </c>
    </row>
    <row r="206" ht="15.75" customHeight="1">
      <c r="A206" s="2"/>
      <c r="B206" s="2"/>
      <c r="C206" s="2"/>
      <c r="D206" s="2"/>
      <c r="E206" s="2"/>
      <c r="F206" s="2"/>
      <c r="G206" s="2"/>
      <c r="H206" s="2"/>
      <c r="I206" s="2"/>
      <c r="J206" s="2"/>
      <c r="K206" s="2"/>
      <c r="P206" s="80" t="str">
        <f>'Binder Setup'!B206&amp;""</f>
        <v/>
      </c>
      <c r="Q206" s="80">
        <f>IF(P206="",999,IF('Binder Setup'!C206=TRUE(),999,IF(COUNTIFS('Set Aliases'!$A$2:$A$501,P206,'Set Aliases'!$B$2:$B$501,"?*")&gt;0,999,205)))</f>
        <v>999</v>
      </c>
    </row>
    <row r="207" ht="15.75" customHeight="1">
      <c r="A207" s="2"/>
      <c r="B207" s="2"/>
      <c r="C207" s="2"/>
      <c r="D207" s="2"/>
      <c r="E207" s="2"/>
      <c r="F207" s="2"/>
      <c r="G207" s="2"/>
      <c r="H207" s="2"/>
      <c r="I207" s="2"/>
      <c r="J207" s="2"/>
      <c r="K207" s="2"/>
      <c r="P207" s="80" t="str">
        <f>'Binder Setup'!B207&amp;""</f>
        <v/>
      </c>
      <c r="Q207" s="80">
        <f>IF(P207="",999,IF('Binder Setup'!C207=TRUE(),999,IF(COUNTIFS('Set Aliases'!$A$2:$A$501,P207,'Set Aliases'!$B$2:$B$501,"?*")&gt;0,999,206)))</f>
        <v>999</v>
      </c>
    </row>
    <row r="208" ht="15.75" customHeight="1">
      <c r="A208" s="2"/>
      <c r="B208" s="2"/>
      <c r="C208" s="2"/>
      <c r="D208" s="2"/>
      <c r="E208" s="2"/>
      <c r="F208" s="2"/>
      <c r="G208" s="2"/>
      <c r="H208" s="2"/>
      <c r="I208" s="2"/>
      <c r="J208" s="2"/>
      <c r="K208" s="2"/>
      <c r="P208" s="80" t="str">
        <f>'Binder Setup'!B208&amp;""</f>
        <v/>
      </c>
      <c r="Q208" s="80">
        <f>IF(P208="",999,IF('Binder Setup'!C208=TRUE(),999,IF(COUNTIFS('Set Aliases'!$A$2:$A$501,P208,'Set Aliases'!$B$2:$B$501,"?*")&gt;0,999,207)))</f>
        <v>999</v>
      </c>
    </row>
    <row r="209" ht="15.75" customHeight="1">
      <c r="A209" s="2"/>
      <c r="B209" s="2"/>
      <c r="C209" s="2"/>
      <c r="D209" s="2"/>
      <c r="E209" s="2"/>
      <c r="F209" s="2"/>
      <c r="G209" s="2"/>
      <c r="H209" s="2"/>
      <c r="I209" s="2"/>
      <c r="J209" s="2"/>
      <c r="K209" s="2"/>
      <c r="P209" s="80" t="str">
        <f>'Binder Setup'!B209&amp;""</f>
        <v/>
      </c>
      <c r="Q209" s="80">
        <f>IF(P209="",999,IF('Binder Setup'!C209=TRUE(),999,IF(COUNTIFS('Set Aliases'!$A$2:$A$501,P209,'Set Aliases'!$B$2:$B$501,"?*")&gt;0,999,208)))</f>
        <v>999</v>
      </c>
    </row>
    <row r="210" ht="15.75" customHeight="1">
      <c r="A210" s="2"/>
      <c r="B210" s="2"/>
      <c r="C210" s="2"/>
      <c r="D210" s="2"/>
      <c r="E210" s="2"/>
      <c r="F210" s="2"/>
      <c r="G210" s="2"/>
      <c r="H210" s="2"/>
      <c r="I210" s="2"/>
      <c r="J210" s="2"/>
      <c r="K210" s="2"/>
      <c r="P210" s="80" t="str">
        <f>'Binder Setup'!B210&amp;""</f>
        <v/>
      </c>
      <c r="Q210" s="80">
        <f>IF(P210="",999,IF('Binder Setup'!C210=TRUE(),999,IF(COUNTIFS('Set Aliases'!$A$2:$A$501,P210,'Set Aliases'!$B$2:$B$501,"?*")&gt;0,999,209)))</f>
        <v>999</v>
      </c>
    </row>
    <row r="211" ht="15.75" customHeight="1">
      <c r="A211" s="2"/>
      <c r="B211" s="2"/>
      <c r="C211" s="2"/>
      <c r="D211" s="2"/>
      <c r="E211" s="2"/>
      <c r="F211" s="2"/>
      <c r="G211" s="2"/>
      <c r="H211" s="2"/>
      <c r="I211" s="2"/>
      <c r="J211" s="2"/>
      <c r="K211" s="2"/>
      <c r="P211" s="80" t="str">
        <f>'Binder Setup'!B211&amp;""</f>
        <v/>
      </c>
      <c r="Q211" s="80">
        <f>IF(P211="",999,IF('Binder Setup'!C211=TRUE(),999,IF(COUNTIFS('Set Aliases'!$A$2:$A$501,P211,'Set Aliases'!$B$2:$B$501,"?*")&gt;0,999,210)))</f>
        <v>999</v>
      </c>
    </row>
    <row r="212" ht="15.75" customHeight="1">
      <c r="A212" s="2"/>
      <c r="B212" s="2"/>
      <c r="C212" s="2"/>
      <c r="D212" s="2"/>
      <c r="E212" s="2"/>
      <c r="F212" s="2"/>
      <c r="G212" s="2"/>
      <c r="H212" s="2"/>
      <c r="I212" s="2"/>
      <c r="J212" s="2"/>
      <c r="K212" s="2"/>
      <c r="P212" s="80" t="str">
        <f>'Binder Setup'!B212&amp;""</f>
        <v/>
      </c>
      <c r="Q212" s="80">
        <f>IF(P212="",999,IF('Binder Setup'!C212=TRUE(),999,IF(COUNTIFS('Set Aliases'!$A$2:$A$501,P212,'Set Aliases'!$B$2:$B$501,"?*")&gt;0,999,211)))</f>
        <v>999</v>
      </c>
    </row>
    <row r="213" ht="15.75" customHeight="1">
      <c r="A213" s="2"/>
      <c r="B213" s="2"/>
      <c r="C213" s="2"/>
      <c r="D213" s="2"/>
      <c r="E213" s="2"/>
      <c r="F213" s="2"/>
      <c r="G213" s="2"/>
      <c r="H213" s="2"/>
      <c r="I213" s="2"/>
      <c r="J213" s="2"/>
      <c r="K213" s="2"/>
      <c r="P213" s="80" t="str">
        <f>'Binder Setup'!B213&amp;""</f>
        <v/>
      </c>
      <c r="Q213" s="80">
        <f>IF(P213="",999,IF('Binder Setup'!C213=TRUE(),999,IF(COUNTIFS('Set Aliases'!$A$2:$A$501,P213,'Set Aliases'!$B$2:$B$501,"?*")&gt;0,999,212)))</f>
        <v>999</v>
      </c>
    </row>
    <row r="214" ht="15.75" customHeight="1">
      <c r="A214" s="2"/>
      <c r="B214" s="2"/>
      <c r="C214" s="2"/>
      <c r="D214" s="2"/>
      <c r="E214" s="2"/>
      <c r="F214" s="2"/>
      <c r="G214" s="2"/>
      <c r="H214" s="2"/>
      <c r="I214" s="2"/>
      <c r="J214" s="2"/>
      <c r="K214" s="2"/>
      <c r="P214" s="80" t="str">
        <f>'Binder Setup'!B214&amp;""</f>
        <v/>
      </c>
      <c r="Q214" s="80">
        <f>IF(P214="",999,IF('Binder Setup'!C214=TRUE(),999,IF(COUNTIFS('Set Aliases'!$A$2:$A$501,P214,'Set Aliases'!$B$2:$B$501,"?*")&gt;0,999,213)))</f>
        <v>999</v>
      </c>
    </row>
    <row r="215" ht="15.75" customHeight="1">
      <c r="A215" s="2"/>
      <c r="B215" s="2"/>
      <c r="C215" s="2"/>
      <c r="D215" s="2"/>
      <c r="E215" s="2"/>
      <c r="F215" s="2"/>
      <c r="G215" s="2"/>
      <c r="H215" s="2"/>
      <c r="I215" s="2"/>
      <c r="J215" s="2"/>
      <c r="K215" s="2"/>
      <c r="P215" s="80" t="str">
        <f>'Binder Setup'!B215&amp;""</f>
        <v/>
      </c>
      <c r="Q215" s="80">
        <f>IF(P215="",999,IF('Binder Setup'!C215=TRUE(),999,IF(COUNTIFS('Set Aliases'!$A$2:$A$501,P215,'Set Aliases'!$B$2:$B$501,"?*")&gt;0,999,214)))</f>
        <v>999</v>
      </c>
    </row>
    <row r="216" ht="15.75" customHeight="1">
      <c r="A216" s="2"/>
      <c r="B216" s="2"/>
      <c r="C216" s="2"/>
      <c r="D216" s="2"/>
      <c r="E216" s="2"/>
      <c r="F216" s="2"/>
      <c r="G216" s="2"/>
      <c r="H216" s="2"/>
      <c r="I216" s="2"/>
      <c r="J216" s="2"/>
      <c r="K216" s="2"/>
      <c r="P216" s="80" t="str">
        <f>'Binder Setup'!B216&amp;""</f>
        <v/>
      </c>
      <c r="Q216" s="80">
        <f>IF(P216="",999,IF('Binder Setup'!C216=TRUE(),999,IF(COUNTIFS('Set Aliases'!$A$2:$A$501,P216,'Set Aliases'!$B$2:$B$501,"?*")&gt;0,999,215)))</f>
        <v>999</v>
      </c>
    </row>
    <row r="217" ht="15.75" customHeight="1">
      <c r="A217" s="2"/>
      <c r="B217" s="2"/>
      <c r="C217" s="2"/>
      <c r="D217" s="2"/>
      <c r="E217" s="2"/>
      <c r="F217" s="2"/>
      <c r="G217" s="2"/>
      <c r="H217" s="2"/>
      <c r="I217" s="2"/>
      <c r="J217" s="2"/>
      <c r="K217" s="2"/>
      <c r="P217" s="80" t="str">
        <f>'Binder Setup'!B217&amp;""</f>
        <v/>
      </c>
      <c r="Q217" s="80">
        <f>IF(P217="",999,IF('Binder Setup'!C217=TRUE(),999,IF(COUNTIFS('Set Aliases'!$A$2:$A$501,P217,'Set Aliases'!$B$2:$B$501,"?*")&gt;0,999,216)))</f>
        <v>999</v>
      </c>
    </row>
    <row r="218" ht="15.75" customHeight="1">
      <c r="A218" s="2"/>
      <c r="B218" s="2"/>
      <c r="C218" s="2"/>
      <c r="D218" s="2"/>
      <c r="E218" s="2"/>
      <c r="F218" s="2"/>
      <c r="G218" s="2"/>
      <c r="H218" s="2"/>
      <c r="I218" s="2"/>
      <c r="J218" s="2"/>
      <c r="K218" s="2"/>
      <c r="P218" s="80" t="str">
        <f>'Binder Setup'!B218&amp;""</f>
        <v/>
      </c>
      <c r="Q218" s="80">
        <f>IF(P218="",999,IF('Binder Setup'!C218=TRUE(),999,IF(COUNTIFS('Set Aliases'!$A$2:$A$501,P218,'Set Aliases'!$B$2:$B$501,"?*")&gt;0,999,217)))</f>
        <v>999</v>
      </c>
    </row>
    <row r="219" ht="15.75" customHeight="1">
      <c r="A219" s="2"/>
      <c r="B219" s="2"/>
      <c r="C219" s="2"/>
      <c r="D219" s="2"/>
      <c r="E219" s="2"/>
      <c r="F219" s="2"/>
      <c r="G219" s="2"/>
      <c r="H219" s="2"/>
      <c r="I219" s="2"/>
      <c r="J219" s="2"/>
      <c r="K219" s="2"/>
      <c r="P219" s="80" t="str">
        <f>'Binder Setup'!B219&amp;""</f>
        <v/>
      </c>
      <c r="Q219" s="80">
        <f>IF(P219="",999,IF('Binder Setup'!C219=TRUE(),999,IF(COUNTIFS('Set Aliases'!$A$2:$A$501,P219,'Set Aliases'!$B$2:$B$501,"?*")&gt;0,999,218)))</f>
        <v>999</v>
      </c>
    </row>
    <row r="220" ht="15.75" customHeight="1">
      <c r="A220" s="2"/>
      <c r="B220" s="2"/>
      <c r="C220" s="2"/>
      <c r="D220" s="2"/>
      <c r="E220" s="2"/>
      <c r="F220" s="2"/>
      <c r="G220" s="2"/>
      <c r="H220" s="2"/>
      <c r="I220" s="2"/>
      <c r="J220" s="2"/>
      <c r="K220" s="2"/>
      <c r="P220" s="80" t="str">
        <f>'Binder Setup'!B220&amp;""</f>
        <v/>
      </c>
      <c r="Q220" s="80">
        <f>IF(P220="",999,IF('Binder Setup'!C220=TRUE(),999,IF(COUNTIFS('Set Aliases'!$A$2:$A$501,P220,'Set Aliases'!$B$2:$B$501,"?*")&gt;0,999,219)))</f>
        <v>999</v>
      </c>
    </row>
    <row r="221" ht="15.75" customHeight="1">
      <c r="A221" s="2"/>
      <c r="B221" s="2"/>
      <c r="C221" s="2"/>
      <c r="D221" s="2"/>
      <c r="E221" s="2"/>
      <c r="F221" s="2"/>
      <c r="G221" s="2"/>
      <c r="H221" s="2"/>
      <c r="I221" s="2"/>
      <c r="J221" s="2"/>
      <c r="K221" s="2"/>
      <c r="P221" s="80" t="str">
        <f>'Binder Setup'!B221&amp;""</f>
        <v/>
      </c>
      <c r="Q221" s="80">
        <f>IF(P221="",999,IF('Binder Setup'!C221=TRUE(),999,IF(COUNTIFS('Set Aliases'!$A$2:$A$501,P221,'Set Aliases'!$B$2:$B$501,"?*")&gt;0,999,220)))</f>
        <v>999</v>
      </c>
    </row>
    <row r="222" ht="15.75" customHeight="1">
      <c r="A222" s="2"/>
      <c r="B222" s="2"/>
      <c r="C222" s="2"/>
      <c r="D222" s="2"/>
      <c r="E222" s="2"/>
      <c r="F222" s="2"/>
      <c r="G222" s="2"/>
      <c r="H222" s="2"/>
      <c r="I222" s="2"/>
      <c r="J222" s="2"/>
      <c r="K222" s="2"/>
      <c r="P222" s="80" t="str">
        <f>'Binder Setup'!B222&amp;""</f>
        <v/>
      </c>
      <c r="Q222" s="80">
        <f>IF(P222="",999,IF('Binder Setup'!C222=TRUE(),999,IF(COUNTIFS('Set Aliases'!$A$2:$A$501,P222,'Set Aliases'!$B$2:$B$501,"?*")&gt;0,999,221)))</f>
        <v>999</v>
      </c>
    </row>
    <row r="223" ht="15.75" customHeight="1">
      <c r="A223" s="2"/>
      <c r="B223" s="2"/>
      <c r="C223" s="2"/>
      <c r="D223" s="2"/>
      <c r="E223" s="2"/>
      <c r="F223" s="2"/>
      <c r="G223" s="2"/>
      <c r="H223" s="2"/>
      <c r="I223" s="2"/>
      <c r="J223" s="2"/>
      <c r="K223" s="2"/>
      <c r="P223" s="80" t="str">
        <f>'Binder Setup'!B223&amp;""</f>
        <v/>
      </c>
      <c r="Q223" s="80">
        <f>IF(P223="",999,IF('Binder Setup'!C223=TRUE(),999,IF(COUNTIFS('Set Aliases'!$A$2:$A$501,P223,'Set Aliases'!$B$2:$B$501,"?*")&gt;0,999,222)))</f>
        <v>999</v>
      </c>
    </row>
    <row r="224" ht="15.75" customHeight="1">
      <c r="A224" s="2"/>
      <c r="B224" s="2"/>
      <c r="C224" s="2"/>
      <c r="D224" s="2"/>
      <c r="E224" s="2"/>
      <c r="F224" s="2"/>
      <c r="G224" s="2"/>
      <c r="H224" s="2"/>
      <c r="I224" s="2"/>
      <c r="J224" s="2"/>
      <c r="K224" s="2"/>
      <c r="P224" s="80" t="str">
        <f>'Binder Setup'!B224&amp;""</f>
        <v/>
      </c>
      <c r="Q224" s="80">
        <f>IF(P224="",999,IF('Binder Setup'!C224=TRUE(),999,IF(COUNTIFS('Set Aliases'!$A$2:$A$501,P224,'Set Aliases'!$B$2:$B$501,"?*")&gt;0,999,223)))</f>
        <v>999</v>
      </c>
    </row>
    <row r="225" ht="15.75" customHeight="1">
      <c r="A225" s="2"/>
      <c r="B225" s="2"/>
      <c r="C225" s="2"/>
      <c r="D225" s="2"/>
      <c r="E225" s="2"/>
      <c r="F225" s="2"/>
      <c r="G225" s="2"/>
      <c r="H225" s="2"/>
      <c r="I225" s="2"/>
      <c r="J225" s="2"/>
      <c r="K225" s="2"/>
      <c r="P225" s="80" t="str">
        <f>'Binder Setup'!B225&amp;""</f>
        <v/>
      </c>
      <c r="Q225" s="80">
        <f>IF(P225="",999,IF('Binder Setup'!C225=TRUE(),999,IF(COUNTIFS('Set Aliases'!$A$2:$A$501,P225,'Set Aliases'!$B$2:$B$501,"?*")&gt;0,999,224)))</f>
        <v>999</v>
      </c>
    </row>
    <row r="226" ht="15.75" customHeight="1">
      <c r="A226" s="2"/>
      <c r="B226" s="2"/>
      <c r="C226" s="2"/>
      <c r="D226" s="2"/>
      <c r="E226" s="2"/>
      <c r="F226" s="2"/>
      <c r="G226" s="2"/>
      <c r="H226" s="2"/>
      <c r="I226" s="2"/>
      <c r="J226" s="2"/>
      <c r="K226" s="2"/>
      <c r="P226" s="80" t="str">
        <f>'Binder Setup'!B226&amp;""</f>
        <v/>
      </c>
      <c r="Q226" s="80">
        <f>IF(P226="",999,IF('Binder Setup'!C226=TRUE(),999,IF(COUNTIFS('Set Aliases'!$A$2:$A$501,P226,'Set Aliases'!$B$2:$B$501,"?*")&gt;0,999,225)))</f>
        <v>999</v>
      </c>
    </row>
    <row r="227" ht="15.75" customHeight="1">
      <c r="A227" s="2"/>
      <c r="B227" s="2"/>
      <c r="C227" s="2"/>
      <c r="D227" s="2"/>
      <c r="E227" s="2"/>
      <c r="F227" s="2"/>
      <c r="G227" s="2"/>
      <c r="H227" s="2"/>
      <c r="I227" s="2"/>
      <c r="J227" s="2"/>
      <c r="K227" s="2"/>
      <c r="P227" s="80" t="str">
        <f>'Binder Setup'!B227&amp;""</f>
        <v/>
      </c>
      <c r="Q227" s="80">
        <f>IF(P227="",999,IF('Binder Setup'!C227=TRUE(),999,IF(COUNTIFS('Set Aliases'!$A$2:$A$501,P227,'Set Aliases'!$B$2:$B$501,"?*")&gt;0,999,226)))</f>
        <v>999</v>
      </c>
    </row>
    <row r="228" ht="15.75" customHeight="1">
      <c r="A228" s="2"/>
      <c r="B228" s="2"/>
      <c r="C228" s="2"/>
      <c r="D228" s="2"/>
      <c r="E228" s="2"/>
      <c r="F228" s="2"/>
      <c r="G228" s="2"/>
      <c r="H228" s="2"/>
      <c r="I228" s="2"/>
      <c r="J228" s="2"/>
      <c r="K228" s="2"/>
      <c r="P228" s="80" t="str">
        <f>'Binder Setup'!B228&amp;""</f>
        <v/>
      </c>
      <c r="Q228" s="80">
        <f>IF(P228="",999,IF('Binder Setup'!C228=TRUE(),999,IF(COUNTIFS('Set Aliases'!$A$2:$A$501,P228,'Set Aliases'!$B$2:$B$501,"?*")&gt;0,999,227)))</f>
        <v>999</v>
      </c>
    </row>
    <row r="229" ht="15.75" customHeight="1">
      <c r="A229" s="2"/>
      <c r="B229" s="2"/>
      <c r="C229" s="2"/>
      <c r="D229" s="2"/>
      <c r="E229" s="2"/>
      <c r="F229" s="2"/>
      <c r="G229" s="2"/>
      <c r="H229" s="2"/>
      <c r="I229" s="2"/>
      <c r="J229" s="2"/>
      <c r="K229" s="2"/>
      <c r="P229" s="80" t="str">
        <f>'Binder Setup'!B229&amp;""</f>
        <v/>
      </c>
      <c r="Q229" s="80">
        <f>IF(P229="",999,IF('Binder Setup'!C229=TRUE(),999,IF(COUNTIFS('Set Aliases'!$A$2:$A$501,P229,'Set Aliases'!$B$2:$B$501,"?*")&gt;0,999,228)))</f>
        <v>999</v>
      </c>
    </row>
    <row r="230" ht="15.75" customHeight="1">
      <c r="A230" s="2"/>
      <c r="B230" s="2"/>
      <c r="C230" s="2"/>
      <c r="D230" s="2"/>
      <c r="E230" s="2"/>
      <c r="F230" s="2"/>
      <c r="G230" s="2"/>
      <c r="H230" s="2"/>
      <c r="I230" s="2"/>
      <c r="J230" s="2"/>
      <c r="K230" s="2"/>
      <c r="P230" s="80" t="str">
        <f>'Binder Setup'!B230&amp;""</f>
        <v/>
      </c>
      <c r="Q230" s="80">
        <f>IF(P230="",999,IF('Binder Setup'!C230=TRUE(),999,IF(COUNTIFS('Set Aliases'!$A$2:$A$501,P230,'Set Aliases'!$B$2:$B$501,"?*")&gt;0,999,229)))</f>
        <v>999</v>
      </c>
    </row>
    <row r="231" ht="15.75" customHeight="1">
      <c r="A231" s="2"/>
      <c r="B231" s="2"/>
      <c r="C231" s="2"/>
      <c r="D231" s="2"/>
      <c r="E231" s="2"/>
      <c r="F231" s="2"/>
      <c r="G231" s="2"/>
      <c r="H231" s="2"/>
      <c r="I231" s="2"/>
      <c r="J231" s="2"/>
      <c r="K231" s="2"/>
      <c r="P231" s="80" t="str">
        <f>'Binder Setup'!B231&amp;""</f>
        <v/>
      </c>
      <c r="Q231" s="80">
        <f>IF(P231="",999,IF('Binder Setup'!C231=TRUE(),999,IF(COUNTIFS('Set Aliases'!$A$2:$A$501,P231,'Set Aliases'!$B$2:$B$501,"?*")&gt;0,999,230)))</f>
        <v>999</v>
      </c>
    </row>
    <row r="232" ht="15.75" customHeight="1">
      <c r="A232" s="2"/>
      <c r="B232" s="2"/>
      <c r="C232" s="2"/>
      <c r="D232" s="2"/>
      <c r="E232" s="2"/>
      <c r="F232" s="2"/>
      <c r="G232" s="2"/>
      <c r="H232" s="2"/>
      <c r="I232" s="2"/>
      <c r="J232" s="2"/>
      <c r="K232" s="2"/>
      <c r="P232" s="80" t="str">
        <f>'Binder Setup'!B232&amp;""</f>
        <v/>
      </c>
      <c r="Q232" s="80">
        <f>IF(P232="",999,IF('Binder Setup'!C232=TRUE(),999,IF(COUNTIFS('Set Aliases'!$A$2:$A$501,P232,'Set Aliases'!$B$2:$B$501,"?*")&gt;0,999,231)))</f>
        <v>999</v>
      </c>
    </row>
    <row r="233" ht="15.75" customHeight="1">
      <c r="A233" s="2"/>
      <c r="B233" s="2"/>
      <c r="C233" s="2"/>
      <c r="D233" s="2"/>
      <c r="E233" s="2"/>
      <c r="F233" s="2"/>
      <c r="G233" s="2"/>
      <c r="H233" s="2"/>
      <c r="I233" s="2"/>
      <c r="J233" s="2"/>
      <c r="K233" s="2"/>
      <c r="P233" s="80" t="str">
        <f>'Binder Setup'!B233&amp;""</f>
        <v/>
      </c>
      <c r="Q233" s="80">
        <f>IF(P233="",999,IF('Binder Setup'!C233=TRUE(),999,IF(COUNTIFS('Set Aliases'!$A$2:$A$501,P233,'Set Aliases'!$B$2:$B$501,"?*")&gt;0,999,232)))</f>
        <v>999</v>
      </c>
    </row>
    <row r="234" ht="15.75" customHeight="1">
      <c r="A234" s="2"/>
      <c r="B234" s="2"/>
      <c r="C234" s="2"/>
      <c r="D234" s="2"/>
      <c r="E234" s="2"/>
      <c r="F234" s="2"/>
      <c r="G234" s="2"/>
      <c r="H234" s="2"/>
      <c r="I234" s="2"/>
      <c r="J234" s="2"/>
      <c r="K234" s="2"/>
      <c r="P234" s="80" t="str">
        <f>'Binder Setup'!B234&amp;""</f>
        <v/>
      </c>
      <c r="Q234" s="80">
        <f>IF(P234="",999,IF('Binder Setup'!C234=TRUE(),999,IF(COUNTIFS('Set Aliases'!$A$2:$A$501,P234,'Set Aliases'!$B$2:$B$501,"?*")&gt;0,999,233)))</f>
        <v>999</v>
      </c>
    </row>
    <row r="235" ht="15.75" customHeight="1">
      <c r="A235" s="2"/>
      <c r="B235" s="2"/>
      <c r="C235" s="2"/>
      <c r="D235" s="2"/>
      <c r="E235" s="2"/>
      <c r="F235" s="2"/>
      <c r="G235" s="2"/>
      <c r="H235" s="2"/>
      <c r="I235" s="2"/>
      <c r="J235" s="2"/>
      <c r="K235" s="2"/>
      <c r="P235" s="80" t="str">
        <f>'Binder Setup'!B235&amp;""</f>
        <v/>
      </c>
      <c r="Q235" s="80">
        <f>IF(P235="",999,IF('Binder Setup'!C235=TRUE(),999,IF(COUNTIFS('Set Aliases'!$A$2:$A$501,P235,'Set Aliases'!$B$2:$B$501,"?*")&gt;0,999,234)))</f>
        <v>999</v>
      </c>
    </row>
    <row r="236" ht="15.75" customHeight="1">
      <c r="A236" s="2"/>
      <c r="B236" s="2"/>
      <c r="C236" s="2"/>
      <c r="D236" s="2"/>
      <c r="E236" s="2"/>
      <c r="F236" s="2"/>
      <c r="G236" s="2"/>
      <c r="H236" s="2"/>
      <c r="I236" s="2"/>
      <c r="J236" s="2"/>
      <c r="K236" s="2"/>
      <c r="P236" s="80" t="str">
        <f>'Binder Setup'!B236&amp;""</f>
        <v/>
      </c>
      <c r="Q236" s="80">
        <f>IF(P236="",999,IF('Binder Setup'!C236=TRUE(),999,IF(COUNTIFS('Set Aliases'!$A$2:$A$501,P236,'Set Aliases'!$B$2:$B$501,"?*")&gt;0,999,235)))</f>
        <v>999</v>
      </c>
    </row>
    <row r="237" ht="15.75" customHeight="1">
      <c r="A237" s="2"/>
      <c r="B237" s="2"/>
      <c r="C237" s="2"/>
      <c r="D237" s="2"/>
      <c r="E237" s="2"/>
      <c r="F237" s="2"/>
      <c r="G237" s="2"/>
      <c r="H237" s="2"/>
      <c r="I237" s="2"/>
      <c r="J237" s="2"/>
      <c r="K237" s="2"/>
      <c r="P237" s="80" t="str">
        <f>'Binder Setup'!B237&amp;""</f>
        <v/>
      </c>
      <c r="Q237" s="80">
        <f>IF(P237="",999,IF('Binder Setup'!C237=TRUE(),999,IF(COUNTIFS('Set Aliases'!$A$2:$A$501,P237,'Set Aliases'!$B$2:$B$501,"?*")&gt;0,999,236)))</f>
        <v>999</v>
      </c>
    </row>
    <row r="238" ht="15.75" customHeight="1">
      <c r="A238" s="2"/>
      <c r="B238" s="2"/>
      <c r="C238" s="2"/>
      <c r="D238" s="2"/>
      <c r="E238" s="2"/>
      <c r="F238" s="2"/>
      <c r="G238" s="2"/>
      <c r="H238" s="2"/>
      <c r="I238" s="2"/>
      <c r="J238" s="2"/>
      <c r="K238" s="2"/>
      <c r="P238" s="80" t="str">
        <f>'Binder Setup'!B238&amp;""</f>
        <v/>
      </c>
      <c r="Q238" s="80">
        <f>IF(P238="",999,IF('Binder Setup'!C238=TRUE(),999,IF(COUNTIFS('Set Aliases'!$A$2:$A$501,P238,'Set Aliases'!$B$2:$B$501,"?*")&gt;0,999,237)))</f>
        <v>999</v>
      </c>
    </row>
    <row r="239" ht="15.75" customHeight="1">
      <c r="A239" s="2"/>
      <c r="B239" s="2"/>
      <c r="C239" s="2"/>
      <c r="D239" s="2"/>
      <c r="E239" s="2"/>
      <c r="F239" s="2"/>
      <c r="G239" s="2"/>
      <c r="H239" s="2"/>
      <c r="I239" s="2"/>
      <c r="J239" s="2"/>
      <c r="K239" s="2"/>
      <c r="P239" s="80" t="str">
        <f>'Binder Setup'!B239&amp;""</f>
        <v/>
      </c>
      <c r="Q239" s="80">
        <f>IF(P239="",999,IF('Binder Setup'!C239=TRUE(),999,IF(COUNTIFS('Set Aliases'!$A$2:$A$501,P239,'Set Aliases'!$B$2:$B$501,"?*")&gt;0,999,238)))</f>
        <v>999</v>
      </c>
    </row>
    <row r="240" ht="15.75" customHeight="1">
      <c r="A240" s="2"/>
      <c r="B240" s="2"/>
      <c r="C240" s="2"/>
      <c r="D240" s="2"/>
      <c r="E240" s="2"/>
      <c r="F240" s="2"/>
      <c r="G240" s="2"/>
      <c r="H240" s="2"/>
      <c r="I240" s="2"/>
      <c r="J240" s="2"/>
      <c r="K240" s="2"/>
      <c r="P240" s="80" t="str">
        <f>'Binder Setup'!B240&amp;""</f>
        <v/>
      </c>
      <c r="Q240" s="80">
        <f>IF(P240="",999,IF('Binder Setup'!C240=TRUE(),999,IF(COUNTIFS('Set Aliases'!$A$2:$A$501,P240,'Set Aliases'!$B$2:$B$501,"?*")&gt;0,999,239)))</f>
        <v>999</v>
      </c>
    </row>
    <row r="241" ht="15.75" customHeight="1">
      <c r="A241" s="2"/>
      <c r="B241" s="2"/>
      <c r="C241" s="2"/>
      <c r="D241" s="2"/>
      <c r="E241" s="2"/>
      <c r="F241" s="2"/>
      <c r="G241" s="2"/>
      <c r="H241" s="2"/>
      <c r="I241" s="2"/>
      <c r="J241" s="2"/>
      <c r="K241" s="2"/>
      <c r="P241" s="80" t="str">
        <f>'Binder Setup'!B241&amp;""</f>
        <v/>
      </c>
      <c r="Q241" s="80">
        <f>IF(P241="",999,IF('Binder Setup'!C241=TRUE(),999,IF(COUNTIFS('Set Aliases'!$A$2:$A$501,P241,'Set Aliases'!$B$2:$B$501,"?*")&gt;0,999,240)))</f>
        <v>999</v>
      </c>
    </row>
    <row r="242" ht="15.75" customHeight="1">
      <c r="A242" s="2"/>
      <c r="B242" s="2"/>
      <c r="C242" s="2"/>
      <c r="D242" s="2"/>
      <c r="E242" s="2"/>
      <c r="F242" s="2"/>
      <c r="G242" s="2"/>
      <c r="H242" s="2"/>
      <c r="I242" s="2"/>
      <c r="J242" s="2"/>
      <c r="K242" s="2"/>
      <c r="P242" s="80" t="str">
        <f>'Binder Setup'!B242&amp;""</f>
        <v/>
      </c>
      <c r="Q242" s="80">
        <f>IF(P242="",999,IF('Binder Setup'!C242=TRUE(),999,IF(COUNTIFS('Set Aliases'!$A$2:$A$501,P242,'Set Aliases'!$B$2:$B$501,"?*")&gt;0,999,241)))</f>
        <v>999</v>
      </c>
    </row>
    <row r="243" ht="15.75" customHeight="1">
      <c r="A243" s="2"/>
      <c r="B243" s="2"/>
      <c r="C243" s="2"/>
      <c r="D243" s="2"/>
      <c r="E243" s="2"/>
      <c r="F243" s="2"/>
      <c r="G243" s="2"/>
      <c r="H243" s="2"/>
      <c r="I243" s="2"/>
      <c r="J243" s="2"/>
      <c r="K243" s="2"/>
      <c r="P243" s="80" t="str">
        <f>'Binder Setup'!B243&amp;""</f>
        <v/>
      </c>
      <c r="Q243" s="80">
        <f>IF(P243="",999,IF('Binder Setup'!C243=TRUE(),999,IF(COUNTIFS('Set Aliases'!$A$2:$A$501,P243,'Set Aliases'!$B$2:$B$501,"?*")&gt;0,999,242)))</f>
        <v>999</v>
      </c>
    </row>
    <row r="244" ht="15.75" customHeight="1">
      <c r="A244" s="2"/>
      <c r="B244" s="2"/>
      <c r="C244" s="2"/>
      <c r="D244" s="2"/>
      <c r="E244" s="2"/>
      <c r="F244" s="2"/>
      <c r="G244" s="2"/>
      <c r="H244" s="2"/>
      <c r="I244" s="2"/>
      <c r="J244" s="2"/>
      <c r="K244" s="2"/>
      <c r="P244" s="80" t="str">
        <f>'Binder Setup'!B244&amp;""</f>
        <v/>
      </c>
      <c r="Q244" s="80">
        <f>IF(P244="",999,IF('Binder Setup'!C244=TRUE(),999,IF(COUNTIFS('Set Aliases'!$A$2:$A$501,P244,'Set Aliases'!$B$2:$B$501,"?*")&gt;0,999,243)))</f>
        <v>999</v>
      </c>
    </row>
    <row r="245" ht="15.75" customHeight="1">
      <c r="A245" s="2"/>
      <c r="B245" s="2"/>
      <c r="C245" s="2"/>
      <c r="D245" s="2"/>
      <c r="E245" s="2"/>
      <c r="F245" s="2"/>
      <c r="G245" s="2"/>
      <c r="H245" s="2"/>
      <c r="I245" s="2"/>
      <c r="J245" s="2"/>
      <c r="K245" s="2"/>
      <c r="P245" s="80" t="str">
        <f>'Binder Setup'!B245&amp;""</f>
        <v/>
      </c>
      <c r="Q245" s="80">
        <f>IF(P245="",999,IF('Binder Setup'!C245=TRUE(),999,IF(COUNTIFS('Set Aliases'!$A$2:$A$501,P245,'Set Aliases'!$B$2:$B$501,"?*")&gt;0,999,244)))</f>
        <v>999</v>
      </c>
    </row>
    <row r="246" ht="15.75" customHeight="1">
      <c r="A246" s="2"/>
      <c r="B246" s="2"/>
      <c r="C246" s="2"/>
      <c r="D246" s="2"/>
      <c r="E246" s="2"/>
      <c r="F246" s="2"/>
      <c r="G246" s="2"/>
      <c r="H246" s="2"/>
      <c r="I246" s="2"/>
      <c r="J246" s="2"/>
      <c r="K246" s="2"/>
      <c r="P246" s="80" t="str">
        <f>'Binder Setup'!B246&amp;""</f>
        <v/>
      </c>
      <c r="Q246" s="80">
        <f>IF(P246="",999,IF('Binder Setup'!C246=TRUE(),999,IF(COUNTIFS('Set Aliases'!$A$2:$A$501,P246,'Set Aliases'!$B$2:$B$501,"?*")&gt;0,999,245)))</f>
        <v>999</v>
      </c>
    </row>
    <row r="247" ht="15.75" customHeight="1">
      <c r="A247" s="2"/>
      <c r="B247" s="2"/>
      <c r="C247" s="2"/>
      <c r="D247" s="2"/>
      <c r="E247" s="2"/>
      <c r="F247" s="2"/>
      <c r="G247" s="2"/>
      <c r="H247" s="2"/>
      <c r="I247" s="2"/>
      <c r="J247" s="2"/>
      <c r="K247" s="2"/>
      <c r="P247" s="80" t="str">
        <f>'Binder Setup'!B247&amp;""</f>
        <v/>
      </c>
      <c r="Q247" s="80">
        <f>IF(P247="",999,IF('Binder Setup'!C247=TRUE(),999,IF(COUNTIFS('Set Aliases'!$A$2:$A$501,P247,'Set Aliases'!$B$2:$B$501,"?*")&gt;0,999,246)))</f>
        <v>999</v>
      </c>
    </row>
    <row r="248" ht="15.75" customHeight="1">
      <c r="A248" s="2"/>
      <c r="B248" s="2"/>
      <c r="C248" s="2"/>
      <c r="D248" s="2"/>
      <c r="E248" s="2"/>
      <c r="F248" s="2"/>
      <c r="G248" s="2"/>
      <c r="H248" s="2"/>
      <c r="I248" s="2"/>
      <c r="J248" s="2"/>
      <c r="K248" s="2"/>
      <c r="P248" s="80" t="str">
        <f>'Binder Setup'!B248&amp;""</f>
        <v/>
      </c>
      <c r="Q248" s="80">
        <f>IF(P248="",999,IF('Binder Setup'!C248=TRUE(),999,IF(COUNTIFS('Set Aliases'!$A$2:$A$501,P248,'Set Aliases'!$B$2:$B$501,"?*")&gt;0,999,247)))</f>
        <v>999</v>
      </c>
    </row>
    <row r="249" ht="15.75" customHeight="1">
      <c r="A249" s="2"/>
      <c r="B249" s="2"/>
      <c r="C249" s="2"/>
      <c r="D249" s="2"/>
      <c r="E249" s="2"/>
      <c r="F249" s="2"/>
      <c r="G249" s="2"/>
      <c r="H249" s="2"/>
      <c r="I249" s="2"/>
      <c r="J249" s="2"/>
      <c r="K249" s="2"/>
      <c r="P249" s="80" t="str">
        <f>'Binder Setup'!B249&amp;""</f>
        <v/>
      </c>
      <c r="Q249" s="80">
        <f>IF(P249="",999,IF('Binder Setup'!C249=TRUE(),999,IF(COUNTIFS('Set Aliases'!$A$2:$A$501,P249,'Set Aliases'!$B$2:$B$501,"?*")&gt;0,999,248)))</f>
        <v>999</v>
      </c>
    </row>
    <row r="250" ht="15.75" customHeight="1">
      <c r="A250" s="2"/>
      <c r="B250" s="2"/>
      <c r="C250" s="2"/>
      <c r="D250" s="2"/>
      <c r="E250" s="2"/>
      <c r="F250" s="2"/>
      <c r="G250" s="2"/>
      <c r="H250" s="2"/>
      <c r="I250" s="2"/>
      <c r="J250" s="2"/>
      <c r="K250" s="2"/>
      <c r="P250" s="80" t="str">
        <f>'Binder Setup'!B250&amp;""</f>
        <v/>
      </c>
      <c r="Q250" s="80">
        <f>IF(P250="",999,IF('Binder Setup'!C250=TRUE(),999,IF(COUNTIFS('Set Aliases'!$A$2:$A$501,P250,'Set Aliases'!$B$2:$B$501,"?*")&gt;0,999,249)))</f>
        <v>999</v>
      </c>
    </row>
    <row r="251" ht="15.75" customHeight="1">
      <c r="A251" s="2"/>
      <c r="B251" s="2"/>
      <c r="C251" s="2"/>
      <c r="D251" s="2"/>
      <c r="E251" s="2"/>
      <c r="F251" s="2"/>
      <c r="G251" s="2"/>
      <c r="H251" s="2"/>
      <c r="I251" s="2"/>
      <c r="J251" s="2"/>
      <c r="K251" s="2"/>
      <c r="P251" s="80" t="str">
        <f>'Binder Setup'!B251&amp;""</f>
        <v/>
      </c>
      <c r="Q251" s="80">
        <f>IF(P251="",999,IF('Binder Setup'!C251=TRUE(),999,IF(COUNTIFS('Set Aliases'!$A$2:$A$501,P251,'Set Aliases'!$B$2:$B$501,"?*")&gt;0,999,250)))</f>
        <v>999</v>
      </c>
    </row>
    <row r="252" ht="15.75" customHeight="1">
      <c r="A252" s="2"/>
      <c r="B252" s="2"/>
      <c r="C252" s="2"/>
      <c r="D252" s="2"/>
      <c r="E252" s="2"/>
      <c r="F252" s="2"/>
      <c r="G252" s="2"/>
      <c r="H252" s="2"/>
      <c r="I252" s="2"/>
      <c r="J252" s="2"/>
      <c r="K252" s="2"/>
      <c r="P252" s="80" t="str">
        <f>'Binder Setup'!B252&amp;""</f>
        <v/>
      </c>
      <c r="Q252" s="80">
        <f>IF(P252="",999,IF('Binder Setup'!C252=TRUE(),999,IF(COUNTIFS('Set Aliases'!$A$2:$A$501,P252,'Set Aliases'!$B$2:$B$501,"?*")&gt;0,999,251)))</f>
        <v>999</v>
      </c>
    </row>
    <row r="253" ht="15.75" customHeight="1">
      <c r="A253" s="2"/>
      <c r="B253" s="2"/>
      <c r="C253" s="2"/>
      <c r="D253" s="2"/>
      <c r="E253" s="2"/>
      <c r="F253" s="2"/>
      <c r="G253" s="2"/>
      <c r="H253" s="2"/>
      <c r="I253" s="2"/>
      <c r="J253" s="2"/>
      <c r="K253" s="2"/>
      <c r="P253" s="80" t="str">
        <f>'Binder Setup'!B253&amp;""</f>
        <v/>
      </c>
      <c r="Q253" s="80">
        <f>IF(P253="",999,IF('Binder Setup'!C253=TRUE(),999,IF(COUNTIFS('Set Aliases'!$A$2:$A$501,P253,'Set Aliases'!$B$2:$B$501,"?*")&gt;0,999,252)))</f>
        <v>999</v>
      </c>
    </row>
    <row r="254" ht="15.75" customHeight="1">
      <c r="A254" s="2"/>
      <c r="B254" s="2"/>
      <c r="C254" s="2"/>
      <c r="D254" s="2"/>
      <c r="E254" s="2"/>
      <c r="F254" s="2"/>
      <c r="G254" s="2"/>
      <c r="H254" s="2"/>
      <c r="I254" s="2"/>
      <c r="J254" s="2"/>
      <c r="K254" s="2"/>
      <c r="P254" s="80" t="str">
        <f>'Binder Setup'!B254&amp;""</f>
        <v/>
      </c>
      <c r="Q254" s="80">
        <f>IF(P254="",999,IF('Binder Setup'!C254=TRUE(),999,IF(COUNTIFS('Set Aliases'!$A$2:$A$501,P254,'Set Aliases'!$B$2:$B$501,"?*")&gt;0,999,253)))</f>
        <v>999</v>
      </c>
    </row>
    <row r="255" ht="15.75" customHeight="1">
      <c r="A255" s="2"/>
      <c r="B255" s="2"/>
      <c r="C255" s="2"/>
      <c r="D255" s="2"/>
      <c r="E255" s="2"/>
      <c r="F255" s="2"/>
      <c r="G255" s="2"/>
      <c r="H255" s="2"/>
      <c r="I255" s="2"/>
      <c r="J255" s="2"/>
      <c r="K255" s="2"/>
      <c r="P255" s="80" t="str">
        <f>'Binder Setup'!B255&amp;""</f>
        <v/>
      </c>
      <c r="Q255" s="80">
        <f>IF(P255="",999,IF('Binder Setup'!C255=TRUE(),999,IF(COUNTIFS('Set Aliases'!$A$2:$A$501,P255,'Set Aliases'!$B$2:$B$501,"?*")&gt;0,999,254)))</f>
        <v>999</v>
      </c>
    </row>
    <row r="256" ht="15.75" customHeight="1">
      <c r="A256" s="2"/>
      <c r="B256" s="2"/>
      <c r="C256" s="2"/>
      <c r="D256" s="2"/>
      <c r="E256" s="2"/>
      <c r="F256" s="2"/>
      <c r="G256" s="2"/>
      <c r="H256" s="2"/>
      <c r="I256" s="2"/>
      <c r="J256" s="2"/>
      <c r="K256" s="2"/>
      <c r="P256" s="80" t="str">
        <f>'Binder Setup'!B256&amp;""</f>
        <v/>
      </c>
      <c r="Q256" s="80">
        <f>IF(P256="",999,IF('Binder Setup'!C256=TRUE(),999,IF(COUNTIFS('Set Aliases'!$A$2:$A$501,P256,'Set Aliases'!$B$2:$B$501,"?*")&gt;0,999,255)))</f>
        <v>999</v>
      </c>
    </row>
    <row r="257" ht="15.75" customHeight="1">
      <c r="A257" s="2"/>
      <c r="B257" s="2"/>
      <c r="C257" s="2"/>
      <c r="D257" s="2"/>
      <c r="E257" s="2"/>
      <c r="F257" s="2"/>
      <c r="G257" s="2"/>
      <c r="H257" s="2"/>
      <c r="I257" s="2"/>
      <c r="J257" s="2"/>
      <c r="K257" s="2"/>
      <c r="P257" s="80" t="str">
        <f>'Binder Setup'!B257&amp;""</f>
        <v/>
      </c>
      <c r="Q257" s="80">
        <f>IF(P257="",999,IF('Binder Setup'!C257=TRUE(),999,IF(COUNTIFS('Set Aliases'!$A$2:$A$501,P257,'Set Aliases'!$B$2:$B$501,"?*")&gt;0,999,256)))</f>
        <v>999</v>
      </c>
    </row>
    <row r="258" ht="15.75" customHeight="1">
      <c r="A258" s="2"/>
      <c r="B258" s="2"/>
      <c r="C258" s="2"/>
      <c r="D258" s="2"/>
      <c r="E258" s="2"/>
      <c r="F258" s="2"/>
      <c r="G258" s="2"/>
      <c r="H258" s="2"/>
      <c r="I258" s="2"/>
      <c r="J258" s="2"/>
      <c r="K258" s="2"/>
      <c r="P258" s="80" t="str">
        <f>'Binder Setup'!B258&amp;""</f>
        <v/>
      </c>
      <c r="Q258" s="80">
        <f>IF(P258="",999,IF('Binder Setup'!C258=TRUE(),999,IF(COUNTIFS('Set Aliases'!$A$2:$A$501,P258,'Set Aliases'!$B$2:$B$501,"?*")&gt;0,999,257)))</f>
        <v>999</v>
      </c>
    </row>
    <row r="259" ht="15.75" customHeight="1">
      <c r="A259" s="2"/>
      <c r="B259" s="2"/>
      <c r="C259" s="2"/>
      <c r="D259" s="2"/>
      <c r="E259" s="2"/>
      <c r="F259" s="2"/>
      <c r="G259" s="2"/>
      <c r="H259" s="2"/>
      <c r="I259" s="2"/>
      <c r="J259" s="2"/>
      <c r="K259" s="2"/>
      <c r="P259" s="80" t="str">
        <f>'Binder Setup'!B259&amp;""</f>
        <v/>
      </c>
      <c r="Q259" s="80">
        <f>IF(P259="",999,IF('Binder Setup'!C259=TRUE(),999,IF(COUNTIFS('Set Aliases'!$A$2:$A$501,P259,'Set Aliases'!$B$2:$B$501,"?*")&gt;0,999,258)))</f>
        <v>999</v>
      </c>
    </row>
    <row r="260" ht="15.75" customHeight="1">
      <c r="A260" s="2"/>
      <c r="B260" s="2"/>
      <c r="C260" s="2"/>
      <c r="D260" s="2"/>
      <c r="E260" s="2"/>
      <c r="F260" s="2"/>
      <c r="G260" s="2"/>
      <c r="H260" s="2"/>
      <c r="I260" s="2"/>
      <c r="J260" s="2"/>
      <c r="K260" s="2"/>
      <c r="P260" s="80" t="str">
        <f>'Binder Setup'!B260&amp;""</f>
        <v/>
      </c>
      <c r="Q260" s="80">
        <f>IF(P260="",999,IF('Binder Setup'!C260=TRUE(),999,IF(COUNTIFS('Set Aliases'!$A$2:$A$501,P260,'Set Aliases'!$B$2:$B$501,"?*")&gt;0,999,259)))</f>
        <v>999</v>
      </c>
    </row>
    <row r="261" ht="15.75" customHeight="1">
      <c r="A261" s="2"/>
      <c r="B261" s="2"/>
      <c r="C261" s="2"/>
      <c r="D261" s="2"/>
      <c r="E261" s="2"/>
      <c r="F261" s="2"/>
      <c r="G261" s="2"/>
      <c r="H261" s="2"/>
      <c r="I261" s="2"/>
      <c r="J261" s="2"/>
      <c r="K261" s="2"/>
      <c r="P261" s="80" t="str">
        <f>'Binder Setup'!B261&amp;""</f>
        <v/>
      </c>
      <c r="Q261" s="80">
        <f>IF(P261="",999,IF('Binder Setup'!C261=TRUE(),999,IF(COUNTIFS('Set Aliases'!$A$2:$A$501,P261,'Set Aliases'!$B$2:$B$501,"?*")&gt;0,999,260)))</f>
        <v>999</v>
      </c>
    </row>
    <row r="262" ht="15.75" customHeight="1">
      <c r="A262" s="2"/>
      <c r="B262" s="2"/>
      <c r="C262" s="2"/>
      <c r="D262" s="2"/>
      <c r="E262" s="2"/>
      <c r="F262" s="2"/>
      <c r="G262" s="2"/>
      <c r="H262" s="2"/>
      <c r="I262" s="2"/>
      <c r="J262" s="2"/>
      <c r="K262" s="2"/>
      <c r="P262" s="80" t="str">
        <f>'Binder Setup'!B262&amp;""</f>
        <v/>
      </c>
      <c r="Q262" s="80">
        <f>IF(P262="",999,IF('Binder Setup'!C262=TRUE(),999,IF(COUNTIFS('Set Aliases'!$A$2:$A$501,P262,'Set Aliases'!$B$2:$B$501,"?*")&gt;0,999,261)))</f>
        <v>999</v>
      </c>
    </row>
    <row r="263" ht="15.75" customHeight="1">
      <c r="A263" s="2"/>
      <c r="B263" s="2"/>
      <c r="C263" s="2"/>
      <c r="D263" s="2"/>
      <c r="E263" s="2"/>
      <c r="F263" s="2"/>
      <c r="G263" s="2"/>
      <c r="H263" s="2"/>
      <c r="I263" s="2"/>
      <c r="J263" s="2"/>
      <c r="K263" s="2"/>
      <c r="P263" s="80" t="str">
        <f>'Binder Setup'!B263&amp;""</f>
        <v/>
      </c>
      <c r="Q263" s="80">
        <f>IF(P263="",999,IF('Binder Setup'!C263=TRUE(),999,IF(COUNTIFS('Set Aliases'!$A$2:$A$501,P263,'Set Aliases'!$B$2:$B$501,"?*")&gt;0,999,262)))</f>
        <v>999</v>
      </c>
    </row>
    <row r="264" ht="15.75" customHeight="1">
      <c r="A264" s="2"/>
      <c r="B264" s="2"/>
      <c r="C264" s="2"/>
      <c r="D264" s="2"/>
      <c r="E264" s="2"/>
      <c r="F264" s="2"/>
      <c r="G264" s="2"/>
      <c r="H264" s="2"/>
      <c r="I264" s="2"/>
      <c r="J264" s="2"/>
      <c r="K264" s="2"/>
      <c r="P264" s="80" t="str">
        <f>'Binder Setup'!B264&amp;""</f>
        <v/>
      </c>
      <c r="Q264" s="80">
        <f>IF(P264="",999,IF('Binder Setup'!C264=TRUE(),999,IF(COUNTIFS('Set Aliases'!$A$2:$A$501,P264,'Set Aliases'!$B$2:$B$501,"?*")&gt;0,999,263)))</f>
        <v>999</v>
      </c>
    </row>
    <row r="265" ht="15.75" customHeight="1">
      <c r="A265" s="2"/>
      <c r="B265" s="2"/>
      <c r="C265" s="2"/>
      <c r="D265" s="2"/>
      <c r="E265" s="2"/>
      <c r="F265" s="2"/>
      <c r="G265" s="2"/>
      <c r="H265" s="2"/>
      <c r="I265" s="2"/>
      <c r="J265" s="2"/>
      <c r="K265" s="2"/>
      <c r="P265" s="80" t="str">
        <f>'Binder Setup'!B265&amp;""</f>
        <v/>
      </c>
      <c r="Q265" s="80">
        <f>IF(P265="",999,IF('Binder Setup'!C265=TRUE(),999,IF(COUNTIFS('Set Aliases'!$A$2:$A$501,P265,'Set Aliases'!$B$2:$B$501,"?*")&gt;0,999,264)))</f>
        <v>999</v>
      </c>
    </row>
    <row r="266" ht="15.75" customHeight="1">
      <c r="A266" s="2"/>
      <c r="B266" s="2"/>
      <c r="C266" s="2"/>
      <c r="D266" s="2"/>
      <c r="E266" s="2"/>
      <c r="F266" s="2"/>
      <c r="G266" s="2"/>
      <c r="H266" s="2"/>
      <c r="I266" s="2"/>
      <c r="J266" s="2"/>
      <c r="K266" s="2"/>
      <c r="P266" s="80" t="str">
        <f>'Binder Setup'!B266&amp;""</f>
        <v/>
      </c>
      <c r="Q266" s="80">
        <f>IF(P266="",999,IF('Binder Setup'!C266=TRUE(),999,IF(COUNTIFS('Set Aliases'!$A$2:$A$501,P266,'Set Aliases'!$B$2:$B$501,"?*")&gt;0,999,265)))</f>
        <v>999</v>
      </c>
    </row>
    <row r="267" ht="15.75" customHeight="1">
      <c r="A267" s="2"/>
      <c r="B267" s="2"/>
      <c r="C267" s="2"/>
      <c r="D267" s="2"/>
      <c r="E267" s="2"/>
      <c r="F267" s="2"/>
      <c r="G267" s="2"/>
      <c r="H267" s="2"/>
      <c r="I267" s="2"/>
      <c r="J267" s="2"/>
      <c r="K267" s="2"/>
      <c r="P267" s="80" t="str">
        <f>'Binder Setup'!B267&amp;""</f>
        <v/>
      </c>
      <c r="Q267" s="80">
        <f>IF(P267="",999,IF('Binder Setup'!C267=TRUE(),999,IF(COUNTIFS('Set Aliases'!$A$2:$A$501,P267,'Set Aliases'!$B$2:$B$501,"?*")&gt;0,999,266)))</f>
        <v>999</v>
      </c>
    </row>
    <row r="268" ht="15.75" customHeight="1">
      <c r="A268" s="2"/>
      <c r="B268" s="2"/>
      <c r="C268" s="2"/>
      <c r="D268" s="2"/>
      <c r="E268" s="2"/>
      <c r="F268" s="2"/>
      <c r="G268" s="2"/>
      <c r="H268" s="2"/>
      <c r="I268" s="2"/>
      <c r="J268" s="2"/>
      <c r="K268" s="2"/>
      <c r="P268" s="80" t="str">
        <f>'Binder Setup'!B268&amp;""</f>
        <v/>
      </c>
      <c r="Q268" s="80">
        <f>IF(P268="",999,IF('Binder Setup'!C268=TRUE(),999,IF(COUNTIFS('Set Aliases'!$A$2:$A$501,P268,'Set Aliases'!$B$2:$B$501,"?*")&gt;0,999,267)))</f>
        <v>999</v>
      </c>
    </row>
    <row r="269" ht="15.75" customHeight="1">
      <c r="A269" s="2"/>
      <c r="B269" s="2"/>
      <c r="C269" s="2"/>
      <c r="D269" s="2"/>
      <c r="E269" s="2"/>
      <c r="F269" s="2"/>
      <c r="G269" s="2"/>
      <c r="H269" s="2"/>
      <c r="I269" s="2"/>
      <c r="J269" s="2"/>
      <c r="K269" s="2"/>
      <c r="P269" s="80" t="str">
        <f>'Binder Setup'!B269&amp;""</f>
        <v/>
      </c>
      <c r="Q269" s="80">
        <f>IF(P269="",999,IF('Binder Setup'!C269=TRUE(),999,IF(COUNTIFS('Set Aliases'!$A$2:$A$501,P269,'Set Aliases'!$B$2:$B$501,"?*")&gt;0,999,268)))</f>
        <v>999</v>
      </c>
    </row>
    <row r="270" ht="15.75" customHeight="1">
      <c r="A270" s="2"/>
      <c r="B270" s="2"/>
      <c r="C270" s="2"/>
      <c r="D270" s="2"/>
      <c r="E270" s="2"/>
      <c r="F270" s="2"/>
      <c r="G270" s="2"/>
      <c r="H270" s="2"/>
      <c r="I270" s="2"/>
      <c r="J270" s="2"/>
      <c r="K270" s="2"/>
      <c r="P270" s="80" t="str">
        <f>'Binder Setup'!B270&amp;""</f>
        <v/>
      </c>
      <c r="Q270" s="80">
        <f>IF(P270="",999,IF('Binder Setup'!C270=TRUE(),999,IF(COUNTIFS('Set Aliases'!$A$2:$A$501,P270,'Set Aliases'!$B$2:$B$501,"?*")&gt;0,999,269)))</f>
        <v>999</v>
      </c>
    </row>
    <row r="271" ht="15.75" customHeight="1">
      <c r="A271" s="2"/>
      <c r="B271" s="2"/>
      <c r="C271" s="2"/>
      <c r="D271" s="2"/>
      <c r="E271" s="2"/>
      <c r="F271" s="2"/>
      <c r="G271" s="2"/>
      <c r="H271" s="2"/>
      <c r="I271" s="2"/>
      <c r="J271" s="2"/>
      <c r="K271" s="2"/>
      <c r="P271" s="80" t="str">
        <f>'Binder Setup'!B271&amp;""</f>
        <v/>
      </c>
      <c r="Q271" s="80">
        <f>IF(P271="",999,IF('Binder Setup'!C271=TRUE(),999,IF(COUNTIFS('Set Aliases'!$A$2:$A$501,P271,'Set Aliases'!$B$2:$B$501,"?*")&gt;0,999,270)))</f>
        <v>999</v>
      </c>
    </row>
    <row r="272" ht="15.75" customHeight="1">
      <c r="A272" s="2"/>
      <c r="B272" s="2"/>
      <c r="C272" s="2"/>
      <c r="D272" s="2"/>
      <c r="E272" s="2"/>
      <c r="F272" s="2"/>
      <c r="G272" s="2"/>
      <c r="H272" s="2"/>
      <c r="I272" s="2"/>
      <c r="J272" s="2"/>
      <c r="K272" s="2"/>
      <c r="P272" s="80" t="str">
        <f>'Binder Setup'!B272&amp;""</f>
        <v/>
      </c>
      <c r="Q272" s="80">
        <f>IF(P272="",999,IF('Binder Setup'!C272=TRUE(),999,IF(COUNTIFS('Set Aliases'!$A$2:$A$501,P272,'Set Aliases'!$B$2:$B$501,"?*")&gt;0,999,271)))</f>
        <v>999</v>
      </c>
    </row>
    <row r="273" ht="15.75" customHeight="1">
      <c r="A273" s="2"/>
      <c r="B273" s="2"/>
      <c r="C273" s="2"/>
      <c r="D273" s="2"/>
      <c r="E273" s="2"/>
      <c r="F273" s="2"/>
      <c r="G273" s="2"/>
      <c r="H273" s="2"/>
      <c r="I273" s="2"/>
      <c r="J273" s="2"/>
      <c r="K273" s="2"/>
      <c r="P273" s="80" t="str">
        <f>'Binder Setup'!B273&amp;""</f>
        <v/>
      </c>
      <c r="Q273" s="80">
        <f>IF(P273="",999,IF('Binder Setup'!C273=TRUE(),999,IF(COUNTIFS('Set Aliases'!$A$2:$A$501,P273,'Set Aliases'!$B$2:$B$501,"?*")&gt;0,999,272)))</f>
        <v>999</v>
      </c>
    </row>
    <row r="274" ht="15.75" customHeight="1">
      <c r="A274" s="2"/>
      <c r="B274" s="2"/>
      <c r="C274" s="2"/>
      <c r="D274" s="2"/>
      <c r="E274" s="2"/>
      <c r="F274" s="2"/>
      <c r="G274" s="2"/>
      <c r="H274" s="2"/>
      <c r="I274" s="2"/>
      <c r="J274" s="2"/>
      <c r="K274" s="2"/>
      <c r="P274" s="80" t="str">
        <f>'Binder Setup'!B274&amp;""</f>
        <v/>
      </c>
      <c r="Q274" s="80">
        <f>IF(P274="",999,IF('Binder Setup'!C274=TRUE(),999,IF(COUNTIFS('Set Aliases'!$A$2:$A$501,P274,'Set Aliases'!$B$2:$B$501,"?*")&gt;0,999,273)))</f>
        <v>999</v>
      </c>
    </row>
    <row r="275" ht="15.75" customHeight="1">
      <c r="A275" s="2"/>
      <c r="B275" s="2"/>
      <c r="C275" s="2"/>
      <c r="D275" s="2"/>
      <c r="E275" s="2"/>
      <c r="F275" s="2"/>
      <c r="G275" s="2"/>
      <c r="H275" s="2"/>
      <c r="I275" s="2"/>
      <c r="J275" s="2"/>
      <c r="K275" s="2"/>
      <c r="P275" s="80" t="str">
        <f>'Binder Setup'!B275&amp;""</f>
        <v/>
      </c>
      <c r="Q275" s="80">
        <f>IF(P275="",999,IF('Binder Setup'!C275=TRUE(),999,IF(COUNTIFS('Set Aliases'!$A$2:$A$501,P275,'Set Aliases'!$B$2:$B$501,"?*")&gt;0,999,274)))</f>
        <v>999</v>
      </c>
    </row>
    <row r="276" ht="15.75" customHeight="1">
      <c r="A276" s="2"/>
      <c r="B276" s="2"/>
      <c r="C276" s="2"/>
      <c r="D276" s="2"/>
      <c r="E276" s="2"/>
      <c r="F276" s="2"/>
      <c r="G276" s="2"/>
      <c r="H276" s="2"/>
      <c r="I276" s="2"/>
      <c r="J276" s="2"/>
      <c r="K276" s="2"/>
      <c r="P276" s="80" t="str">
        <f>'Binder Setup'!B276&amp;""</f>
        <v/>
      </c>
      <c r="Q276" s="80">
        <f>IF(P276="",999,IF('Binder Setup'!C276=TRUE(),999,IF(COUNTIFS('Set Aliases'!$A$2:$A$501,P276,'Set Aliases'!$B$2:$B$501,"?*")&gt;0,999,275)))</f>
        <v>999</v>
      </c>
    </row>
    <row r="277" ht="15.75" customHeight="1">
      <c r="A277" s="2"/>
      <c r="B277" s="2"/>
      <c r="C277" s="2"/>
      <c r="D277" s="2"/>
      <c r="E277" s="2"/>
      <c r="F277" s="2"/>
      <c r="G277" s="2"/>
      <c r="H277" s="2"/>
      <c r="I277" s="2"/>
      <c r="J277" s="2"/>
      <c r="K277" s="2"/>
      <c r="P277" s="80" t="str">
        <f>'Binder Setup'!B277&amp;""</f>
        <v/>
      </c>
      <c r="Q277" s="80">
        <f>IF(P277="",999,IF('Binder Setup'!C277=TRUE(),999,IF(COUNTIFS('Set Aliases'!$A$2:$A$501,P277,'Set Aliases'!$B$2:$B$501,"?*")&gt;0,999,276)))</f>
        <v>999</v>
      </c>
    </row>
    <row r="278" ht="15.75" customHeight="1">
      <c r="A278" s="2"/>
      <c r="B278" s="2"/>
      <c r="C278" s="2"/>
      <c r="D278" s="2"/>
      <c r="E278" s="2"/>
      <c r="F278" s="2"/>
      <c r="G278" s="2"/>
      <c r="H278" s="2"/>
      <c r="I278" s="2"/>
      <c r="J278" s="2"/>
      <c r="K278" s="2"/>
      <c r="P278" s="80" t="str">
        <f>'Binder Setup'!B278&amp;""</f>
        <v/>
      </c>
      <c r="Q278" s="80">
        <f>IF(P278="",999,IF('Binder Setup'!C278=TRUE(),999,IF(COUNTIFS('Set Aliases'!$A$2:$A$501,P278,'Set Aliases'!$B$2:$B$501,"?*")&gt;0,999,277)))</f>
        <v>999</v>
      </c>
    </row>
    <row r="279" ht="15.75" customHeight="1">
      <c r="A279" s="2"/>
      <c r="B279" s="2"/>
      <c r="C279" s="2"/>
      <c r="D279" s="2"/>
      <c r="E279" s="2"/>
      <c r="F279" s="2"/>
      <c r="G279" s="2"/>
      <c r="H279" s="2"/>
      <c r="I279" s="2"/>
      <c r="J279" s="2"/>
      <c r="K279" s="2"/>
      <c r="P279" s="80" t="str">
        <f>'Binder Setup'!B279&amp;""</f>
        <v/>
      </c>
      <c r="Q279" s="80">
        <f>IF(P279="",999,IF('Binder Setup'!C279=TRUE(),999,IF(COUNTIFS('Set Aliases'!$A$2:$A$501,P279,'Set Aliases'!$B$2:$B$501,"?*")&gt;0,999,278)))</f>
        <v>999</v>
      </c>
    </row>
    <row r="280" ht="15.75" customHeight="1">
      <c r="A280" s="2"/>
      <c r="B280" s="2"/>
      <c r="C280" s="2"/>
      <c r="D280" s="2"/>
      <c r="E280" s="2"/>
      <c r="F280" s="2"/>
      <c r="G280" s="2"/>
      <c r="H280" s="2"/>
      <c r="I280" s="2"/>
      <c r="J280" s="2"/>
      <c r="K280" s="2"/>
      <c r="P280" s="80" t="str">
        <f>'Binder Setup'!B280&amp;""</f>
        <v/>
      </c>
      <c r="Q280" s="80">
        <f>IF(P280="",999,IF('Binder Setup'!C280=TRUE(),999,IF(COUNTIFS('Set Aliases'!$A$2:$A$501,P280,'Set Aliases'!$B$2:$B$501,"?*")&gt;0,999,279)))</f>
        <v>999</v>
      </c>
    </row>
    <row r="281" ht="15.75" customHeight="1">
      <c r="A281" s="2"/>
      <c r="B281" s="2"/>
      <c r="C281" s="2"/>
      <c r="D281" s="2"/>
      <c r="E281" s="2"/>
      <c r="F281" s="2"/>
      <c r="G281" s="2"/>
      <c r="H281" s="2"/>
      <c r="I281" s="2"/>
      <c r="J281" s="2"/>
      <c r="K281" s="2"/>
      <c r="P281" s="80" t="str">
        <f>'Binder Setup'!B281&amp;""</f>
        <v/>
      </c>
      <c r="Q281" s="80">
        <f>IF(P281="",999,IF('Binder Setup'!C281=TRUE(),999,IF(COUNTIFS('Set Aliases'!$A$2:$A$501,P281,'Set Aliases'!$B$2:$B$501,"?*")&gt;0,999,280)))</f>
        <v>999</v>
      </c>
    </row>
    <row r="282" ht="15.75" customHeight="1">
      <c r="A282" s="2"/>
      <c r="B282" s="2"/>
      <c r="C282" s="2"/>
      <c r="D282" s="2"/>
      <c r="E282" s="2"/>
      <c r="F282" s="2"/>
      <c r="G282" s="2"/>
      <c r="H282" s="2"/>
      <c r="I282" s="2"/>
      <c r="J282" s="2"/>
      <c r="K282" s="2"/>
      <c r="P282" s="80" t="str">
        <f>'Binder Setup'!B282&amp;""</f>
        <v/>
      </c>
      <c r="Q282" s="80">
        <f>IF(P282="",999,IF('Binder Setup'!C282=TRUE(),999,IF(COUNTIFS('Set Aliases'!$A$2:$A$501,P282,'Set Aliases'!$B$2:$B$501,"?*")&gt;0,999,281)))</f>
        <v>999</v>
      </c>
    </row>
    <row r="283" ht="15.75" customHeight="1">
      <c r="A283" s="2"/>
      <c r="B283" s="2"/>
      <c r="C283" s="2"/>
      <c r="D283" s="2"/>
      <c r="E283" s="2"/>
      <c r="F283" s="2"/>
      <c r="G283" s="2"/>
      <c r="H283" s="2"/>
      <c r="I283" s="2"/>
      <c r="J283" s="2"/>
      <c r="K283" s="2"/>
      <c r="P283" s="80" t="str">
        <f>'Binder Setup'!B283&amp;""</f>
        <v/>
      </c>
      <c r="Q283" s="80">
        <f>IF(P283="",999,IF('Binder Setup'!C283=TRUE(),999,IF(COUNTIFS('Set Aliases'!$A$2:$A$501,P283,'Set Aliases'!$B$2:$B$501,"?*")&gt;0,999,282)))</f>
        <v>999</v>
      </c>
    </row>
    <row r="284" ht="15.75" customHeight="1">
      <c r="A284" s="2"/>
      <c r="B284" s="2"/>
      <c r="C284" s="2"/>
      <c r="D284" s="2"/>
      <c r="E284" s="2"/>
      <c r="F284" s="2"/>
      <c r="G284" s="2"/>
      <c r="H284" s="2"/>
      <c r="I284" s="2"/>
      <c r="J284" s="2"/>
      <c r="K284" s="2"/>
      <c r="P284" s="80" t="str">
        <f>'Binder Setup'!B284&amp;""</f>
        <v/>
      </c>
      <c r="Q284" s="80">
        <f>IF(P284="",999,IF('Binder Setup'!C284=TRUE(),999,IF(COUNTIFS('Set Aliases'!$A$2:$A$501,P284,'Set Aliases'!$B$2:$B$501,"?*")&gt;0,999,283)))</f>
        <v>999</v>
      </c>
    </row>
    <row r="285" ht="15.75" customHeight="1">
      <c r="A285" s="2"/>
      <c r="B285" s="2"/>
      <c r="C285" s="2"/>
      <c r="D285" s="2"/>
      <c r="E285" s="2"/>
      <c r="F285" s="2"/>
      <c r="G285" s="2"/>
      <c r="H285" s="2"/>
      <c r="I285" s="2"/>
      <c r="J285" s="2"/>
      <c r="K285" s="2"/>
      <c r="P285" s="80" t="str">
        <f>'Binder Setup'!B285&amp;""</f>
        <v/>
      </c>
      <c r="Q285" s="80">
        <f>IF(P285="",999,IF('Binder Setup'!C285=TRUE(),999,IF(COUNTIFS('Set Aliases'!$A$2:$A$501,P285,'Set Aliases'!$B$2:$B$501,"?*")&gt;0,999,284)))</f>
        <v>999</v>
      </c>
    </row>
    <row r="286" ht="15.75" customHeight="1">
      <c r="A286" s="2"/>
      <c r="B286" s="2"/>
      <c r="C286" s="2"/>
      <c r="D286" s="2"/>
      <c r="E286" s="2"/>
      <c r="F286" s="2"/>
      <c r="G286" s="2"/>
      <c r="H286" s="2"/>
      <c r="I286" s="2"/>
      <c r="J286" s="2"/>
      <c r="K286" s="2"/>
      <c r="P286" s="80" t="str">
        <f>'Binder Setup'!B286&amp;""</f>
        <v/>
      </c>
      <c r="Q286" s="80">
        <f>IF(P286="",999,IF('Binder Setup'!C286=TRUE(),999,IF(COUNTIFS('Set Aliases'!$A$2:$A$501,P286,'Set Aliases'!$B$2:$B$501,"?*")&gt;0,999,285)))</f>
        <v>999</v>
      </c>
    </row>
    <row r="287" ht="15.75" customHeight="1">
      <c r="A287" s="2"/>
      <c r="B287" s="2"/>
      <c r="C287" s="2"/>
      <c r="D287" s="2"/>
      <c r="E287" s="2"/>
      <c r="F287" s="2"/>
      <c r="G287" s="2"/>
      <c r="H287" s="2"/>
      <c r="I287" s="2"/>
      <c r="J287" s="2"/>
      <c r="K287" s="2"/>
      <c r="P287" s="80" t="str">
        <f>'Binder Setup'!B287&amp;""</f>
        <v/>
      </c>
      <c r="Q287" s="80">
        <f>IF(P287="",999,IF('Binder Setup'!C287=TRUE(),999,IF(COUNTIFS('Set Aliases'!$A$2:$A$501,P287,'Set Aliases'!$B$2:$B$501,"?*")&gt;0,999,286)))</f>
        <v>999</v>
      </c>
    </row>
    <row r="288" ht="15.75" customHeight="1">
      <c r="A288" s="2"/>
      <c r="B288" s="2"/>
      <c r="C288" s="2"/>
      <c r="D288" s="2"/>
      <c r="E288" s="2"/>
      <c r="F288" s="2"/>
      <c r="G288" s="2"/>
      <c r="H288" s="2"/>
      <c r="I288" s="2"/>
      <c r="J288" s="2"/>
      <c r="K288" s="2"/>
      <c r="P288" s="80" t="str">
        <f>'Binder Setup'!B288&amp;""</f>
        <v/>
      </c>
      <c r="Q288" s="80">
        <f>IF(P288="",999,IF('Binder Setup'!C288=TRUE(),999,IF(COUNTIFS('Set Aliases'!$A$2:$A$501,P288,'Set Aliases'!$B$2:$B$501,"?*")&gt;0,999,287)))</f>
        <v>999</v>
      </c>
    </row>
    <row r="289" ht="15.75" customHeight="1">
      <c r="A289" s="2"/>
      <c r="B289" s="2"/>
      <c r="C289" s="2"/>
      <c r="D289" s="2"/>
      <c r="E289" s="2"/>
      <c r="F289" s="2"/>
      <c r="G289" s="2"/>
      <c r="H289" s="2"/>
      <c r="I289" s="2"/>
      <c r="J289" s="2"/>
      <c r="K289" s="2"/>
      <c r="P289" s="80" t="str">
        <f>'Binder Setup'!B289&amp;""</f>
        <v/>
      </c>
      <c r="Q289" s="80">
        <f>IF(P289="",999,IF('Binder Setup'!C289=TRUE(),999,IF(COUNTIFS('Set Aliases'!$A$2:$A$501,P289,'Set Aliases'!$B$2:$B$501,"?*")&gt;0,999,288)))</f>
        <v>999</v>
      </c>
    </row>
    <row r="290" ht="15.75" customHeight="1">
      <c r="A290" s="2"/>
      <c r="B290" s="2"/>
      <c r="C290" s="2"/>
      <c r="D290" s="2"/>
      <c r="E290" s="2"/>
      <c r="F290" s="2"/>
      <c r="G290" s="2"/>
      <c r="H290" s="2"/>
      <c r="I290" s="2"/>
      <c r="J290" s="2"/>
      <c r="K290" s="2"/>
      <c r="P290" s="80" t="str">
        <f>'Binder Setup'!B290&amp;""</f>
        <v/>
      </c>
      <c r="Q290" s="80">
        <f>IF(P290="",999,IF('Binder Setup'!C290=TRUE(),999,IF(COUNTIFS('Set Aliases'!$A$2:$A$501,P290,'Set Aliases'!$B$2:$B$501,"?*")&gt;0,999,289)))</f>
        <v>999</v>
      </c>
    </row>
    <row r="291" ht="15.75" customHeight="1">
      <c r="A291" s="2"/>
      <c r="B291" s="2"/>
      <c r="C291" s="2"/>
      <c r="D291" s="2"/>
      <c r="E291" s="2"/>
      <c r="F291" s="2"/>
      <c r="G291" s="2"/>
      <c r="H291" s="2"/>
      <c r="I291" s="2"/>
      <c r="J291" s="2"/>
      <c r="K291" s="2"/>
      <c r="P291" s="80" t="str">
        <f>'Binder Setup'!B291&amp;""</f>
        <v/>
      </c>
      <c r="Q291" s="80">
        <f>IF(P291="",999,IF('Binder Setup'!C291=TRUE(),999,IF(COUNTIFS('Set Aliases'!$A$2:$A$501,P291,'Set Aliases'!$B$2:$B$501,"?*")&gt;0,999,290)))</f>
        <v>999</v>
      </c>
    </row>
    <row r="292" ht="15.75" customHeight="1">
      <c r="A292" s="2"/>
      <c r="B292" s="2"/>
      <c r="C292" s="2"/>
      <c r="D292" s="2"/>
      <c r="E292" s="2"/>
      <c r="F292" s="2"/>
      <c r="G292" s="2"/>
      <c r="H292" s="2"/>
      <c r="I292" s="2"/>
      <c r="J292" s="2"/>
      <c r="K292" s="2"/>
      <c r="P292" s="80" t="str">
        <f>'Binder Setup'!B292&amp;""</f>
        <v/>
      </c>
      <c r="Q292" s="80">
        <f>IF(P292="",999,IF('Binder Setup'!C292=TRUE(),999,IF(COUNTIFS('Set Aliases'!$A$2:$A$501,P292,'Set Aliases'!$B$2:$B$501,"?*")&gt;0,999,291)))</f>
        <v>999</v>
      </c>
    </row>
    <row r="293" ht="15.75" customHeight="1">
      <c r="A293" s="2"/>
      <c r="B293" s="2"/>
      <c r="C293" s="2"/>
      <c r="D293" s="2"/>
      <c r="E293" s="2"/>
      <c r="F293" s="2"/>
      <c r="G293" s="2"/>
      <c r="H293" s="2"/>
      <c r="I293" s="2"/>
      <c r="J293" s="2"/>
      <c r="K293" s="2"/>
      <c r="P293" s="80" t="str">
        <f>'Binder Setup'!B293&amp;""</f>
        <v/>
      </c>
      <c r="Q293" s="80">
        <f>IF(P293="",999,IF('Binder Setup'!C293=TRUE(),999,IF(COUNTIFS('Set Aliases'!$A$2:$A$501,P293,'Set Aliases'!$B$2:$B$501,"?*")&gt;0,999,292)))</f>
        <v>999</v>
      </c>
    </row>
    <row r="294" ht="15.75" customHeight="1">
      <c r="A294" s="2"/>
      <c r="B294" s="2"/>
      <c r="C294" s="2"/>
      <c r="D294" s="2"/>
      <c r="E294" s="2"/>
      <c r="F294" s="2"/>
      <c r="G294" s="2"/>
      <c r="H294" s="2"/>
      <c r="I294" s="2"/>
      <c r="J294" s="2"/>
      <c r="K294" s="2"/>
      <c r="P294" s="80" t="str">
        <f>'Binder Setup'!B294&amp;""</f>
        <v/>
      </c>
      <c r="Q294" s="80">
        <f>IF(P294="",999,IF('Binder Setup'!C294=TRUE(),999,IF(COUNTIFS('Set Aliases'!$A$2:$A$501,P294,'Set Aliases'!$B$2:$B$501,"?*")&gt;0,999,293)))</f>
        <v>999</v>
      </c>
    </row>
    <row r="295" ht="15.75" customHeight="1">
      <c r="A295" s="2"/>
      <c r="B295" s="2"/>
      <c r="C295" s="2"/>
      <c r="D295" s="2"/>
      <c r="E295" s="2"/>
      <c r="F295" s="2"/>
      <c r="G295" s="2"/>
      <c r="H295" s="2"/>
      <c r="I295" s="2"/>
      <c r="J295" s="2"/>
      <c r="K295" s="2"/>
      <c r="P295" s="80" t="str">
        <f>'Binder Setup'!B295&amp;""</f>
        <v/>
      </c>
      <c r="Q295" s="80">
        <f>IF(P295="",999,IF('Binder Setup'!C295=TRUE(),999,IF(COUNTIFS('Set Aliases'!$A$2:$A$501,P295,'Set Aliases'!$B$2:$B$501,"?*")&gt;0,999,294)))</f>
        <v>999</v>
      </c>
    </row>
    <row r="296" ht="15.75" customHeight="1">
      <c r="A296" s="2"/>
      <c r="B296" s="2"/>
      <c r="C296" s="2"/>
      <c r="D296" s="2"/>
      <c r="E296" s="2"/>
      <c r="F296" s="2"/>
      <c r="G296" s="2"/>
      <c r="H296" s="2"/>
      <c r="I296" s="2"/>
      <c r="J296" s="2"/>
      <c r="K296" s="2"/>
      <c r="P296" s="80" t="str">
        <f>'Binder Setup'!B296&amp;""</f>
        <v/>
      </c>
      <c r="Q296" s="80">
        <f>IF(P296="",999,IF('Binder Setup'!C296=TRUE(),999,IF(COUNTIFS('Set Aliases'!$A$2:$A$501,P296,'Set Aliases'!$B$2:$B$501,"?*")&gt;0,999,295)))</f>
        <v>999</v>
      </c>
    </row>
    <row r="297" ht="15.75" customHeight="1">
      <c r="A297" s="2"/>
      <c r="B297" s="2"/>
      <c r="C297" s="2"/>
      <c r="D297" s="2"/>
      <c r="E297" s="2"/>
      <c r="F297" s="2"/>
      <c r="G297" s="2"/>
      <c r="H297" s="2"/>
      <c r="I297" s="2"/>
      <c r="J297" s="2"/>
      <c r="K297" s="2"/>
      <c r="P297" s="80" t="str">
        <f>'Binder Setup'!B297&amp;""</f>
        <v/>
      </c>
      <c r="Q297" s="80">
        <f>IF(P297="",999,IF('Binder Setup'!C297=TRUE(),999,IF(COUNTIFS('Set Aliases'!$A$2:$A$501,P297,'Set Aliases'!$B$2:$B$501,"?*")&gt;0,999,296)))</f>
        <v>999</v>
      </c>
    </row>
    <row r="298" ht="15.75" customHeight="1">
      <c r="A298" s="2"/>
      <c r="B298" s="2"/>
      <c r="C298" s="2"/>
      <c r="D298" s="2"/>
      <c r="E298" s="2"/>
      <c r="F298" s="2"/>
      <c r="G298" s="2"/>
      <c r="H298" s="2"/>
      <c r="I298" s="2"/>
      <c r="J298" s="2"/>
      <c r="K298" s="2"/>
      <c r="P298" s="80" t="str">
        <f>'Binder Setup'!B298&amp;""</f>
        <v/>
      </c>
      <c r="Q298" s="80">
        <f>IF(P298="",999,IF('Binder Setup'!C298=TRUE(),999,IF(COUNTIFS('Set Aliases'!$A$2:$A$501,P298,'Set Aliases'!$B$2:$B$501,"?*")&gt;0,999,297)))</f>
        <v>999</v>
      </c>
    </row>
    <row r="299" ht="15.75" customHeight="1">
      <c r="A299" s="2"/>
      <c r="B299" s="2"/>
      <c r="C299" s="2"/>
      <c r="D299" s="2"/>
      <c r="E299" s="2"/>
      <c r="F299" s="2"/>
      <c r="G299" s="2"/>
      <c r="H299" s="2"/>
      <c r="I299" s="2"/>
      <c r="J299" s="2"/>
      <c r="K299" s="2"/>
      <c r="P299" s="80" t="str">
        <f>'Binder Setup'!B299&amp;""</f>
        <v/>
      </c>
      <c r="Q299" s="80">
        <f>IF(P299="",999,IF('Binder Setup'!C299=TRUE(),999,IF(COUNTIFS('Set Aliases'!$A$2:$A$501,P299,'Set Aliases'!$B$2:$B$501,"?*")&gt;0,999,298)))</f>
        <v>999</v>
      </c>
    </row>
    <row r="300" ht="15.75" customHeight="1">
      <c r="A300" s="2"/>
      <c r="B300" s="2"/>
      <c r="C300" s="2"/>
      <c r="D300" s="2"/>
      <c r="E300" s="2"/>
      <c r="F300" s="2"/>
      <c r="G300" s="2"/>
      <c r="H300" s="2"/>
      <c r="I300" s="2"/>
      <c r="J300" s="2"/>
      <c r="K300" s="2"/>
      <c r="P300" s="80" t="str">
        <f>'Binder Setup'!B300&amp;""</f>
        <v/>
      </c>
      <c r="Q300" s="80">
        <f>IF(P300="",999,IF('Binder Setup'!C300=TRUE(),999,IF(COUNTIFS('Set Aliases'!$A$2:$A$501,P300,'Set Aliases'!$B$2:$B$501,"?*")&gt;0,999,299)))</f>
        <v>999</v>
      </c>
    </row>
    <row r="301" ht="15.75" customHeight="1">
      <c r="A301" s="2"/>
      <c r="B301" s="2"/>
      <c r="C301" s="2"/>
      <c r="D301" s="2"/>
      <c r="E301" s="2"/>
      <c r="F301" s="2"/>
      <c r="G301" s="2"/>
      <c r="H301" s="2"/>
      <c r="I301" s="2"/>
      <c r="J301" s="2"/>
      <c r="K301" s="2"/>
      <c r="P301" s="80" t="str">
        <f>'Binder Setup'!B301&amp;""</f>
        <v/>
      </c>
      <c r="Q301" s="80">
        <f>IF(P301="",999,IF('Binder Setup'!C301=TRUE(),999,IF(COUNTIFS('Set Aliases'!$A$2:$A$501,P301,'Set Aliases'!$B$2:$B$501,"?*")&gt;0,999,300)))</f>
        <v>999</v>
      </c>
    </row>
    <row r="302" ht="15.75" customHeight="1">
      <c r="A302" s="2"/>
      <c r="B302" s="2"/>
      <c r="C302" s="2"/>
      <c r="D302" s="2"/>
      <c r="E302" s="2"/>
      <c r="F302" s="2"/>
      <c r="G302" s="2"/>
      <c r="H302" s="2"/>
      <c r="I302" s="2"/>
      <c r="J302" s="2"/>
      <c r="K302" s="2"/>
      <c r="P302" s="80" t="str">
        <f>'Binder Setup'!B302&amp;""</f>
        <v/>
      </c>
      <c r="Q302" s="80">
        <f>IF(P302="",999,IF('Binder Setup'!C302=TRUE(),999,IF(COUNTIFS('Set Aliases'!$A$2:$A$501,P302,'Set Aliases'!$B$2:$B$501,"?*")&gt;0,999,301)))</f>
        <v>999</v>
      </c>
    </row>
    <row r="303" ht="15.75" customHeight="1">
      <c r="A303" s="2"/>
      <c r="B303" s="2"/>
      <c r="C303" s="2"/>
      <c r="D303" s="2"/>
      <c r="E303" s="2"/>
      <c r="F303" s="2"/>
      <c r="G303" s="2"/>
      <c r="H303" s="2"/>
      <c r="I303" s="2"/>
      <c r="J303" s="2"/>
      <c r="K303" s="2"/>
      <c r="P303" s="80" t="str">
        <f>'Binder Setup'!B303&amp;""</f>
        <v/>
      </c>
      <c r="Q303" s="80">
        <f>IF(P303="",999,IF('Binder Setup'!C303=TRUE(),999,IF(COUNTIFS('Set Aliases'!$A$2:$A$501,P303,'Set Aliases'!$B$2:$B$501,"?*")&gt;0,999,302)))</f>
        <v>999</v>
      </c>
    </row>
    <row r="304" ht="15.75" customHeight="1">
      <c r="A304" s="2"/>
      <c r="B304" s="2"/>
      <c r="C304" s="2"/>
      <c r="D304" s="2"/>
      <c r="E304" s="2"/>
      <c r="F304" s="2"/>
      <c r="G304" s="2"/>
      <c r="H304" s="2"/>
      <c r="I304" s="2"/>
      <c r="J304" s="2"/>
      <c r="K304" s="2"/>
      <c r="P304" s="80" t="str">
        <f>'Binder Setup'!B304&amp;""</f>
        <v/>
      </c>
      <c r="Q304" s="80">
        <f>IF(P304="",999,IF('Binder Setup'!C304=TRUE(),999,IF(COUNTIFS('Set Aliases'!$A$2:$A$501,P304,'Set Aliases'!$B$2:$B$501,"?*")&gt;0,999,303)))</f>
        <v>999</v>
      </c>
    </row>
    <row r="305" ht="15.75" customHeight="1">
      <c r="A305" s="2"/>
      <c r="B305" s="2"/>
      <c r="C305" s="2"/>
      <c r="D305" s="2"/>
      <c r="E305" s="2"/>
      <c r="F305" s="2"/>
      <c r="G305" s="2"/>
      <c r="H305" s="2"/>
      <c r="I305" s="2"/>
      <c r="J305" s="2"/>
      <c r="K305" s="2"/>
      <c r="P305" s="80" t="str">
        <f>'Binder Setup'!B305&amp;""</f>
        <v/>
      </c>
      <c r="Q305" s="80">
        <f>IF(P305="",999,IF('Binder Setup'!C305=TRUE(),999,IF(COUNTIFS('Set Aliases'!$A$2:$A$501,P305,'Set Aliases'!$B$2:$B$501,"?*")&gt;0,999,304)))</f>
        <v>999</v>
      </c>
    </row>
    <row r="306" ht="15.75" customHeight="1">
      <c r="A306" s="2"/>
      <c r="B306" s="2"/>
      <c r="C306" s="2"/>
      <c r="D306" s="2"/>
      <c r="E306" s="2"/>
      <c r="F306" s="2"/>
      <c r="G306" s="2"/>
      <c r="H306" s="2"/>
      <c r="I306" s="2"/>
      <c r="J306" s="2"/>
      <c r="K306" s="2"/>
      <c r="P306" s="80" t="str">
        <f>'Binder Setup'!B306&amp;""</f>
        <v/>
      </c>
      <c r="Q306" s="80">
        <f>IF(P306="",999,IF('Binder Setup'!C306=TRUE(),999,IF(COUNTIFS('Set Aliases'!$A$2:$A$501,P306,'Set Aliases'!$B$2:$B$501,"?*")&gt;0,999,305)))</f>
        <v>999</v>
      </c>
    </row>
    <row r="307" ht="15.75" customHeight="1">
      <c r="A307" s="2"/>
      <c r="B307" s="2"/>
      <c r="C307" s="2"/>
      <c r="D307" s="2"/>
      <c r="E307" s="2"/>
      <c r="F307" s="2"/>
      <c r="G307" s="2"/>
      <c r="H307" s="2"/>
      <c r="I307" s="2"/>
      <c r="J307" s="2"/>
      <c r="K307" s="2"/>
      <c r="P307" s="80" t="str">
        <f>'Binder Setup'!B307&amp;""</f>
        <v/>
      </c>
      <c r="Q307" s="80">
        <f>IF(P307="",999,IF('Binder Setup'!C307=TRUE(),999,IF(COUNTIFS('Set Aliases'!$A$2:$A$501,P307,'Set Aliases'!$B$2:$B$501,"?*")&gt;0,999,306)))</f>
        <v>999</v>
      </c>
    </row>
    <row r="308" ht="15.75" customHeight="1">
      <c r="A308" s="2"/>
      <c r="B308" s="2"/>
      <c r="C308" s="2"/>
      <c r="D308" s="2"/>
      <c r="E308" s="2"/>
      <c r="F308" s="2"/>
      <c r="G308" s="2"/>
      <c r="H308" s="2"/>
      <c r="I308" s="2"/>
      <c r="J308" s="2"/>
      <c r="K308" s="2"/>
      <c r="P308" s="80" t="str">
        <f>'Binder Setup'!B308&amp;""</f>
        <v/>
      </c>
      <c r="Q308" s="80">
        <f>IF(P308="",999,IF('Binder Setup'!C308=TRUE(),999,IF(COUNTIFS('Set Aliases'!$A$2:$A$501,P308,'Set Aliases'!$B$2:$B$501,"?*")&gt;0,999,307)))</f>
        <v>999</v>
      </c>
    </row>
    <row r="309" ht="15.75" customHeight="1">
      <c r="A309" s="2"/>
      <c r="B309" s="2"/>
      <c r="C309" s="2"/>
      <c r="D309" s="2"/>
      <c r="E309" s="2"/>
      <c r="F309" s="2"/>
      <c r="G309" s="2"/>
      <c r="H309" s="2"/>
      <c r="I309" s="2"/>
      <c r="J309" s="2"/>
      <c r="K309" s="2"/>
      <c r="P309" s="80" t="str">
        <f>'Binder Setup'!B309&amp;""</f>
        <v/>
      </c>
      <c r="Q309" s="80">
        <f>IF(P309="",999,IF('Binder Setup'!C309=TRUE(),999,IF(COUNTIFS('Set Aliases'!$A$2:$A$501,P309,'Set Aliases'!$B$2:$B$501,"?*")&gt;0,999,308)))</f>
        <v>999</v>
      </c>
    </row>
    <row r="310" ht="15.75" customHeight="1">
      <c r="A310" s="2"/>
      <c r="B310" s="2"/>
      <c r="C310" s="2"/>
      <c r="D310" s="2"/>
      <c r="E310" s="2"/>
      <c r="F310" s="2"/>
      <c r="G310" s="2"/>
      <c r="H310" s="2"/>
      <c r="I310" s="2"/>
      <c r="J310" s="2"/>
      <c r="K310" s="2"/>
      <c r="P310" s="80" t="str">
        <f>'Binder Setup'!B310&amp;""</f>
        <v/>
      </c>
      <c r="Q310" s="80">
        <f>IF(P310="",999,IF('Binder Setup'!C310=TRUE(),999,IF(COUNTIFS('Set Aliases'!$A$2:$A$501,P310,'Set Aliases'!$B$2:$B$501,"?*")&gt;0,999,309)))</f>
        <v>999</v>
      </c>
    </row>
    <row r="311" ht="15.75" customHeight="1">
      <c r="A311" s="2"/>
      <c r="B311" s="2"/>
      <c r="C311" s="2"/>
      <c r="D311" s="2"/>
      <c r="E311" s="2"/>
      <c r="F311" s="2"/>
      <c r="G311" s="2"/>
      <c r="H311" s="2"/>
      <c r="I311" s="2"/>
      <c r="J311" s="2"/>
      <c r="K311" s="2"/>
      <c r="P311" s="80" t="str">
        <f>'Binder Setup'!B311&amp;""</f>
        <v/>
      </c>
      <c r="Q311" s="80">
        <f>IF(P311="",999,IF('Binder Setup'!C311=TRUE(),999,IF(COUNTIFS('Set Aliases'!$A$2:$A$501,P311,'Set Aliases'!$B$2:$B$501,"?*")&gt;0,999,310)))</f>
        <v>999</v>
      </c>
    </row>
    <row r="312" ht="15.75" customHeight="1">
      <c r="A312" s="2"/>
      <c r="B312" s="2"/>
      <c r="C312" s="2"/>
      <c r="D312" s="2"/>
      <c r="E312" s="2"/>
      <c r="F312" s="2"/>
      <c r="G312" s="2"/>
      <c r="H312" s="2"/>
      <c r="I312" s="2"/>
      <c r="J312" s="2"/>
      <c r="K312" s="2"/>
      <c r="P312" s="80" t="str">
        <f>'Binder Setup'!B312&amp;""</f>
        <v/>
      </c>
      <c r="Q312" s="80">
        <f>IF(P312="",999,IF('Binder Setup'!C312=TRUE(),999,IF(COUNTIFS('Set Aliases'!$A$2:$A$501,P312,'Set Aliases'!$B$2:$B$501,"?*")&gt;0,999,311)))</f>
        <v>999</v>
      </c>
    </row>
    <row r="313" ht="15.75" customHeight="1">
      <c r="A313" s="2"/>
      <c r="B313" s="2"/>
      <c r="C313" s="2"/>
      <c r="D313" s="2"/>
      <c r="E313" s="2"/>
      <c r="F313" s="2"/>
      <c r="G313" s="2"/>
      <c r="H313" s="2"/>
      <c r="I313" s="2"/>
      <c r="J313" s="2"/>
      <c r="K313" s="2"/>
      <c r="P313" s="80" t="str">
        <f>'Binder Setup'!B313&amp;""</f>
        <v/>
      </c>
      <c r="Q313" s="80">
        <f>IF(P313="",999,IF('Binder Setup'!C313=TRUE(),999,IF(COUNTIFS('Set Aliases'!$A$2:$A$501,P313,'Set Aliases'!$B$2:$B$501,"?*")&gt;0,999,312)))</f>
        <v>999</v>
      </c>
    </row>
    <row r="314" ht="15.75" customHeight="1">
      <c r="A314" s="2"/>
      <c r="B314" s="2"/>
      <c r="C314" s="2"/>
      <c r="D314" s="2"/>
      <c r="E314" s="2"/>
      <c r="F314" s="2"/>
      <c r="G314" s="2"/>
      <c r="H314" s="2"/>
      <c r="I314" s="2"/>
      <c r="J314" s="2"/>
      <c r="K314" s="2"/>
      <c r="P314" s="80" t="str">
        <f>'Binder Setup'!B314&amp;""</f>
        <v/>
      </c>
      <c r="Q314" s="80">
        <f>IF(P314="",999,IF('Binder Setup'!C314=TRUE(),999,IF(COUNTIFS('Set Aliases'!$A$2:$A$501,P314,'Set Aliases'!$B$2:$B$501,"?*")&gt;0,999,313)))</f>
        <v>999</v>
      </c>
    </row>
    <row r="315" ht="15.75" customHeight="1">
      <c r="A315" s="2"/>
      <c r="B315" s="2"/>
      <c r="C315" s="2"/>
      <c r="D315" s="2"/>
      <c r="E315" s="2"/>
      <c r="F315" s="2"/>
      <c r="G315" s="2"/>
      <c r="H315" s="2"/>
      <c r="I315" s="2"/>
      <c r="J315" s="2"/>
      <c r="K315" s="2"/>
      <c r="P315" s="80" t="str">
        <f>'Binder Setup'!B315&amp;""</f>
        <v/>
      </c>
      <c r="Q315" s="80">
        <f>IF(P315="",999,IF('Binder Setup'!C315=TRUE(),999,IF(COUNTIFS('Set Aliases'!$A$2:$A$501,P315,'Set Aliases'!$B$2:$B$501,"?*")&gt;0,999,314)))</f>
        <v>999</v>
      </c>
    </row>
    <row r="316" ht="15.75" customHeight="1">
      <c r="A316" s="2"/>
      <c r="B316" s="2"/>
      <c r="C316" s="2"/>
      <c r="D316" s="2"/>
      <c r="E316" s="2"/>
      <c r="F316" s="2"/>
      <c r="G316" s="2"/>
      <c r="H316" s="2"/>
      <c r="I316" s="2"/>
      <c r="J316" s="2"/>
      <c r="K316" s="2"/>
      <c r="P316" s="80" t="str">
        <f>'Binder Setup'!B316&amp;""</f>
        <v/>
      </c>
      <c r="Q316" s="80">
        <f>IF(P316="",999,IF('Binder Setup'!C316=TRUE(),999,IF(COUNTIFS('Set Aliases'!$A$2:$A$501,P316,'Set Aliases'!$B$2:$B$501,"?*")&gt;0,999,315)))</f>
        <v>999</v>
      </c>
    </row>
    <row r="317" ht="15.75" customHeight="1">
      <c r="A317" s="2"/>
      <c r="B317" s="2"/>
      <c r="C317" s="2"/>
      <c r="D317" s="2"/>
      <c r="E317" s="2"/>
      <c r="F317" s="2"/>
      <c r="G317" s="2"/>
      <c r="H317" s="2"/>
      <c r="I317" s="2"/>
      <c r="J317" s="2"/>
      <c r="K317" s="2"/>
      <c r="P317" s="80" t="str">
        <f>'Binder Setup'!B317&amp;""</f>
        <v/>
      </c>
      <c r="Q317" s="80">
        <f>IF(P317="",999,IF('Binder Setup'!C317=TRUE(),999,IF(COUNTIFS('Set Aliases'!$A$2:$A$501,P317,'Set Aliases'!$B$2:$B$501,"?*")&gt;0,999,316)))</f>
        <v>999</v>
      </c>
    </row>
    <row r="318" ht="15.75" customHeight="1">
      <c r="A318" s="2"/>
      <c r="B318" s="2"/>
      <c r="C318" s="2"/>
      <c r="D318" s="2"/>
      <c r="E318" s="2"/>
      <c r="F318" s="2"/>
      <c r="G318" s="2"/>
      <c r="H318" s="2"/>
      <c r="I318" s="2"/>
      <c r="J318" s="2"/>
      <c r="K318" s="2"/>
      <c r="P318" s="80" t="str">
        <f>'Binder Setup'!B318&amp;""</f>
        <v/>
      </c>
      <c r="Q318" s="80">
        <f>IF(P318="",999,IF('Binder Setup'!C318=TRUE(),999,IF(COUNTIFS('Set Aliases'!$A$2:$A$501,P318,'Set Aliases'!$B$2:$B$501,"?*")&gt;0,999,317)))</f>
        <v>999</v>
      </c>
    </row>
    <row r="319" ht="15.75" customHeight="1">
      <c r="A319" s="2"/>
      <c r="B319" s="2"/>
      <c r="C319" s="2"/>
      <c r="D319" s="2"/>
      <c r="E319" s="2"/>
      <c r="F319" s="2"/>
      <c r="G319" s="2"/>
      <c r="H319" s="2"/>
      <c r="I319" s="2"/>
      <c r="J319" s="2"/>
      <c r="K319" s="2"/>
      <c r="P319" s="80" t="str">
        <f>'Binder Setup'!B319&amp;""</f>
        <v/>
      </c>
      <c r="Q319" s="80">
        <f>IF(P319="",999,IF('Binder Setup'!C319=TRUE(),999,IF(COUNTIFS('Set Aliases'!$A$2:$A$501,P319,'Set Aliases'!$B$2:$B$501,"?*")&gt;0,999,318)))</f>
        <v>999</v>
      </c>
    </row>
    <row r="320" ht="15.75" customHeight="1">
      <c r="A320" s="2"/>
      <c r="B320" s="2"/>
      <c r="C320" s="2"/>
      <c r="D320" s="2"/>
      <c r="E320" s="2"/>
      <c r="F320" s="2"/>
      <c r="G320" s="2"/>
      <c r="H320" s="2"/>
      <c r="I320" s="2"/>
      <c r="J320" s="2"/>
      <c r="K320" s="2"/>
      <c r="P320" s="80" t="str">
        <f>'Binder Setup'!B320&amp;""</f>
        <v/>
      </c>
      <c r="Q320" s="80">
        <f>IF(P320="",999,IF('Binder Setup'!C320=TRUE(),999,IF(COUNTIFS('Set Aliases'!$A$2:$A$501,P320,'Set Aliases'!$B$2:$B$501,"?*")&gt;0,999,319)))</f>
        <v>999</v>
      </c>
    </row>
    <row r="321" ht="15.75" customHeight="1">
      <c r="A321" s="2"/>
      <c r="B321" s="2"/>
      <c r="C321" s="2"/>
      <c r="D321" s="2"/>
      <c r="E321" s="2"/>
      <c r="F321" s="2"/>
      <c r="G321" s="2"/>
      <c r="H321" s="2"/>
      <c r="I321" s="2"/>
      <c r="J321" s="2"/>
      <c r="K321" s="2"/>
      <c r="P321" s="80" t="str">
        <f>'Binder Setup'!B321&amp;""</f>
        <v/>
      </c>
      <c r="Q321" s="80">
        <f>IF(P321="",999,IF('Binder Setup'!C321=TRUE(),999,IF(COUNTIFS('Set Aliases'!$A$2:$A$501,P321,'Set Aliases'!$B$2:$B$501,"?*")&gt;0,999,320)))</f>
        <v>999</v>
      </c>
    </row>
    <row r="322" ht="15.75" customHeight="1">
      <c r="A322" s="2"/>
      <c r="B322" s="2"/>
      <c r="C322" s="2"/>
      <c r="D322" s="2"/>
      <c r="E322" s="2"/>
      <c r="F322" s="2"/>
      <c r="G322" s="2"/>
      <c r="H322" s="2"/>
      <c r="I322" s="2"/>
      <c r="J322" s="2"/>
      <c r="K322" s="2"/>
      <c r="P322" s="80" t="str">
        <f>'Binder Setup'!B322&amp;""</f>
        <v/>
      </c>
      <c r="Q322" s="80">
        <f>IF(P322="",999,IF('Binder Setup'!C322=TRUE(),999,IF(COUNTIFS('Set Aliases'!$A$2:$A$501,P322,'Set Aliases'!$B$2:$B$501,"?*")&gt;0,999,321)))</f>
        <v>999</v>
      </c>
    </row>
    <row r="323" ht="15.75" customHeight="1">
      <c r="A323" s="2"/>
      <c r="B323" s="2"/>
      <c r="C323" s="2"/>
      <c r="D323" s="2"/>
      <c r="E323" s="2"/>
      <c r="F323" s="2"/>
      <c r="G323" s="2"/>
      <c r="H323" s="2"/>
      <c r="I323" s="2"/>
      <c r="J323" s="2"/>
      <c r="K323" s="2"/>
      <c r="P323" s="80" t="str">
        <f>'Binder Setup'!B323&amp;""</f>
        <v/>
      </c>
      <c r="Q323" s="80">
        <f>IF(P323="",999,IF('Binder Setup'!C323=TRUE(),999,IF(COUNTIFS('Set Aliases'!$A$2:$A$501,P323,'Set Aliases'!$B$2:$B$501,"?*")&gt;0,999,322)))</f>
        <v>999</v>
      </c>
    </row>
    <row r="324" ht="15.75" customHeight="1">
      <c r="A324" s="2"/>
      <c r="B324" s="2"/>
      <c r="C324" s="2"/>
      <c r="D324" s="2"/>
      <c r="E324" s="2"/>
      <c r="F324" s="2"/>
      <c r="G324" s="2"/>
      <c r="H324" s="2"/>
      <c r="I324" s="2"/>
      <c r="J324" s="2"/>
      <c r="K324" s="2"/>
      <c r="P324" s="80" t="str">
        <f>'Binder Setup'!B324&amp;""</f>
        <v/>
      </c>
      <c r="Q324" s="80">
        <f>IF(P324="",999,IF('Binder Setup'!C324=TRUE(),999,IF(COUNTIFS('Set Aliases'!$A$2:$A$501,P324,'Set Aliases'!$B$2:$B$501,"?*")&gt;0,999,323)))</f>
        <v>999</v>
      </c>
    </row>
    <row r="325" ht="15.75" customHeight="1">
      <c r="A325" s="2"/>
      <c r="B325" s="2"/>
      <c r="C325" s="2"/>
      <c r="D325" s="2"/>
      <c r="E325" s="2"/>
      <c r="F325" s="2"/>
      <c r="G325" s="2"/>
      <c r="H325" s="2"/>
      <c r="I325" s="2"/>
      <c r="J325" s="2"/>
      <c r="K325" s="2"/>
      <c r="P325" s="80" t="str">
        <f>'Binder Setup'!B325&amp;""</f>
        <v/>
      </c>
      <c r="Q325" s="80">
        <f>IF(P325="",999,IF('Binder Setup'!C325=TRUE(),999,IF(COUNTIFS('Set Aliases'!$A$2:$A$501,P325,'Set Aliases'!$B$2:$B$501,"?*")&gt;0,999,324)))</f>
        <v>999</v>
      </c>
    </row>
    <row r="326" ht="15.75" customHeight="1">
      <c r="A326" s="2"/>
      <c r="B326" s="2"/>
      <c r="C326" s="2"/>
      <c r="D326" s="2"/>
      <c r="E326" s="2"/>
      <c r="F326" s="2"/>
      <c r="G326" s="2"/>
      <c r="H326" s="2"/>
      <c r="I326" s="2"/>
      <c r="J326" s="2"/>
      <c r="K326" s="2"/>
      <c r="P326" s="80" t="str">
        <f>'Binder Setup'!B326&amp;""</f>
        <v/>
      </c>
      <c r="Q326" s="80">
        <f>IF(P326="",999,IF('Binder Setup'!C326=TRUE(),999,IF(COUNTIFS('Set Aliases'!$A$2:$A$501,P326,'Set Aliases'!$B$2:$B$501,"?*")&gt;0,999,325)))</f>
        <v>999</v>
      </c>
    </row>
    <row r="327" ht="15.75" customHeight="1">
      <c r="A327" s="2"/>
      <c r="B327" s="2"/>
      <c r="C327" s="2"/>
      <c r="D327" s="2"/>
      <c r="E327" s="2"/>
      <c r="F327" s="2"/>
      <c r="G327" s="2"/>
      <c r="H327" s="2"/>
      <c r="I327" s="2"/>
      <c r="J327" s="2"/>
      <c r="K327" s="2"/>
      <c r="P327" s="80" t="str">
        <f>'Binder Setup'!B327&amp;""</f>
        <v/>
      </c>
      <c r="Q327" s="80">
        <f>IF(P327="",999,IF('Binder Setup'!C327=TRUE(),999,IF(COUNTIFS('Set Aliases'!$A$2:$A$501,P327,'Set Aliases'!$B$2:$B$501,"?*")&gt;0,999,326)))</f>
        <v>999</v>
      </c>
    </row>
    <row r="328" ht="15.75" customHeight="1">
      <c r="A328" s="2"/>
      <c r="B328" s="2"/>
      <c r="C328" s="2"/>
      <c r="D328" s="2"/>
      <c r="E328" s="2"/>
      <c r="F328" s="2"/>
      <c r="G328" s="2"/>
      <c r="H328" s="2"/>
      <c r="I328" s="2"/>
      <c r="J328" s="2"/>
      <c r="K328" s="2"/>
      <c r="P328" s="80" t="str">
        <f>'Binder Setup'!B328&amp;""</f>
        <v/>
      </c>
      <c r="Q328" s="80">
        <f>IF(P328="",999,IF('Binder Setup'!C328=TRUE(),999,IF(COUNTIFS('Set Aliases'!$A$2:$A$501,P328,'Set Aliases'!$B$2:$B$501,"?*")&gt;0,999,327)))</f>
        <v>999</v>
      </c>
    </row>
    <row r="329" ht="15.75" customHeight="1">
      <c r="A329" s="2"/>
      <c r="B329" s="2"/>
      <c r="C329" s="2"/>
      <c r="D329" s="2"/>
      <c r="E329" s="2"/>
      <c r="F329" s="2"/>
      <c r="G329" s="2"/>
      <c r="H329" s="2"/>
      <c r="I329" s="2"/>
      <c r="J329" s="2"/>
      <c r="K329" s="2"/>
      <c r="P329" s="80" t="str">
        <f>'Binder Setup'!B329&amp;""</f>
        <v/>
      </c>
      <c r="Q329" s="80">
        <f>IF(P329="",999,IF('Binder Setup'!C329=TRUE(),999,IF(COUNTIFS('Set Aliases'!$A$2:$A$501,P329,'Set Aliases'!$B$2:$B$501,"?*")&gt;0,999,328)))</f>
        <v>999</v>
      </c>
    </row>
    <row r="330" ht="15.75" customHeight="1">
      <c r="A330" s="2"/>
      <c r="B330" s="2"/>
      <c r="C330" s="2"/>
      <c r="D330" s="2"/>
      <c r="E330" s="2"/>
      <c r="F330" s="2"/>
      <c r="G330" s="2"/>
      <c r="H330" s="2"/>
      <c r="I330" s="2"/>
      <c r="J330" s="2"/>
      <c r="K330" s="2"/>
      <c r="P330" s="80" t="str">
        <f>'Binder Setup'!B330&amp;""</f>
        <v/>
      </c>
      <c r="Q330" s="80">
        <f>IF(P330="",999,IF('Binder Setup'!C330=TRUE(),999,IF(COUNTIFS('Set Aliases'!$A$2:$A$501,P330,'Set Aliases'!$B$2:$B$501,"?*")&gt;0,999,329)))</f>
        <v>999</v>
      </c>
    </row>
    <row r="331" ht="15.75" customHeight="1">
      <c r="A331" s="2"/>
      <c r="B331" s="2"/>
      <c r="C331" s="2"/>
      <c r="D331" s="2"/>
      <c r="E331" s="2"/>
      <c r="F331" s="2"/>
      <c r="G331" s="2"/>
      <c r="H331" s="2"/>
      <c r="I331" s="2"/>
      <c r="J331" s="2"/>
      <c r="K331" s="2"/>
      <c r="P331" s="80" t="str">
        <f>'Binder Setup'!B331&amp;""</f>
        <v/>
      </c>
      <c r="Q331" s="80">
        <f>IF(P331="",999,IF('Binder Setup'!C331=TRUE(),999,IF(COUNTIFS('Set Aliases'!$A$2:$A$501,P331,'Set Aliases'!$B$2:$B$501,"?*")&gt;0,999,330)))</f>
        <v>999</v>
      </c>
    </row>
    <row r="332" ht="15.75" customHeight="1">
      <c r="A332" s="2"/>
      <c r="B332" s="2"/>
      <c r="C332" s="2"/>
      <c r="D332" s="2"/>
      <c r="E332" s="2"/>
      <c r="F332" s="2"/>
      <c r="G332" s="2"/>
      <c r="H332" s="2"/>
      <c r="I332" s="2"/>
      <c r="J332" s="2"/>
      <c r="K332" s="2"/>
      <c r="P332" s="80" t="str">
        <f>'Binder Setup'!B332&amp;""</f>
        <v/>
      </c>
      <c r="Q332" s="80">
        <f>IF(P332="",999,IF('Binder Setup'!C332=TRUE(),999,IF(COUNTIFS('Set Aliases'!$A$2:$A$501,P332,'Set Aliases'!$B$2:$B$501,"?*")&gt;0,999,331)))</f>
        <v>999</v>
      </c>
    </row>
    <row r="333" ht="15.75" customHeight="1">
      <c r="A333" s="2"/>
      <c r="B333" s="2"/>
      <c r="C333" s="2"/>
      <c r="D333" s="2"/>
      <c r="E333" s="2"/>
      <c r="F333" s="2"/>
      <c r="G333" s="2"/>
      <c r="H333" s="2"/>
      <c r="I333" s="2"/>
      <c r="J333" s="2"/>
      <c r="K333" s="2"/>
      <c r="P333" s="80" t="str">
        <f>'Binder Setup'!B333&amp;""</f>
        <v/>
      </c>
      <c r="Q333" s="80">
        <f>IF(P333="",999,IF('Binder Setup'!C333=TRUE(),999,IF(COUNTIFS('Set Aliases'!$A$2:$A$501,P333,'Set Aliases'!$B$2:$B$501,"?*")&gt;0,999,332)))</f>
        <v>999</v>
      </c>
    </row>
    <row r="334" ht="15.75" customHeight="1">
      <c r="A334" s="2"/>
      <c r="B334" s="2"/>
      <c r="C334" s="2"/>
      <c r="D334" s="2"/>
      <c r="E334" s="2"/>
      <c r="F334" s="2"/>
      <c r="G334" s="2"/>
      <c r="H334" s="2"/>
      <c r="I334" s="2"/>
      <c r="J334" s="2"/>
      <c r="K334" s="2"/>
      <c r="P334" s="80" t="str">
        <f>'Binder Setup'!B334&amp;""</f>
        <v/>
      </c>
      <c r="Q334" s="80">
        <f>IF(P334="",999,IF('Binder Setup'!C334=TRUE(),999,IF(COUNTIFS('Set Aliases'!$A$2:$A$501,P334,'Set Aliases'!$B$2:$B$501,"?*")&gt;0,999,333)))</f>
        <v>999</v>
      </c>
    </row>
    <row r="335" ht="15.75" customHeight="1">
      <c r="A335" s="2"/>
      <c r="B335" s="2"/>
      <c r="C335" s="2"/>
      <c r="D335" s="2"/>
      <c r="E335" s="2"/>
      <c r="F335" s="2"/>
      <c r="G335" s="2"/>
      <c r="H335" s="2"/>
      <c r="I335" s="2"/>
      <c r="J335" s="2"/>
      <c r="K335" s="2"/>
      <c r="P335" s="80" t="str">
        <f>'Binder Setup'!B335&amp;""</f>
        <v/>
      </c>
      <c r="Q335" s="80">
        <f>IF(P335="",999,IF('Binder Setup'!C335=TRUE(),999,IF(COUNTIFS('Set Aliases'!$A$2:$A$501,P335,'Set Aliases'!$B$2:$B$501,"?*")&gt;0,999,334)))</f>
        <v>999</v>
      </c>
    </row>
    <row r="336" ht="15.75" customHeight="1">
      <c r="A336" s="2"/>
      <c r="B336" s="2"/>
      <c r="C336" s="2"/>
      <c r="D336" s="2"/>
      <c r="E336" s="2"/>
      <c r="F336" s="2"/>
      <c r="G336" s="2"/>
      <c r="H336" s="2"/>
      <c r="I336" s="2"/>
      <c r="J336" s="2"/>
      <c r="K336" s="2"/>
      <c r="P336" s="80" t="str">
        <f>'Binder Setup'!B336&amp;""</f>
        <v/>
      </c>
      <c r="Q336" s="80">
        <f>IF(P336="",999,IF('Binder Setup'!C336=TRUE(),999,IF(COUNTIFS('Set Aliases'!$A$2:$A$501,P336,'Set Aliases'!$B$2:$B$501,"?*")&gt;0,999,335)))</f>
        <v>999</v>
      </c>
    </row>
    <row r="337" ht="15.75" customHeight="1">
      <c r="A337" s="2"/>
      <c r="B337" s="2"/>
      <c r="C337" s="2"/>
      <c r="D337" s="2"/>
      <c r="E337" s="2"/>
      <c r="F337" s="2"/>
      <c r="G337" s="2"/>
      <c r="H337" s="2"/>
      <c r="I337" s="2"/>
      <c r="J337" s="2"/>
      <c r="K337" s="2"/>
      <c r="P337" s="80" t="str">
        <f>'Binder Setup'!B337&amp;""</f>
        <v/>
      </c>
      <c r="Q337" s="80">
        <f>IF(P337="",999,IF('Binder Setup'!C337=TRUE(),999,IF(COUNTIFS('Set Aliases'!$A$2:$A$501,P337,'Set Aliases'!$B$2:$B$501,"?*")&gt;0,999,336)))</f>
        <v>999</v>
      </c>
    </row>
    <row r="338" ht="15.75" customHeight="1">
      <c r="A338" s="2"/>
      <c r="B338" s="2"/>
      <c r="C338" s="2"/>
      <c r="D338" s="2"/>
      <c r="E338" s="2"/>
      <c r="F338" s="2"/>
      <c r="G338" s="2"/>
      <c r="H338" s="2"/>
      <c r="I338" s="2"/>
      <c r="J338" s="2"/>
      <c r="K338" s="2"/>
      <c r="P338" s="80" t="str">
        <f>'Binder Setup'!B338&amp;""</f>
        <v/>
      </c>
      <c r="Q338" s="80">
        <f>IF(P338="",999,IF('Binder Setup'!C338=TRUE(),999,IF(COUNTIFS('Set Aliases'!$A$2:$A$501,P338,'Set Aliases'!$B$2:$B$501,"?*")&gt;0,999,337)))</f>
        <v>999</v>
      </c>
    </row>
    <row r="339" ht="15.75" customHeight="1">
      <c r="A339" s="2"/>
      <c r="B339" s="2"/>
      <c r="C339" s="2"/>
      <c r="D339" s="2"/>
      <c r="E339" s="2"/>
      <c r="F339" s="2"/>
      <c r="G339" s="2"/>
      <c r="H339" s="2"/>
      <c r="I339" s="2"/>
      <c r="J339" s="2"/>
      <c r="K339" s="2"/>
      <c r="P339" s="80" t="str">
        <f>'Binder Setup'!B339&amp;""</f>
        <v/>
      </c>
      <c r="Q339" s="80">
        <f>IF(P339="",999,IF('Binder Setup'!C339=TRUE(),999,IF(COUNTIFS('Set Aliases'!$A$2:$A$501,P339,'Set Aliases'!$B$2:$B$501,"?*")&gt;0,999,338)))</f>
        <v>999</v>
      </c>
    </row>
    <row r="340" ht="15.75" customHeight="1">
      <c r="A340" s="2"/>
      <c r="B340" s="2"/>
      <c r="C340" s="2"/>
      <c r="D340" s="2"/>
      <c r="E340" s="2"/>
      <c r="F340" s="2"/>
      <c r="G340" s="2"/>
      <c r="H340" s="2"/>
      <c r="I340" s="2"/>
      <c r="J340" s="2"/>
      <c r="K340" s="2"/>
      <c r="P340" s="80" t="str">
        <f>'Binder Setup'!B340&amp;""</f>
        <v/>
      </c>
      <c r="Q340" s="80">
        <f>IF(P340="",999,IF('Binder Setup'!C340=TRUE(),999,IF(COUNTIFS('Set Aliases'!$A$2:$A$501,P340,'Set Aliases'!$B$2:$B$501,"?*")&gt;0,999,339)))</f>
        <v>999</v>
      </c>
    </row>
    <row r="341" ht="15.75" customHeight="1">
      <c r="A341" s="2"/>
      <c r="B341" s="2"/>
      <c r="C341" s="2"/>
      <c r="D341" s="2"/>
      <c r="E341" s="2"/>
      <c r="F341" s="2"/>
      <c r="G341" s="2"/>
      <c r="H341" s="2"/>
      <c r="I341" s="2"/>
      <c r="J341" s="2"/>
      <c r="K341" s="2"/>
      <c r="P341" s="80" t="str">
        <f>'Binder Setup'!B341&amp;""</f>
        <v/>
      </c>
      <c r="Q341" s="80">
        <f>IF(P341="",999,IF('Binder Setup'!C341=TRUE(),999,IF(COUNTIFS('Set Aliases'!$A$2:$A$501,P341,'Set Aliases'!$B$2:$B$501,"?*")&gt;0,999,340)))</f>
        <v>999</v>
      </c>
    </row>
    <row r="342" ht="15.75" customHeight="1">
      <c r="A342" s="2"/>
      <c r="B342" s="2"/>
      <c r="C342" s="2"/>
      <c r="D342" s="2"/>
      <c r="E342" s="2"/>
      <c r="F342" s="2"/>
      <c r="G342" s="2"/>
      <c r="H342" s="2"/>
      <c r="I342" s="2"/>
      <c r="J342" s="2"/>
      <c r="K342" s="2"/>
      <c r="P342" s="80" t="str">
        <f>'Binder Setup'!B342&amp;""</f>
        <v/>
      </c>
      <c r="Q342" s="80">
        <f>IF(P342="",999,IF('Binder Setup'!C342=TRUE(),999,IF(COUNTIFS('Set Aliases'!$A$2:$A$501,P342,'Set Aliases'!$B$2:$B$501,"?*")&gt;0,999,341)))</f>
        <v>999</v>
      </c>
    </row>
    <row r="343" ht="15.75" customHeight="1">
      <c r="A343" s="2"/>
      <c r="B343" s="2"/>
      <c r="C343" s="2"/>
      <c r="D343" s="2"/>
      <c r="E343" s="2"/>
      <c r="F343" s="2"/>
      <c r="G343" s="2"/>
      <c r="H343" s="2"/>
      <c r="I343" s="2"/>
      <c r="J343" s="2"/>
      <c r="K343" s="2"/>
      <c r="P343" s="80" t="str">
        <f>'Binder Setup'!B343&amp;""</f>
        <v/>
      </c>
      <c r="Q343" s="80">
        <f>IF(P343="",999,IF('Binder Setup'!C343=TRUE(),999,IF(COUNTIFS('Set Aliases'!$A$2:$A$501,P343,'Set Aliases'!$B$2:$B$501,"?*")&gt;0,999,342)))</f>
        <v>999</v>
      </c>
    </row>
    <row r="344" ht="15.75" customHeight="1">
      <c r="A344" s="2"/>
      <c r="B344" s="2"/>
      <c r="C344" s="2"/>
      <c r="D344" s="2"/>
      <c r="E344" s="2"/>
      <c r="F344" s="2"/>
      <c r="G344" s="2"/>
      <c r="H344" s="2"/>
      <c r="I344" s="2"/>
      <c r="J344" s="2"/>
      <c r="K344" s="2"/>
      <c r="P344" s="80" t="str">
        <f>'Binder Setup'!B344&amp;""</f>
        <v/>
      </c>
      <c r="Q344" s="80">
        <f>IF(P344="",999,IF('Binder Setup'!C344=TRUE(),999,IF(COUNTIFS('Set Aliases'!$A$2:$A$501,P344,'Set Aliases'!$B$2:$B$501,"?*")&gt;0,999,343)))</f>
        <v>999</v>
      </c>
    </row>
    <row r="345" ht="15.75" customHeight="1">
      <c r="A345" s="2"/>
      <c r="B345" s="2"/>
      <c r="C345" s="2"/>
      <c r="D345" s="2"/>
      <c r="E345" s="2"/>
      <c r="F345" s="2"/>
      <c r="G345" s="2"/>
      <c r="H345" s="2"/>
      <c r="I345" s="2"/>
      <c r="J345" s="2"/>
      <c r="K345" s="2"/>
      <c r="P345" s="80" t="str">
        <f>'Binder Setup'!B345&amp;""</f>
        <v/>
      </c>
      <c r="Q345" s="80">
        <f>IF(P345="",999,IF('Binder Setup'!C345=TRUE(),999,IF(COUNTIFS('Set Aliases'!$A$2:$A$501,P345,'Set Aliases'!$B$2:$B$501,"?*")&gt;0,999,344)))</f>
        <v>999</v>
      </c>
    </row>
    <row r="346" ht="15.75" customHeight="1">
      <c r="A346" s="2"/>
      <c r="B346" s="2"/>
      <c r="C346" s="2"/>
      <c r="D346" s="2"/>
      <c r="E346" s="2"/>
      <c r="F346" s="2"/>
      <c r="G346" s="2"/>
      <c r="H346" s="2"/>
      <c r="I346" s="2"/>
      <c r="J346" s="2"/>
      <c r="K346" s="2"/>
      <c r="P346" s="80" t="str">
        <f>'Binder Setup'!B346&amp;""</f>
        <v/>
      </c>
      <c r="Q346" s="80">
        <f>IF(P346="",999,IF('Binder Setup'!C346=TRUE(),999,IF(COUNTIFS('Set Aliases'!$A$2:$A$501,P346,'Set Aliases'!$B$2:$B$501,"?*")&gt;0,999,345)))</f>
        <v>999</v>
      </c>
    </row>
    <row r="347" ht="15.75" customHeight="1">
      <c r="A347" s="2"/>
      <c r="B347" s="2"/>
      <c r="C347" s="2"/>
      <c r="D347" s="2"/>
      <c r="E347" s="2"/>
      <c r="F347" s="2"/>
      <c r="G347" s="2"/>
      <c r="H347" s="2"/>
      <c r="I347" s="2"/>
      <c r="J347" s="2"/>
      <c r="K347" s="2"/>
      <c r="P347" s="80" t="str">
        <f>'Binder Setup'!B347&amp;""</f>
        <v/>
      </c>
      <c r="Q347" s="80">
        <f>IF(P347="",999,IF('Binder Setup'!C347=TRUE(),999,IF(COUNTIFS('Set Aliases'!$A$2:$A$501,P347,'Set Aliases'!$B$2:$B$501,"?*")&gt;0,999,346)))</f>
        <v>999</v>
      </c>
    </row>
    <row r="348" ht="15.75" customHeight="1">
      <c r="A348" s="2"/>
      <c r="B348" s="2"/>
      <c r="C348" s="2"/>
      <c r="D348" s="2"/>
      <c r="E348" s="2"/>
      <c r="F348" s="2"/>
      <c r="G348" s="2"/>
      <c r="H348" s="2"/>
      <c r="I348" s="2"/>
      <c r="J348" s="2"/>
      <c r="K348" s="2"/>
      <c r="P348" s="80" t="str">
        <f>'Binder Setup'!B348&amp;""</f>
        <v/>
      </c>
      <c r="Q348" s="80">
        <f>IF(P348="",999,IF('Binder Setup'!C348=TRUE(),999,IF(COUNTIFS('Set Aliases'!$A$2:$A$501,P348,'Set Aliases'!$B$2:$B$501,"?*")&gt;0,999,347)))</f>
        <v>999</v>
      </c>
    </row>
    <row r="349" ht="15.75" customHeight="1">
      <c r="A349" s="2"/>
      <c r="B349" s="2"/>
      <c r="C349" s="2"/>
      <c r="D349" s="2"/>
      <c r="E349" s="2"/>
      <c r="F349" s="2"/>
      <c r="G349" s="2"/>
      <c r="H349" s="2"/>
      <c r="I349" s="2"/>
      <c r="J349" s="2"/>
      <c r="K349" s="2"/>
      <c r="P349" s="80" t="str">
        <f>'Binder Setup'!B349&amp;""</f>
        <v/>
      </c>
      <c r="Q349" s="80">
        <f>IF(P349="",999,IF('Binder Setup'!C349=TRUE(),999,IF(COUNTIFS('Set Aliases'!$A$2:$A$501,P349,'Set Aliases'!$B$2:$B$501,"?*")&gt;0,999,348)))</f>
        <v>999</v>
      </c>
    </row>
    <row r="350" ht="15.75" customHeight="1">
      <c r="A350" s="2"/>
      <c r="B350" s="2"/>
      <c r="C350" s="2"/>
      <c r="D350" s="2"/>
      <c r="E350" s="2"/>
      <c r="F350" s="2"/>
      <c r="G350" s="2"/>
      <c r="H350" s="2"/>
      <c r="I350" s="2"/>
      <c r="J350" s="2"/>
      <c r="K350" s="2"/>
      <c r="P350" s="80" t="str">
        <f>'Binder Setup'!B350&amp;""</f>
        <v/>
      </c>
      <c r="Q350" s="80">
        <f>IF(P350="",999,IF('Binder Setup'!C350=TRUE(),999,IF(COUNTIFS('Set Aliases'!$A$2:$A$501,P350,'Set Aliases'!$B$2:$B$501,"?*")&gt;0,999,349)))</f>
        <v>999</v>
      </c>
    </row>
    <row r="351" ht="15.75" customHeight="1">
      <c r="A351" s="2"/>
      <c r="B351" s="2"/>
      <c r="C351" s="2"/>
      <c r="D351" s="2"/>
      <c r="E351" s="2"/>
      <c r="F351" s="2"/>
      <c r="G351" s="2"/>
      <c r="H351" s="2"/>
      <c r="I351" s="2"/>
      <c r="J351" s="2"/>
      <c r="K351" s="2"/>
      <c r="P351" s="80" t="str">
        <f>'Binder Setup'!B351&amp;""</f>
        <v/>
      </c>
      <c r="Q351" s="80">
        <f>IF(P351="",999,IF('Binder Setup'!C351=TRUE(),999,IF(COUNTIFS('Set Aliases'!$A$2:$A$501,P351,'Set Aliases'!$B$2:$B$501,"?*")&gt;0,999,350)))</f>
        <v>999</v>
      </c>
    </row>
    <row r="352" ht="15.75" customHeight="1">
      <c r="A352" s="2"/>
      <c r="B352" s="2"/>
      <c r="C352" s="2"/>
      <c r="D352" s="2"/>
      <c r="E352" s="2"/>
      <c r="F352" s="2"/>
      <c r="G352" s="2"/>
      <c r="H352" s="2"/>
      <c r="I352" s="2"/>
      <c r="J352" s="2"/>
      <c r="K352" s="2"/>
      <c r="P352" s="80" t="str">
        <f>'Binder Setup'!B352&amp;""</f>
        <v/>
      </c>
      <c r="Q352" s="80">
        <f>IF(P352="",999,IF('Binder Setup'!C352=TRUE(),999,IF(COUNTIFS('Set Aliases'!$A$2:$A$501,P352,'Set Aliases'!$B$2:$B$501,"?*")&gt;0,999,351)))</f>
        <v>999</v>
      </c>
    </row>
    <row r="353" ht="15.75" customHeight="1">
      <c r="A353" s="2"/>
      <c r="B353" s="2"/>
      <c r="C353" s="2"/>
      <c r="D353" s="2"/>
      <c r="E353" s="2"/>
      <c r="F353" s="2"/>
      <c r="G353" s="2"/>
      <c r="H353" s="2"/>
      <c r="I353" s="2"/>
      <c r="J353" s="2"/>
      <c r="K353" s="2"/>
      <c r="P353" s="80" t="str">
        <f>'Binder Setup'!B353&amp;""</f>
        <v/>
      </c>
      <c r="Q353" s="80">
        <f>IF(P353="",999,IF('Binder Setup'!C353=TRUE(),999,IF(COUNTIFS('Set Aliases'!$A$2:$A$501,P353,'Set Aliases'!$B$2:$B$501,"?*")&gt;0,999,352)))</f>
        <v>999</v>
      </c>
    </row>
    <row r="354" ht="15.75" customHeight="1">
      <c r="A354" s="2"/>
      <c r="B354" s="2"/>
      <c r="C354" s="2"/>
      <c r="D354" s="2"/>
      <c r="E354" s="2"/>
      <c r="F354" s="2"/>
      <c r="G354" s="2"/>
      <c r="H354" s="2"/>
      <c r="I354" s="2"/>
      <c r="J354" s="2"/>
      <c r="K354" s="2"/>
      <c r="P354" s="80" t="str">
        <f>'Binder Setup'!B354&amp;""</f>
        <v/>
      </c>
      <c r="Q354" s="80">
        <f>IF(P354="",999,IF('Binder Setup'!C354=TRUE(),999,IF(COUNTIFS('Set Aliases'!$A$2:$A$501,P354,'Set Aliases'!$B$2:$B$501,"?*")&gt;0,999,353)))</f>
        <v>999</v>
      </c>
    </row>
    <row r="355" ht="15.75" customHeight="1">
      <c r="A355" s="2"/>
      <c r="B355" s="2"/>
      <c r="C355" s="2"/>
      <c r="D355" s="2"/>
      <c r="E355" s="2"/>
      <c r="F355" s="2"/>
      <c r="G355" s="2"/>
      <c r="H355" s="2"/>
      <c r="I355" s="2"/>
      <c r="J355" s="2"/>
      <c r="K355" s="2"/>
      <c r="P355" s="80" t="str">
        <f>'Binder Setup'!B355&amp;""</f>
        <v/>
      </c>
      <c r="Q355" s="80">
        <f>IF(P355="",999,IF('Binder Setup'!C355=TRUE(),999,IF(COUNTIFS('Set Aliases'!$A$2:$A$501,P355,'Set Aliases'!$B$2:$B$501,"?*")&gt;0,999,354)))</f>
        <v>999</v>
      </c>
    </row>
    <row r="356" ht="15.75" customHeight="1">
      <c r="A356" s="2"/>
      <c r="B356" s="2"/>
      <c r="C356" s="2"/>
      <c r="D356" s="2"/>
      <c r="E356" s="2"/>
      <c r="F356" s="2"/>
      <c r="G356" s="2"/>
      <c r="H356" s="2"/>
      <c r="I356" s="2"/>
      <c r="J356" s="2"/>
      <c r="K356" s="2"/>
      <c r="P356" s="80" t="str">
        <f>'Binder Setup'!B356&amp;""</f>
        <v/>
      </c>
      <c r="Q356" s="80">
        <f>IF(P356="",999,IF('Binder Setup'!C356=TRUE(),999,IF(COUNTIFS('Set Aliases'!$A$2:$A$501,P356,'Set Aliases'!$B$2:$B$501,"?*")&gt;0,999,355)))</f>
        <v>999</v>
      </c>
    </row>
    <row r="357" ht="15.75" customHeight="1">
      <c r="A357" s="2"/>
      <c r="B357" s="2"/>
      <c r="C357" s="2"/>
      <c r="D357" s="2"/>
      <c r="E357" s="2"/>
      <c r="F357" s="2"/>
      <c r="G357" s="2"/>
      <c r="H357" s="2"/>
      <c r="I357" s="2"/>
      <c r="J357" s="2"/>
      <c r="K357" s="2"/>
      <c r="P357" s="80" t="str">
        <f>'Binder Setup'!B357&amp;""</f>
        <v/>
      </c>
      <c r="Q357" s="80">
        <f>IF(P357="",999,IF('Binder Setup'!C357=TRUE(),999,IF(COUNTIFS('Set Aliases'!$A$2:$A$501,P357,'Set Aliases'!$B$2:$B$501,"?*")&gt;0,999,356)))</f>
        <v>999</v>
      </c>
    </row>
    <row r="358" ht="15.75" customHeight="1">
      <c r="A358" s="2"/>
      <c r="B358" s="2"/>
      <c r="C358" s="2"/>
      <c r="D358" s="2"/>
      <c r="E358" s="2"/>
      <c r="F358" s="2"/>
      <c r="G358" s="2"/>
      <c r="H358" s="2"/>
      <c r="I358" s="2"/>
      <c r="J358" s="2"/>
      <c r="K358" s="2"/>
      <c r="P358" s="80" t="str">
        <f>'Binder Setup'!B358&amp;""</f>
        <v/>
      </c>
      <c r="Q358" s="80">
        <f>IF(P358="",999,IF('Binder Setup'!C358=TRUE(),999,IF(COUNTIFS('Set Aliases'!$A$2:$A$501,P358,'Set Aliases'!$B$2:$B$501,"?*")&gt;0,999,357)))</f>
        <v>999</v>
      </c>
    </row>
    <row r="359" ht="15.75" customHeight="1">
      <c r="A359" s="2"/>
      <c r="B359" s="2"/>
      <c r="C359" s="2"/>
      <c r="D359" s="2"/>
      <c r="E359" s="2"/>
      <c r="F359" s="2"/>
      <c r="G359" s="2"/>
      <c r="H359" s="2"/>
      <c r="I359" s="2"/>
      <c r="J359" s="2"/>
      <c r="K359" s="2"/>
      <c r="P359" s="80" t="str">
        <f>'Binder Setup'!B359&amp;""</f>
        <v/>
      </c>
      <c r="Q359" s="80">
        <f>IF(P359="",999,IF('Binder Setup'!C359=TRUE(),999,IF(COUNTIFS('Set Aliases'!$A$2:$A$501,P359,'Set Aliases'!$B$2:$B$501,"?*")&gt;0,999,358)))</f>
        <v>999</v>
      </c>
    </row>
    <row r="360" ht="15.75" customHeight="1">
      <c r="A360" s="2"/>
      <c r="B360" s="2"/>
      <c r="C360" s="2"/>
      <c r="D360" s="2"/>
      <c r="E360" s="2"/>
      <c r="F360" s="2"/>
      <c r="G360" s="2"/>
      <c r="H360" s="2"/>
      <c r="I360" s="2"/>
      <c r="J360" s="2"/>
      <c r="K360" s="2"/>
      <c r="P360" s="80" t="str">
        <f>'Binder Setup'!B360&amp;""</f>
        <v/>
      </c>
      <c r="Q360" s="80">
        <f>IF(P360="",999,IF('Binder Setup'!C360=TRUE(),999,IF(COUNTIFS('Set Aliases'!$A$2:$A$501,P360,'Set Aliases'!$B$2:$B$501,"?*")&gt;0,999,359)))</f>
        <v>999</v>
      </c>
    </row>
    <row r="361" ht="15.75" customHeight="1">
      <c r="A361" s="2"/>
      <c r="B361" s="2"/>
      <c r="C361" s="2"/>
      <c r="D361" s="2"/>
      <c r="E361" s="2"/>
      <c r="F361" s="2"/>
      <c r="G361" s="2"/>
      <c r="H361" s="2"/>
      <c r="I361" s="2"/>
      <c r="J361" s="2"/>
      <c r="K361" s="2"/>
      <c r="P361" s="80" t="str">
        <f>'Binder Setup'!B361&amp;""</f>
        <v/>
      </c>
      <c r="Q361" s="80">
        <f>IF(P361="",999,IF('Binder Setup'!C361=TRUE(),999,IF(COUNTIFS('Set Aliases'!$A$2:$A$501,P361,'Set Aliases'!$B$2:$B$501,"?*")&gt;0,999,360)))</f>
        <v>999</v>
      </c>
    </row>
    <row r="362" ht="15.75" customHeight="1">
      <c r="A362" s="2"/>
      <c r="B362" s="2"/>
      <c r="C362" s="2"/>
      <c r="D362" s="2"/>
      <c r="E362" s="2"/>
      <c r="F362" s="2"/>
      <c r="G362" s="2"/>
      <c r="H362" s="2"/>
      <c r="I362" s="2"/>
      <c r="J362" s="2"/>
      <c r="K362" s="2"/>
      <c r="P362" s="80" t="str">
        <f>'Binder Setup'!B362&amp;""</f>
        <v/>
      </c>
      <c r="Q362" s="80">
        <f>IF(P362="",999,IF('Binder Setup'!C362=TRUE(),999,IF(COUNTIFS('Set Aliases'!$A$2:$A$501,P362,'Set Aliases'!$B$2:$B$501,"?*")&gt;0,999,361)))</f>
        <v>999</v>
      </c>
    </row>
    <row r="363" ht="15.75" customHeight="1">
      <c r="A363" s="2"/>
      <c r="B363" s="2"/>
      <c r="C363" s="2"/>
      <c r="D363" s="2"/>
      <c r="E363" s="2"/>
      <c r="F363" s="2"/>
      <c r="G363" s="2"/>
      <c r="H363" s="2"/>
      <c r="I363" s="2"/>
      <c r="J363" s="2"/>
      <c r="K363" s="2"/>
      <c r="P363" s="80" t="str">
        <f>'Binder Setup'!B363&amp;""</f>
        <v/>
      </c>
      <c r="Q363" s="80">
        <f>IF(P363="",999,IF('Binder Setup'!C363=TRUE(),999,IF(COUNTIFS('Set Aliases'!$A$2:$A$501,P363,'Set Aliases'!$B$2:$B$501,"?*")&gt;0,999,362)))</f>
        <v>999</v>
      </c>
    </row>
    <row r="364" ht="15.75" customHeight="1">
      <c r="A364" s="2"/>
      <c r="B364" s="2"/>
      <c r="C364" s="2"/>
      <c r="D364" s="2"/>
      <c r="E364" s="2"/>
      <c r="F364" s="2"/>
      <c r="G364" s="2"/>
      <c r="H364" s="2"/>
      <c r="I364" s="2"/>
      <c r="J364" s="2"/>
      <c r="K364" s="2"/>
      <c r="P364" s="80" t="str">
        <f>'Binder Setup'!B364&amp;""</f>
        <v/>
      </c>
      <c r="Q364" s="80">
        <f>IF(P364="",999,IF('Binder Setup'!C364=TRUE(),999,IF(COUNTIFS('Set Aliases'!$A$2:$A$501,P364,'Set Aliases'!$B$2:$B$501,"?*")&gt;0,999,363)))</f>
        <v>999</v>
      </c>
    </row>
    <row r="365" ht="15.75" customHeight="1">
      <c r="A365" s="2"/>
      <c r="B365" s="2"/>
      <c r="C365" s="2"/>
      <c r="D365" s="2"/>
      <c r="E365" s="2"/>
      <c r="F365" s="2"/>
      <c r="G365" s="2"/>
      <c r="H365" s="2"/>
      <c r="I365" s="2"/>
      <c r="J365" s="2"/>
      <c r="K365" s="2"/>
      <c r="P365" s="80" t="str">
        <f>'Binder Setup'!B365&amp;""</f>
        <v/>
      </c>
      <c r="Q365" s="80">
        <f>IF(P365="",999,IF('Binder Setup'!C365=TRUE(),999,IF(COUNTIFS('Set Aliases'!$A$2:$A$501,P365,'Set Aliases'!$B$2:$B$501,"?*")&gt;0,999,364)))</f>
        <v>999</v>
      </c>
    </row>
    <row r="366" ht="15.75" customHeight="1">
      <c r="A366" s="2"/>
      <c r="B366" s="2"/>
      <c r="C366" s="2"/>
      <c r="D366" s="2"/>
      <c r="E366" s="2"/>
      <c r="F366" s="2"/>
      <c r="G366" s="2"/>
      <c r="H366" s="2"/>
      <c r="I366" s="2"/>
      <c r="J366" s="2"/>
      <c r="K366" s="2"/>
      <c r="P366" s="80" t="str">
        <f>'Binder Setup'!B366&amp;""</f>
        <v/>
      </c>
      <c r="Q366" s="80">
        <f>IF(P366="",999,IF('Binder Setup'!C366=TRUE(),999,IF(COUNTIFS('Set Aliases'!$A$2:$A$501,P366,'Set Aliases'!$B$2:$B$501,"?*")&gt;0,999,365)))</f>
        <v>999</v>
      </c>
    </row>
    <row r="367" ht="15.75" customHeight="1">
      <c r="A367" s="2"/>
      <c r="B367" s="2"/>
      <c r="C367" s="2"/>
      <c r="D367" s="2"/>
      <c r="E367" s="2"/>
      <c r="F367" s="2"/>
      <c r="G367" s="2"/>
      <c r="H367" s="2"/>
      <c r="I367" s="2"/>
      <c r="J367" s="2"/>
      <c r="K367" s="2"/>
      <c r="P367" s="80" t="str">
        <f>'Binder Setup'!B367&amp;""</f>
        <v/>
      </c>
      <c r="Q367" s="80">
        <f>IF(P367="",999,IF('Binder Setup'!C367=TRUE(),999,IF(COUNTIFS('Set Aliases'!$A$2:$A$501,P367,'Set Aliases'!$B$2:$B$501,"?*")&gt;0,999,366)))</f>
        <v>999</v>
      </c>
    </row>
    <row r="368" ht="15.75" customHeight="1">
      <c r="A368" s="2"/>
      <c r="B368" s="2"/>
      <c r="C368" s="2"/>
      <c r="D368" s="2"/>
      <c r="E368" s="2"/>
      <c r="F368" s="2"/>
      <c r="G368" s="2"/>
      <c r="H368" s="2"/>
      <c r="I368" s="2"/>
      <c r="J368" s="2"/>
      <c r="K368" s="2"/>
      <c r="P368" s="80" t="str">
        <f>'Binder Setup'!B368&amp;""</f>
        <v/>
      </c>
      <c r="Q368" s="80">
        <f>IF(P368="",999,IF('Binder Setup'!C368=TRUE(),999,IF(COUNTIFS('Set Aliases'!$A$2:$A$501,P368,'Set Aliases'!$B$2:$B$501,"?*")&gt;0,999,367)))</f>
        <v>999</v>
      </c>
    </row>
    <row r="369" ht="15.75" customHeight="1">
      <c r="A369" s="2"/>
      <c r="B369" s="2"/>
      <c r="C369" s="2"/>
      <c r="D369" s="2"/>
      <c r="E369" s="2"/>
      <c r="F369" s="2"/>
      <c r="G369" s="2"/>
      <c r="H369" s="2"/>
      <c r="I369" s="2"/>
      <c r="J369" s="2"/>
      <c r="K369" s="2"/>
      <c r="P369" s="80" t="str">
        <f>'Binder Setup'!B369&amp;""</f>
        <v/>
      </c>
      <c r="Q369" s="80">
        <f>IF(P369="",999,IF('Binder Setup'!C369=TRUE(),999,IF(COUNTIFS('Set Aliases'!$A$2:$A$501,P369,'Set Aliases'!$B$2:$B$501,"?*")&gt;0,999,368)))</f>
        <v>999</v>
      </c>
    </row>
    <row r="370" ht="15.75" customHeight="1">
      <c r="A370" s="2"/>
      <c r="B370" s="2"/>
      <c r="C370" s="2"/>
      <c r="D370" s="2"/>
      <c r="E370" s="2"/>
      <c r="F370" s="2"/>
      <c r="G370" s="2"/>
      <c r="H370" s="2"/>
      <c r="I370" s="2"/>
      <c r="J370" s="2"/>
      <c r="K370" s="2"/>
      <c r="P370" s="80" t="str">
        <f>'Binder Setup'!B370&amp;""</f>
        <v/>
      </c>
      <c r="Q370" s="80">
        <f>IF(P370="",999,IF('Binder Setup'!C370=TRUE(),999,IF(COUNTIFS('Set Aliases'!$A$2:$A$501,P370,'Set Aliases'!$B$2:$B$501,"?*")&gt;0,999,369)))</f>
        <v>999</v>
      </c>
    </row>
    <row r="371" ht="15.75" customHeight="1">
      <c r="A371" s="2"/>
      <c r="B371" s="2"/>
      <c r="C371" s="2"/>
      <c r="D371" s="2"/>
      <c r="E371" s="2"/>
      <c r="F371" s="2"/>
      <c r="G371" s="2"/>
      <c r="H371" s="2"/>
      <c r="I371" s="2"/>
      <c r="J371" s="2"/>
      <c r="K371" s="2"/>
      <c r="P371" s="80" t="str">
        <f>'Binder Setup'!B371&amp;""</f>
        <v/>
      </c>
      <c r="Q371" s="80">
        <f>IF(P371="",999,IF('Binder Setup'!C371=TRUE(),999,IF(COUNTIFS('Set Aliases'!$A$2:$A$501,P371,'Set Aliases'!$B$2:$B$501,"?*")&gt;0,999,370)))</f>
        <v>999</v>
      </c>
    </row>
    <row r="372" ht="15.75" customHeight="1">
      <c r="A372" s="2"/>
      <c r="B372" s="2"/>
      <c r="C372" s="2"/>
      <c r="D372" s="2"/>
      <c r="E372" s="2"/>
      <c r="F372" s="2"/>
      <c r="G372" s="2"/>
      <c r="H372" s="2"/>
      <c r="I372" s="2"/>
      <c r="J372" s="2"/>
      <c r="K372" s="2"/>
      <c r="P372" s="80" t="str">
        <f>'Binder Setup'!B372&amp;""</f>
        <v/>
      </c>
      <c r="Q372" s="80">
        <f>IF(P372="",999,IF('Binder Setup'!C372=TRUE(),999,IF(COUNTIFS('Set Aliases'!$A$2:$A$501,P372,'Set Aliases'!$B$2:$B$501,"?*")&gt;0,999,371)))</f>
        <v>999</v>
      </c>
    </row>
    <row r="373" ht="15.75" customHeight="1">
      <c r="A373" s="2"/>
      <c r="B373" s="2"/>
      <c r="C373" s="2"/>
      <c r="D373" s="2"/>
      <c r="E373" s="2"/>
      <c r="F373" s="2"/>
      <c r="G373" s="2"/>
      <c r="H373" s="2"/>
      <c r="I373" s="2"/>
      <c r="J373" s="2"/>
      <c r="K373" s="2"/>
      <c r="P373" s="80" t="str">
        <f>'Binder Setup'!B373&amp;""</f>
        <v/>
      </c>
      <c r="Q373" s="80">
        <f>IF(P373="",999,IF('Binder Setup'!C373=TRUE(),999,IF(COUNTIFS('Set Aliases'!$A$2:$A$501,P373,'Set Aliases'!$B$2:$B$501,"?*")&gt;0,999,372)))</f>
        <v>999</v>
      </c>
    </row>
    <row r="374" ht="15.75" customHeight="1">
      <c r="A374" s="2"/>
      <c r="B374" s="2"/>
      <c r="C374" s="2"/>
      <c r="D374" s="2"/>
      <c r="E374" s="2"/>
      <c r="F374" s="2"/>
      <c r="G374" s="2"/>
      <c r="H374" s="2"/>
      <c r="I374" s="2"/>
      <c r="J374" s="2"/>
      <c r="K374" s="2"/>
      <c r="P374" s="80" t="str">
        <f>'Binder Setup'!B374&amp;""</f>
        <v/>
      </c>
      <c r="Q374" s="80">
        <f>IF(P374="",999,IF('Binder Setup'!C374=TRUE(),999,IF(COUNTIFS('Set Aliases'!$A$2:$A$501,P374,'Set Aliases'!$B$2:$B$501,"?*")&gt;0,999,373)))</f>
        <v>999</v>
      </c>
    </row>
    <row r="375" ht="15.75" customHeight="1">
      <c r="A375" s="2"/>
      <c r="B375" s="2"/>
      <c r="C375" s="2"/>
      <c r="D375" s="2"/>
      <c r="E375" s="2"/>
      <c r="F375" s="2"/>
      <c r="G375" s="2"/>
      <c r="H375" s="2"/>
      <c r="I375" s="2"/>
      <c r="J375" s="2"/>
      <c r="K375" s="2"/>
      <c r="P375" s="80" t="str">
        <f>'Binder Setup'!B375&amp;""</f>
        <v/>
      </c>
      <c r="Q375" s="80">
        <f>IF(P375="",999,IF('Binder Setup'!C375=TRUE(),999,IF(COUNTIFS('Set Aliases'!$A$2:$A$501,P375,'Set Aliases'!$B$2:$B$501,"?*")&gt;0,999,374)))</f>
        <v>999</v>
      </c>
    </row>
    <row r="376" ht="15.75" customHeight="1">
      <c r="A376" s="2"/>
      <c r="B376" s="2"/>
      <c r="C376" s="2"/>
      <c r="D376" s="2"/>
      <c r="E376" s="2"/>
      <c r="F376" s="2"/>
      <c r="G376" s="2"/>
      <c r="H376" s="2"/>
      <c r="I376" s="2"/>
      <c r="J376" s="2"/>
      <c r="K376" s="2"/>
      <c r="P376" s="80" t="str">
        <f>'Binder Setup'!B376&amp;""</f>
        <v/>
      </c>
      <c r="Q376" s="80">
        <f>IF(P376="",999,IF('Binder Setup'!C376=TRUE(),999,IF(COUNTIFS('Set Aliases'!$A$2:$A$501,P376,'Set Aliases'!$B$2:$B$501,"?*")&gt;0,999,375)))</f>
        <v>999</v>
      </c>
    </row>
    <row r="377" ht="15.75" customHeight="1">
      <c r="A377" s="2"/>
      <c r="B377" s="2"/>
      <c r="C377" s="2"/>
      <c r="D377" s="2"/>
      <c r="E377" s="2"/>
      <c r="F377" s="2"/>
      <c r="G377" s="2"/>
      <c r="H377" s="2"/>
      <c r="I377" s="2"/>
      <c r="J377" s="2"/>
      <c r="K377" s="2"/>
      <c r="P377" s="80" t="str">
        <f>'Binder Setup'!B377&amp;""</f>
        <v/>
      </c>
      <c r="Q377" s="80">
        <f>IF(P377="",999,IF('Binder Setup'!C377=TRUE(),999,IF(COUNTIFS('Set Aliases'!$A$2:$A$501,P377,'Set Aliases'!$B$2:$B$501,"?*")&gt;0,999,376)))</f>
        <v>999</v>
      </c>
    </row>
    <row r="378" ht="15.75" customHeight="1">
      <c r="A378" s="2"/>
      <c r="B378" s="2"/>
      <c r="C378" s="2"/>
      <c r="D378" s="2"/>
      <c r="E378" s="2"/>
      <c r="F378" s="2"/>
      <c r="G378" s="2"/>
      <c r="H378" s="2"/>
      <c r="I378" s="2"/>
      <c r="J378" s="2"/>
      <c r="K378" s="2"/>
      <c r="P378" s="80" t="str">
        <f>'Binder Setup'!B378&amp;""</f>
        <v/>
      </c>
      <c r="Q378" s="80">
        <f>IF(P378="",999,IF('Binder Setup'!C378=TRUE(),999,IF(COUNTIFS('Set Aliases'!$A$2:$A$501,P378,'Set Aliases'!$B$2:$B$501,"?*")&gt;0,999,377)))</f>
        <v>999</v>
      </c>
    </row>
    <row r="379" ht="15.75" customHeight="1">
      <c r="A379" s="2"/>
      <c r="B379" s="2"/>
      <c r="C379" s="2"/>
      <c r="D379" s="2"/>
      <c r="E379" s="2"/>
      <c r="F379" s="2"/>
      <c r="G379" s="2"/>
      <c r="H379" s="2"/>
      <c r="I379" s="2"/>
      <c r="J379" s="2"/>
      <c r="K379" s="2"/>
      <c r="P379" s="80" t="str">
        <f>'Binder Setup'!B379&amp;""</f>
        <v/>
      </c>
      <c r="Q379" s="80">
        <f>IF(P379="",999,IF('Binder Setup'!C379=TRUE(),999,IF(COUNTIFS('Set Aliases'!$A$2:$A$501,P379,'Set Aliases'!$B$2:$B$501,"?*")&gt;0,999,378)))</f>
        <v>999</v>
      </c>
    </row>
    <row r="380" ht="15.75" customHeight="1">
      <c r="A380" s="2"/>
      <c r="B380" s="2"/>
      <c r="C380" s="2"/>
      <c r="D380" s="2"/>
      <c r="E380" s="2"/>
      <c r="F380" s="2"/>
      <c r="G380" s="2"/>
      <c r="H380" s="2"/>
      <c r="I380" s="2"/>
      <c r="J380" s="2"/>
      <c r="K380" s="2"/>
      <c r="P380" s="80" t="str">
        <f>'Binder Setup'!B380&amp;""</f>
        <v/>
      </c>
      <c r="Q380" s="80">
        <f>IF(P380="",999,IF('Binder Setup'!C380=TRUE(),999,IF(COUNTIFS('Set Aliases'!$A$2:$A$501,P380,'Set Aliases'!$B$2:$B$501,"?*")&gt;0,999,379)))</f>
        <v>999</v>
      </c>
    </row>
    <row r="381" ht="15.75" customHeight="1">
      <c r="A381" s="2"/>
      <c r="B381" s="2"/>
      <c r="C381" s="2"/>
      <c r="D381" s="2"/>
      <c r="E381" s="2"/>
      <c r="F381" s="2"/>
      <c r="G381" s="2"/>
      <c r="H381" s="2"/>
      <c r="I381" s="2"/>
      <c r="J381" s="2"/>
      <c r="K381" s="2"/>
      <c r="P381" s="80" t="str">
        <f>'Binder Setup'!B381&amp;""</f>
        <v/>
      </c>
      <c r="Q381" s="80">
        <f>IF(P381="",999,IF('Binder Setup'!C381=TRUE(),999,IF(COUNTIFS('Set Aliases'!$A$2:$A$501,P381,'Set Aliases'!$B$2:$B$501,"?*")&gt;0,999,380)))</f>
        <v>999</v>
      </c>
    </row>
    <row r="382" ht="15.75" customHeight="1">
      <c r="A382" s="2"/>
      <c r="B382" s="2"/>
      <c r="C382" s="2"/>
      <c r="D382" s="2"/>
      <c r="E382" s="2"/>
      <c r="F382" s="2"/>
      <c r="G382" s="2"/>
      <c r="H382" s="2"/>
      <c r="I382" s="2"/>
      <c r="J382" s="2"/>
      <c r="K382" s="2"/>
      <c r="P382" s="80" t="str">
        <f>'Binder Setup'!B382&amp;""</f>
        <v/>
      </c>
      <c r="Q382" s="80">
        <f>IF(P382="",999,IF('Binder Setup'!C382=TRUE(),999,IF(COUNTIFS('Set Aliases'!$A$2:$A$501,P382,'Set Aliases'!$B$2:$B$501,"?*")&gt;0,999,381)))</f>
        <v>999</v>
      </c>
    </row>
    <row r="383" ht="15.75" customHeight="1">
      <c r="A383" s="2"/>
      <c r="B383" s="2"/>
      <c r="C383" s="2"/>
      <c r="D383" s="2"/>
      <c r="E383" s="2"/>
      <c r="F383" s="2"/>
      <c r="G383" s="2"/>
      <c r="H383" s="2"/>
      <c r="I383" s="2"/>
      <c r="J383" s="2"/>
      <c r="K383" s="2"/>
      <c r="P383" s="80" t="str">
        <f>'Binder Setup'!B383&amp;""</f>
        <v/>
      </c>
      <c r="Q383" s="80">
        <f>IF(P383="",999,IF('Binder Setup'!C383=TRUE(),999,IF(COUNTIFS('Set Aliases'!$A$2:$A$501,P383,'Set Aliases'!$B$2:$B$501,"?*")&gt;0,999,382)))</f>
        <v>999</v>
      </c>
    </row>
    <row r="384" ht="15.75" customHeight="1">
      <c r="A384" s="2"/>
      <c r="B384" s="2"/>
      <c r="C384" s="2"/>
      <c r="D384" s="2"/>
      <c r="E384" s="2"/>
      <c r="F384" s="2"/>
      <c r="G384" s="2"/>
      <c r="H384" s="2"/>
      <c r="I384" s="2"/>
      <c r="J384" s="2"/>
      <c r="K384" s="2"/>
      <c r="P384" s="80" t="str">
        <f>'Binder Setup'!B384&amp;""</f>
        <v/>
      </c>
      <c r="Q384" s="80">
        <f>IF(P384="",999,IF('Binder Setup'!C384=TRUE(),999,IF(COUNTIFS('Set Aliases'!$A$2:$A$501,P384,'Set Aliases'!$B$2:$B$501,"?*")&gt;0,999,383)))</f>
        <v>999</v>
      </c>
    </row>
    <row r="385" ht="15.75" customHeight="1">
      <c r="A385" s="2"/>
      <c r="B385" s="2"/>
      <c r="C385" s="2"/>
      <c r="D385" s="2"/>
      <c r="E385" s="2"/>
      <c r="F385" s="2"/>
      <c r="G385" s="2"/>
      <c r="H385" s="2"/>
      <c r="I385" s="2"/>
      <c r="J385" s="2"/>
      <c r="K385" s="2"/>
      <c r="P385" s="80" t="str">
        <f>'Binder Setup'!B385&amp;""</f>
        <v/>
      </c>
      <c r="Q385" s="80">
        <f>IF(P385="",999,IF('Binder Setup'!C385=TRUE(),999,IF(COUNTIFS('Set Aliases'!$A$2:$A$501,P385,'Set Aliases'!$B$2:$B$501,"?*")&gt;0,999,384)))</f>
        <v>999</v>
      </c>
    </row>
    <row r="386" ht="15.75" customHeight="1">
      <c r="A386" s="2"/>
      <c r="B386" s="2"/>
      <c r="C386" s="2"/>
      <c r="D386" s="2"/>
      <c r="E386" s="2"/>
      <c r="F386" s="2"/>
      <c r="G386" s="2"/>
      <c r="H386" s="2"/>
      <c r="I386" s="2"/>
      <c r="J386" s="2"/>
      <c r="K386" s="2"/>
      <c r="P386" s="80" t="str">
        <f>'Binder Setup'!B386&amp;""</f>
        <v/>
      </c>
      <c r="Q386" s="80">
        <f>IF(P386="",999,IF('Binder Setup'!C386=TRUE(),999,IF(COUNTIFS('Set Aliases'!$A$2:$A$501,P386,'Set Aliases'!$B$2:$B$501,"?*")&gt;0,999,385)))</f>
        <v>999</v>
      </c>
    </row>
    <row r="387" ht="15.75" customHeight="1">
      <c r="A387" s="2"/>
      <c r="B387" s="2"/>
      <c r="C387" s="2"/>
      <c r="D387" s="2"/>
      <c r="E387" s="2"/>
      <c r="F387" s="2"/>
      <c r="G387" s="2"/>
      <c r="H387" s="2"/>
      <c r="I387" s="2"/>
      <c r="J387" s="2"/>
      <c r="K387" s="2"/>
      <c r="P387" s="80" t="str">
        <f>'Binder Setup'!B387&amp;""</f>
        <v/>
      </c>
      <c r="Q387" s="80">
        <f>IF(P387="",999,IF('Binder Setup'!C387=TRUE(),999,IF(COUNTIFS('Set Aliases'!$A$2:$A$501,P387,'Set Aliases'!$B$2:$B$501,"?*")&gt;0,999,386)))</f>
        <v>999</v>
      </c>
    </row>
    <row r="388" ht="15.75" customHeight="1">
      <c r="A388" s="2"/>
      <c r="B388" s="2"/>
      <c r="C388" s="2"/>
      <c r="D388" s="2"/>
      <c r="E388" s="2"/>
      <c r="F388" s="2"/>
      <c r="G388" s="2"/>
      <c r="H388" s="2"/>
      <c r="I388" s="2"/>
      <c r="J388" s="2"/>
      <c r="K388" s="2"/>
      <c r="P388" s="80" t="str">
        <f>'Binder Setup'!B388&amp;""</f>
        <v/>
      </c>
      <c r="Q388" s="80">
        <f>IF(P388="",999,IF('Binder Setup'!C388=TRUE(),999,IF(COUNTIFS('Set Aliases'!$A$2:$A$501,P388,'Set Aliases'!$B$2:$B$501,"?*")&gt;0,999,387)))</f>
        <v>999</v>
      </c>
    </row>
    <row r="389" ht="15.75" customHeight="1">
      <c r="A389" s="2"/>
      <c r="B389" s="2"/>
      <c r="C389" s="2"/>
      <c r="D389" s="2"/>
      <c r="E389" s="2"/>
      <c r="F389" s="2"/>
      <c r="G389" s="2"/>
      <c r="H389" s="2"/>
      <c r="I389" s="2"/>
      <c r="J389" s="2"/>
      <c r="K389" s="2"/>
      <c r="P389" s="80" t="str">
        <f>'Binder Setup'!B389&amp;""</f>
        <v/>
      </c>
      <c r="Q389" s="80">
        <f>IF(P389="",999,IF('Binder Setup'!C389=TRUE(),999,IF(COUNTIFS('Set Aliases'!$A$2:$A$501,P389,'Set Aliases'!$B$2:$B$501,"?*")&gt;0,999,388)))</f>
        <v>999</v>
      </c>
    </row>
    <row r="390" ht="15.75" customHeight="1">
      <c r="A390" s="2"/>
      <c r="B390" s="2"/>
      <c r="C390" s="2"/>
      <c r="D390" s="2"/>
      <c r="E390" s="2"/>
      <c r="F390" s="2"/>
      <c r="G390" s="2"/>
      <c r="H390" s="2"/>
      <c r="I390" s="2"/>
      <c r="J390" s="2"/>
      <c r="K390" s="2"/>
      <c r="P390" s="80" t="str">
        <f>'Binder Setup'!B390&amp;""</f>
        <v/>
      </c>
      <c r="Q390" s="80">
        <f>IF(P390="",999,IF('Binder Setup'!C390=TRUE(),999,IF(COUNTIFS('Set Aliases'!$A$2:$A$501,P390,'Set Aliases'!$B$2:$B$501,"?*")&gt;0,999,389)))</f>
        <v>999</v>
      </c>
    </row>
    <row r="391" ht="15.75" customHeight="1">
      <c r="A391" s="2"/>
      <c r="B391" s="2"/>
      <c r="C391" s="2"/>
      <c r="D391" s="2"/>
      <c r="E391" s="2"/>
      <c r="F391" s="2"/>
      <c r="G391" s="2"/>
      <c r="H391" s="2"/>
      <c r="I391" s="2"/>
      <c r="J391" s="2"/>
      <c r="K391" s="2"/>
      <c r="P391" s="80" t="str">
        <f>'Binder Setup'!B391&amp;""</f>
        <v/>
      </c>
      <c r="Q391" s="80">
        <f>IF(P391="",999,IF('Binder Setup'!C391=TRUE(),999,IF(COUNTIFS('Set Aliases'!$A$2:$A$501,P391,'Set Aliases'!$B$2:$B$501,"?*")&gt;0,999,390)))</f>
        <v>999</v>
      </c>
    </row>
    <row r="392" ht="15.75" customHeight="1">
      <c r="A392" s="2"/>
      <c r="B392" s="2"/>
      <c r="C392" s="2"/>
      <c r="D392" s="2"/>
      <c r="E392" s="2"/>
      <c r="F392" s="2"/>
      <c r="G392" s="2"/>
      <c r="H392" s="2"/>
      <c r="I392" s="2"/>
      <c r="J392" s="2"/>
      <c r="K392" s="2"/>
      <c r="P392" s="80" t="str">
        <f>'Binder Setup'!B392&amp;""</f>
        <v/>
      </c>
      <c r="Q392" s="80">
        <f>IF(P392="",999,IF('Binder Setup'!C392=TRUE(),999,IF(COUNTIFS('Set Aliases'!$A$2:$A$501,P392,'Set Aliases'!$B$2:$B$501,"?*")&gt;0,999,391)))</f>
        <v>999</v>
      </c>
    </row>
    <row r="393" ht="15.75" customHeight="1">
      <c r="A393" s="2"/>
      <c r="B393" s="2"/>
      <c r="C393" s="2"/>
      <c r="D393" s="2"/>
      <c r="E393" s="2"/>
      <c r="F393" s="2"/>
      <c r="G393" s="2"/>
      <c r="H393" s="2"/>
      <c r="I393" s="2"/>
      <c r="J393" s="2"/>
      <c r="K393" s="2"/>
      <c r="P393" s="80" t="str">
        <f>'Binder Setup'!B393&amp;""</f>
        <v/>
      </c>
      <c r="Q393" s="80">
        <f>IF(P393="",999,IF('Binder Setup'!C393=TRUE(),999,IF(COUNTIFS('Set Aliases'!$A$2:$A$501,P393,'Set Aliases'!$B$2:$B$501,"?*")&gt;0,999,392)))</f>
        <v>999</v>
      </c>
    </row>
    <row r="394" ht="15.75" customHeight="1">
      <c r="A394" s="2"/>
      <c r="B394" s="2"/>
      <c r="C394" s="2"/>
      <c r="D394" s="2"/>
      <c r="E394" s="2"/>
      <c r="F394" s="2"/>
      <c r="G394" s="2"/>
      <c r="H394" s="2"/>
      <c r="I394" s="2"/>
      <c r="J394" s="2"/>
      <c r="K394" s="2"/>
      <c r="P394" s="80" t="str">
        <f>'Binder Setup'!B394&amp;""</f>
        <v/>
      </c>
      <c r="Q394" s="80">
        <f>IF(P394="",999,IF('Binder Setup'!C394=TRUE(),999,IF(COUNTIFS('Set Aliases'!$A$2:$A$501,P394,'Set Aliases'!$B$2:$B$501,"?*")&gt;0,999,393)))</f>
        <v>999</v>
      </c>
    </row>
    <row r="395" ht="15.75" customHeight="1">
      <c r="A395" s="2"/>
      <c r="B395" s="2"/>
      <c r="C395" s="2"/>
      <c r="D395" s="2"/>
      <c r="E395" s="2"/>
      <c r="F395" s="2"/>
      <c r="G395" s="2"/>
      <c r="H395" s="2"/>
      <c r="I395" s="2"/>
      <c r="J395" s="2"/>
      <c r="K395" s="2"/>
      <c r="P395" s="80" t="str">
        <f>'Binder Setup'!B395&amp;""</f>
        <v/>
      </c>
      <c r="Q395" s="80">
        <f>IF(P395="",999,IF('Binder Setup'!C395=TRUE(),999,IF(COUNTIFS('Set Aliases'!$A$2:$A$501,P395,'Set Aliases'!$B$2:$B$501,"?*")&gt;0,999,394)))</f>
        <v>999</v>
      </c>
    </row>
    <row r="396" ht="15.75" customHeight="1">
      <c r="A396" s="2"/>
      <c r="B396" s="2"/>
      <c r="C396" s="2"/>
      <c r="D396" s="2"/>
      <c r="E396" s="2"/>
      <c r="F396" s="2"/>
      <c r="G396" s="2"/>
      <c r="H396" s="2"/>
      <c r="I396" s="2"/>
      <c r="J396" s="2"/>
      <c r="K396" s="2"/>
      <c r="P396" s="80" t="str">
        <f>'Binder Setup'!B396&amp;""</f>
        <v/>
      </c>
      <c r="Q396" s="80">
        <f>IF(P396="",999,IF('Binder Setup'!C396=TRUE(),999,IF(COUNTIFS('Set Aliases'!$A$2:$A$501,P396,'Set Aliases'!$B$2:$B$501,"?*")&gt;0,999,395)))</f>
        <v>999</v>
      </c>
    </row>
    <row r="397" ht="15.75" customHeight="1">
      <c r="A397" s="2"/>
      <c r="B397" s="2"/>
      <c r="C397" s="2"/>
      <c r="D397" s="2"/>
      <c r="E397" s="2"/>
      <c r="F397" s="2"/>
      <c r="G397" s="2"/>
      <c r="H397" s="2"/>
      <c r="I397" s="2"/>
      <c r="J397" s="2"/>
      <c r="K397" s="2"/>
      <c r="P397" s="80" t="str">
        <f>'Binder Setup'!B397&amp;""</f>
        <v/>
      </c>
      <c r="Q397" s="80">
        <f>IF(P397="",999,IF('Binder Setup'!C397=TRUE(),999,IF(COUNTIFS('Set Aliases'!$A$2:$A$501,P397,'Set Aliases'!$B$2:$B$501,"?*")&gt;0,999,396)))</f>
        <v>999</v>
      </c>
    </row>
    <row r="398" ht="15.75" customHeight="1">
      <c r="A398" s="2"/>
      <c r="B398" s="2"/>
      <c r="C398" s="2"/>
      <c r="D398" s="2"/>
      <c r="E398" s="2"/>
      <c r="F398" s="2"/>
      <c r="G398" s="2"/>
      <c r="H398" s="2"/>
      <c r="I398" s="2"/>
      <c r="J398" s="2"/>
      <c r="K398" s="2"/>
      <c r="P398" s="80" t="str">
        <f>'Binder Setup'!B398&amp;""</f>
        <v/>
      </c>
      <c r="Q398" s="80">
        <f>IF(P398="",999,IF('Binder Setup'!C398=TRUE(),999,IF(COUNTIFS('Set Aliases'!$A$2:$A$501,P398,'Set Aliases'!$B$2:$B$501,"?*")&gt;0,999,397)))</f>
        <v>999</v>
      </c>
    </row>
    <row r="399" ht="15.75" customHeight="1">
      <c r="A399" s="2"/>
      <c r="B399" s="2"/>
      <c r="C399" s="2"/>
      <c r="D399" s="2"/>
      <c r="E399" s="2"/>
      <c r="F399" s="2"/>
      <c r="G399" s="2"/>
      <c r="H399" s="2"/>
      <c r="I399" s="2"/>
      <c r="J399" s="2"/>
      <c r="K399" s="2"/>
      <c r="P399" s="80" t="str">
        <f>'Binder Setup'!B399&amp;""</f>
        <v/>
      </c>
      <c r="Q399" s="80">
        <f>IF(P399="",999,IF('Binder Setup'!C399=TRUE(),999,IF(COUNTIFS('Set Aliases'!$A$2:$A$501,P399,'Set Aliases'!$B$2:$B$501,"?*")&gt;0,999,398)))</f>
        <v>999</v>
      </c>
    </row>
    <row r="400" ht="15.75" customHeight="1">
      <c r="A400" s="2"/>
      <c r="B400" s="2"/>
      <c r="C400" s="2"/>
      <c r="D400" s="2"/>
      <c r="E400" s="2"/>
      <c r="F400" s="2"/>
      <c r="G400" s="2"/>
      <c r="H400" s="2"/>
      <c r="I400" s="2"/>
      <c r="J400" s="2"/>
      <c r="K400" s="2"/>
      <c r="P400" s="80" t="str">
        <f>'Binder Setup'!B400&amp;""</f>
        <v/>
      </c>
      <c r="Q400" s="80">
        <f>IF(P400="",999,IF('Binder Setup'!C400=TRUE(),999,IF(COUNTIFS('Set Aliases'!$A$2:$A$501,P400,'Set Aliases'!$B$2:$B$501,"?*")&gt;0,999,399)))</f>
        <v>999</v>
      </c>
    </row>
    <row r="401" ht="15.75" customHeight="1">
      <c r="A401" s="2"/>
      <c r="B401" s="2"/>
      <c r="C401" s="2"/>
      <c r="D401" s="2"/>
      <c r="E401" s="2"/>
      <c r="F401" s="2"/>
      <c r="G401" s="2"/>
      <c r="H401" s="2"/>
      <c r="I401" s="2"/>
      <c r="J401" s="2"/>
      <c r="K401" s="2"/>
      <c r="P401" s="80" t="str">
        <f>'Binder Setup'!B401&amp;""</f>
        <v/>
      </c>
      <c r="Q401" s="80">
        <f>IF(P401="",999,IF('Binder Setup'!C401=TRUE(),999,IF(COUNTIFS('Set Aliases'!$A$2:$A$501,P401,'Set Aliases'!$B$2:$B$501,"?*")&gt;0,999,400)))</f>
        <v>999</v>
      </c>
    </row>
    <row r="402" ht="15.75" customHeight="1">
      <c r="A402" s="2"/>
      <c r="B402" s="2"/>
      <c r="C402" s="2"/>
      <c r="D402" s="2"/>
      <c r="E402" s="2"/>
      <c r="F402" s="2"/>
      <c r="G402" s="2"/>
      <c r="H402" s="2"/>
      <c r="I402" s="2"/>
      <c r="J402" s="2"/>
      <c r="K402" s="2"/>
      <c r="P402" s="2"/>
      <c r="Q402" s="2"/>
    </row>
    <row r="403" ht="15.75" customHeight="1">
      <c r="A403" s="2"/>
      <c r="B403" s="2"/>
      <c r="C403" s="2"/>
      <c r="D403" s="2"/>
      <c r="E403" s="2"/>
      <c r="F403" s="2"/>
      <c r="G403" s="2"/>
      <c r="H403" s="2"/>
      <c r="I403" s="2"/>
      <c r="J403" s="2"/>
      <c r="K403" s="2"/>
      <c r="P403" s="2"/>
      <c r="Q403" s="2"/>
    </row>
    <row r="404" ht="15.75" customHeight="1">
      <c r="A404" s="2"/>
      <c r="B404" s="2"/>
      <c r="C404" s="2"/>
      <c r="D404" s="2"/>
      <c r="E404" s="2"/>
      <c r="F404" s="2"/>
      <c r="G404" s="2"/>
      <c r="H404" s="2"/>
      <c r="I404" s="2"/>
      <c r="J404" s="2"/>
      <c r="K404" s="2"/>
      <c r="P404" s="2"/>
      <c r="Q404" s="2"/>
    </row>
    <row r="405" ht="15.75" customHeight="1">
      <c r="A405" s="2"/>
      <c r="B405" s="2"/>
      <c r="C405" s="2"/>
      <c r="D405" s="2"/>
      <c r="E405" s="2"/>
      <c r="F405" s="2"/>
      <c r="G405" s="2"/>
      <c r="H405" s="2"/>
      <c r="I405" s="2"/>
      <c r="J405" s="2"/>
      <c r="K405" s="2"/>
      <c r="P405" s="2"/>
      <c r="Q405" s="2"/>
    </row>
    <row r="406" ht="15.75" customHeight="1">
      <c r="A406" s="2"/>
      <c r="B406" s="2"/>
      <c r="C406" s="2"/>
      <c r="D406" s="2"/>
      <c r="E406" s="2"/>
      <c r="F406" s="2"/>
      <c r="G406" s="2"/>
      <c r="H406" s="2"/>
      <c r="I406" s="2"/>
      <c r="J406" s="2"/>
      <c r="K406" s="2"/>
      <c r="P406" s="2"/>
      <c r="Q406" s="2"/>
    </row>
    <row r="407" ht="15.75" customHeight="1">
      <c r="A407" s="2"/>
      <c r="B407" s="2"/>
      <c r="C407" s="2"/>
      <c r="D407" s="2"/>
      <c r="E407" s="2"/>
      <c r="F407" s="2"/>
      <c r="G407" s="2"/>
      <c r="H407" s="2"/>
      <c r="I407" s="2"/>
      <c r="J407" s="2"/>
      <c r="K407" s="2"/>
      <c r="P407" s="2"/>
      <c r="Q407" s="2"/>
    </row>
    <row r="408" ht="15.75" customHeight="1">
      <c r="A408" s="2"/>
      <c r="B408" s="2"/>
      <c r="C408" s="2"/>
      <c r="D408" s="2"/>
      <c r="E408" s="2"/>
      <c r="F408" s="2"/>
      <c r="G408" s="2"/>
      <c r="H408" s="2"/>
      <c r="I408" s="2"/>
      <c r="J408" s="2"/>
      <c r="K408" s="2"/>
      <c r="P408" s="2"/>
      <c r="Q408" s="2"/>
    </row>
    <row r="409" ht="15.75" customHeight="1">
      <c r="A409" s="2"/>
      <c r="B409" s="2"/>
      <c r="C409" s="2"/>
      <c r="D409" s="2"/>
      <c r="E409" s="2"/>
      <c r="F409" s="2"/>
      <c r="G409" s="2"/>
      <c r="H409" s="2"/>
      <c r="I409" s="2"/>
      <c r="J409" s="2"/>
      <c r="K409" s="2"/>
      <c r="P409" s="2"/>
      <c r="Q409" s="2"/>
    </row>
    <row r="410" ht="15.75" customHeight="1">
      <c r="A410" s="2"/>
      <c r="B410" s="2"/>
      <c r="C410" s="2"/>
      <c r="D410" s="2"/>
      <c r="E410" s="2"/>
      <c r="F410" s="2"/>
      <c r="G410" s="2"/>
      <c r="H410" s="2"/>
      <c r="I410" s="2"/>
      <c r="J410" s="2"/>
      <c r="K410" s="2"/>
      <c r="P410" s="2"/>
      <c r="Q410" s="2"/>
    </row>
    <row r="411" ht="15.75" customHeight="1">
      <c r="A411" s="2"/>
      <c r="B411" s="2"/>
      <c r="C411" s="2"/>
      <c r="D411" s="2"/>
      <c r="E411" s="2"/>
      <c r="F411" s="2"/>
      <c r="G411" s="2"/>
      <c r="H411" s="2"/>
      <c r="I411" s="2"/>
      <c r="J411" s="2"/>
      <c r="K411" s="2"/>
      <c r="P411" s="2"/>
      <c r="Q411" s="2"/>
    </row>
    <row r="412" ht="15.75" customHeight="1">
      <c r="A412" s="2"/>
      <c r="B412" s="2"/>
      <c r="C412" s="2"/>
      <c r="D412" s="2"/>
      <c r="E412" s="2"/>
      <c r="F412" s="2"/>
      <c r="G412" s="2"/>
      <c r="H412" s="2"/>
      <c r="I412" s="2"/>
      <c r="J412" s="2"/>
      <c r="K412" s="2"/>
      <c r="P412" s="2"/>
      <c r="Q412" s="2"/>
    </row>
    <row r="413" ht="15.75" customHeight="1">
      <c r="A413" s="2"/>
      <c r="B413" s="2"/>
      <c r="C413" s="2"/>
      <c r="D413" s="2"/>
      <c r="E413" s="2"/>
      <c r="F413" s="2"/>
      <c r="G413" s="2"/>
      <c r="H413" s="2"/>
      <c r="I413" s="2"/>
      <c r="J413" s="2"/>
      <c r="K413" s="2"/>
      <c r="P413" s="2"/>
      <c r="Q413" s="2"/>
    </row>
    <row r="414" ht="15.75" customHeight="1">
      <c r="A414" s="2"/>
      <c r="B414" s="2"/>
      <c r="C414" s="2"/>
      <c r="D414" s="2"/>
      <c r="E414" s="2"/>
      <c r="F414" s="2"/>
      <c r="G414" s="2"/>
      <c r="H414" s="2"/>
      <c r="I414" s="2"/>
      <c r="J414" s="2"/>
      <c r="K414" s="2"/>
      <c r="P414" s="2"/>
      <c r="Q414" s="2"/>
    </row>
    <row r="415" ht="15.75" customHeight="1">
      <c r="A415" s="2"/>
      <c r="B415" s="2"/>
      <c r="C415" s="2"/>
      <c r="D415" s="2"/>
      <c r="E415" s="2"/>
      <c r="F415" s="2"/>
      <c r="G415" s="2"/>
      <c r="H415" s="2"/>
      <c r="I415" s="2"/>
      <c r="J415" s="2"/>
      <c r="K415" s="2"/>
      <c r="P415" s="2"/>
      <c r="Q415" s="2"/>
    </row>
    <row r="416" ht="15.75" customHeight="1">
      <c r="A416" s="2"/>
      <c r="B416" s="2"/>
      <c r="C416" s="2"/>
      <c r="D416" s="2"/>
      <c r="E416" s="2"/>
      <c r="F416" s="2"/>
      <c r="G416" s="2"/>
      <c r="H416" s="2"/>
      <c r="I416" s="2"/>
      <c r="J416" s="2"/>
      <c r="K416" s="2"/>
      <c r="P416" s="2"/>
      <c r="Q416" s="2"/>
    </row>
    <row r="417" ht="15.75" customHeight="1">
      <c r="A417" s="2"/>
      <c r="B417" s="2"/>
      <c r="C417" s="2"/>
      <c r="D417" s="2"/>
      <c r="E417" s="2"/>
      <c r="F417" s="2"/>
      <c r="G417" s="2"/>
      <c r="H417" s="2"/>
      <c r="I417" s="2"/>
      <c r="J417" s="2"/>
      <c r="K417" s="2"/>
      <c r="P417" s="2"/>
      <c r="Q417" s="2"/>
    </row>
    <row r="418" ht="15.75" customHeight="1">
      <c r="A418" s="2"/>
      <c r="B418" s="2"/>
      <c r="C418" s="2"/>
      <c r="D418" s="2"/>
      <c r="E418" s="2"/>
      <c r="F418" s="2"/>
      <c r="G418" s="2"/>
      <c r="H418" s="2"/>
      <c r="I418" s="2"/>
      <c r="J418" s="2"/>
      <c r="K418" s="2"/>
      <c r="P418" s="2"/>
      <c r="Q418" s="2"/>
    </row>
    <row r="419" ht="15.75" customHeight="1">
      <c r="A419" s="2"/>
      <c r="B419" s="2"/>
      <c r="C419" s="2"/>
      <c r="D419" s="2"/>
      <c r="E419" s="2"/>
      <c r="F419" s="2"/>
      <c r="G419" s="2"/>
      <c r="H419" s="2"/>
      <c r="I419" s="2"/>
      <c r="J419" s="2"/>
      <c r="K419" s="2"/>
      <c r="P419" s="2"/>
      <c r="Q419" s="2"/>
    </row>
    <row r="420" ht="15.75" customHeight="1">
      <c r="A420" s="2"/>
      <c r="B420" s="2"/>
      <c r="C420" s="2"/>
      <c r="D420" s="2"/>
      <c r="E420" s="2"/>
      <c r="F420" s="2"/>
      <c r="G420" s="2"/>
      <c r="H420" s="2"/>
      <c r="I420" s="2"/>
      <c r="J420" s="2"/>
      <c r="K420" s="2"/>
      <c r="P420" s="2"/>
      <c r="Q420" s="2"/>
    </row>
    <row r="421" ht="15.75" customHeight="1">
      <c r="A421" s="2"/>
      <c r="B421" s="2"/>
      <c r="C421" s="2"/>
      <c r="D421" s="2"/>
      <c r="E421" s="2"/>
      <c r="F421" s="2"/>
      <c r="G421" s="2"/>
      <c r="H421" s="2"/>
      <c r="I421" s="2"/>
      <c r="J421" s="2"/>
      <c r="K421" s="2"/>
      <c r="P421" s="2"/>
      <c r="Q421" s="2"/>
    </row>
    <row r="422" ht="15.75" customHeight="1">
      <c r="A422" s="2"/>
      <c r="B422" s="2"/>
      <c r="C422" s="2"/>
      <c r="D422" s="2"/>
      <c r="E422" s="2"/>
      <c r="F422" s="2"/>
      <c r="G422" s="2"/>
      <c r="H422" s="2"/>
      <c r="I422" s="2"/>
      <c r="J422" s="2"/>
      <c r="K422" s="2"/>
      <c r="P422" s="2"/>
      <c r="Q422" s="2"/>
    </row>
    <row r="423" ht="15.75" customHeight="1">
      <c r="A423" s="2"/>
      <c r="B423" s="2"/>
      <c r="C423" s="2"/>
      <c r="D423" s="2"/>
      <c r="E423" s="2"/>
      <c r="F423" s="2"/>
      <c r="G423" s="2"/>
      <c r="H423" s="2"/>
      <c r="I423" s="2"/>
      <c r="J423" s="2"/>
      <c r="K423" s="2"/>
      <c r="P423" s="2"/>
      <c r="Q423" s="2"/>
    </row>
    <row r="424" ht="15.75" customHeight="1">
      <c r="A424" s="2"/>
      <c r="B424" s="2"/>
      <c r="C424" s="2"/>
      <c r="D424" s="2"/>
      <c r="E424" s="2"/>
      <c r="F424" s="2"/>
      <c r="G424" s="2"/>
      <c r="H424" s="2"/>
      <c r="I424" s="2"/>
      <c r="J424" s="2"/>
      <c r="K424" s="2"/>
      <c r="P424" s="2"/>
      <c r="Q424" s="2"/>
    </row>
    <row r="425" ht="15.75" customHeight="1">
      <c r="A425" s="2"/>
      <c r="B425" s="2"/>
      <c r="C425" s="2"/>
      <c r="D425" s="2"/>
      <c r="E425" s="2"/>
      <c r="F425" s="2"/>
      <c r="G425" s="2"/>
      <c r="H425" s="2"/>
      <c r="I425" s="2"/>
      <c r="J425" s="2"/>
      <c r="K425" s="2"/>
      <c r="P425" s="2"/>
      <c r="Q425" s="2"/>
    </row>
    <row r="426" ht="15.75" customHeight="1">
      <c r="A426" s="2"/>
      <c r="B426" s="2"/>
      <c r="C426" s="2"/>
      <c r="D426" s="2"/>
      <c r="E426" s="2"/>
      <c r="F426" s="2"/>
      <c r="G426" s="2"/>
      <c r="H426" s="2"/>
      <c r="I426" s="2"/>
      <c r="J426" s="2"/>
      <c r="K426" s="2"/>
      <c r="P426" s="2"/>
      <c r="Q426" s="2"/>
    </row>
    <row r="427" ht="15.75" customHeight="1">
      <c r="A427" s="2"/>
      <c r="B427" s="2"/>
      <c r="C427" s="2"/>
      <c r="D427" s="2"/>
      <c r="E427" s="2"/>
      <c r="F427" s="2"/>
      <c r="G427" s="2"/>
      <c r="H427" s="2"/>
      <c r="I427" s="2"/>
      <c r="J427" s="2"/>
      <c r="K427" s="2"/>
      <c r="P427" s="2"/>
      <c r="Q427" s="2"/>
    </row>
    <row r="428" ht="15.75" customHeight="1">
      <c r="A428" s="2"/>
      <c r="B428" s="2"/>
      <c r="C428" s="2"/>
      <c r="D428" s="2"/>
      <c r="E428" s="2"/>
      <c r="F428" s="2"/>
      <c r="G428" s="2"/>
      <c r="H428" s="2"/>
      <c r="I428" s="2"/>
      <c r="J428" s="2"/>
      <c r="K428" s="2"/>
      <c r="P428" s="2"/>
      <c r="Q428" s="2"/>
    </row>
    <row r="429" ht="15.75" customHeight="1">
      <c r="A429" s="2"/>
      <c r="B429" s="2"/>
      <c r="C429" s="2"/>
      <c r="D429" s="2"/>
      <c r="E429" s="2"/>
      <c r="F429" s="2"/>
      <c r="G429" s="2"/>
      <c r="H429" s="2"/>
      <c r="I429" s="2"/>
      <c r="J429" s="2"/>
      <c r="K429" s="2"/>
      <c r="P429" s="2"/>
      <c r="Q429" s="2"/>
    </row>
    <row r="430" ht="15.75" customHeight="1">
      <c r="A430" s="2"/>
      <c r="B430" s="2"/>
      <c r="C430" s="2"/>
      <c r="D430" s="2"/>
      <c r="E430" s="2"/>
      <c r="F430" s="2"/>
      <c r="G430" s="2"/>
      <c r="H430" s="2"/>
      <c r="I430" s="2"/>
      <c r="J430" s="2"/>
      <c r="K430" s="2"/>
      <c r="P430" s="2"/>
      <c r="Q430" s="2"/>
    </row>
    <row r="431" ht="15.75" customHeight="1">
      <c r="A431" s="2"/>
      <c r="B431" s="2"/>
      <c r="C431" s="2"/>
      <c r="D431" s="2"/>
      <c r="E431" s="2"/>
      <c r="F431" s="2"/>
      <c r="G431" s="2"/>
      <c r="H431" s="2"/>
      <c r="I431" s="2"/>
      <c r="J431" s="2"/>
      <c r="K431" s="2"/>
      <c r="P431" s="2"/>
      <c r="Q431" s="2"/>
    </row>
    <row r="432" ht="15.75" customHeight="1">
      <c r="A432" s="2"/>
      <c r="B432" s="2"/>
      <c r="C432" s="2"/>
      <c r="D432" s="2"/>
      <c r="E432" s="2"/>
      <c r="F432" s="2"/>
      <c r="G432" s="2"/>
      <c r="H432" s="2"/>
      <c r="I432" s="2"/>
      <c r="J432" s="2"/>
      <c r="K432" s="2"/>
      <c r="P432" s="2"/>
      <c r="Q432" s="2"/>
    </row>
    <row r="433" ht="15.75" customHeight="1">
      <c r="A433" s="2"/>
      <c r="B433" s="2"/>
      <c r="C433" s="2"/>
      <c r="D433" s="2"/>
      <c r="E433" s="2"/>
      <c r="F433" s="2"/>
      <c r="G433" s="2"/>
      <c r="H433" s="2"/>
      <c r="I433" s="2"/>
      <c r="J433" s="2"/>
      <c r="K433" s="2"/>
      <c r="P433" s="2"/>
      <c r="Q433" s="2"/>
    </row>
    <row r="434" ht="15.75" customHeight="1">
      <c r="A434" s="2"/>
      <c r="B434" s="2"/>
      <c r="C434" s="2"/>
      <c r="D434" s="2"/>
      <c r="E434" s="2"/>
      <c r="F434" s="2"/>
      <c r="G434" s="2"/>
      <c r="H434" s="2"/>
      <c r="I434" s="2"/>
      <c r="J434" s="2"/>
      <c r="K434" s="2"/>
      <c r="P434" s="2"/>
      <c r="Q434" s="2"/>
    </row>
    <row r="435" ht="15.75" customHeight="1">
      <c r="A435" s="2"/>
      <c r="B435" s="2"/>
      <c r="C435" s="2"/>
      <c r="D435" s="2"/>
      <c r="E435" s="2"/>
      <c r="F435" s="2"/>
      <c r="G435" s="2"/>
      <c r="H435" s="2"/>
      <c r="I435" s="2"/>
      <c r="J435" s="2"/>
      <c r="K435" s="2"/>
      <c r="P435" s="2"/>
      <c r="Q435" s="2"/>
    </row>
    <row r="436" ht="15.75" customHeight="1">
      <c r="A436" s="2"/>
      <c r="B436" s="2"/>
      <c r="C436" s="2"/>
      <c r="D436" s="2"/>
      <c r="E436" s="2"/>
      <c r="F436" s="2"/>
      <c r="G436" s="2"/>
      <c r="H436" s="2"/>
      <c r="I436" s="2"/>
      <c r="J436" s="2"/>
      <c r="K436" s="2"/>
      <c r="P436" s="2"/>
      <c r="Q436" s="2"/>
    </row>
    <row r="437" ht="15.75" customHeight="1">
      <c r="A437" s="2"/>
      <c r="B437" s="2"/>
      <c r="C437" s="2"/>
      <c r="D437" s="2"/>
      <c r="E437" s="2"/>
      <c r="F437" s="2"/>
      <c r="G437" s="2"/>
      <c r="H437" s="2"/>
      <c r="I437" s="2"/>
      <c r="J437" s="2"/>
      <c r="K437" s="2"/>
      <c r="P437" s="2"/>
      <c r="Q437" s="2"/>
    </row>
    <row r="438" ht="15.75" customHeight="1">
      <c r="A438" s="2"/>
      <c r="B438" s="2"/>
      <c r="C438" s="2"/>
      <c r="D438" s="2"/>
      <c r="E438" s="2"/>
      <c r="F438" s="2"/>
      <c r="G438" s="2"/>
      <c r="H438" s="2"/>
      <c r="I438" s="2"/>
      <c r="J438" s="2"/>
      <c r="K438" s="2"/>
      <c r="P438" s="2"/>
      <c r="Q438" s="2"/>
    </row>
    <row r="439" ht="15.75" customHeight="1">
      <c r="A439" s="2"/>
      <c r="B439" s="2"/>
      <c r="C439" s="2"/>
      <c r="D439" s="2"/>
      <c r="E439" s="2"/>
      <c r="F439" s="2"/>
      <c r="G439" s="2"/>
      <c r="H439" s="2"/>
      <c r="I439" s="2"/>
      <c r="J439" s="2"/>
      <c r="K439" s="2"/>
      <c r="P439" s="2"/>
      <c r="Q439" s="2"/>
    </row>
    <row r="440" ht="15.75" customHeight="1">
      <c r="A440" s="2"/>
      <c r="B440" s="2"/>
      <c r="C440" s="2"/>
      <c r="D440" s="2"/>
      <c r="E440" s="2"/>
      <c r="F440" s="2"/>
      <c r="G440" s="2"/>
      <c r="H440" s="2"/>
      <c r="I440" s="2"/>
      <c r="J440" s="2"/>
      <c r="K440" s="2"/>
      <c r="P440" s="2"/>
      <c r="Q440" s="2"/>
    </row>
    <row r="441" ht="15.75" customHeight="1">
      <c r="A441" s="2"/>
      <c r="B441" s="2"/>
      <c r="C441" s="2"/>
      <c r="D441" s="2"/>
      <c r="E441" s="2"/>
      <c r="F441" s="2"/>
      <c r="G441" s="2"/>
      <c r="H441" s="2"/>
      <c r="I441" s="2"/>
      <c r="J441" s="2"/>
      <c r="K441" s="2"/>
      <c r="P441" s="2"/>
      <c r="Q441" s="2"/>
    </row>
    <row r="442" ht="15.75" customHeight="1">
      <c r="A442" s="2"/>
      <c r="B442" s="2"/>
      <c r="C442" s="2"/>
      <c r="D442" s="2"/>
      <c r="E442" s="2"/>
      <c r="F442" s="2"/>
      <c r="G442" s="2"/>
      <c r="H442" s="2"/>
      <c r="I442" s="2"/>
      <c r="J442" s="2"/>
      <c r="K442" s="2"/>
      <c r="P442" s="2"/>
      <c r="Q442" s="2"/>
    </row>
    <row r="443" ht="15.75" customHeight="1">
      <c r="A443" s="2"/>
      <c r="B443" s="2"/>
      <c r="C443" s="2"/>
      <c r="D443" s="2"/>
      <c r="E443" s="2"/>
      <c r="F443" s="2"/>
      <c r="G443" s="2"/>
      <c r="H443" s="2"/>
      <c r="I443" s="2"/>
      <c r="J443" s="2"/>
      <c r="K443" s="2"/>
      <c r="P443" s="2"/>
      <c r="Q443" s="2"/>
    </row>
    <row r="444" ht="15.75" customHeight="1">
      <c r="A444" s="2"/>
      <c r="B444" s="2"/>
      <c r="C444" s="2"/>
      <c r="D444" s="2"/>
      <c r="E444" s="2"/>
      <c r="F444" s="2"/>
      <c r="G444" s="2"/>
      <c r="H444" s="2"/>
      <c r="I444" s="2"/>
      <c r="J444" s="2"/>
      <c r="K444" s="2"/>
      <c r="P444" s="2"/>
      <c r="Q444" s="2"/>
    </row>
    <row r="445" ht="15.75" customHeight="1">
      <c r="A445" s="2"/>
      <c r="B445" s="2"/>
      <c r="C445" s="2"/>
      <c r="D445" s="2"/>
      <c r="E445" s="2"/>
      <c r="F445" s="2"/>
      <c r="G445" s="2"/>
      <c r="H445" s="2"/>
      <c r="I445" s="2"/>
      <c r="J445" s="2"/>
      <c r="K445" s="2"/>
      <c r="P445" s="2"/>
      <c r="Q445" s="2"/>
    </row>
    <row r="446" ht="15.75" customHeight="1">
      <c r="A446" s="2"/>
      <c r="B446" s="2"/>
      <c r="C446" s="2"/>
      <c r="D446" s="2"/>
      <c r="E446" s="2"/>
      <c r="F446" s="2"/>
      <c r="G446" s="2"/>
      <c r="H446" s="2"/>
      <c r="I446" s="2"/>
      <c r="J446" s="2"/>
      <c r="K446" s="2"/>
      <c r="P446" s="2"/>
      <c r="Q446" s="2"/>
    </row>
    <row r="447" ht="15.75" customHeight="1">
      <c r="A447" s="2"/>
      <c r="B447" s="2"/>
      <c r="C447" s="2"/>
      <c r="D447" s="2"/>
      <c r="E447" s="2"/>
      <c r="F447" s="2"/>
      <c r="G447" s="2"/>
      <c r="H447" s="2"/>
      <c r="I447" s="2"/>
      <c r="J447" s="2"/>
      <c r="K447" s="2"/>
      <c r="P447" s="2"/>
      <c r="Q447" s="2"/>
    </row>
    <row r="448" ht="15.75" customHeight="1">
      <c r="A448" s="2"/>
      <c r="B448" s="2"/>
      <c r="C448" s="2"/>
      <c r="D448" s="2"/>
      <c r="E448" s="2"/>
      <c r="F448" s="2"/>
      <c r="G448" s="2"/>
      <c r="H448" s="2"/>
      <c r="I448" s="2"/>
      <c r="J448" s="2"/>
      <c r="K448" s="2"/>
      <c r="P448" s="2"/>
      <c r="Q448" s="2"/>
    </row>
    <row r="449" ht="15.75" customHeight="1">
      <c r="A449" s="2"/>
      <c r="B449" s="2"/>
      <c r="C449" s="2"/>
      <c r="D449" s="2"/>
      <c r="E449" s="2"/>
      <c r="F449" s="2"/>
      <c r="G449" s="2"/>
      <c r="H449" s="2"/>
      <c r="I449" s="2"/>
      <c r="J449" s="2"/>
      <c r="K449" s="2"/>
      <c r="P449" s="2"/>
      <c r="Q449" s="2"/>
    </row>
    <row r="450" ht="15.75" customHeight="1">
      <c r="A450" s="2"/>
      <c r="B450" s="2"/>
      <c r="C450" s="2"/>
      <c r="D450" s="2"/>
      <c r="E450" s="2"/>
      <c r="F450" s="2"/>
      <c r="G450" s="2"/>
      <c r="H450" s="2"/>
      <c r="I450" s="2"/>
      <c r="J450" s="2"/>
      <c r="K450" s="2"/>
      <c r="P450" s="2"/>
      <c r="Q450" s="2"/>
    </row>
    <row r="451" ht="15.75" customHeight="1">
      <c r="A451" s="2"/>
      <c r="B451" s="2"/>
      <c r="C451" s="2"/>
      <c r="D451" s="2"/>
      <c r="E451" s="2"/>
      <c r="F451" s="2"/>
      <c r="G451" s="2"/>
      <c r="H451" s="2"/>
      <c r="I451" s="2"/>
      <c r="J451" s="2"/>
      <c r="K451" s="2"/>
      <c r="P451" s="2"/>
      <c r="Q451" s="2"/>
    </row>
    <row r="452" ht="15.75" customHeight="1">
      <c r="A452" s="2"/>
      <c r="B452" s="2"/>
      <c r="C452" s="2"/>
      <c r="D452" s="2"/>
      <c r="E452" s="2"/>
      <c r="F452" s="2"/>
      <c r="G452" s="2"/>
      <c r="H452" s="2"/>
      <c r="I452" s="2"/>
      <c r="J452" s="2"/>
      <c r="K452" s="2"/>
      <c r="P452" s="2"/>
      <c r="Q452" s="2"/>
    </row>
    <row r="453" ht="15.75" customHeight="1">
      <c r="A453" s="2"/>
      <c r="B453" s="2"/>
      <c r="C453" s="2"/>
      <c r="D453" s="2"/>
      <c r="E453" s="2"/>
      <c r="F453" s="2"/>
      <c r="G453" s="2"/>
      <c r="H453" s="2"/>
      <c r="I453" s="2"/>
      <c r="J453" s="2"/>
      <c r="K453" s="2"/>
      <c r="P453" s="2"/>
      <c r="Q453" s="2"/>
    </row>
    <row r="454" ht="15.75" customHeight="1">
      <c r="A454" s="2"/>
      <c r="B454" s="2"/>
      <c r="C454" s="2"/>
      <c r="D454" s="2"/>
      <c r="E454" s="2"/>
      <c r="F454" s="2"/>
      <c r="G454" s="2"/>
      <c r="H454" s="2"/>
      <c r="I454" s="2"/>
      <c r="J454" s="2"/>
      <c r="K454" s="2"/>
      <c r="P454" s="2"/>
      <c r="Q454" s="2"/>
    </row>
    <row r="455" ht="15.75" customHeight="1">
      <c r="A455" s="2"/>
      <c r="B455" s="2"/>
      <c r="C455" s="2"/>
      <c r="D455" s="2"/>
      <c r="E455" s="2"/>
      <c r="F455" s="2"/>
      <c r="G455" s="2"/>
      <c r="H455" s="2"/>
      <c r="I455" s="2"/>
      <c r="J455" s="2"/>
      <c r="K455" s="2"/>
      <c r="P455" s="2"/>
      <c r="Q455" s="2"/>
    </row>
    <row r="456" ht="15.75" customHeight="1">
      <c r="A456" s="2"/>
      <c r="B456" s="2"/>
      <c r="C456" s="2"/>
      <c r="D456" s="2"/>
      <c r="E456" s="2"/>
      <c r="F456" s="2"/>
      <c r="G456" s="2"/>
      <c r="H456" s="2"/>
      <c r="I456" s="2"/>
      <c r="J456" s="2"/>
      <c r="K456" s="2"/>
      <c r="P456" s="2"/>
      <c r="Q456" s="2"/>
    </row>
    <row r="457" ht="15.75" customHeight="1">
      <c r="A457" s="2"/>
      <c r="B457" s="2"/>
      <c r="C457" s="2"/>
      <c r="D457" s="2"/>
      <c r="E457" s="2"/>
      <c r="F457" s="2"/>
      <c r="G457" s="2"/>
      <c r="H457" s="2"/>
      <c r="I457" s="2"/>
      <c r="J457" s="2"/>
      <c r="K457" s="2"/>
      <c r="P457" s="2"/>
      <c r="Q457" s="2"/>
    </row>
    <row r="458" ht="15.75" customHeight="1">
      <c r="A458" s="2"/>
      <c r="B458" s="2"/>
      <c r="C458" s="2"/>
      <c r="D458" s="2"/>
      <c r="E458" s="2"/>
      <c r="F458" s="2"/>
      <c r="G458" s="2"/>
      <c r="H458" s="2"/>
      <c r="I458" s="2"/>
      <c r="J458" s="2"/>
      <c r="K458" s="2"/>
      <c r="P458" s="2"/>
      <c r="Q458" s="2"/>
    </row>
    <row r="459" ht="15.75" customHeight="1">
      <c r="A459" s="2"/>
      <c r="B459" s="2"/>
      <c r="C459" s="2"/>
      <c r="D459" s="2"/>
      <c r="E459" s="2"/>
      <c r="F459" s="2"/>
      <c r="G459" s="2"/>
      <c r="H459" s="2"/>
      <c r="I459" s="2"/>
      <c r="J459" s="2"/>
      <c r="K459" s="2"/>
      <c r="P459" s="2"/>
      <c r="Q459" s="2"/>
    </row>
    <row r="460" ht="15.75" customHeight="1">
      <c r="A460" s="2"/>
      <c r="B460" s="2"/>
      <c r="C460" s="2"/>
      <c r="D460" s="2"/>
      <c r="E460" s="2"/>
      <c r="F460" s="2"/>
      <c r="G460" s="2"/>
      <c r="H460" s="2"/>
      <c r="I460" s="2"/>
      <c r="J460" s="2"/>
      <c r="K460" s="2"/>
      <c r="P460" s="2"/>
      <c r="Q460" s="2"/>
    </row>
    <row r="461" ht="15.75" customHeight="1">
      <c r="A461" s="2"/>
      <c r="B461" s="2"/>
      <c r="C461" s="2"/>
      <c r="D461" s="2"/>
      <c r="E461" s="2"/>
      <c r="F461" s="2"/>
      <c r="G461" s="2"/>
      <c r="H461" s="2"/>
      <c r="I461" s="2"/>
      <c r="J461" s="2"/>
      <c r="K461" s="2"/>
      <c r="P461" s="2"/>
      <c r="Q461" s="2"/>
    </row>
    <row r="462" ht="15.75" customHeight="1">
      <c r="A462" s="2"/>
      <c r="B462" s="2"/>
      <c r="C462" s="2"/>
      <c r="D462" s="2"/>
      <c r="E462" s="2"/>
      <c r="F462" s="2"/>
      <c r="G462" s="2"/>
      <c r="H462" s="2"/>
      <c r="I462" s="2"/>
      <c r="J462" s="2"/>
      <c r="K462" s="2"/>
      <c r="P462" s="2"/>
      <c r="Q462" s="2"/>
    </row>
    <row r="463" ht="15.75" customHeight="1">
      <c r="A463" s="2"/>
      <c r="B463" s="2"/>
      <c r="C463" s="2"/>
      <c r="D463" s="2"/>
      <c r="E463" s="2"/>
      <c r="F463" s="2"/>
      <c r="G463" s="2"/>
      <c r="H463" s="2"/>
      <c r="I463" s="2"/>
      <c r="J463" s="2"/>
      <c r="K463" s="2"/>
      <c r="P463" s="2"/>
      <c r="Q463" s="2"/>
    </row>
    <row r="464" ht="15.75" customHeight="1">
      <c r="A464" s="2"/>
      <c r="B464" s="2"/>
      <c r="C464" s="2"/>
      <c r="D464" s="2"/>
      <c r="E464" s="2"/>
      <c r="F464" s="2"/>
      <c r="G464" s="2"/>
      <c r="H464" s="2"/>
      <c r="I464" s="2"/>
      <c r="J464" s="2"/>
      <c r="K464" s="2"/>
      <c r="P464" s="2"/>
      <c r="Q464" s="2"/>
    </row>
    <row r="465" ht="15.75" customHeight="1">
      <c r="A465" s="2"/>
      <c r="B465" s="2"/>
      <c r="C465" s="2"/>
      <c r="D465" s="2"/>
      <c r="E465" s="2"/>
      <c r="F465" s="2"/>
      <c r="G465" s="2"/>
      <c r="H465" s="2"/>
      <c r="I465" s="2"/>
      <c r="J465" s="2"/>
      <c r="K465" s="2"/>
      <c r="P465" s="2"/>
      <c r="Q465" s="2"/>
    </row>
    <row r="466" ht="15.75" customHeight="1">
      <c r="A466" s="2"/>
      <c r="B466" s="2"/>
      <c r="C466" s="2"/>
      <c r="D466" s="2"/>
      <c r="E466" s="2"/>
      <c r="F466" s="2"/>
      <c r="G466" s="2"/>
      <c r="H466" s="2"/>
      <c r="I466" s="2"/>
      <c r="J466" s="2"/>
      <c r="K466" s="2"/>
      <c r="P466" s="2"/>
      <c r="Q466" s="2"/>
    </row>
    <row r="467" ht="15.75" customHeight="1">
      <c r="A467" s="2"/>
      <c r="B467" s="2"/>
      <c r="C467" s="2"/>
      <c r="D467" s="2"/>
      <c r="E467" s="2"/>
      <c r="F467" s="2"/>
      <c r="G467" s="2"/>
      <c r="H467" s="2"/>
      <c r="I467" s="2"/>
      <c r="J467" s="2"/>
      <c r="K467" s="2"/>
      <c r="P467" s="2"/>
      <c r="Q467" s="2"/>
    </row>
    <row r="468" ht="15.75" customHeight="1">
      <c r="A468" s="2"/>
      <c r="B468" s="2"/>
      <c r="C468" s="2"/>
      <c r="D468" s="2"/>
      <c r="E468" s="2"/>
      <c r="F468" s="2"/>
      <c r="G468" s="2"/>
      <c r="H468" s="2"/>
      <c r="I468" s="2"/>
      <c r="J468" s="2"/>
      <c r="K468" s="2"/>
      <c r="P468" s="2"/>
      <c r="Q468" s="2"/>
    </row>
    <row r="469" ht="15.75" customHeight="1">
      <c r="A469" s="2"/>
      <c r="B469" s="2"/>
      <c r="C469" s="2"/>
      <c r="D469" s="2"/>
      <c r="E469" s="2"/>
      <c r="F469" s="2"/>
      <c r="G469" s="2"/>
      <c r="H469" s="2"/>
      <c r="I469" s="2"/>
      <c r="J469" s="2"/>
      <c r="K469" s="2"/>
      <c r="P469" s="2"/>
      <c r="Q469" s="2"/>
    </row>
    <row r="470" ht="15.75" customHeight="1">
      <c r="A470" s="2"/>
      <c r="B470" s="2"/>
      <c r="C470" s="2"/>
      <c r="D470" s="2"/>
      <c r="E470" s="2"/>
      <c r="F470" s="2"/>
      <c r="G470" s="2"/>
      <c r="H470" s="2"/>
      <c r="I470" s="2"/>
      <c r="J470" s="2"/>
      <c r="K470" s="2"/>
      <c r="P470" s="2"/>
      <c r="Q470" s="2"/>
    </row>
    <row r="471" ht="15.75" customHeight="1">
      <c r="A471" s="2"/>
      <c r="B471" s="2"/>
      <c r="C471" s="2"/>
      <c r="D471" s="2"/>
      <c r="E471" s="2"/>
      <c r="F471" s="2"/>
      <c r="G471" s="2"/>
      <c r="H471" s="2"/>
      <c r="I471" s="2"/>
      <c r="J471" s="2"/>
      <c r="K471" s="2"/>
      <c r="P471" s="2"/>
      <c r="Q471" s="2"/>
    </row>
    <row r="472" ht="15.75" customHeight="1">
      <c r="A472" s="2"/>
      <c r="B472" s="2"/>
      <c r="C472" s="2"/>
      <c r="D472" s="2"/>
      <c r="E472" s="2"/>
      <c r="F472" s="2"/>
      <c r="G472" s="2"/>
      <c r="H472" s="2"/>
      <c r="I472" s="2"/>
      <c r="J472" s="2"/>
      <c r="K472" s="2"/>
      <c r="P472" s="2"/>
      <c r="Q472" s="2"/>
    </row>
    <row r="473" ht="15.75" customHeight="1">
      <c r="A473" s="2"/>
      <c r="B473" s="2"/>
      <c r="C473" s="2"/>
      <c r="D473" s="2"/>
      <c r="E473" s="2"/>
      <c r="F473" s="2"/>
      <c r="G473" s="2"/>
      <c r="H473" s="2"/>
      <c r="I473" s="2"/>
      <c r="J473" s="2"/>
      <c r="K473" s="2"/>
      <c r="P473" s="2"/>
      <c r="Q473" s="2"/>
    </row>
    <row r="474" ht="15.75" customHeight="1">
      <c r="A474" s="2"/>
      <c r="B474" s="2"/>
      <c r="C474" s="2"/>
      <c r="D474" s="2"/>
      <c r="E474" s="2"/>
      <c r="F474" s="2"/>
      <c r="G474" s="2"/>
      <c r="H474" s="2"/>
      <c r="I474" s="2"/>
      <c r="J474" s="2"/>
      <c r="K474" s="2"/>
      <c r="P474" s="2"/>
      <c r="Q474" s="2"/>
    </row>
    <row r="475" ht="15.75" customHeight="1">
      <c r="A475" s="2"/>
      <c r="B475" s="2"/>
      <c r="C475" s="2"/>
      <c r="D475" s="2"/>
      <c r="E475" s="2"/>
      <c r="F475" s="2"/>
      <c r="G475" s="2"/>
      <c r="H475" s="2"/>
      <c r="I475" s="2"/>
      <c r="J475" s="2"/>
      <c r="K475" s="2"/>
      <c r="P475" s="2"/>
      <c r="Q475" s="2"/>
    </row>
    <row r="476" ht="15.75" customHeight="1">
      <c r="A476" s="2"/>
      <c r="B476" s="2"/>
      <c r="C476" s="2"/>
      <c r="D476" s="2"/>
      <c r="E476" s="2"/>
      <c r="F476" s="2"/>
      <c r="G476" s="2"/>
      <c r="H476" s="2"/>
      <c r="I476" s="2"/>
      <c r="J476" s="2"/>
      <c r="K476" s="2"/>
      <c r="P476" s="2"/>
      <c r="Q476" s="2"/>
    </row>
    <row r="477" ht="15.75" customHeight="1">
      <c r="A477" s="2"/>
      <c r="B477" s="2"/>
      <c r="C477" s="2"/>
      <c r="D477" s="2"/>
      <c r="E477" s="2"/>
      <c r="F477" s="2"/>
      <c r="G477" s="2"/>
      <c r="H477" s="2"/>
      <c r="I477" s="2"/>
      <c r="J477" s="2"/>
      <c r="K477" s="2"/>
      <c r="P477" s="2"/>
      <c r="Q477" s="2"/>
    </row>
    <row r="478" ht="15.75" customHeight="1">
      <c r="A478" s="2"/>
      <c r="B478" s="2"/>
      <c r="C478" s="2"/>
      <c r="D478" s="2"/>
      <c r="E478" s="2"/>
      <c r="F478" s="2"/>
      <c r="G478" s="2"/>
      <c r="H478" s="2"/>
      <c r="I478" s="2"/>
      <c r="J478" s="2"/>
      <c r="K478" s="2"/>
      <c r="P478" s="2"/>
      <c r="Q478" s="2"/>
    </row>
    <row r="479" ht="15.75" customHeight="1">
      <c r="A479" s="2"/>
      <c r="B479" s="2"/>
      <c r="C479" s="2"/>
      <c r="D479" s="2"/>
      <c r="E479" s="2"/>
      <c r="F479" s="2"/>
      <c r="G479" s="2"/>
      <c r="H479" s="2"/>
      <c r="I479" s="2"/>
      <c r="J479" s="2"/>
      <c r="K479" s="2"/>
      <c r="P479" s="2"/>
      <c r="Q479" s="2"/>
    </row>
    <row r="480" ht="15.75" customHeight="1">
      <c r="A480" s="2"/>
      <c r="B480" s="2"/>
      <c r="C480" s="2"/>
      <c r="D480" s="2"/>
      <c r="E480" s="2"/>
      <c r="F480" s="2"/>
      <c r="G480" s="2"/>
      <c r="H480" s="2"/>
      <c r="I480" s="2"/>
      <c r="J480" s="2"/>
      <c r="K480" s="2"/>
      <c r="P480" s="2"/>
      <c r="Q480" s="2"/>
    </row>
    <row r="481" ht="15.75" customHeight="1">
      <c r="A481" s="2"/>
      <c r="B481" s="2"/>
      <c r="C481" s="2"/>
      <c r="D481" s="2"/>
      <c r="E481" s="2"/>
      <c r="F481" s="2"/>
      <c r="G481" s="2"/>
      <c r="H481" s="2"/>
      <c r="I481" s="2"/>
      <c r="J481" s="2"/>
      <c r="K481" s="2"/>
      <c r="P481" s="2"/>
      <c r="Q481" s="2"/>
    </row>
    <row r="482" ht="15.75" customHeight="1">
      <c r="A482" s="2"/>
      <c r="B482" s="2"/>
      <c r="C482" s="2"/>
      <c r="D482" s="2"/>
      <c r="E482" s="2"/>
      <c r="F482" s="2"/>
      <c r="G482" s="2"/>
      <c r="H482" s="2"/>
      <c r="I482" s="2"/>
      <c r="J482" s="2"/>
      <c r="K482" s="2"/>
      <c r="P482" s="2"/>
      <c r="Q482" s="2"/>
    </row>
    <row r="483" ht="15.75" customHeight="1">
      <c r="A483" s="2"/>
      <c r="B483" s="2"/>
      <c r="C483" s="2"/>
      <c r="D483" s="2"/>
      <c r="E483" s="2"/>
      <c r="F483" s="2"/>
      <c r="G483" s="2"/>
      <c r="H483" s="2"/>
      <c r="I483" s="2"/>
      <c r="J483" s="2"/>
      <c r="K483" s="2"/>
      <c r="P483" s="2"/>
      <c r="Q483" s="2"/>
    </row>
    <row r="484" ht="15.75" customHeight="1">
      <c r="A484" s="2"/>
      <c r="B484" s="2"/>
      <c r="C484" s="2"/>
      <c r="D484" s="2"/>
      <c r="E484" s="2"/>
      <c r="F484" s="2"/>
      <c r="G484" s="2"/>
      <c r="H484" s="2"/>
      <c r="I484" s="2"/>
      <c r="J484" s="2"/>
      <c r="K484" s="2"/>
      <c r="P484" s="2"/>
      <c r="Q484" s="2"/>
    </row>
    <row r="485" ht="15.75" customHeight="1">
      <c r="A485" s="2"/>
      <c r="B485" s="2"/>
      <c r="C485" s="2"/>
      <c r="D485" s="2"/>
      <c r="E485" s="2"/>
      <c r="F485" s="2"/>
      <c r="G485" s="2"/>
      <c r="H485" s="2"/>
      <c r="I485" s="2"/>
      <c r="J485" s="2"/>
      <c r="K485" s="2"/>
      <c r="P485" s="2"/>
      <c r="Q485" s="2"/>
    </row>
    <row r="486" ht="15.75" customHeight="1">
      <c r="A486" s="2"/>
      <c r="B486" s="2"/>
      <c r="C486" s="2"/>
      <c r="D486" s="2"/>
      <c r="E486" s="2"/>
      <c r="F486" s="2"/>
      <c r="G486" s="2"/>
      <c r="H486" s="2"/>
      <c r="I486" s="2"/>
      <c r="J486" s="2"/>
      <c r="K486" s="2"/>
      <c r="P486" s="2"/>
      <c r="Q486" s="2"/>
    </row>
    <row r="487" ht="15.75" customHeight="1">
      <c r="A487" s="2"/>
      <c r="B487" s="2"/>
      <c r="C487" s="2"/>
      <c r="D487" s="2"/>
      <c r="E487" s="2"/>
      <c r="F487" s="2"/>
      <c r="G487" s="2"/>
      <c r="H487" s="2"/>
      <c r="I487" s="2"/>
      <c r="J487" s="2"/>
      <c r="K487" s="2"/>
      <c r="P487" s="2"/>
      <c r="Q487" s="2"/>
    </row>
    <row r="488" ht="15.75" customHeight="1">
      <c r="A488" s="2"/>
      <c r="B488" s="2"/>
      <c r="C488" s="2"/>
      <c r="D488" s="2"/>
      <c r="E488" s="2"/>
      <c r="F488" s="2"/>
      <c r="G488" s="2"/>
      <c r="H488" s="2"/>
      <c r="I488" s="2"/>
      <c r="J488" s="2"/>
      <c r="K488" s="2"/>
      <c r="P488" s="2"/>
      <c r="Q488" s="2"/>
    </row>
    <row r="489" ht="15.75" customHeight="1">
      <c r="A489" s="2"/>
      <c r="B489" s="2"/>
      <c r="C489" s="2"/>
      <c r="D489" s="2"/>
      <c r="E489" s="2"/>
      <c r="F489" s="2"/>
      <c r="G489" s="2"/>
      <c r="H489" s="2"/>
      <c r="I489" s="2"/>
      <c r="J489" s="2"/>
      <c r="K489" s="2"/>
      <c r="P489" s="2"/>
      <c r="Q489" s="2"/>
    </row>
    <row r="490" ht="15.75" customHeight="1">
      <c r="A490" s="2"/>
      <c r="B490" s="2"/>
      <c r="C490" s="2"/>
      <c r="D490" s="2"/>
      <c r="E490" s="2"/>
      <c r="F490" s="2"/>
      <c r="G490" s="2"/>
      <c r="H490" s="2"/>
      <c r="I490" s="2"/>
      <c r="J490" s="2"/>
      <c r="K490" s="2"/>
      <c r="P490" s="2"/>
      <c r="Q490" s="2"/>
    </row>
    <row r="491" ht="15.75" customHeight="1">
      <c r="A491" s="2"/>
      <c r="B491" s="2"/>
      <c r="C491" s="2"/>
      <c r="D491" s="2"/>
      <c r="E491" s="2"/>
      <c r="F491" s="2"/>
      <c r="G491" s="2"/>
      <c r="H491" s="2"/>
      <c r="I491" s="2"/>
      <c r="J491" s="2"/>
      <c r="K491" s="2"/>
      <c r="P491" s="2"/>
      <c r="Q491" s="2"/>
    </row>
    <row r="492" ht="15.75" customHeight="1">
      <c r="A492" s="2"/>
      <c r="B492" s="2"/>
      <c r="C492" s="2"/>
      <c r="D492" s="2"/>
      <c r="E492" s="2"/>
      <c r="F492" s="2"/>
      <c r="G492" s="2"/>
      <c r="H492" s="2"/>
      <c r="I492" s="2"/>
      <c r="J492" s="2"/>
      <c r="K492" s="2"/>
      <c r="P492" s="2"/>
      <c r="Q492" s="2"/>
    </row>
    <row r="493" ht="15.75" customHeight="1">
      <c r="A493" s="2"/>
      <c r="B493" s="2"/>
      <c r="C493" s="2"/>
      <c r="D493" s="2"/>
      <c r="E493" s="2"/>
      <c r="F493" s="2"/>
      <c r="G493" s="2"/>
      <c r="H493" s="2"/>
      <c r="I493" s="2"/>
      <c r="J493" s="2"/>
      <c r="K493" s="2"/>
      <c r="P493" s="2"/>
      <c r="Q493" s="2"/>
    </row>
    <row r="494" ht="15.75" customHeight="1">
      <c r="A494" s="2"/>
      <c r="B494" s="2"/>
      <c r="C494" s="2"/>
      <c r="D494" s="2"/>
      <c r="E494" s="2"/>
      <c r="F494" s="2"/>
      <c r="G494" s="2"/>
      <c r="H494" s="2"/>
      <c r="I494" s="2"/>
      <c r="J494" s="2"/>
      <c r="K494" s="2"/>
      <c r="P494" s="2"/>
      <c r="Q494" s="2"/>
    </row>
    <row r="495" ht="15.75" customHeight="1">
      <c r="A495" s="2"/>
      <c r="B495" s="2"/>
      <c r="C495" s="2"/>
      <c r="D495" s="2"/>
      <c r="E495" s="2"/>
      <c r="F495" s="2"/>
      <c r="G495" s="2"/>
      <c r="H495" s="2"/>
      <c r="I495" s="2"/>
      <c r="J495" s="2"/>
      <c r="K495" s="2"/>
      <c r="P495" s="2"/>
      <c r="Q495" s="2"/>
    </row>
    <row r="496" ht="15.75" customHeight="1">
      <c r="A496" s="2"/>
      <c r="B496" s="2"/>
      <c r="C496" s="2"/>
      <c r="D496" s="2"/>
      <c r="E496" s="2"/>
      <c r="F496" s="2"/>
      <c r="G496" s="2"/>
      <c r="H496" s="2"/>
      <c r="I496" s="2"/>
      <c r="J496" s="2"/>
      <c r="K496" s="2"/>
      <c r="P496" s="2"/>
      <c r="Q496" s="2"/>
    </row>
    <row r="497" ht="15.75" customHeight="1">
      <c r="A497" s="2"/>
      <c r="B497" s="2"/>
      <c r="C497" s="2"/>
      <c r="D497" s="2"/>
      <c r="E497" s="2"/>
      <c r="F497" s="2"/>
      <c r="G497" s="2"/>
      <c r="H497" s="2"/>
      <c r="I497" s="2"/>
      <c r="J497" s="2"/>
      <c r="K497" s="2"/>
      <c r="P497" s="2"/>
      <c r="Q497" s="2"/>
    </row>
    <row r="498" ht="15.75" customHeight="1">
      <c r="A498" s="2"/>
      <c r="B498" s="2"/>
      <c r="C498" s="2"/>
      <c r="D498" s="2"/>
      <c r="E498" s="2"/>
      <c r="F498" s="2"/>
      <c r="G498" s="2"/>
      <c r="H498" s="2"/>
      <c r="I498" s="2"/>
      <c r="J498" s="2"/>
      <c r="K498" s="2"/>
      <c r="P498" s="2"/>
      <c r="Q498" s="2"/>
    </row>
    <row r="499" ht="15.75" customHeight="1">
      <c r="A499" s="2"/>
      <c r="B499" s="2"/>
      <c r="C499" s="2"/>
      <c r="D499" s="2"/>
      <c r="E499" s="2"/>
      <c r="F499" s="2"/>
      <c r="G499" s="2"/>
      <c r="H499" s="2"/>
      <c r="I499" s="2"/>
      <c r="J499" s="2"/>
      <c r="K499" s="2"/>
      <c r="P499" s="2"/>
      <c r="Q499" s="2"/>
    </row>
    <row r="500" ht="15.75" customHeight="1">
      <c r="A500" s="2"/>
      <c r="B500" s="2"/>
      <c r="C500" s="2"/>
      <c r="D500" s="2"/>
      <c r="E500" s="2"/>
      <c r="F500" s="2"/>
      <c r="G500" s="2"/>
      <c r="H500" s="2"/>
      <c r="I500" s="2"/>
      <c r="J500" s="2"/>
      <c r="K500" s="2"/>
      <c r="P500" s="2"/>
      <c r="Q500" s="2"/>
    </row>
    <row r="501" ht="15.75" customHeight="1">
      <c r="A501" s="2"/>
      <c r="B501" s="2"/>
      <c r="C501" s="2"/>
      <c r="D501" s="2"/>
      <c r="E501" s="2"/>
      <c r="F501" s="2"/>
      <c r="G501" s="2"/>
      <c r="H501" s="2"/>
      <c r="I501" s="2"/>
      <c r="J501" s="2"/>
      <c r="K501" s="2"/>
      <c r="P501" s="2"/>
      <c r="Q501" s="2"/>
    </row>
    <row r="502" ht="15.75" customHeight="1">
      <c r="A502" s="2"/>
      <c r="B502" s="2"/>
      <c r="C502" s="2"/>
      <c r="D502" s="2"/>
      <c r="E502" s="2"/>
      <c r="F502" s="2"/>
      <c r="G502" s="2"/>
      <c r="H502" s="2"/>
      <c r="I502" s="2"/>
      <c r="J502" s="2"/>
      <c r="K502" s="2"/>
      <c r="P502" s="2"/>
      <c r="Q502" s="2"/>
    </row>
    <row r="503" ht="15.75" customHeight="1">
      <c r="A503" s="2"/>
      <c r="B503" s="2"/>
      <c r="C503" s="2"/>
      <c r="D503" s="2"/>
      <c r="E503" s="2"/>
      <c r="F503" s="2"/>
      <c r="G503" s="2"/>
      <c r="H503" s="2"/>
      <c r="I503" s="2"/>
      <c r="J503" s="2"/>
      <c r="K503" s="2"/>
      <c r="P503" s="2"/>
      <c r="Q503" s="2"/>
    </row>
    <row r="504" ht="15.75" customHeight="1">
      <c r="A504" s="2"/>
      <c r="B504" s="2"/>
      <c r="C504" s="2"/>
      <c r="D504" s="2"/>
      <c r="E504" s="2"/>
      <c r="F504" s="2"/>
      <c r="G504" s="2"/>
      <c r="H504" s="2"/>
      <c r="I504" s="2"/>
      <c r="J504" s="2"/>
      <c r="K504" s="2"/>
      <c r="P504" s="2"/>
      <c r="Q504" s="2"/>
    </row>
    <row r="505" ht="15.75" customHeight="1">
      <c r="A505" s="2"/>
      <c r="B505" s="2"/>
      <c r="C505" s="2"/>
      <c r="D505" s="2"/>
      <c r="E505" s="2"/>
      <c r="F505" s="2"/>
      <c r="G505" s="2"/>
      <c r="H505" s="2"/>
      <c r="I505" s="2"/>
      <c r="J505" s="2"/>
      <c r="K505" s="2"/>
      <c r="P505" s="2"/>
      <c r="Q505" s="2"/>
    </row>
    <row r="506" ht="15.75" customHeight="1">
      <c r="A506" s="2"/>
      <c r="B506" s="2"/>
      <c r="C506" s="2"/>
      <c r="D506" s="2"/>
      <c r="E506" s="2"/>
      <c r="F506" s="2"/>
      <c r="G506" s="2"/>
      <c r="H506" s="2"/>
      <c r="I506" s="2"/>
      <c r="J506" s="2"/>
      <c r="K506" s="2"/>
      <c r="P506" s="2"/>
      <c r="Q506" s="2"/>
    </row>
    <row r="507" ht="15.75" customHeight="1">
      <c r="A507" s="2"/>
      <c r="B507" s="2"/>
      <c r="C507" s="2"/>
      <c r="D507" s="2"/>
      <c r="E507" s="2"/>
      <c r="F507" s="2"/>
      <c r="G507" s="2"/>
      <c r="H507" s="2"/>
      <c r="I507" s="2"/>
      <c r="J507" s="2"/>
      <c r="K507" s="2"/>
      <c r="P507" s="2"/>
      <c r="Q507" s="2"/>
    </row>
    <row r="508" ht="15.75" customHeight="1">
      <c r="A508" s="2"/>
      <c r="B508" s="2"/>
      <c r="C508" s="2"/>
      <c r="D508" s="2"/>
      <c r="E508" s="2"/>
      <c r="F508" s="2"/>
      <c r="G508" s="2"/>
      <c r="H508" s="2"/>
      <c r="I508" s="2"/>
      <c r="J508" s="2"/>
      <c r="K508" s="2"/>
      <c r="P508" s="2"/>
      <c r="Q508" s="2"/>
    </row>
    <row r="509" ht="15.75" customHeight="1">
      <c r="A509" s="2"/>
      <c r="B509" s="2"/>
      <c r="C509" s="2"/>
      <c r="D509" s="2"/>
      <c r="E509" s="2"/>
      <c r="F509" s="2"/>
      <c r="G509" s="2"/>
      <c r="H509" s="2"/>
      <c r="I509" s="2"/>
      <c r="J509" s="2"/>
      <c r="K509" s="2"/>
      <c r="P509" s="2"/>
      <c r="Q509" s="2"/>
    </row>
    <row r="510" ht="15.75" customHeight="1">
      <c r="A510" s="2"/>
      <c r="B510" s="2"/>
      <c r="C510" s="2"/>
      <c r="D510" s="2"/>
      <c r="E510" s="2"/>
      <c r="F510" s="2"/>
      <c r="G510" s="2"/>
      <c r="H510" s="2"/>
      <c r="I510" s="2"/>
      <c r="J510" s="2"/>
      <c r="K510" s="2"/>
      <c r="P510" s="2"/>
      <c r="Q510" s="2"/>
    </row>
    <row r="511" ht="15.75" customHeight="1">
      <c r="A511" s="2"/>
      <c r="B511" s="2"/>
      <c r="C511" s="2"/>
      <c r="D511" s="2"/>
      <c r="E511" s="2"/>
      <c r="F511" s="2"/>
      <c r="G511" s="2"/>
      <c r="H511" s="2"/>
      <c r="I511" s="2"/>
      <c r="J511" s="2"/>
      <c r="K511" s="2"/>
      <c r="P511" s="2"/>
      <c r="Q511" s="2"/>
    </row>
    <row r="512" ht="15.75" customHeight="1">
      <c r="A512" s="2"/>
      <c r="B512" s="2"/>
      <c r="C512" s="2"/>
      <c r="D512" s="2"/>
      <c r="E512" s="2"/>
      <c r="F512" s="2"/>
      <c r="G512" s="2"/>
      <c r="H512" s="2"/>
      <c r="I512" s="2"/>
      <c r="J512" s="2"/>
      <c r="K512" s="2"/>
      <c r="P512" s="2"/>
      <c r="Q512" s="2"/>
    </row>
    <row r="513" ht="15.75" customHeight="1">
      <c r="A513" s="2"/>
      <c r="B513" s="2"/>
      <c r="C513" s="2"/>
      <c r="D513" s="2"/>
      <c r="E513" s="2"/>
      <c r="F513" s="2"/>
      <c r="G513" s="2"/>
      <c r="H513" s="2"/>
      <c r="I513" s="2"/>
      <c r="J513" s="2"/>
      <c r="K513" s="2"/>
      <c r="P513" s="2"/>
      <c r="Q513" s="2"/>
    </row>
    <row r="514" ht="15.75" customHeight="1">
      <c r="A514" s="2"/>
      <c r="B514" s="2"/>
      <c r="C514" s="2"/>
      <c r="D514" s="2"/>
      <c r="E514" s="2"/>
      <c r="F514" s="2"/>
      <c r="G514" s="2"/>
      <c r="H514" s="2"/>
      <c r="I514" s="2"/>
      <c r="J514" s="2"/>
      <c r="K514" s="2"/>
      <c r="P514" s="2"/>
      <c r="Q514" s="2"/>
    </row>
    <row r="515" ht="15.75" customHeight="1">
      <c r="A515" s="2"/>
      <c r="B515" s="2"/>
      <c r="C515" s="2"/>
      <c r="D515" s="2"/>
      <c r="E515" s="2"/>
      <c r="F515" s="2"/>
      <c r="G515" s="2"/>
      <c r="H515" s="2"/>
      <c r="I515" s="2"/>
      <c r="J515" s="2"/>
      <c r="K515" s="2"/>
      <c r="P515" s="2"/>
      <c r="Q515" s="2"/>
    </row>
    <row r="516" ht="15.75" customHeight="1">
      <c r="A516" s="2"/>
      <c r="B516" s="2"/>
      <c r="C516" s="2"/>
      <c r="D516" s="2"/>
      <c r="E516" s="2"/>
      <c r="F516" s="2"/>
      <c r="G516" s="2"/>
      <c r="H516" s="2"/>
      <c r="I516" s="2"/>
      <c r="J516" s="2"/>
      <c r="K516" s="2"/>
      <c r="P516" s="2"/>
      <c r="Q516" s="2"/>
    </row>
    <row r="517" ht="15.75" customHeight="1">
      <c r="A517" s="2"/>
      <c r="B517" s="2"/>
      <c r="C517" s="2"/>
      <c r="D517" s="2"/>
      <c r="E517" s="2"/>
      <c r="F517" s="2"/>
      <c r="G517" s="2"/>
      <c r="H517" s="2"/>
      <c r="I517" s="2"/>
      <c r="J517" s="2"/>
      <c r="K517" s="2"/>
      <c r="P517" s="2"/>
      <c r="Q517" s="2"/>
    </row>
    <row r="518" ht="15.75" customHeight="1">
      <c r="A518" s="2"/>
      <c r="B518" s="2"/>
      <c r="C518" s="2"/>
      <c r="D518" s="2"/>
      <c r="E518" s="2"/>
      <c r="F518" s="2"/>
      <c r="G518" s="2"/>
      <c r="H518" s="2"/>
      <c r="I518" s="2"/>
      <c r="J518" s="2"/>
      <c r="K518" s="2"/>
      <c r="P518" s="2"/>
      <c r="Q518" s="2"/>
    </row>
    <row r="519" ht="15.75" customHeight="1">
      <c r="A519" s="2"/>
      <c r="B519" s="2"/>
      <c r="C519" s="2"/>
      <c r="D519" s="2"/>
      <c r="E519" s="2"/>
      <c r="F519" s="2"/>
      <c r="G519" s="2"/>
      <c r="H519" s="2"/>
      <c r="I519" s="2"/>
      <c r="J519" s="2"/>
      <c r="K519" s="2"/>
      <c r="P519" s="2"/>
      <c r="Q519" s="2"/>
    </row>
    <row r="520" ht="15.75" customHeight="1">
      <c r="A520" s="2"/>
      <c r="B520" s="2"/>
      <c r="C520" s="2"/>
      <c r="D520" s="2"/>
      <c r="E520" s="2"/>
      <c r="F520" s="2"/>
      <c r="G520" s="2"/>
      <c r="H520" s="2"/>
      <c r="I520" s="2"/>
      <c r="J520" s="2"/>
      <c r="K520" s="2"/>
      <c r="P520" s="2"/>
      <c r="Q520" s="2"/>
    </row>
    <row r="521" ht="15.75" customHeight="1">
      <c r="A521" s="2"/>
      <c r="B521" s="2"/>
      <c r="C521" s="2"/>
      <c r="D521" s="2"/>
      <c r="E521" s="2"/>
      <c r="F521" s="2"/>
      <c r="G521" s="2"/>
      <c r="H521" s="2"/>
      <c r="I521" s="2"/>
      <c r="J521" s="2"/>
      <c r="K521" s="2"/>
      <c r="P521" s="2"/>
      <c r="Q521" s="2"/>
    </row>
    <row r="522" ht="15.75" customHeight="1">
      <c r="A522" s="2"/>
      <c r="B522" s="2"/>
      <c r="C522" s="2"/>
      <c r="D522" s="2"/>
      <c r="E522" s="2"/>
      <c r="F522" s="2"/>
      <c r="G522" s="2"/>
      <c r="H522" s="2"/>
      <c r="I522" s="2"/>
      <c r="J522" s="2"/>
      <c r="K522" s="2"/>
      <c r="P522" s="2"/>
      <c r="Q522" s="2"/>
    </row>
    <row r="523" ht="15.75" customHeight="1">
      <c r="A523" s="2"/>
      <c r="B523" s="2"/>
      <c r="C523" s="2"/>
      <c r="D523" s="2"/>
      <c r="E523" s="2"/>
      <c r="F523" s="2"/>
      <c r="G523" s="2"/>
      <c r="H523" s="2"/>
      <c r="I523" s="2"/>
      <c r="J523" s="2"/>
      <c r="K523" s="2"/>
      <c r="P523" s="2"/>
      <c r="Q523" s="2"/>
    </row>
    <row r="524" ht="15.75" customHeight="1">
      <c r="A524" s="2"/>
      <c r="B524" s="2"/>
      <c r="C524" s="2"/>
      <c r="D524" s="2"/>
      <c r="E524" s="2"/>
      <c r="F524" s="2"/>
      <c r="G524" s="2"/>
      <c r="H524" s="2"/>
      <c r="I524" s="2"/>
      <c r="J524" s="2"/>
      <c r="K524" s="2"/>
      <c r="P524" s="2"/>
      <c r="Q524" s="2"/>
    </row>
    <row r="525" ht="15.75" customHeight="1">
      <c r="A525" s="2"/>
      <c r="B525" s="2"/>
      <c r="C525" s="2"/>
      <c r="D525" s="2"/>
      <c r="E525" s="2"/>
      <c r="F525" s="2"/>
      <c r="G525" s="2"/>
      <c r="H525" s="2"/>
      <c r="I525" s="2"/>
      <c r="J525" s="2"/>
      <c r="K525" s="2"/>
      <c r="P525" s="2"/>
      <c r="Q525" s="2"/>
    </row>
    <row r="526" ht="15.75" customHeight="1">
      <c r="A526" s="2"/>
      <c r="B526" s="2"/>
      <c r="C526" s="2"/>
      <c r="D526" s="2"/>
      <c r="E526" s="2"/>
      <c r="F526" s="2"/>
      <c r="G526" s="2"/>
      <c r="H526" s="2"/>
      <c r="I526" s="2"/>
      <c r="J526" s="2"/>
      <c r="K526" s="2"/>
      <c r="P526" s="2"/>
      <c r="Q526" s="2"/>
    </row>
    <row r="527" ht="15.75" customHeight="1">
      <c r="A527" s="2"/>
      <c r="B527" s="2"/>
      <c r="C527" s="2"/>
      <c r="D527" s="2"/>
      <c r="E527" s="2"/>
      <c r="F527" s="2"/>
      <c r="G527" s="2"/>
      <c r="H527" s="2"/>
      <c r="I527" s="2"/>
      <c r="J527" s="2"/>
      <c r="K527" s="2"/>
      <c r="P527" s="2"/>
      <c r="Q527" s="2"/>
    </row>
    <row r="528" ht="15.75" customHeight="1">
      <c r="A528" s="2"/>
      <c r="B528" s="2"/>
      <c r="C528" s="2"/>
      <c r="D528" s="2"/>
      <c r="E528" s="2"/>
      <c r="F528" s="2"/>
      <c r="G528" s="2"/>
      <c r="H528" s="2"/>
      <c r="I528" s="2"/>
      <c r="J528" s="2"/>
      <c r="K528" s="2"/>
      <c r="P528" s="2"/>
      <c r="Q528" s="2"/>
    </row>
    <row r="529" ht="15.75" customHeight="1">
      <c r="A529" s="2"/>
      <c r="B529" s="2"/>
      <c r="C529" s="2"/>
      <c r="D529" s="2"/>
      <c r="E529" s="2"/>
      <c r="F529" s="2"/>
      <c r="G529" s="2"/>
      <c r="H529" s="2"/>
      <c r="I529" s="2"/>
      <c r="J529" s="2"/>
      <c r="K529" s="2"/>
      <c r="P529" s="2"/>
      <c r="Q529" s="2"/>
    </row>
    <row r="530" ht="15.75" customHeight="1">
      <c r="A530" s="2"/>
      <c r="B530" s="2"/>
      <c r="C530" s="2"/>
      <c r="D530" s="2"/>
      <c r="E530" s="2"/>
      <c r="F530" s="2"/>
      <c r="G530" s="2"/>
      <c r="H530" s="2"/>
      <c r="I530" s="2"/>
      <c r="J530" s="2"/>
      <c r="K530" s="2"/>
      <c r="P530" s="2"/>
      <c r="Q530" s="2"/>
    </row>
    <row r="531" ht="15.75" customHeight="1">
      <c r="A531" s="2"/>
      <c r="B531" s="2"/>
      <c r="C531" s="2"/>
      <c r="D531" s="2"/>
      <c r="E531" s="2"/>
      <c r="F531" s="2"/>
      <c r="G531" s="2"/>
      <c r="H531" s="2"/>
      <c r="I531" s="2"/>
      <c r="J531" s="2"/>
      <c r="K531" s="2"/>
      <c r="P531" s="2"/>
      <c r="Q531" s="2"/>
    </row>
    <row r="532" ht="15.75" customHeight="1">
      <c r="A532" s="2"/>
      <c r="B532" s="2"/>
      <c r="C532" s="2"/>
      <c r="D532" s="2"/>
      <c r="E532" s="2"/>
      <c r="F532" s="2"/>
      <c r="G532" s="2"/>
      <c r="H532" s="2"/>
      <c r="I532" s="2"/>
      <c r="J532" s="2"/>
      <c r="K532" s="2"/>
      <c r="P532" s="2"/>
      <c r="Q532" s="2"/>
    </row>
    <row r="533" ht="15.75" customHeight="1">
      <c r="A533" s="2"/>
      <c r="B533" s="2"/>
      <c r="C533" s="2"/>
      <c r="D533" s="2"/>
      <c r="E533" s="2"/>
      <c r="F533" s="2"/>
      <c r="G533" s="2"/>
      <c r="H533" s="2"/>
      <c r="I533" s="2"/>
      <c r="J533" s="2"/>
      <c r="K533" s="2"/>
      <c r="P533" s="2"/>
      <c r="Q533" s="2"/>
    </row>
    <row r="534" ht="15.75" customHeight="1">
      <c r="A534" s="2"/>
      <c r="B534" s="2"/>
      <c r="C534" s="2"/>
      <c r="D534" s="2"/>
      <c r="E534" s="2"/>
      <c r="F534" s="2"/>
      <c r="G534" s="2"/>
      <c r="H534" s="2"/>
      <c r="I534" s="2"/>
      <c r="J534" s="2"/>
      <c r="K534" s="2"/>
      <c r="P534" s="2"/>
      <c r="Q534" s="2"/>
    </row>
    <row r="535" ht="15.75" customHeight="1">
      <c r="A535" s="2"/>
      <c r="B535" s="2"/>
      <c r="C535" s="2"/>
      <c r="D535" s="2"/>
      <c r="E535" s="2"/>
      <c r="F535" s="2"/>
      <c r="G535" s="2"/>
      <c r="H535" s="2"/>
      <c r="I535" s="2"/>
      <c r="J535" s="2"/>
      <c r="K535" s="2"/>
      <c r="P535" s="2"/>
      <c r="Q535" s="2"/>
    </row>
    <row r="536" ht="15.75" customHeight="1">
      <c r="A536" s="2"/>
      <c r="B536" s="2"/>
      <c r="C536" s="2"/>
      <c r="D536" s="2"/>
      <c r="E536" s="2"/>
      <c r="F536" s="2"/>
      <c r="G536" s="2"/>
      <c r="H536" s="2"/>
      <c r="I536" s="2"/>
      <c r="J536" s="2"/>
      <c r="K536" s="2"/>
      <c r="P536" s="2"/>
      <c r="Q536" s="2"/>
    </row>
    <row r="537" ht="15.75" customHeight="1">
      <c r="A537" s="2"/>
      <c r="B537" s="2"/>
      <c r="C537" s="2"/>
      <c r="D537" s="2"/>
      <c r="E537" s="2"/>
      <c r="F537" s="2"/>
      <c r="G537" s="2"/>
      <c r="H537" s="2"/>
      <c r="I537" s="2"/>
      <c r="J537" s="2"/>
      <c r="K537" s="2"/>
      <c r="P537" s="2"/>
      <c r="Q537" s="2"/>
    </row>
    <row r="538" ht="15.75" customHeight="1">
      <c r="A538" s="2"/>
      <c r="B538" s="2"/>
      <c r="C538" s="2"/>
      <c r="D538" s="2"/>
      <c r="E538" s="2"/>
      <c r="F538" s="2"/>
      <c r="G538" s="2"/>
      <c r="H538" s="2"/>
      <c r="I538" s="2"/>
      <c r="J538" s="2"/>
      <c r="K538" s="2"/>
      <c r="P538" s="2"/>
      <c r="Q538" s="2"/>
    </row>
    <row r="539" ht="15.75" customHeight="1">
      <c r="A539" s="2"/>
      <c r="B539" s="2"/>
      <c r="C539" s="2"/>
      <c r="D539" s="2"/>
      <c r="E539" s="2"/>
      <c r="F539" s="2"/>
      <c r="G539" s="2"/>
      <c r="H539" s="2"/>
      <c r="I539" s="2"/>
      <c r="J539" s="2"/>
      <c r="K539" s="2"/>
      <c r="P539" s="2"/>
      <c r="Q539" s="2"/>
    </row>
    <row r="540" ht="15.75" customHeight="1">
      <c r="A540" s="2"/>
      <c r="B540" s="2"/>
      <c r="C540" s="2"/>
      <c r="D540" s="2"/>
      <c r="E540" s="2"/>
      <c r="F540" s="2"/>
      <c r="G540" s="2"/>
      <c r="H540" s="2"/>
      <c r="I540" s="2"/>
      <c r="J540" s="2"/>
      <c r="K540" s="2"/>
      <c r="P540" s="2"/>
      <c r="Q540" s="2"/>
    </row>
    <row r="541" ht="15.75" customHeight="1">
      <c r="A541" s="2"/>
      <c r="B541" s="2"/>
      <c r="C541" s="2"/>
      <c r="D541" s="2"/>
      <c r="E541" s="2"/>
      <c r="F541" s="2"/>
      <c r="G541" s="2"/>
      <c r="H541" s="2"/>
      <c r="I541" s="2"/>
      <c r="J541" s="2"/>
      <c r="K541" s="2"/>
      <c r="P541" s="2"/>
      <c r="Q541" s="2"/>
    </row>
    <row r="542" ht="15.75" customHeight="1">
      <c r="A542" s="2"/>
      <c r="B542" s="2"/>
      <c r="C542" s="2"/>
      <c r="D542" s="2"/>
      <c r="E542" s="2"/>
      <c r="F542" s="2"/>
      <c r="G542" s="2"/>
      <c r="H542" s="2"/>
      <c r="I542" s="2"/>
      <c r="J542" s="2"/>
      <c r="K542" s="2"/>
      <c r="P542" s="2"/>
      <c r="Q542" s="2"/>
    </row>
    <row r="543" ht="15.75" customHeight="1">
      <c r="A543" s="2"/>
      <c r="B543" s="2"/>
      <c r="C543" s="2"/>
      <c r="D543" s="2"/>
      <c r="E543" s="2"/>
      <c r="F543" s="2"/>
      <c r="G543" s="2"/>
      <c r="H543" s="2"/>
      <c r="I543" s="2"/>
      <c r="J543" s="2"/>
      <c r="K543" s="2"/>
      <c r="P543" s="2"/>
      <c r="Q543" s="2"/>
    </row>
    <row r="544" ht="15.75" customHeight="1">
      <c r="A544" s="2"/>
      <c r="B544" s="2"/>
      <c r="C544" s="2"/>
      <c r="D544" s="2"/>
      <c r="E544" s="2"/>
      <c r="F544" s="2"/>
      <c r="G544" s="2"/>
      <c r="H544" s="2"/>
      <c r="I544" s="2"/>
      <c r="J544" s="2"/>
      <c r="K544" s="2"/>
      <c r="P544" s="2"/>
      <c r="Q544" s="2"/>
    </row>
    <row r="545" ht="15.75" customHeight="1">
      <c r="A545" s="2"/>
      <c r="B545" s="2"/>
      <c r="C545" s="2"/>
      <c r="D545" s="2"/>
      <c r="E545" s="2"/>
      <c r="F545" s="2"/>
      <c r="G545" s="2"/>
      <c r="H545" s="2"/>
      <c r="I545" s="2"/>
      <c r="J545" s="2"/>
      <c r="K545" s="2"/>
      <c r="P545" s="2"/>
      <c r="Q545" s="2"/>
    </row>
    <row r="546" ht="15.75" customHeight="1">
      <c r="A546" s="2"/>
      <c r="B546" s="2"/>
      <c r="C546" s="2"/>
      <c r="D546" s="2"/>
      <c r="E546" s="2"/>
      <c r="F546" s="2"/>
      <c r="G546" s="2"/>
      <c r="H546" s="2"/>
      <c r="I546" s="2"/>
      <c r="J546" s="2"/>
      <c r="K546" s="2"/>
      <c r="P546" s="2"/>
      <c r="Q546" s="2"/>
    </row>
    <row r="547" ht="15.75" customHeight="1">
      <c r="A547" s="2"/>
      <c r="B547" s="2"/>
      <c r="C547" s="2"/>
      <c r="D547" s="2"/>
      <c r="E547" s="2"/>
      <c r="F547" s="2"/>
      <c r="G547" s="2"/>
      <c r="H547" s="2"/>
      <c r="I547" s="2"/>
      <c r="J547" s="2"/>
      <c r="K547" s="2"/>
      <c r="P547" s="2"/>
      <c r="Q547" s="2"/>
    </row>
    <row r="548" ht="15.75" customHeight="1">
      <c r="A548" s="2"/>
      <c r="B548" s="2"/>
      <c r="C548" s="2"/>
      <c r="D548" s="2"/>
      <c r="E548" s="2"/>
      <c r="F548" s="2"/>
      <c r="G548" s="2"/>
      <c r="H548" s="2"/>
      <c r="I548" s="2"/>
      <c r="J548" s="2"/>
      <c r="K548" s="2"/>
      <c r="P548" s="2"/>
      <c r="Q548" s="2"/>
    </row>
    <row r="549" ht="15.75" customHeight="1">
      <c r="A549" s="2"/>
      <c r="B549" s="2"/>
      <c r="C549" s="2"/>
      <c r="D549" s="2"/>
      <c r="E549" s="2"/>
      <c r="F549" s="2"/>
      <c r="G549" s="2"/>
      <c r="H549" s="2"/>
      <c r="I549" s="2"/>
      <c r="J549" s="2"/>
      <c r="K549" s="2"/>
      <c r="P549" s="2"/>
      <c r="Q549" s="2"/>
    </row>
    <row r="550" ht="15.75" customHeight="1">
      <c r="A550" s="2"/>
      <c r="B550" s="2"/>
      <c r="C550" s="2"/>
      <c r="D550" s="2"/>
      <c r="E550" s="2"/>
      <c r="F550" s="2"/>
      <c r="G550" s="2"/>
      <c r="H550" s="2"/>
      <c r="I550" s="2"/>
      <c r="J550" s="2"/>
      <c r="K550" s="2"/>
      <c r="P550" s="2"/>
      <c r="Q550" s="2"/>
    </row>
    <row r="551" ht="15.75" customHeight="1">
      <c r="A551" s="2"/>
      <c r="B551" s="2"/>
      <c r="C551" s="2"/>
      <c r="D551" s="2"/>
      <c r="E551" s="2"/>
      <c r="F551" s="2"/>
      <c r="G551" s="2"/>
      <c r="H551" s="2"/>
      <c r="I551" s="2"/>
      <c r="J551" s="2"/>
      <c r="K551" s="2"/>
      <c r="P551" s="2"/>
      <c r="Q551" s="2"/>
    </row>
    <row r="552" ht="15.75" customHeight="1">
      <c r="A552" s="2"/>
      <c r="B552" s="2"/>
      <c r="C552" s="2"/>
      <c r="D552" s="2"/>
      <c r="E552" s="2"/>
      <c r="F552" s="2"/>
      <c r="G552" s="2"/>
      <c r="H552" s="2"/>
      <c r="I552" s="2"/>
      <c r="J552" s="2"/>
      <c r="K552" s="2"/>
      <c r="P552" s="2"/>
      <c r="Q552" s="2"/>
    </row>
    <row r="553" ht="15.75" customHeight="1">
      <c r="A553" s="2"/>
      <c r="B553" s="2"/>
      <c r="C553" s="2"/>
      <c r="D553" s="2"/>
      <c r="E553" s="2"/>
      <c r="F553" s="2"/>
      <c r="G553" s="2"/>
      <c r="H553" s="2"/>
      <c r="I553" s="2"/>
      <c r="J553" s="2"/>
      <c r="K553" s="2"/>
      <c r="P553" s="2"/>
      <c r="Q553" s="2"/>
    </row>
    <row r="554" ht="15.75" customHeight="1">
      <c r="A554" s="2"/>
      <c r="B554" s="2"/>
      <c r="C554" s="2"/>
      <c r="D554" s="2"/>
      <c r="E554" s="2"/>
      <c r="F554" s="2"/>
      <c r="G554" s="2"/>
      <c r="H554" s="2"/>
      <c r="I554" s="2"/>
      <c r="J554" s="2"/>
      <c r="K554" s="2"/>
      <c r="P554" s="2"/>
      <c r="Q554" s="2"/>
    </row>
    <row r="555" ht="15.75" customHeight="1">
      <c r="A555" s="2"/>
      <c r="B555" s="2"/>
      <c r="C555" s="2"/>
      <c r="D555" s="2"/>
      <c r="E555" s="2"/>
      <c r="F555" s="2"/>
      <c r="G555" s="2"/>
      <c r="H555" s="2"/>
      <c r="I555" s="2"/>
      <c r="J555" s="2"/>
      <c r="K555" s="2"/>
      <c r="P555" s="2"/>
      <c r="Q555" s="2"/>
    </row>
    <row r="556" ht="15.75" customHeight="1">
      <c r="A556" s="2"/>
      <c r="B556" s="2"/>
      <c r="C556" s="2"/>
      <c r="D556" s="2"/>
      <c r="E556" s="2"/>
      <c r="F556" s="2"/>
      <c r="G556" s="2"/>
      <c r="H556" s="2"/>
      <c r="I556" s="2"/>
      <c r="J556" s="2"/>
      <c r="K556" s="2"/>
      <c r="P556" s="2"/>
      <c r="Q556" s="2"/>
    </row>
    <row r="557" ht="15.75" customHeight="1">
      <c r="A557" s="2"/>
      <c r="B557" s="2"/>
      <c r="C557" s="2"/>
      <c r="D557" s="2"/>
      <c r="E557" s="2"/>
      <c r="F557" s="2"/>
      <c r="G557" s="2"/>
      <c r="H557" s="2"/>
      <c r="I557" s="2"/>
      <c r="J557" s="2"/>
      <c r="K557" s="2"/>
      <c r="P557" s="2"/>
      <c r="Q557" s="2"/>
    </row>
    <row r="558" ht="15.75" customHeight="1">
      <c r="A558" s="2"/>
      <c r="B558" s="2"/>
      <c r="C558" s="2"/>
      <c r="D558" s="2"/>
      <c r="E558" s="2"/>
      <c r="F558" s="2"/>
      <c r="G558" s="2"/>
      <c r="H558" s="2"/>
      <c r="I558" s="2"/>
      <c r="J558" s="2"/>
      <c r="K558" s="2"/>
      <c r="P558" s="2"/>
      <c r="Q558" s="2"/>
    </row>
    <row r="559" ht="15.75" customHeight="1">
      <c r="A559" s="2"/>
      <c r="B559" s="2"/>
      <c r="C559" s="2"/>
      <c r="D559" s="2"/>
      <c r="E559" s="2"/>
      <c r="F559" s="2"/>
      <c r="G559" s="2"/>
      <c r="H559" s="2"/>
      <c r="I559" s="2"/>
      <c r="J559" s="2"/>
      <c r="K559" s="2"/>
      <c r="P559" s="2"/>
      <c r="Q559" s="2"/>
    </row>
    <row r="560" ht="15.75" customHeight="1">
      <c r="A560" s="2"/>
      <c r="B560" s="2"/>
      <c r="C560" s="2"/>
      <c r="D560" s="2"/>
      <c r="E560" s="2"/>
      <c r="F560" s="2"/>
      <c r="G560" s="2"/>
      <c r="H560" s="2"/>
      <c r="I560" s="2"/>
      <c r="J560" s="2"/>
      <c r="K560" s="2"/>
      <c r="P560" s="2"/>
      <c r="Q560" s="2"/>
    </row>
    <row r="561" ht="15.75" customHeight="1">
      <c r="A561" s="2"/>
      <c r="B561" s="2"/>
      <c r="C561" s="2"/>
      <c r="D561" s="2"/>
      <c r="E561" s="2"/>
      <c r="F561" s="2"/>
      <c r="G561" s="2"/>
      <c r="H561" s="2"/>
      <c r="I561" s="2"/>
      <c r="J561" s="2"/>
      <c r="K561" s="2"/>
      <c r="P561" s="2"/>
      <c r="Q561" s="2"/>
    </row>
    <row r="562" ht="15.75" customHeight="1">
      <c r="A562" s="2"/>
      <c r="B562" s="2"/>
      <c r="C562" s="2"/>
      <c r="D562" s="2"/>
      <c r="E562" s="2"/>
      <c r="F562" s="2"/>
      <c r="G562" s="2"/>
      <c r="H562" s="2"/>
      <c r="I562" s="2"/>
      <c r="J562" s="2"/>
      <c r="K562" s="2"/>
      <c r="P562" s="2"/>
      <c r="Q562" s="2"/>
    </row>
    <row r="563" ht="15.75" customHeight="1">
      <c r="A563" s="2"/>
      <c r="B563" s="2"/>
      <c r="C563" s="2"/>
      <c r="D563" s="2"/>
      <c r="E563" s="2"/>
      <c r="F563" s="2"/>
      <c r="G563" s="2"/>
      <c r="H563" s="2"/>
      <c r="I563" s="2"/>
      <c r="J563" s="2"/>
      <c r="K563" s="2"/>
      <c r="P563" s="2"/>
      <c r="Q563" s="2"/>
    </row>
    <row r="564" ht="15.75" customHeight="1">
      <c r="A564" s="2"/>
      <c r="B564" s="2"/>
      <c r="C564" s="2"/>
      <c r="D564" s="2"/>
      <c r="E564" s="2"/>
      <c r="F564" s="2"/>
      <c r="G564" s="2"/>
      <c r="H564" s="2"/>
      <c r="I564" s="2"/>
      <c r="J564" s="2"/>
      <c r="K564" s="2"/>
      <c r="P564" s="2"/>
      <c r="Q564" s="2"/>
    </row>
    <row r="565" ht="15.75" customHeight="1">
      <c r="A565" s="2"/>
      <c r="B565" s="2"/>
      <c r="C565" s="2"/>
      <c r="D565" s="2"/>
      <c r="E565" s="2"/>
      <c r="F565" s="2"/>
      <c r="G565" s="2"/>
      <c r="H565" s="2"/>
      <c r="I565" s="2"/>
      <c r="J565" s="2"/>
      <c r="K565" s="2"/>
      <c r="P565" s="2"/>
      <c r="Q565" s="2"/>
    </row>
    <row r="566" ht="15.75" customHeight="1">
      <c r="A566" s="2"/>
      <c r="B566" s="2"/>
      <c r="C566" s="2"/>
      <c r="D566" s="2"/>
      <c r="E566" s="2"/>
      <c r="F566" s="2"/>
      <c r="G566" s="2"/>
      <c r="H566" s="2"/>
      <c r="I566" s="2"/>
      <c r="J566" s="2"/>
      <c r="K566" s="2"/>
      <c r="P566" s="2"/>
      <c r="Q566" s="2"/>
    </row>
    <row r="567" ht="15.75" customHeight="1">
      <c r="A567" s="2"/>
      <c r="B567" s="2"/>
      <c r="C567" s="2"/>
      <c r="D567" s="2"/>
      <c r="E567" s="2"/>
      <c r="F567" s="2"/>
      <c r="G567" s="2"/>
      <c r="H567" s="2"/>
      <c r="I567" s="2"/>
      <c r="J567" s="2"/>
      <c r="K567" s="2"/>
      <c r="P567" s="2"/>
      <c r="Q567" s="2"/>
    </row>
    <row r="568" ht="15.75" customHeight="1">
      <c r="A568" s="2"/>
      <c r="B568" s="2"/>
      <c r="C568" s="2"/>
      <c r="D568" s="2"/>
      <c r="E568" s="2"/>
      <c r="F568" s="2"/>
      <c r="G568" s="2"/>
      <c r="H568" s="2"/>
      <c r="I568" s="2"/>
      <c r="J568" s="2"/>
      <c r="K568" s="2"/>
      <c r="P568" s="2"/>
      <c r="Q568" s="2"/>
    </row>
    <row r="569" ht="15.75" customHeight="1">
      <c r="A569" s="2"/>
      <c r="B569" s="2"/>
      <c r="C569" s="2"/>
      <c r="D569" s="2"/>
      <c r="E569" s="2"/>
      <c r="F569" s="2"/>
      <c r="G569" s="2"/>
      <c r="H569" s="2"/>
      <c r="I569" s="2"/>
      <c r="J569" s="2"/>
      <c r="K569" s="2"/>
      <c r="P569" s="2"/>
      <c r="Q569" s="2"/>
    </row>
    <row r="570" ht="15.75" customHeight="1">
      <c r="A570" s="2"/>
      <c r="B570" s="2"/>
      <c r="C570" s="2"/>
      <c r="D570" s="2"/>
      <c r="E570" s="2"/>
      <c r="F570" s="2"/>
      <c r="G570" s="2"/>
      <c r="H570" s="2"/>
      <c r="I570" s="2"/>
      <c r="J570" s="2"/>
      <c r="K570" s="2"/>
      <c r="P570" s="2"/>
      <c r="Q570" s="2"/>
    </row>
    <row r="571" ht="15.75" customHeight="1">
      <c r="A571" s="2"/>
      <c r="B571" s="2"/>
      <c r="C571" s="2"/>
      <c r="D571" s="2"/>
      <c r="E571" s="2"/>
      <c r="F571" s="2"/>
      <c r="G571" s="2"/>
      <c r="H571" s="2"/>
      <c r="I571" s="2"/>
      <c r="J571" s="2"/>
      <c r="K571" s="2"/>
      <c r="P571" s="2"/>
      <c r="Q571" s="2"/>
    </row>
    <row r="572" ht="15.75" customHeight="1">
      <c r="A572" s="2"/>
      <c r="B572" s="2"/>
      <c r="C572" s="2"/>
      <c r="D572" s="2"/>
      <c r="E572" s="2"/>
      <c r="F572" s="2"/>
      <c r="G572" s="2"/>
      <c r="H572" s="2"/>
      <c r="I572" s="2"/>
      <c r="J572" s="2"/>
      <c r="K572" s="2"/>
      <c r="P572" s="2"/>
      <c r="Q572" s="2"/>
    </row>
    <row r="573" ht="15.75" customHeight="1">
      <c r="A573" s="2"/>
      <c r="B573" s="2"/>
      <c r="C573" s="2"/>
      <c r="D573" s="2"/>
      <c r="E573" s="2"/>
      <c r="F573" s="2"/>
      <c r="G573" s="2"/>
      <c r="H573" s="2"/>
      <c r="I573" s="2"/>
      <c r="J573" s="2"/>
      <c r="K573" s="2"/>
      <c r="P573" s="2"/>
      <c r="Q573" s="2"/>
    </row>
    <row r="574" ht="15.75" customHeight="1">
      <c r="A574" s="2"/>
      <c r="B574" s="2"/>
      <c r="C574" s="2"/>
      <c r="D574" s="2"/>
      <c r="E574" s="2"/>
      <c r="F574" s="2"/>
      <c r="G574" s="2"/>
      <c r="H574" s="2"/>
      <c r="I574" s="2"/>
      <c r="J574" s="2"/>
      <c r="K574" s="2"/>
      <c r="P574" s="2"/>
      <c r="Q574" s="2"/>
    </row>
    <row r="575" ht="15.75" customHeight="1">
      <c r="A575" s="2"/>
      <c r="B575" s="2"/>
      <c r="C575" s="2"/>
      <c r="D575" s="2"/>
      <c r="E575" s="2"/>
      <c r="F575" s="2"/>
      <c r="G575" s="2"/>
      <c r="H575" s="2"/>
      <c r="I575" s="2"/>
      <c r="J575" s="2"/>
      <c r="K575" s="2"/>
      <c r="P575" s="2"/>
      <c r="Q575" s="2"/>
    </row>
    <row r="576" ht="15.75" customHeight="1">
      <c r="A576" s="2"/>
      <c r="B576" s="2"/>
      <c r="C576" s="2"/>
      <c r="D576" s="2"/>
      <c r="E576" s="2"/>
      <c r="F576" s="2"/>
      <c r="G576" s="2"/>
      <c r="H576" s="2"/>
      <c r="I576" s="2"/>
      <c r="J576" s="2"/>
      <c r="K576" s="2"/>
      <c r="P576" s="2"/>
      <c r="Q576" s="2"/>
    </row>
    <row r="577" ht="15.75" customHeight="1">
      <c r="A577" s="2"/>
      <c r="B577" s="2"/>
      <c r="C577" s="2"/>
      <c r="D577" s="2"/>
      <c r="E577" s="2"/>
      <c r="F577" s="2"/>
      <c r="G577" s="2"/>
      <c r="H577" s="2"/>
      <c r="I577" s="2"/>
      <c r="J577" s="2"/>
      <c r="K577" s="2"/>
      <c r="P577" s="2"/>
      <c r="Q577" s="2"/>
    </row>
    <row r="578" ht="15.75" customHeight="1">
      <c r="A578" s="2"/>
      <c r="B578" s="2"/>
      <c r="C578" s="2"/>
      <c r="D578" s="2"/>
      <c r="E578" s="2"/>
      <c r="F578" s="2"/>
      <c r="G578" s="2"/>
      <c r="H578" s="2"/>
      <c r="I578" s="2"/>
      <c r="J578" s="2"/>
      <c r="K578" s="2"/>
      <c r="P578" s="2"/>
      <c r="Q578" s="2"/>
    </row>
    <row r="579" ht="15.75" customHeight="1">
      <c r="A579" s="2"/>
      <c r="B579" s="2"/>
      <c r="C579" s="2"/>
      <c r="D579" s="2"/>
      <c r="E579" s="2"/>
      <c r="F579" s="2"/>
      <c r="G579" s="2"/>
      <c r="H579" s="2"/>
      <c r="I579" s="2"/>
      <c r="J579" s="2"/>
      <c r="K579" s="2"/>
      <c r="P579" s="2"/>
      <c r="Q579" s="2"/>
    </row>
    <row r="580" ht="15.75" customHeight="1">
      <c r="A580" s="2"/>
      <c r="B580" s="2"/>
      <c r="C580" s="2"/>
      <c r="D580" s="2"/>
      <c r="E580" s="2"/>
      <c r="F580" s="2"/>
      <c r="G580" s="2"/>
      <c r="H580" s="2"/>
      <c r="I580" s="2"/>
      <c r="J580" s="2"/>
      <c r="K580" s="2"/>
      <c r="P580" s="2"/>
      <c r="Q580" s="2"/>
    </row>
    <row r="581" ht="15.75" customHeight="1">
      <c r="A581" s="2"/>
      <c r="B581" s="2"/>
      <c r="C581" s="2"/>
      <c r="D581" s="2"/>
      <c r="E581" s="2"/>
      <c r="F581" s="2"/>
      <c r="G581" s="2"/>
      <c r="H581" s="2"/>
      <c r="I581" s="2"/>
      <c r="J581" s="2"/>
      <c r="K581" s="2"/>
      <c r="P581" s="2"/>
      <c r="Q581" s="2"/>
    </row>
    <row r="582" ht="15.75" customHeight="1">
      <c r="A582" s="2"/>
      <c r="B582" s="2"/>
      <c r="C582" s="2"/>
      <c r="D582" s="2"/>
      <c r="E582" s="2"/>
      <c r="F582" s="2"/>
      <c r="G582" s="2"/>
      <c r="H582" s="2"/>
      <c r="I582" s="2"/>
      <c r="J582" s="2"/>
      <c r="K582" s="2"/>
      <c r="P582" s="2"/>
      <c r="Q582" s="2"/>
    </row>
    <row r="583" ht="15.75" customHeight="1">
      <c r="A583" s="2"/>
      <c r="B583" s="2"/>
      <c r="C583" s="2"/>
      <c r="D583" s="2"/>
      <c r="E583" s="2"/>
      <c r="F583" s="2"/>
      <c r="G583" s="2"/>
      <c r="H583" s="2"/>
      <c r="I583" s="2"/>
      <c r="J583" s="2"/>
      <c r="K583" s="2"/>
      <c r="P583" s="2"/>
      <c r="Q583" s="2"/>
    </row>
    <row r="584" ht="15.75" customHeight="1">
      <c r="A584" s="2"/>
      <c r="B584" s="2"/>
      <c r="C584" s="2"/>
      <c r="D584" s="2"/>
      <c r="E584" s="2"/>
      <c r="F584" s="2"/>
      <c r="G584" s="2"/>
      <c r="H584" s="2"/>
      <c r="I584" s="2"/>
      <c r="J584" s="2"/>
      <c r="K584" s="2"/>
      <c r="P584" s="2"/>
      <c r="Q584" s="2"/>
    </row>
    <row r="585" ht="15.75" customHeight="1">
      <c r="A585" s="2"/>
      <c r="B585" s="2"/>
      <c r="C585" s="2"/>
      <c r="D585" s="2"/>
      <c r="E585" s="2"/>
      <c r="F585" s="2"/>
      <c r="G585" s="2"/>
      <c r="H585" s="2"/>
      <c r="I585" s="2"/>
      <c r="J585" s="2"/>
      <c r="K585" s="2"/>
      <c r="P585" s="2"/>
      <c r="Q585" s="2"/>
    </row>
    <row r="586" ht="15.75" customHeight="1">
      <c r="A586" s="2"/>
      <c r="B586" s="2"/>
      <c r="C586" s="2"/>
      <c r="D586" s="2"/>
      <c r="E586" s="2"/>
      <c r="F586" s="2"/>
      <c r="G586" s="2"/>
      <c r="H586" s="2"/>
      <c r="I586" s="2"/>
      <c r="J586" s="2"/>
      <c r="K586" s="2"/>
      <c r="P586" s="2"/>
      <c r="Q586" s="2"/>
    </row>
    <row r="587" ht="15.75" customHeight="1">
      <c r="A587" s="2"/>
      <c r="B587" s="2"/>
      <c r="C587" s="2"/>
      <c r="D587" s="2"/>
      <c r="E587" s="2"/>
      <c r="F587" s="2"/>
      <c r="G587" s="2"/>
      <c r="H587" s="2"/>
      <c r="I587" s="2"/>
      <c r="J587" s="2"/>
      <c r="K587" s="2"/>
      <c r="P587" s="2"/>
      <c r="Q587" s="2"/>
    </row>
    <row r="588" ht="15.75" customHeight="1">
      <c r="A588" s="2"/>
      <c r="B588" s="2"/>
      <c r="C588" s="2"/>
      <c r="D588" s="2"/>
      <c r="E588" s="2"/>
      <c r="F588" s="2"/>
      <c r="G588" s="2"/>
      <c r="H588" s="2"/>
      <c r="I588" s="2"/>
      <c r="J588" s="2"/>
      <c r="K588" s="2"/>
      <c r="P588" s="2"/>
      <c r="Q588" s="2"/>
    </row>
    <row r="589" ht="15.75" customHeight="1">
      <c r="A589" s="2"/>
      <c r="B589" s="2"/>
      <c r="C589" s="2"/>
      <c r="D589" s="2"/>
      <c r="E589" s="2"/>
      <c r="F589" s="2"/>
      <c r="G589" s="2"/>
      <c r="H589" s="2"/>
      <c r="I589" s="2"/>
      <c r="J589" s="2"/>
      <c r="K589" s="2"/>
      <c r="P589" s="2"/>
      <c r="Q589" s="2"/>
    </row>
    <row r="590" ht="15.75" customHeight="1">
      <c r="A590" s="2"/>
      <c r="B590" s="2"/>
      <c r="C590" s="2"/>
      <c r="D590" s="2"/>
      <c r="E590" s="2"/>
      <c r="F590" s="2"/>
      <c r="G590" s="2"/>
      <c r="H590" s="2"/>
      <c r="I590" s="2"/>
      <c r="J590" s="2"/>
      <c r="K590" s="2"/>
      <c r="P590" s="2"/>
      <c r="Q590" s="2"/>
    </row>
    <row r="591" ht="15.75" customHeight="1">
      <c r="A591" s="2"/>
      <c r="B591" s="2"/>
      <c r="C591" s="2"/>
      <c r="D591" s="2"/>
      <c r="E591" s="2"/>
      <c r="F591" s="2"/>
      <c r="G591" s="2"/>
      <c r="H591" s="2"/>
      <c r="I591" s="2"/>
      <c r="J591" s="2"/>
      <c r="K591" s="2"/>
      <c r="P591" s="2"/>
      <c r="Q591" s="2"/>
    </row>
    <row r="592" ht="15.75" customHeight="1">
      <c r="A592" s="2"/>
      <c r="B592" s="2"/>
      <c r="C592" s="2"/>
      <c r="D592" s="2"/>
      <c r="E592" s="2"/>
      <c r="F592" s="2"/>
      <c r="G592" s="2"/>
      <c r="H592" s="2"/>
      <c r="I592" s="2"/>
      <c r="J592" s="2"/>
      <c r="K592" s="2"/>
      <c r="P592" s="2"/>
      <c r="Q592" s="2"/>
    </row>
    <row r="593" ht="15.75" customHeight="1">
      <c r="A593" s="2"/>
      <c r="B593" s="2"/>
      <c r="C593" s="2"/>
      <c r="D593" s="2"/>
      <c r="E593" s="2"/>
      <c r="F593" s="2"/>
      <c r="G593" s="2"/>
      <c r="H593" s="2"/>
      <c r="I593" s="2"/>
      <c r="J593" s="2"/>
      <c r="K593" s="2"/>
      <c r="P593" s="2"/>
      <c r="Q593" s="2"/>
    </row>
    <row r="594" ht="15.75" customHeight="1">
      <c r="A594" s="2"/>
      <c r="B594" s="2"/>
      <c r="C594" s="2"/>
      <c r="D594" s="2"/>
      <c r="E594" s="2"/>
      <c r="F594" s="2"/>
      <c r="G594" s="2"/>
      <c r="H594" s="2"/>
      <c r="I594" s="2"/>
      <c r="J594" s="2"/>
      <c r="K594" s="2"/>
      <c r="P594" s="2"/>
      <c r="Q594" s="2"/>
    </row>
    <row r="595" ht="15.75" customHeight="1">
      <c r="A595" s="2"/>
      <c r="B595" s="2"/>
      <c r="C595" s="2"/>
      <c r="D595" s="2"/>
      <c r="E595" s="2"/>
      <c r="F595" s="2"/>
      <c r="G595" s="2"/>
      <c r="H595" s="2"/>
      <c r="I595" s="2"/>
      <c r="J595" s="2"/>
      <c r="K595" s="2"/>
      <c r="P595" s="2"/>
      <c r="Q595" s="2"/>
    </row>
    <row r="596" ht="15.75" customHeight="1">
      <c r="A596" s="2"/>
      <c r="B596" s="2"/>
      <c r="C596" s="2"/>
      <c r="D596" s="2"/>
      <c r="E596" s="2"/>
      <c r="F596" s="2"/>
      <c r="G596" s="2"/>
      <c r="H596" s="2"/>
      <c r="I596" s="2"/>
      <c r="J596" s="2"/>
      <c r="K596" s="2"/>
      <c r="P596" s="2"/>
      <c r="Q596" s="2"/>
    </row>
    <row r="597" ht="15.75" customHeight="1">
      <c r="A597" s="2"/>
      <c r="B597" s="2"/>
      <c r="C597" s="2"/>
      <c r="D597" s="2"/>
      <c r="E597" s="2"/>
      <c r="F597" s="2"/>
      <c r="G597" s="2"/>
      <c r="H597" s="2"/>
      <c r="I597" s="2"/>
      <c r="J597" s="2"/>
      <c r="K597" s="2"/>
      <c r="P597" s="2"/>
      <c r="Q597" s="2"/>
    </row>
    <row r="598" ht="15.75" customHeight="1">
      <c r="A598" s="2"/>
      <c r="B598" s="2"/>
      <c r="C598" s="2"/>
      <c r="D598" s="2"/>
      <c r="E598" s="2"/>
      <c r="F598" s="2"/>
      <c r="G598" s="2"/>
      <c r="H598" s="2"/>
      <c r="I598" s="2"/>
      <c r="J598" s="2"/>
      <c r="K598" s="2"/>
      <c r="P598" s="2"/>
      <c r="Q598" s="2"/>
    </row>
    <row r="599" ht="15.75" customHeight="1">
      <c r="A599" s="2"/>
      <c r="B599" s="2"/>
      <c r="C599" s="2"/>
      <c r="D599" s="2"/>
      <c r="E599" s="2"/>
      <c r="F599" s="2"/>
      <c r="G599" s="2"/>
      <c r="H599" s="2"/>
      <c r="I599" s="2"/>
      <c r="J599" s="2"/>
      <c r="K599" s="2"/>
      <c r="P599" s="2"/>
      <c r="Q599" s="2"/>
    </row>
    <row r="600" ht="15.75" customHeight="1">
      <c r="A600" s="2"/>
      <c r="B600" s="2"/>
      <c r="C600" s="2"/>
      <c r="D600" s="2"/>
      <c r="E600" s="2"/>
      <c r="F600" s="2"/>
      <c r="G600" s="2"/>
      <c r="H600" s="2"/>
      <c r="I600" s="2"/>
      <c r="J600" s="2"/>
      <c r="K600" s="2"/>
      <c r="P600" s="2"/>
      <c r="Q600" s="2"/>
    </row>
    <row r="601" ht="15.75" customHeight="1">
      <c r="A601" s="2"/>
      <c r="B601" s="2"/>
      <c r="C601" s="2"/>
      <c r="D601" s="2"/>
      <c r="E601" s="2"/>
      <c r="F601" s="2"/>
      <c r="G601" s="2"/>
      <c r="H601" s="2"/>
      <c r="I601" s="2"/>
      <c r="J601" s="2"/>
      <c r="K601" s="2"/>
      <c r="P601" s="2"/>
      <c r="Q601" s="2"/>
    </row>
    <row r="602" ht="15.75" customHeight="1">
      <c r="A602" s="2"/>
      <c r="B602" s="2"/>
      <c r="C602" s="2"/>
      <c r="D602" s="2"/>
      <c r="E602" s="2"/>
      <c r="F602" s="2"/>
      <c r="G602" s="2"/>
      <c r="H602" s="2"/>
      <c r="I602" s="2"/>
      <c r="J602" s="2"/>
      <c r="K602" s="2"/>
      <c r="P602" s="2"/>
      <c r="Q602" s="2"/>
    </row>
    <row r="603" ht="15.75" customHeight="1">
      <c r="A603" s="2"/>
      <c r="B603" s="2"/>
      <c r="C603" s="2"/>
      <c r="D603" s="2"/>
      <c r="E603" s="2"/>
      <c r="F603" s="2"/>
      <c r="G603" s="2"/>
      <c r="H603" s="2"/>
      <c r="I603" s="2"/>
      <c r="J603" s="2"/>
      <c r="K603" s="2"/>
      <c r="P603" s="2"/>
      <c r="Q603" s="2"/>
    </row>
    <row r="604" ht="15.75" customHeight="1">
      <c r="A604" s="2"/>
      <c r="B604" s="2"/>
      <c r="C604" s="2"/>
      <c r="D604" s="2"/>
      <c r="E604" s="2"/>
      <c r="F604" s="2"/>
      <c r="G604" s="2"/>
      <c r="H604" s="2"/>
      <c r="I604" s="2"/>
      <c r="J604" s="2"/>
      <c r="K604" s="2"/>
      <c r="P604" s="2"/>
      <c r="Q604" s="2"/>
    </row>
    <row r="605" ht="15.75" customHeight="1">
      <c r="A605" s="2"/>
      <c r="B605" s="2"/>
      <c r="C605" s="2"/>
      <c r="D605" s="2"/>
      <c r="E605" s="2"/>
      <c r="F605" s="2"/>
      <c r="G605" s="2"/>
      <c r="H605" s="2"/>
      <c r="I605" s="2"/>
      <c r="J605" s="2"/>
      <c r="K605" s="2"/>
      <c r="P605" s="2"/>
      <c r="Q605" s="2"/>
    </row>
    <row r="606" ht="15.75" customHeight="1">
      <c r="A606" s="2"/>
      <c r="B606" s="2"/>
      <c r="C606" s="2"/>
      <c r="D606" s="2"/>
      <c r="E606" s="2"/>
      <c r="F606" s="2"/>
      <c r="G606" s="2"/>
      <c r="H606" s="2"/>
      <c r="I606" s="2"/>
      <c r="J606" s="2"/>
      <c r="K606" s="2"/>
      <c r="P606" s="2"/>
      <c r="Q606" s="2"/>
    </row>
    <row r="607" ht="15.75" customHeight="1">
      <c r="A607" s="2"/>
      <c r="B607" s="2"/>
      <c r="C607" s="2"/>
      <c r="D607" s="2"/>
      <c r="E607" s="2"/>
      <c r="F607" s="2"/>
      <c r="G607" s="2"/>
      <c r="H607" s="2"/>
      <c r="I607" s="2"/>
      <c r="J607" s="2"/>
      <c r="K607" s="2"/>
      <c r="P607" s="2"/>
      <c r="Q607" s="2"/>
    </row>
    <row r="608" ht="15.75" customHeight="1">
      <c r="A608" s="2"/>
      <c r="B608" s="2"/>
      <c r="C608" s="2"/>
      <c r="D608" s="2"/>
      <c r="E608" s="2"/>
      <c r="F608" s="2"/>
      <c r="G608" s="2"/>
      <c r="H608" s="2"/>
      <c r="I608" s="2"/>
      <c r="J608" s="2"/>
      <c r="K608" s="2"/>
      <c r="P608" s="2"/>
      <c r="Q608" s="2"/>
    </row>
    <row r="609" ht="15.75" customHeight="1">
      <c r="A609" s="2"/>
      <c r="B609" s="2"/>
      <c r="C609" s="2"/>
      <c r="D609" s="2"/>
      <c r="E609" s="2"/>
      <c r="F609" s="2"/>
      <c r="G609" s="2"/>
      <c r="H609" s="2"/>
      <c r="I609" s="2"/>
      <c r="J609" s="2"/>
      <c r="K609" s="2"/>
      <c r="P609" s="2"/>
      <c r="Q609" s="2"/>
    </row>
    <row r="610" ht="15.75" customHeight="1">
      <c r="A610" s="2"/>
      <c r="B610" s="2"/>
      <c r="C610" s="2"/>
      <c r="D610" s="2"/>
      <c r="E610" s="2"/>
      <c r="F610" s="2"/>
      <c r="G610" s="2"/>
      <c r="H610" s="2"/>
      <c r="I610" s="2"/>
      <c r="J610" s="2"/>
      <c r="K610" s="2"/>
      <c r="P610" s="2"/>
      <c r="Q610" s="2"/>
    </row>
    <row r="611" ht="15.75" customHeight="1">
      <c r="A611" s="2"/>
      <c r="B611" s="2"/>
      <c r="C611" s="2"/>
      <c r="D611" s="2"/>
      <c r="E611" s="2"/>
      <c r="F611" s="2"/>
      <c r="G611" s="2"/>
      <c r="H611" s="2"/>
      <c r="I611" s="2"/>
      <c r="J611" s="2"/>
      <c r="K611" s="2"/>
      <c r="P611" s="2"/>
      <c r="Q611" s="2"/>
    </row>
    <row r="612" ht="15.75" customHeight="1">
      <c r="A612" s="2"/>
      <c r="B612" s="2"/>
      <c r="C612" s="2"/>
      <c r="D612" s="2"/>
      <c r="E612" s="2"/>
      <c r="F612" s="2"/>
      <c r="G612" s="2"/>
      <c r="H612" s="2"/>
      <c r="I612" s="2"/>
      <c r="J612" s="2"/>
      <c r="K612" s="2"/>
      <c r="P612" s="2"/>
      <c r="Q612" s="2"/>
    </row>
    <row r="613" ht="15.75" customHeight="1">
      <c r="A613" s="2"/>
      <c r="B613" s="2"/>
      <c r="C613" s="2"/>
      <c r="D613" s="2"/>
      <c r="E613" s="2"/>
      <c r="F613" s="2"/>
      <c r="G613" s="2"/>
      <c r="H613" s="2"/>
      <c r="I613" s="2"/>
      <c r="J613" s="2"/>
      <c r="K613" s="2"/>
      <c r="P613" s="2"/>
      <c r="Q613" s="2"/>
    </row>
    <row r="614" ht="15.75" customHeight="1">
      <c r="A614" s="2"/>
      <c r="B614" s="2"/>
      <c r="C614" s="2"/>
      <c r="D614" s="2"/>
      <c r="E614" s="2"/>
      <c r="F614" s="2"/>
      <c r="G614" s="2"/>
      <c r="H614" s="2"/>
      <c r="I614" s="2"/>
      <c r="J614" s="2"/>
      <c r="K614" s="2"/>
      <c r="P614" s="2"/>
      <c r="Q614" s="2"/>
    </row>
    <row r="615" ht="15.75" customHeight="1">
      <c r="A615" s="2"/>
      <c r="B615" s="2"/>
      <c r="C615" s="2"/>
      <c r="D615" s="2"/>
      <c r="E615" s="2"/>
      <c r="F615" s="2"/>
      <c r="G615" s="2"/>
      <c r="H615" s="2"/>
      <c r="I615" s="2"/>
      <c r="J615" s="2"/>
      <c r="K615" s="2"/>
      <c r="P615" s="2"/>
      <c r="Q615" s="2"/>
    </row>
    <row r="616" ht="15.75" customHeight="1">
      <c r="A616" s="2"/>
      <c r="B616" s="2"/>
      <c r="C616" s="2"/>
      <c r="D616" s="2"/>
      <c r="E616" s="2"/>
      <c r="F616" s="2"/>
      <c r="G616" s="2"/>
      <c r="H616" s="2"/>
      <c r="I616" s="2"/>
      <c r="J616" s="2"/>
      <c r="K616" s="2"/>
      <c r="P616" s="2"/>
      <c r="Q616" s="2"/>
    </row>
    <row r="617" ht="15.75" customHeight="1">
      <c r="A617" s="2"/>
      <c r="B617" s="2"/>
      <c r="C617" s="2"/>
      <c r="D617" s="2"/>
      <c r="E617" s="2"/>
      <c r="F617" s="2"/>
      <c r="G617" s="2"/>
      <c r="H617" s="2"/>
      <c r="I617" s="2"/>
      <c r="J617" s="2"/>
      <c r="K617" s="2"/>
      <c r="P617" s="2"/>
      <c r="Q617" s="2"/>
    </row>
    <row r="618" ht="15.75" customHeight="1">
      <c r="A618" s="2"/>
      <c r="B618" s="2"/>
      <c r="C618" s="2"/>
      <c r="D618" s="2"/>
      <c r="E618" s="2"/>
      <c r="F618" s="2"/>
      <c r="G618" s="2"/>
      <c r="H618" s="2"/>
      <c r="I618" s="2"/>
      <c r="J618" s="2"/>
      <c r="K618" s="2"/>
      <c r="P618" s="2"/>
      <c r="Q618" s="2"/>
    </row>
    <row r="619" ht="15.75" customHeight="1">
      <c r="A619" s="2"/>
      <c r="B619" s="2"/>
      <c r="C619" s="2"/>
      <c r="D619" s="2"/>
      <c r="E619" s="2"/>
      <c r="F619" s="2"/>
      <c r="G619" s="2"/>
      <c r="H619" s="2"/>
      <c r="I619" s="2"/>
      <c r="J619" s="2"/>
      <c r="K619" s="2"/>
      <c r="P619" s="2"/>
      <c r="Q619" s="2"/>
    </row>
    <row r="620" ht="15.75" customHeight="1">
      <c r="A620" s="2"/>
      <c r="B620" s="2"/>
      <c r="C620" s="2"/>
      <c r="D620" s="2"/>
      <c r="E620" s="2"/>
      <c r="F620" s="2"/>
      <c r="G620" s="2"/>
      <c r="H620" s="2"/>
      <c r="I620" s="2"/>
      <c r="J620" s="2"/>
      <c r="K620" s="2"/>
      <c r="P620" s="2"/>
      <c r="Q620" s="2"/>
    </row>
    <row r="621" ht="15.75" customHeight="1">
      <c r="A621" s="2"/>
      <c r="B621" s="2"/>
      <c r="C621" s="2"/>
      <c r="D621" s="2"/>
      <c r="E621" s="2"/>
      <c r="F621" s="2"/>
      <c r="G621" s="2"/>
      <c r="H621" s="2"/>
      <c r="I621" s="2"/>
      <c r="J621" s="2"/>
      <c r="K621" s="2"/>
      <c r="P621" s="2"/>
      <c r="Q621" s="2"/>
    </row>
    <row r="622" ht="15.75" customHeight="1">
      <c r="A622" s="2"/>
      <c r="B622" s="2"/>
      <c r="C622" s="2"/>
      <c r="D622" s="2"/>
      <c r="E622" s="2"/>
      <c r="F622" s="2"/>
      <c r="G622" s="2"/>
      <c r="H622" s="2"/>
      <c r="I622" s="2"/>
      <c r="J622" s="2"/>
      <c r="K622" s="2"/>
      <c r="P622" s="2"/>
      <c r="Q622" s="2"/>
    </row>
    <row r="623" ht="15.75" customHeight="1">
      <c r="A623" s="2"/>
      <c r="B623" s="2"/>
      <c r="C623" s="2"/>
      <c r="D623" s="2"/>
      <c r="E623" s="2"/>
      <c r="F623" s="2"/>
      <c r="G623" s="2"/>
      <c r="H623" s="2"/>
      <c r="I623" s="2"/>
      <c r="J623" s="2"/>
      <c r="K623" s="2"/>
      <c r="P623" s="2"/>
      <c r="Q623" s="2"/>
    </row>
    <row r="624" ht="15.75" customHeight="1">
      <c r="A624" s="2"/>
      <c r="B624" s="2"/>
      <c r="C624" s="2"/>
      <c r="D624" s="2"/>
      <c r="E624" s="2"/>
      <c r="F624" s="2"/>
      <c r="G624" s="2"/>
      <c r="H624" s="2"/>
      <c r="I624" s="2"/>
      <c r="J624" s="2"/>
      <c r="K624" s="2"/>
      <c r="P624" s="2"/>
      <c r="Q624" s="2"/>
    </row>
    <row r="625" ht="15.75" customHeight="1">
      <c r="A625" s="2"/>
      <c r="B625" s="2"/>
      <c r="C625" s="2"/>
      <c r="D625" s="2"/>
      <c r="E625" s="2"/>
      <c r="F625" s="2"/>
      <c r="G625" s="2"/>
      <c r="H625" s="2"/>
      <c r="I625" s="2"/>
      <c r="J625" s="2"/>
      <c r="K625" s="2"/>
      <c r="P625" s="2"/>
      <c r="Q625" s="2"/>
    </row>
    <row r="626" ht="15.75" customHeight="1">
      <c r="A626" s="2"/>
      <c r="B626" s="2"/>
      <c r="C626" s="2"/>
      <c r="D626" s="2"/>
      <c r="E626" s="2"/>
      <c r="F626" s="2"/>
      <c r="G626" s="2"/>
      <c r="H626" s="2"/>
      <c r="I626" s="2"/>
      <c r="J626" s="2"/>
      <c r="K626" s="2"/>
      <c r="P626" s="2"/>
      <c r="Q626" s="2"/>
    </row>
    <row r="627" ht="15.75" customHeight="1">
      <c r="A627" s="2"/>
      <c r="B627" s="2"/>
      <c r="C627" s="2"/>
      <c r="D627" s="2"/>
      <c r="E627" s="2"/>
      <c r="F627" s="2"/>
      <c r="G627" s="2"/>
      <c r="H627" s="2"/>
      <c r="I627" s="2"/>
      <c r="J627" s="2"/>
      <c r="K627" s="2"/>
      <c r="P627" s="2"/>
      <c r="Q627" s="2"/>
    </row>
    <row r="628" ht="15.75" customHeight="1">
      <c r="A628" s="2"/>
      <c r="B628" s="2"/>
      <c r="C628" s="2"/>
      <c r="D628" s="2"/>
      <c r="E628" s="2"/>
      <c r="F628" s="2"/>
      <c r="G628" s="2"/>
      <c r="H628" s="2"/>
      <c r="I628" s="2"/>
      <c r="J628" s="2"/>
      <c r="K628" s="2"/>
      <c r="P628" s="2"/>
      <c r="Q628" s="2"/>
    </row>
    <row r="629" ht="15.75" customHeight="1">
      <c r="A629" s="2"/>
      <c r="B629" s="2"/>
      <c r="C629" s="2"/>
      <c r="D629" s="2"/>
      <c r="E629" s="2"/>
      <c r="F629" s="2"/>
      <c r="G629" s="2"/>
      <c r="H629" s="2"/>
      <c r="I629" s="2"/>
      <c r="J629" s="2"/>
      <c r="K629" s="2"/>
      <c r="P629" s="2"/>
      <c r="Q629" s="2"/>
    </row>
    <row r="630" ht="15.75" customHeight="1">
      <c r="A630" s="2"/>
      <c r="B630" s="2"/>
      <c r="C630" s="2"/>
      <c r="D630" s="2"/>
      <c r="E630" s="2"/>
      <c r="F630" s="2"/>
      <c r="G630" s="2"/>
      <c r="H630" s="2"/>
      <c r="I630" s="2"/>
      <c r="J630" s="2"/>
      <c r="K630" s="2"/>
      <c r="P630" s="2"/>
      <c r="Q630" s="2"/>
    </row>
    <row r="631" ht="15.75" customHeight="1">
      <c r="A631" s="2"/>
      <c r="B631" s="2"/>
      <c r="C631" s="2"/>
      <c r="D631" s="2"/>
      <c r="E631" s="2"/>
      <c r="F631" s="2"/>
      <c r="G631" s="2"/>
      <c r="H631" s="2"/>
      <c r="I631" s="2"/>
      <c r="J631" s="2"/>
      <c r="K631" s="2"/>
      <c r="P631" s="2"/>
      <c r="Q631" s="2"/>
    </row>
    <row r="632" ht="15.75" customHeight="1">
      <c r="A632" s="2"/>
      <c r="B632" s="2"/>
      <c r="C632" s="2"/>
      <c r="D632" s="2"/>
      <c r="E632" s="2"/>
      <c r="F632" s="2"/>
      <c r="G632" s="2"/>
      <c r="H632" s="2"/>
      <c r="I632" s="2"/>
      <c r="J632" s="2"/>
      <c r="K632" s="2"/>
      <c r="P632" s="2"/>
      <c r="Q632" s="2"/>
    </row>
    <row r="633" ht="15.75" customHeight="1">
      <c r="A633" s="2"/>
      <c r="B633" s="2"/>
      <c r="C633" s="2"/>
      <c r="D633" s="2"/>
      <c r="E633" s="2"/>
      <c r="F633" s="2"/>
      <c r="G633" s="2"/>
      <c r="H633" s="2"/>
      <c r="I633" s="2"/>
      <c r="J633" s="2"/>
      <c r="K633" s="2"/>
      <c r="P633" s="2"/>
      <c r="Q633" s="2"/>
    </row>
    <row r="634" ht="15.75" customHeight="1">
      <c r="A634" s="2"/>
      <c r="B634" s="2"/>
      <c r="C634" s="2"/>
      <c r="D634" s="2"/>
      <c r="E634" s="2"/>
      <c r="F634" s="2"/>
      <c r="G634" s="2"/>
      <c r="H634" s="2"/>
      <c r="I634" s="2"/>
      <c r="J634" s="2"/>
      <c r="K634" s="2"/>
      <c r="P634" s="2"/>
      <c r="Q634" s="2"/>
    </row>
    <row r="635" ht="15.75" customHeight="1">
      <c r="A635" s="2"/>
      <c r="B635" s="2"/>
      <c r="C635" s="2"/>
      <c r="D635" s="2"/>
      <c r="E635" s="2"/>
      <c r="F635" s="2"/>
      <c r="G635" s="2"/>
      <c r="H635" s="2"/>
      <c r="I635" s="2"/>
      <c r="J635" s="2"/>
      <c r="K635" s="2"/>
      <c r="P635" s="2"/>
      <c r="Q635" s="2"/>
    </row>
    <row r="636" ht="15.75" customHeight="1">
      <c r="A636" s="2"/>
      <c r="B636" s="2"/>
      <c r="C636" s="2"/>
      <c r="D636" s="2"/>
      <c r="E636" s="2"/>
      <c r="F636" s="2"/>
      <c r="G636" s="2"/>
      <c r="H636" s="2"/>
      <c r="I636" s="2"/>
      <c r="J636" s="2"/>
      <c r="K636" s="2"/>
      <c r="P636" s="2"/>
      <c r="Q636" s="2"/>
    </row>
    <row r="637" ht="15.75" customHeight="1">
      <c r="A637" s="2"/>
      <c r="B637" s="2"/>
      <c r="C637" s="2"/>
      <c r="D637" s="2"/>
      <c r="E637" s="2"/>
      <c r="F637" s="2"/>
      <c r="G637" s="2"/>
      <c r="H637" s="2"/>
      <c r="I637" s="2"/>
      <c r="J637" s="2"/>
      <c r="K637" s="2"/>
      <c r="P637" s="2"/>
      <c r="Q637" s="2"/>
    </row>
    <row r="638" ht="15.75" customHeight="1">
      <c r="A638" s="2"/>
      <c r="B638" s="2"/>
      <c r="C638" s="2"/>
      <c r="D638" s="2"/>
      <c r="E638" s="2"/>
      <c r="F638" s="2"/>
      <c r="G638" s="2"/>
      <c r="H638" s="2"/>
      <c r="I638" s="2"/>
      <c r="J638" s="2"/>
      <c r="K638" s="2"/>
      <c r="P638" s="2"/>
      <c r="Q638" s="2"/>
    </row>
    <row r="639" ht="15.75" customHeight="1">
      <c r="A639" s="2"/>
      <c r="B639" s="2"/>
      <c r="C639" s="2"/>
      <c r="D639" s="2"/>
      <c r="E639" s="2"/>
      <c r="F639" s="2"/>
      <c r="G639" s="2"/>
      <c r="H639" s="2"/>
      <c r="I639" s="2"/>
      <c r="J639" s="2"/>
      <c r="K639" s="2"/>
      <c r="P639" s="2"/>
      <c r="Q639" s="2"/>
    </row>
    <row r="640" ht="15.75" customHeight="1">
      <c r="A640" s="2"/>
      <c r="B640" s="2"/>
      <c r="C640" s="2"/>
      <c r="D640" s="2"/>
      <c r="E640" s="2"/>
      <c r="F640" s="2"/>
      <c r="G640" s="2"/>
      <c r="H640" s="2"/>
      <c r="I640" s="2"/>
      <c r="J640" s="2"/>
      <c r="K640" s="2"/>
      <c r="P640" s="2"/>
      <c r="Q640" s="2"/>
    </row>
    <row r="641" ht="15.75" customHeight="1">
      <c r="A641" s="2"/>
      <c r="B641" s="2"/>
      <c r="C641" s="2"/>
      <c r="D641" s="2"/>
      <c r="E641" s="2"/>
      <c r="F641" s="2"/>
      <c r="G641" s="2"/>
      <c r="H641" s="2"/>
      <c r="I641" s="2"/>
      <c r="J641" s="2"/>
      <c r="K641" s="2"/>
      <c r="P641" s="2"/>
      <c r="Q641" s="2"/>
    </row>
    <row r="642" ht="15.75" customHeight="1">
      <c r="A642" s="2"/>
      <c r="B642" s="2"/>
      <c r="C642" s="2"/>
      <c r="D642" s="2"/>
      <c r="E642" s="2"/>
      <c r="F642" s="2"/>
      <c r="G642" s="2"/>
      <c r="H642" s="2"/>
      <c r="I642" s="2"/>
      <c r="J642" s="2"/>
      <c r="K642" s="2"/>
      <c r="P642" s="2"/>
      <c r="Q642" s="2"/>
    </row>
    <row r="643" ht="15.75" customHeight="1">
      <c r="A643" s="2"/>
      <c r="B643" s="2"/>
      <c r="C643" s="2"/>
      <c r="D643" s="2"/>
      <c r="E643" s="2"/>
      <c r="F643" s="2"/>
      <c r="G643" s="2"/>
      <c r="H643" s="2"/>
      <c r="I643" s="2"/>
      <c r="J643" s="2"/>
      <c r="K643" s="2"/>
      <c r="P643" s="2"/>
      <c r="Q643" s="2"/>
    </row>
    <row r="644" ht="15.75" customHeight="1">
      <c r="A644" s="2"/>
      <c r="B644" s="2"/>
      <c r="C644" s="2"/>
      <c r="D644" s="2"/>
      <c r="E644" s="2"/>
      <c r="F644" s="2"/>
      <c r="G644" s="2"/>
      <c r="H644" s="2"/>
      <c r="I644" s="2"/>
      <c r="J644" s="2"/>
      <c r="K644" s="2"/>
      <c r="P644" s="2"/>
      <c r="Q644" s="2"/>
    </row>
    <row r="645" ht="15.75" customHeight="1">
      <c r="A645" s="2"/>
      <c r="B645" s="2"/>
      <c r="C645" s="2"/>
      <c r="D645" s="2"/>
      <c r="E645" s="2"/>
      <c r="F645" s="2"/>
      <c r="G645" s="2"/>
      <c r="H645" s="2"/>
      <c r="I645" s="2"/>
      <c r="J645" s="2"/>
      <c r="K645" s="2"/>
      <c r="P645" s="2"/>
      <c r="Q645" s="2"/>
    </row>
    <row r="646" ht="15.75" customHeight="1">
      <c r="A646" s="2"/>
      <c r="B646" s="2"/>
      <c r="C646" s="2"/>
      <c r="D646" s="2"/>
      <c r="E646" s="2"/>
      <c r="F646" s="2"/>
      <c r="G646" s="2"/>
      <c r="H646" s="2"/>
      <c r="I646" s="2"/>
      <c r="J646" s="2"/>
      <c r="K646" s="2"/>
      <c r="P646" s="2"/>
      <c r="Q646" s="2"/>
    </row>
    <row r="647" ht="15.75" customHeight="1">
      <c r="A647" s="2"/>
      <c r="B647" s="2"/>
      <c r="C647" s="2"/>
      <c r="D647" s="2"/>
      <c r="E647" s="2"/>
      <c r="F647" s="2"/>
      <c r="G647" s="2"/>
      <c r="H647" s="2"/>
      <c r="I647" s="2"/>
      <c r="J647" s="2"/>
      <c r="K647" s="2"/>
      <c r="P647" s="2"/>
      <c r="Q647" s="2"/>
    </row>
    <row r="648" ht="15.75" customHeight="1">
      <c r="A648" s="2"/>
      <c r="B648" s="2"/>
      <c r="C648" s="2"/>
      <c r="D648" s="2"/>
      <c r="E648" s="2"/>
      <c r="F648" s="2"/>
      <c r="G648" s="2"/>
      <c r="H648" s="2"/>
      <c r="I648" s="2"/>
      <c r="J648" s="2"/>
      <c r="K648" s="2"/>
      <c r="P648" s="2"/>
      <c r="Q648" s="2"/>
    </row>
    <row r="649" ht="15.75" customHeight="1">
      <c r="A649" s="2"/>
      <c r="B649" s="2"/>
      <c r="C649" s="2"/>
      <c r="D649" s="2"/>
      <c r="E649" s="2"/>
      <c r="F649" s="2"/>
      <c r="G649" s="2"/>
      <c r="H649" s="2"/>
      <c r="I649" s="2"/>
      <c r="J649" s="2"/>
      <c r="K649" s="2"/>
      <c r="P649" s="2"/>
      <c r="Q649" s="2"/>
    </row>
    <row r="650" ht="15.75" customHeight="1">
      <c r="A650" s="2"/>
      <c r="B650" s="2"/>
      <c r="C650" s="2"/>
      <c r="D650" s="2"/>
      <c r="E650" s="2"/>
      <c r="F650" s="2"/>
      <c r="G650" s="2"/>
      <c r="H650" s="2"/>
      <c r="I650" s="2"/>
      <c r="J650" s="2"/>
      <c r="K650" s="2"/>
      <c r="P650" s="2"/>
      <c r="Q650" s="2"/>
    </row>
    <row r="651" ht="15.75" customHeight="1">
      <c r="A651" s="2"/>
      <c r="B651" s="2"/>
      <c r="C651" s="2"/>
      <c r="D651" s="2"/>
      <c r="E651" s="2"/>
      <c r="F651" s="2"/>
      <c r="G651" s="2"/>
      <c r="H651" s="2"/>
      <c r="I651" s="2"/>
      <c r="J651" s="2"/>
      <c r="K651" s="2"/>
      <c r="P651" s="2"/>
      <c r="Q651" s="2"/>
    </row>
    <row r="652" ht="15.75" customHeight="1">
      <c r="A652" s="2"/>
      <c r="B652" s="2"/>
      <c r="C652" s="2"/>
      <c r="D652" s="2"/>
      <c r="E652" s="2"/>
      <c r="F652" s="2"/>
      <c r="G652" s="2"/>
      <c r="H652" s="2"/>
      <c r="I652" s="2"/>
      <c r="J652" s="2"/>
      <c r="K652" s="2"/>
      <c r="P652" s="2"/>
      <c r="Q652" s="2"/>
    </row>
    <row r="653" ht="15.75" customHeight="1">
      <c r="A653" s="2"/>
      <c r="B653" s="2"/>
      <c r="C653" s="2"/>
      <c r="D653" s="2"/>
      <c r="E653" s="2"/>
      <c r="F653" s="2"/>
      <c r="G653" s="2"/>
      <c r="H653" s="2"/>
      <c r="I653" s="2"/>
      <c r="J653" s="2"/>
      <c r="K653" s="2"/>
      <c r="P653" s="2"/>
      <c r="Q653" s="2"/>
    </row>
    <row r="654" ht="15.75" customHeight="1">
      <c r="A654" s="2"/>
      <c r="B654" s="2"/>
      <c r="C654" s="2"/>
      <c r="D654" s="2"/>
      <c r="E654" s="2"/>
      <c r="F654" s="2"/>
      <c r="G654" s="2"/>
      <c r="H654" s="2"/>
      <c r="I654" s="2"/>
      <c r="J654" s="2"/>
      <c r="K654" s="2"/>
      <c r="P654" s="2"/>
      <c r="Q654" s="2"/>
    </row>
    <row r="655" ht="15.75" customHeight="1">
      <c r="A655" s="2"/>
      <c r="B655" s="2"/>
      <c r="C655" s="2"/>
      <c r="D655" s="2"/>
      <c r="E655" s="2"/>
      <c r="F655" s="2"/>
      <c r="G655" s="2"/>
      <c r="H655" s="2"/>
      <c r="I655" s="2"/>
      <c r="J655" s="2"/>
      <c r="K655" s="2"/>
      <c r="P655" s="2"/>
      <c r="Q655" s="2"/>
    </row>
    <row r="656" ht="15.75" customHeight="1">
      <c r="A656" s="2"/>
      <c r="B656" s="2"/>
      <c r="C656" s="2"/>
      <c r="D656" s="2"/>
      <c r="E656" s="2"/>
      <c r="F656" s="2"/>
      <c r="G656" s="2"/>
      <c r="H656" s="2"/>
      <c r="I656" s="2"/>
      <c r="J656" s="2"/>
      <c r="K656" s="2"/>
      <c r="P656" s="2"/>
      <c r="Q656" s="2"/>
    </row>
    <row r="657" ht="15.75" customHeight="1">
      <c r="A657" s="2"/>
      <c r="B657" s="2"/>
      <c r="C657" s="2"/>
      <c r="D657" s="2"/>
      <c r="E657" s="2"/>
      <c r="F657" s="2"/>
      <c r="G657" s="2"/>
      <c r="H657" s="2"/>
      <c r="I657" s="2"/>
      <c r="J657" s="2"/>
      <c r="K657" s="2"/>
      <c r="P657" s="2"/>
      <c r="Q657" s="2"/>
    </row>
    <row r="658" ht="15.75" customHeight="1">
      <c r="A658" s="2"/>
      <c r="B658" s="2"/>
      <c r="C658" s="2"/>
      <c r="D658" s="2"/>
      <c r="E658" s="2"/>
      <c r="F658" s="2"/>
      <c r="G658" s="2"/>
      <c r="H658" s="2"/>
      <c r="I658" s="2"/>
      <c r="J658" s="2"/>
      <c r="K658" s="2"/>
      <c r="P658" s="2"/>
      <c r="Q658" s="2"/>
    </row>
    <row r="659" ht="15.75" customHeight="1">
      <c r="A659" s="2"/>
      <c r="B659" s="2"/>
      <c r="C659" s="2"/>
      <c r="D659" s="2"/>
      <c r="E659" s="2"/>
      <c r="F659" s="2"/>
      <c r="G659" s="2"/>
      <c r="H659" s="2"/>
      <c r="I659" s="2"/>
      <c r="J659" s="2"/>
      <c r="K659" s="2"/>
      <c r="P659" s="2"/>
      <c r="Q659" s="2"/>
    </row>
    <row r="660" ht="15.75" customHeight="1">
      <c r="A660" s="2"/>
      <c r="B660" s="2"/>
      <c r="C660" s="2"/>
      <c r="D660" s="2"/>
      <c r="E660" s="2"/>
      <c r="F660" s="2"/>
      <c r="G660" s="2"/>
      <c r="H660" s="2"/>
      <c r="I660" s="2"/>
      <c r="J660" s="2"/>
      <c r="K660" s="2"/>
      <c r="P660" s="2"/>
      <c r="Q660" s="2"/>
    </row>
    <row r="661" ht="15.75" customHeight="1">
      <c r="A661" s="2"/>
      <c r="B661" s="2"/>
      <c r="C661" s="2"/>
      <c r="D661" s="2"/>
      <c r="E661" s="2"/>
      <c r="F661" s="2"/>
      <c r="G661" s="2"/>
      <c r="H661" s="2"/>
      <c r="I661" s="2"/>
      <c r="J661" s="2"/>
      <c r="K661" s="2"/>
      <c r="P661" s="2"/>
      <c r="Q661" s="2"/>
    </row>
    <row r="662" ht="15.75" customHeight="1">
      <c r="A662" s="2"/>
      <c r="B662" s="2"/>
      <c r="C662" s="2"/>
      <c r="D662" s="2"/>
      <c r="E662" s="2"/>
      <c r="F662" s="2"/>
      <c r="G662" s="2"/>
      <c r="H662" s="2"/>
      <c r="I662" s="2"/>
      <c r="J662" s="2"/>
      <c r="K662" s="2"/>
      <c r="P662" s="2"/>
      <c r="Q662" s="2"/>
    </row>
    <row r="663" ht="15.75" customHeight="1">
      <c r="A663" s="2"/>
      <c r="B663" s="2"/>
      <c r="C663" s="2"/>
      <c r="D663" s="2"/>
      <c r="E663" s="2"/>
      <c r="F663" s="2"/>
      <c r="G663" s="2"/>
      <c r="H663" s="2"/>
      <c r="I663" s="2"/>
      <c r="J663" s="2"/>
      <c r="K663" s="2"/>
      <c r="P663" s="2"/>
      <c r="Q663" s="2"/>
    </row>
    <row r="664" ht="15.75" customHeight="1">
      <c r="A664" s="2"/>
      <c r="B664" s="2"/>
      <c r="C664" s="2"/>
      <c r="D664" s="2"/>
      <c r="E664" s="2"/>
      <c r="F664" s="2"/>
      <c r="G664" s="2"/>
      <c r="H664" s="2"/>
      <c r="I664" s="2"/>
      <c r="J664" s="2"/>
      <c r="K664" s="2"/>
      <c r="P664" s="2"/>
      <c r="Q664" s="2"/>
    </row>
    <row r="665" ht="15.75" customHeight="1">
      <c r="A665" s="2"/>
      <c r="B665" s="2"/>
      <c r="C665" s="2"/>
      <c r="D665" s="2"/>
      <c r="E665" s="2"/>
      <c r="F665" s="2"/>
      <c r="G665" s="2"/>
      <c r="H665" s="2"/>
      <c r="I665" s="2"/>
      <c r="J665" s="2"/>
      <c r="K665" s="2"/>
      <c r="P665" s="2"/>
      <c r="Q665" s="2"/>
    </row>
    <row r="666" ht="15.75" customHeight="1">
      <c r="A666" s="2"/>
      <c r="B666" s="2"/>
      <c r="C666" s="2"/>
      <c r="D666" s="2"/>
      <c r="E666" s="2"/>
      <c r="F666" s="2"/>
      <c r="G666" s="2"/>
      <c r="H666" s="2"/>
      <c r="I666" s="2"/>
      <c r="J666" s="2"/>
      <c r="K666" s="2"/>
      <c r="P666" s="2"/>
      <c r="Q666" s="2"/>
    </row>
    <row r="667" ht="15.75" customHeight="1">
      <c r="A667" s="2"/>
      <c r="B667" s="2"/>
      <c r="C667" s="2"/>
      <c r="D667" s="2"/>
      <c r="E667" s="2"/>
      <c r="F667" s="2"/>
      <c r="G667" s="2"/>
      <c r="H667" s="2"/>
      <c r="I667" s="2"/>
      <c r="J667" s="2"/>
      <c r="K667" s="2"/>
      <c r="P667" s="2"/>
      <c r="Q667" s="2"/>
    </row>
    <row r="668" ht="15.75" customHeight="1">
      <c r="A668" s="2"/>
      <c r="B668" s="2"/>
      <c r="C668" s="2"/>
      <c r="D668" s="2"/>
      <c r="E668" s="2"/>
      <c r="F668" s="2"/>
      <c r="G668" s="2"/>
      <c r="H668" s="2"/>
      <c r="I668" s="2"/>
      <c r="J668" s="2"/>
      <c r="K668" s="2"/>
      <c r="P668" s="2"/>
      <c r="Q668" s="2"/>
    </row>
    <row r="669" ht="15.75" customHeight="1">
      <c r="A669" s="2"/>
      <c r="B669" s="2"/>
      <c r="C669" s="2"/>
      <c r="D669" s="2"/>
      <c r="E669" s="2"/>
      <c r="F669" s="2"/>
      <c r="G669" s="2"/>
      <c r="H669" s="2"/>
      <c r="I669" s="2"/>
      <c r="J669" s="2"/>
      <c r="K669" s="2"/>
      <c r="P669" s="2"/>
      <c r="Q669" s="2"/>
    </row>
    <row r="670" ht="15.75" customHeight="1">
      <c r="A670" s="2"/>
      <c r="B670" s="2"/>
      <c r="C670" s="2"/>
      <c r="D670" s="2"/>
      <c r="E670" s="2"/>
      <c r="F670" s="2"/>
      <c r="G670" s="2"/>
      <c r="H670" s="2"/>
      <c r="I670" s="2"/>
      <c r="J670" s="2"/>
      <c r="K670" s="2"/>
      <c r="P670" s="2"/>
      <c r="Q670" s="2"/>
    </row>
    <row r="671" ht="15.75" customHeight="1">
      <c r="A671" s="2"/>
      <c r="B671" s="2"/>
      <c r="C671" s="2"/>
      <c r="D671" s="2"/>
      <c r="E671" s="2"/>
      <c r="F671" s="2"/>
      <c r="G671" s="2"/>
      <c r="H671" s="2"/>
      <c r="I671" s="2"/>
      <c r="J671" s="2"/>
      <c r="K671" s="2"/>
      <c r="P671" s="2"/>
      <c r="Q671" s="2"/>
    </row>
    <row r="672" ht="15.75" customHeight="1">
      <c r="A672" s="2"/>
      <c r="B672" s="2"/>
      <c r="C672" s="2"/>
      <c r="D672" s="2"/>
      <c r="E672" s="2"/>
      <c r="F672" s="2"/>
      <c r="G672" s="2"/>
      <c r="H672" s="2"/>
      <c r="I672" s="2"/>
      <c r="J672" s="2"/>
      <c r="K672" s="2"/>
      <c r="P672" s="2"/>
      <c r="Q672" s="2"/>
    </row>
    <row r="673" ht="15.75" customHeight="1">
      <c r="A673" s="2"/>
      <c r="B673" s="2"/>
      <c r="C673" s="2"/>
      <c r="D673" s="2"/>
      <c r="E673" s="2"/>
      <c r="F673" s="2"/>
      <c r="G673" s="2"/>
      <c r="H673" s="2"/>
      <c r="I673" s="2"/>
      <c r="J673" s="2"/>
      <c r="K673" s="2"/>
      <c r="P673" s="2"/>
      <c r="Q673" s="2"/>
    </row>
    <row r="674" ht="15.75" customHeight="1">
      <c r="A674" s="2"/>
      <c r="B674" s="2"/>
      <c r="C674" s="2"/>
      <c r="D674" s="2"/>
      <c r="E674" s="2"/>
      <c r="F674" s="2"/>
      <c r="G674" s="2"/>
      <c r="H674" s="2"/>
      <c r="I674" s="2"/>
      <c r="J674" s="2"/>
      <c r="K674" s="2"/>
      <c r="P674" s="2"/>
      <c r="Q674" s="2"/>
    </row>
    <row r="675" ht="15.75" customHeight="1">
      <c r="A675" s="2"/>
      <c r="B675" s="2"/>
      <c r="C675" s="2"/>
      <c r="D675" s="2"/>
      <c r="E675" s="2"/>
      <c r="F675" s="2"/>
      <c r="G675" s="2"/>
      <c r="H675" s="2"/>
      <c r="I675" s="2"/>
      <c r="J675" s="2"/>
      <c r="K675" s="2"/>
      <c r="P675" s="2"/>
      <c r="Q675" s="2"/>
    </row>
    <row r="676" ht="15.75" customHeight="1">
      <c r="A676" s="2"/>
      <c r="B676" s="2"/>
      <c r="C676" s="2"/>
      <c r="D676" s="2"/>
      <c r="E676" s="2"/>
      <c r="F676" s="2"/>
      <c r="G676" s="2"/>
      <c r="H676" s="2"/>
      <c r="I676" s="2"/>
      <c r="J676" s="2"/>
      <c r="K676" s="2"/>
      <c r="P676" s="2"/>
      <c r="Q676" s="2"/>
    </row>
    <row r="677" ht="15.75" customHeight="1">
      <c r="A677" s="2"/>
      <c r="B677" s="2"/>
      <c r="C677" s="2"/>
      <c r="D677" s="2"/>
      <c r="E677" s="2"/>
      <c r="F677" s="2"/>
      <c r="G677" s="2"/>
      <c r="H677" s="2"/>
      <c r="I677" s="2"/>
      <c r="J677" s="2"/>
      <c r="K677" s="2"/>
      <c r="P677" s="2"/>
      <c r="Q677" s="2"/>
    </row>
    <row r="678" ht="15.75" customHeight="1">
      <c r="A678" s="2"/>
      <c r="B678" s="2"/>
      <c r="C678" s="2"/>
      <c r="D678" s="2"/>
      <c r="E678" s="2"/>
      <c r="F678" s="2"/>
      <c r="G678" s="2"/>
      <c r="H678" s="2"/>
      <c r="I678" s="2"/>
      <c r="J678" s="2"/>
      <c r="K678" s="2"/>
      <c r="P678" s="2"/>
      <c r="Q678" s="2"/>
    </row>
    <row r="679" ht="15.75" customHeight="1">
      <c r="A679" s="2"/>
      <c r="B679" s="2"/>
      <c r="C679" s="2"/>
      <c r="D679" s="2"/>
      <c r="E679" s="2"/>
      <c r="F679" s="2"/>
      <c r="G679" s="2"/>
      <c r="H679" s="2"/>
      <c r="I679" s="2"/>
      <c r="J679" s="2"/>
      <c r="K679" s="2"/>
      <c r="P679" s="2"/>
      <c r="Q679" s="2"/>
    </row>
    <row r="680" ht="15.75" customHeight="1">
      <c r="A680" s="2"/>
      <c r="B680" s="2"/>
      <c r="C680" s="2"/>
      <c r="D680" s="2"/>
      <c r="E680" s="2"/>
      <c r="F680" s="2"/>
      <c r="G680" s="2"/>
      <c r="H680" s="2"/>
      <c r="I680" s="2"/>
      <c r="J680" s="2"/>
      <c r="K680" s="2"/>
      <c r="P680" s="2"/>
      <c r="Q680" s="2"/>
    </row>
    <row r="681" ht="15.75" customHeight="1">
      <c r="A681" s="2"/>
      <c r="B681" s="2"/>
      <c r="C681" s="2"/>
      <c r="D681" s="2"/>
      <c r="E681" s="2"/>
      <c r="F681" s="2"/>
      <c r="G681" s="2"/>
      <c r="H681" s="2"/>
      <c r="I681" s="2"/>
      <c r="J681" s="2"/>
      <c r="K681" s="2"/>
      <c r="P681" s="2"/>
      <c r="Q681" s="2"/>
    </row>
    <row r="682" ht="15.75" customHeight="1">
      <c r="A682" s="2"/>
      <c r="B682" s="2"/>
      <c r="C682" s="2"/>
      <c r="D682" s="2"/>
      <c r="E682" s="2"/>
      <c r="F682" s="2"/>
      <c r="G682" s="2"/>
      <c r="H682" s="2"/>
      <c r="I682" s="2"/>
      <c r="J682" s="2"/>
      <c r="K682" s="2"/>
      <c r="P682" s="2"/>
      <c r="Q682" s="2"/>
    </row>
    <row r="683" ht="15.75" customHeight="1">
      <c r="A683" s="2"/>
      <c r="B683" s="2"/>
      <c r="C683" s="2"/>
      <c r="D683" s="2"/>
      <c r="E683" s="2"/>
      <c r="F683" s="2"/>
      <c r="G683" s="2"/>
      <c r="H683" s="2"/>
      <c r="I683" s="2"/>
      <c r="J683" s="2"/>
      <c r="K683" s="2"/>
      <c r="P683" s="2"/>
      <c r="Q683" s="2"/>
    </row>
    <row r="684" ht="15.75" customHeight="1">
      <c r="A684" s="2"/>
      <c r="B684" s="2"/>
      <c r="C684" s="2"/>
      <c r="D684" s="2"/>
      <c r="E684" s="2"/>
      <c r="F684" s="2"/>
      <c r="G684" s="2"/>
      <c r="H684" s="2"/>
      <c r="I684" s="2"/>
      <c r="J684" s="2"/>
      <c r="K684" s="2"/>
      <c r="P684" s="2"/>
      <c r="Q684" s="2"/>
    </row>
    <row r="685" ht="15.75" customHeight="1">
      <c r="A685" s="2"/>
      <c r="B685" s="2"/>
      <c r="C685" s="2"/>
      <c r="D685" s="2"/>
      <c r="E685" s="2"/>
      <c r="F685" s="2"/>
      <c r="G685" s="2"/>
      <c r="H685" s="2"/>
      <c r="I685" s="2"/>
      <c r="J685" s="2"/>
      <c r="K685" s="2"/>
      <c r="P685" s="2"/>
      <c r="Q685" s="2"/>
    </row>
    <row r="686" ht="15.75" customHeight="1">
      <c r="A686" s="2"/>
      <c r="B686" s="2"/>
      <c r="C686" s="2"/>
      <c r="D686" s="2"/>
      <c r="E686" s="2"/>
      <c r="F686" s="2"/>
      <c r="G686" s="2"/>
      <c r="H686" s="2"/>
      <c r="I686" s="2"/>
      <c r="J686" s="2"/>
      <c r="K686" s="2"/>
      <c r="P686" s="2"/>
      <c r="Q686" s="2"/>
    </row>
    <row r="687" ht="15.75" customHeight="1">
      <c r="A687" s="2"/>
      <c r="B687" s="2"/>
      <c r="C687" s="2"/>
      <c r="D687" s="2"/>
      <c r="E687" s="2"/>
      <c r="F687" s="2"/>
      <c r="G687" s="2"/>
      <c r="H687" s="2"/>
      <c r="I687" s="2"/>
      <c r="J687" s="2"/>
      <c r="K687" s="2"/>
      <c r="P687" s="2"/>
      <c r="Q687" s="2"/>
    </row>
    <row r="688" ht="15.75" customHeight="1">
      <c r="A688" s="2"/>
      <c r="B688" s="2"/>
      <c r="C688" s="2"/>
      <c r="D688" s="2"/>
      <c r="E688" s="2"/>
      <c r="F688" s="2"/>
      <c r="G688" s="2"/>
      <c r="H688" s="2"/>
      <c r="I688" s="2"/>
      <c r="J688" s="2"/>
      <c r="K688" s="2"/>
      <c r="P688" s="2"/>
      <c r="Q688" s="2"/>
    </row>
    <row r="689" ht="15.75" customHeight="1">
      <c r="A689" s="2"/>
      <c r="B689" s="2"/>
      <c r="C689" s="2"/>
      <c r="D689" s="2"/>
      <c r="E689" s="2"/>
      <c r="F689" s="2"/>
      <c r="G689" s="2"/>
      <c r="H689" s="2"/>
      <c r="I689" s="2"/>
      <c r="J689" s="2"/>
      <c r="K689" s="2"/>
      <c r="P689" s="2"/>
      <c r="Q689" s="2"/>
    </row>
    <row r="690" ht="15.75" customHeight="1">
      <c r="A690" s="2"/>
      <c r="B690" s="2"/>
      <c r="C690" s="2"/>
      <c r="D690" s="2"/>
      <c r="E690" s="2"/>
      <c r="F690" s="2"/>
      <c r="G690" s="2"/>
      <c r="H690" s="2"/>
      <c r="I690" s="2"/>
      <c r="J690" s="2"/>
      <c r="K690" s="2"/>
      <c r="P690" s="2"/>
      <c r="Q690" s="2"/>
    </row>
    <row r="691" ht="15.75" customHeight="1">
      <c r="A691" s="2"/>
      <c r="B691" s="2"/>
      <c r="C691" s="2"/>
      <c r="D691" s="2"/>
      <c r="E691" s="2"/>
      <c r="F691" s="2"/>
      <c r="G691" s="2"/>
      <c r="H691" s="2"/>
      <c r="I691" s="2"/>
      <c r="J691" s="2"/>
      <c r="K691" s="2"/>
      <c r="P691" s="2"/>
      <c r="Q691" s="2"/>
    </row>
    <row r="692" ht="15.75" customHeight="1">
      <c r="A692" s="2"/>
      <c r="B692" s="2"/>
      <c r="C692" s="2"/>
      <c r="D692" s="2"/>
      <c r="E692" s="2"/>
      <c r="F692" s="2"/>
      <c r="G692" s="2"/>
      <c r="H692" s="2"/>
      <c r="I692" s="2"/>
      <c r="J692" s="2"/>
      <c r="K692" s="2"/>
      <c r="P692" s="2"/>
      <c r="Q692" s="2"/>
    </row>
    <row r="693" ht="15.75" customHeight="1">
      <c r="A693" s="2"/>
      <c r="B693" s="2"/>
      <c r="C693" s="2"/>
      <c r="D693" s="2"/>
      <c r="E693" s="2"/>
      <c r="F693" s="2"/>
      <c r="G693" s="2"/>
      <c r="H693" s="2"/>
      <c r="I693" s="2"/>
      <c r="J693" s="2"/>
      <c r="K693" s="2"/>
      <c r="P693" s="2"/>
      <c r="Q693" s="2"/>
    </row>
    <row r="694" ht="15.75" customHeight="1">
      <c r="A694" s="2"/>
      <c r="B694" s="2"/>
      <c r="C694" s="2"/>
      <c r="D694" s="2"/>
      <c r="E694" s="2"/>
      <c r="F694" s="2"/>
      <c r="G694" s="2"/>
      <c r="H694" s="2"/>
      <c r="I694" s="2"/>
      <c r="J694" s="2"/>
      <c r="K694" s="2"/>
      <c r="P694" s="2"/>
      <c r="Q694" s="2"/>
    </row>
    <row r="695" ht="15.75" customHeight="1">
      <c r="A695" s="2"/>
      <c r="B695" s="2"/>
      <c r="C695" s="2"/>
      <c r="D695" s="2"/>
      <c r="E695" s="2"/>
      <c r="F695" s="2"/>
      <c r="G695" s="2"/>
      <c r="H695" s="2"/>
      <c r="I695" s="2"/>
      <c r="J695" s="2"/>
      <c r="K695" s="2"/>
      <c r="P695" s="2"/>
      <c r="Q695" s="2"/>
    </row>
    <row r="696" ht="15.75" customHeight="1">
      <c r="A696" s="2"/>
      <c r="B696" s="2"/>
      <c r="C696" s="2"/>
      <c r="D696" s="2"/>
      <c r="E696" s="2"/>
      <c r="F696" s="2"/>
      <c r="G696" s="2"/>
      <c r="H696" s="2"/>
      <c r="I696" s="2"/>
      <c r="J696" s="2"/>
      <c r="K696" s="2"/>
      <c r="P696" s="2"/>
      <c r="Q696" s="2"/>
    </row>
    <row r="697" ht="15.75" customHeight="1">
      <c r="A697" s="2"/>
      <c r="B697" s="2"/>
      <c r="C697" s="2"/>
      <c r="D697" s="2"/>
      <c r="E697" s="2"/>
      <c r="F697" s="2"/>
      <c r="G697" s="2"/>
      <c r="H697" s="2"/>
      <c r="I697" s="2"/>
      <c r="J697" s="2"/>
      <c r="K697" s="2"/>
      <c r="P697" s="2"/>
      <c r="Q697" s="2"/>
    </row>
    <row r="698" ht="15.75" customHeight="1">
      <c r="A698" s="2"/>
      <c r="B698" s="2"/>
      <c r="C698" s="2"/>
      <c r="D698" s="2"/>
      <c r="E698" s="2"/>
      <c r="F698" s="2"/>
      <c r="G698" s="2"/>
      <c r="H698" s="2"/>
      <c r="I698" s="2"/>
      <c r="J698" s="2"/>
      <c r="K698" s="2"/>
      <c r="P698" s="2"/>
      <c r="Q698" s="2"/>
    </row>
    <row r="699" ht="15.75" customHeight="1">
      <c r="A699" s="2"/>
      <c r="B699" s="2"/>
      <c r="C699" s="2"/>
      <c r="D699" s="2"/>
      <c r="E699" s="2"/>
      <c r="F699" s="2"/>
      <c r="G699" s="2"/>
      <c r="H699" s="2"/>
      <c r="I699" s="2"/>
      <c r="J699" s="2"/>
      <c r="K699" s="2"/>
      <c r="P699" s="2"/>
      <c r="Q699" s="2"/>
    </row>
    <row r="700" ht="15.75" customHeight="1">
      <c r="A700" s="2"/>
      <c r="B700" s="2"/>
      <c r="C700" s="2"/>
      <c r="D700" s="2"/>
      <c r="E700" s="2"/>
      <c r="F700" s="2"/>
      <c r="G700" s="2"/>
      <c r="H700" s="2"/>
      <c r="I700" s="2"/>
      <c r="J700" s="2"/>
      <c r="K700" s="2"/>
      <c r="P700" s="2"/>
      <c r="Q700" s="2"/>
    </row>
    <row r="701" ht="15.75" customHeight="1">
      <c r="A701" s="2"/>
      <c r="B701" s="2"/>
      <c r="C701" s="2"/>
      <c r="D701" s="2"/>
      <c r="E701" s="2"/>
      <c r="F701" s="2"/>
      <c r="G701" s="2"/>
      <c r="H701" s="2"/>
      <c r="I701" s="2"/>
      <c r="J701" s="2"/>
      <c r="K701" s="2"/>
      <c r="P701" s="2"/>
      <c r="Q701" s="2"/>
    </row>
    <row r="702" ht="15.75" customHeight="1">
      <c r="A702" s="2"/>
      <c r="B702" s="2"/>
      <c r="C702" s="2"/>
      <c r="D702" s="2"/>
      <c r="E702" s="2"/>
      <c r="F702" s="2"/>
      <c r="G702" s="2"/>
      <c r="H702" s="2"/>
      <c r="I702" s="2"/>
      <c r="J702" s="2"/>
      <c r="K702" s="2"/>
      <c r="P702" s="2"/>
      <c r="Q702" s="2"/>
    </row>
    <row r="703" ht="15.75" customHeight="1">
      <c r="A703" s="2"/>
      <c r="B703" s="2"/>
      <c r="C703" s="2"/>
      <c r="D703" s="2"/>
      <c r="E703" s="2"/>
      <c r="F703" s="2"/>
      <c r="G703" s="2"/>
      <c r="H703" s="2"/>
      <c r="I703" s="2"/>
      <c r="J703" s="2"/>
      <c r="K703" s="2"/>
      <c r="P703" s="2"/>
      <c r="Q703" s="2"/>
    </row>
    <row r="704" ht="15.75" customHeight="1">
      <c r="A704" s="2"/>
      <c r="B704" s="2"/>
      <c r="C704" s="2"/>
      <c r="D704" s="2"/>
      <c r="E704" s="2"/>
      <c r="F704" s="2"/>
      <c r="G704" s="2"/>
      <c r="H704" s="2"/>
      <c r="I704" s="2"/>
      <c r="J704" s="2"/>
      <c r="K704" s="2"/>
      <c r="P704" s="2"/>
      <c r="Q704" s="2"/>
    </row>
    <row r="705" ht="15.75" customHeight="1">
      <c r="A705" s="2"/>
      <c r="B705" s="2"/>
      <c r="C705" s="2"/>
      <c r="D705" s="2"/>
      <c r="E705" s="2"/>
      <c r="F705" s="2"/>
      <c r="G705" s="2"/>
      <c r="H705" s="2"/>
      <c r="I705" s="2"/>
      <c r="J705" s="2"/>
      <c r="K705" s="2"/>
      <c r="P705" s="2"/>
      <c r="Q705" s="2"/>
    </row>
    <row r="706" ht="15.75" customHeight="1">
      <c r="A706" s="2"/>
      <c r="B706" s="2"/>
      <c r="C706" s="2"/>
      <c r="D706" s="2"/>
      <c r="E706" s="2"/>
      <c r="F706" s="2"/>
      <c r="G706" s="2"/>
      <c r="H706" s="2"/>
      <c r="I706" s="2"/>
      <c r="J706" s="2"/>
      <c r="K706" s="2"/>
      <c r="P706" s="2"/>
      <c r="Q706" s="2"/>
    </row>
    <row r="707" ht="15.75" customHeight="1">
      <c r="A707" s="2"/>
      <c r="B707" s="2"/>
      <c r="C707" s="2"/>
      <c r="D707" s="2"/>
      <c r="E707" s="2"/>
      <c r="F707" s="2"/>
      <c r="G707" s="2"/>
      <c r="H707" s="2"/>
      <c r="I707" s="2"/>
      <c r="J707" s="2"/>
      <c r="K707" s="2"/>
      <c r="P707" s="2"/>
      <c r="Q707" s="2"/>
    </row>
    <row r="708" ht="15.75" customHeight="1">
      <c r="A708" s="2"/>
      <c r="B708" s="2"/>
      <c r="C708" s="2"/>
      <c r="D708" s="2"/>
      <c r="E708" s="2"/>
      <c r="F708" s="2"/>
      <c r="G708" s="2"/>
      <c r="H708" s="2"/>
      <c r="I708" s="2"/>
      <c r="J708" s="2"/>
      <c r="K708" s="2"/>
      <c r="P708" s="2"/>
      <c r="Q708" s="2"/>
    </row>
    <row r="709" ht="15.75" customHeight="1">
      <c r="A709" s="2"/>
      <c r="B709" s="2"/>
      <c r="C709" s="2"/>
      <c r="D709" s="2"/>
      <c r="E709" s="2"/>
      <c r="F709" s="2"/>
      <c r="G709" s="2"/>
      <c r="H709" s="2"/>
      <c r="I709" s="2"/>
      <c r="J709" s="2"/>
      <c r="K709" s="2"/>
      <c r="P709" s="2"/>
      <c r="Q709" s="2"/>
    </row>
    <row r="710" ht="15.75" customHeight="1">
      <c r="A710" s="2"/>
      <c r="B710" s="2"/>
      <c r="C710" s="2"/>
      <c r="D710" s="2"/>
      <c r="E710" s="2"/>
      <c r="F710" s="2"/>
      <c r="G710" s="2"/>
      <c r="H710" s="2"/>
      <c r="I710" s="2"/>
      <c r="J710" s="2"/>
      <c r="K710" s="2"/>
      <c r="P710" s="2"/>
      <c r="Q710" s="2"/>
    </row>
    <row r="711" ht="15.75" customHeight="1">
      <c r="A711" s="2"/>
      <c r="B711" s="2"/>
      <c r="C711" s="2"/>
      <c r="D711" s="2"/>
      <c r="E711" s="2"/>
      <c r="F711" s="2"/>
      <c r="G711" s="2"/>
      <c r="H711" s="2"/>
      <c r="I711" s="2"/>
      <c r="J711" s="2"/>
      <c r="K711" s="2"/>
      <c r="P711" s="2"/>
      <c r="Q711" s="2"/>
    </row>
    <row r="712" ht="15.75" customHeight="1">
      <c r="A712" s="2"/>
      <c r="B712" s="2"/>
      <c r="C712" s="2"/>
      <c r="D712" s="2"/>
      <c r="E712" s="2"/>
      <c r="F712" s="2"/>
      <c r="G712" s="2"/>
      <c r="H712" s="2"/>
      <c r="I712" s="2"/>
      <c r="J712" s="2"/>
      <c r="K712" s="2"/>
      <c r="P712" s="2"/>
      <c r="Q712" s="2"/>
    </row>
    <row r="713" ht="15.75" customHeight="1">
      <c r="A713" s="2"/>
      <c r="B713" s="2"/>
      <c r="C713" s="2"/>
      <c r="D713" s="2"/>
      <c r="E713" s="2"/>
      <c r="F713" s="2"/>
      <c r="G713" s="2"/>
      <c r="H713" s="2"/>
      <c r="I713" s="2"/>
      <c r="J713" s="2"/>
      <c r="K713" s="2"/>
      <c r="P713" s="2"/>
      <c r="Q713" s="2"/>
    </row>
    <row r="714" ht="15.75" customHeight="1">
      <c r="A714" s="2"/>
      <c r="B714" s="2"/>
      <c r="C714" s="2"/>
      <c r="D714" s="2"/>
      <c r="E714" s="2"/>
      <c r="F714" s="2"/>
      <c r="G714" s="2"/>
      <c r="H714" s="2"/>
      <c r="I714" s="2"/>
      <c r="J714" s="2"/>
      <c r="K714" s="2"/>
      <c r="P714" s="2"/>
      <c r="Q714" s="2"/>
    </row>
    <row r="715" ht="15.75" customHeight="1">
      <c r="A715" s="2"/>
      <c r="B715" s="2"/>
      <c r="C715" s="2"/>
      <c r="D715" s="2"/>
      <c r="E715" s="2"/>
      <c r="F715" s="2"/>
      <c r="G715" s="2"/>
      <c r="H715" s="2"/>
      <c r="I715" s="2"/>
      <c r="J715" s="2"/>
      <c r="K715" s="2"/>
      <c r="P715" s="2"/>
      <c r="Q715" s="2"/>
    </row>
    <row r="716" ht="15.75" customHeight="1">
      <c r="A716" s="2"/>
      <c r="B716" s="2"/>
      <c r="C716" s="2"/>
      <c r="D716" s="2"/>
      <c r="E716" s="2"/>
      <c r="F716" s="2"/>
      <c r="G716" s="2"/>
      <c r="H716" s="2"/>
      <c r="I716" s="2"/>
      <c r="J716" s="2"/>
      <c r="K716" s="2"/>
      <c r="P716" s="2"/>
      <c r="Q716" s="2"/>
    </row>
    <row r="717" ht="15.75" customHeight="1">
      <c r="A717" s="2"/>
      <c r="B717" s="2"/>
      <c r="C717" s="2"/>
      <c r="D717" s="2"/>
      <c r="E717" s="2"/>
      <c r="F717" s="2"/>
      <c r="G717" s="2"/>
      <c r="H717" s="2"/>
      <c r="I717" s="2"/>
      <c r="J717" s="2"/>
      <c r="K717" s="2"/>
      <c r="P717" s="2"/>
      <c r="Q717" s="2"/>
    </row>
    <row r="718" ht="15.75" customHeight="1">
      <c r="A718" s="2"/>
      <c r="B718" s="2"/>
      <c r="C718" s="2"/>
      <c r="D718" s="2"/>
      <c r="E718" s="2"/>
      <c r="F718" s="2"/>
      <c r="G718" s="2"/>
      <c r="H718" s="2"/>
      <c r="I718" s="2"/>
      <c r="J718" s="2"/>
      <c r="K718" s="2"/>
      <c r="P718" s="2"/>
      <c r="Q718" s="2"/>
    </row>
    <row r="719" ht="15.75" customHeight="1">
      <c r="A719" s="2"/>
      <c r="B719" s="2"/>
      <c r="C719" s="2"/>
      <c r="D719" s="2"/>
      <c r="E719" s="2"/>
      <c r="F719" s="2"/>
      <c r="G719" s="2"/>
      <c r="H719" s="2"/>
      <c r="I719" s="2"/>
      <c r="J719" s="2"/>
      <c r="K719" s="2"/>
      <c r="P719" s="2"/>
      <c r="Q719" s="2"/>
    </row>
    <row r="720" ht="15.75" customHeight="1">
      <c r="A720" s="2"/>
      <c r="B720" s="2"/>
      <c r="C720" s="2"/>
      <c r="D720" s="2"/>
      <c r="E720" s="2"/>
      <c r="F720" s="2"/>
      <c r="G720" s="2"/>
      <c r="H720" s="2"/>
      <c r="I720" s="2"/>
      <c r="J720" s="2"/>
      <c r="K720" s="2"/>
      <c r="P720" s="2"/>
      <c r="Q720" s="2"/>
    </row>
    <row r="721" ht="15.75" customHeight="1">
      <c r="A721" s="2"/>
      <c r="B721" s="2"/>
      <c r="C721" s="2"/>
      <c r="D721" s="2"/>
      <c r="E721" s="2"/>
      <c r="F721" s="2"/>
      <c r="G721" s="2"/>
      <c r="H721" s="2"/>
      <c r="I721" s="2"/>
      <c r="J721" s="2"/>
      <c r="K721" s="2"/>
      <c r="P721" s="2"/>
      <c r="Q721" s="2"/>
    </row>
    <row r="722" ht="15.75" customHeight="1">
      <c r="A722" s="2"/>
      <c r="B722" s="2"/>
      <c r="C722" s="2"/>
      <c r="D722" s="2"/>
      <c r="E722" s="2"/>
      <c r="F722" s="2"/>
      <c r="G722" s="2"/>
      <c r="H722" s="2"/>
      <c r="I722" s="2"/>
      <c r="J722" s="2"/>
      <c r="K722" s="2"/>
      <c r="P722" s="2"/>
      <c r="Q722" s="2"/>
    </row>
    <row r="723" ht="15.75" customHeight="1">
      <c r="A723" s="2"/>
      <c r="B723" s="2"/>
      <c r="C723" s="2"/>
      <c r="D723" s="2"/>
      <c r="E723" s="2"/>
      <c r="F723" s="2"/>
      <c r="G723" s="2"/>
      <c r="H723" s="2"/>
      <c r="I723" s="2"/>
      <c r="J723" s="2"/>
      <c r="K723" s="2"/>
      <c r="P723" s="2"/>
      <c r="Q723" s="2"/>
    </row>
    <row r="724" ht="15.75" customHeight="1">
      <c r="A724" s="2"/>
      <c r="B724" s="2"/>
      <c r="C724" s="2"/>
      <c r="D724" s="2"/>
      <c r="E724" s="2"/>
      <c r="F724" s="2"/>
      <c r="G724" s="2"/>
      <c r="H724" s="2"/>
      <c r="I724" s="2"/>
      <c r="J724" s="2"/>
      <c r="K724" s="2"/>
      <c r="P724" s="2"/>
      <c r="Q724" s="2"/>
    </row>
    <row r="725" ht="15.75" customHeight="1">
      <c r="A725" s="2"/>
      <c r="B725" s="2"/>
      <c r="C725" s="2"/>
      <c r="D725" s="2"/>
      <c r="E725" s="2"/>
      <c r="F725" s="2"/>
      <c r="G725" s="2"/>
      <c r="H725" s="2"/>
      <c r="I725" s="2"/>
      <c r="J725" s="2"/>
      <c r="K725" s="2"/>
      <c r="P725" s="2"/>
      <c r="Q725" s="2"/>
    </row>
    <row r="726" ht="15.75" customHeight="1">
      <c r="A726" s="2"/>
      <c r="B726" s="2"/>
      <c r="C726" s="2"/>
      <c r="D726" s="2"/>
      <c r="E726" s="2"/>
      <c r="F726" s="2"/>
      <c r="G726" s="2"/>
      <c r="H726" s="2"/>
      <c r="I726" s="2"/>
      <c r="J726" s="2"/>
      <c r="K726" s="2"/>
      <c r="P726" s="2"/>
      <c r="Q726" s="2"/>
    </row>
    <row r="727" ht="15.75" customHeight="1">
      <c r="A727" s="2"/>
      <c r="B727" s="2"/>
      <c r="C727" s="2"/>
      <c r="D727" s="2"/>
      <c r="E727" s="2"/>
      <c r="F727" s="2"/>
      <c r="G727" s="2"/>
      <c r="H727" s="2"/>
      <c r="I727" s="2"/>
      <c r="J727" s="2"/>
      <c r="K727" s="2"/>
      <c r="P727" s="2"/>
      <c r="Q727" s="2"/>
    </row>
    <row r="728" ht="15.75" customHeight="1">
      <c r="A728" s="2"/>
      <c r="B728" s="2"/>
      <c r="C728" s="2"/>
      <c r="D728" s="2"/>
      <c r="E728" s="2"/>
      <c r="F728" s="2"/>
      <c r="G728" s="2"/>
      <c r="H728" s="2"/>
      <c r="I728" s="2"/>
      <c r="J728" s="2"/>
      <c r="K728" s="2"/>
      <c r="P728" s="2"/>
      <c r="Q728" s="2"/>
    </row>
    <row r="729" ht="15.75" customHeight="1">
      <c r="A729" s="2"/>
      <c r="B729" s="2"/>
      <c r="C729" s="2"/>
      <c r="D729" s="2"/>
      <c r="E729" s="2"/>
      <c r="F729" s="2"/>
      <c r="G729" s="2"/>
      <c r="H729" s="2"/>
      <c r="I729" s="2"/>
      <c r="J729" s="2"/>
      <c r="K729" s="2"/>
      <c r="P729" s="2"/>
      <c r="Q729" s="2"/>
    </row>
    <row r="730" ht="15.75" customHeight="1">
      <c r="A730" s="2"/>
      <c r="B730" s="2"/>
      <c r="C730" s="2"/>
      <c r="D730" s="2"/>
      <c r="E730" s="2"/>
      <c r="F730" s="2"/>
      <c r="G730" s="2"/>
      <c r="H730" s="2"/>
      <c r="I730" s="2"/>
      <c r="J730" s="2"/>
      <c r="K730" s="2"/>
      <c r="P730" s="2"/>
      <c r="Q730" s="2"/>
    </row>
    <row r="731" ht="15.75" customHeight="1">
      <c r="A731" s="2"/>
      <c r="B731" s="2"/>
      <c r="C731" s="2"/>
      <c r="D731" s="2"/>
      <c r="E731" s="2"/>
      <c r="F731" s="2"/>
      <c r="G731" s="2"/>
      <c r="H731" s="2"/>
      <c r="I731" s="2"/>
      <c r="J731" s="2"/>
      <c r="K731" s="2"/>
      <c r="P731" s="2"/>
      <c r="Q731" s="2"/>
    </row>
    <row r="732" ht="15.75" customHeight="1">
      <c r="A732" s="2"/>
      <c r="B732" s="2"/>
      <c r="C732" s="2"/>
      <c r="D732" s="2"/>
      <c r="E732" s="2"/>
      <c r="F732" s="2"/>
      <c r="G732" s="2"/>
      <c r="H732" s="2"/>
      <c r="I732" s="2"/>
      <c r="J732" s="2"/>
      <c r="K732" s="2"/>
      <c r="P732" s="2"/>
      <c r="Q732" s="2"/>
    </row>
    <row r="733" ht="15.75" customHeight="1">
      <c r="A733" s="2"/>
      <c r="B733" s="2"/>
      <c r="C733" s="2"/>
      <c r="D733" s="2"/>
      <c r="E733" s="2"/>
      <c r="F733" s="2"/>
      <c r="G733" s="2"/>
      <c r="H733" s="2"/>
      <c r="I733" s="2"/>
      <c r="J733" s="2"/>
      <c r="K733" s="2"/>
      <c r="P733" s="2"/>
      <c r="Q733" s="2"/>
    </row>
    <row r="734" ht="15.75" customHeight="1">
      <c r="A734" s="2"/>
      <c r="B734" s="2"/>
      <c r="C734" s="2"/>
      <c r="D734" s="2"/>
      <c r="E734" s="2"/>
      <c r="F734" s="2"/>
      <c r="G734" s="2"/>
      <c r="H734" s="2"/>
      <c r="I734" s="2"/>
      <c r="J734" s="2"/>
      <c r="K734" s="2"/>
      <c r="P734" s="2"/>
      <c r="Q734" s="2"/>
    </row>
    <row r="735" ht="15.75" customHeight="1">
      <c r="A735" s="2"/>
      <c r="B735" s="2"/>
      <c r="C735" s="2"/>
      <c r="D735" s="2"/>
      <c r="E735" s="2"/>
      <c r="F735" s="2"/>
      <c r="G735" s="2"/>
      <c r="H735" s="2"/>
      <c r="I735" s="2"/>
      <c r="J735" s="2"/>
      <c r="K735" s="2"/>
      <c r="P735" s="2"/>
      <c r="Q735" s="2"/>
    </row>
    <row r="736" ht="15.75" customHeight="1">
      <c r="A736" s="2"/>
      <c r="B736" s="2"/>
      <c r="C736" s="2"/>
      <c r="D736" s="2"/>
      <c r="E736" s="2"/>
      <c r="F736" s="2"/>
      <c r="G736" s="2"/>
      <c r="H736" s="2"/>
      <c r="I736" s="2"/>
      <c r="J736" s="2"/>
      <c r="K736" s="2"/>
      <c r="P736" s="2"/>
      <c r="Q736" s="2"/>
    </row>
    <row r="737" ht="15.75" customHeight="1">
      <c r="A737" s="2"/>
      <c r="B737" s="2"/>
      <c r="C737" s="2"/>
      <c r="D737" s="2"/>
      <c r="E737" s="2"/>
      <c r="F737" s="2"/>
      <c r="G737" s="2"/>
      <c r="H737" s="2"/>
      <c r="I737" s="2"/>
      <c r="J737" s="2"/>
      <c r="K737" s="2"/>
      <c r="P737" s="2"/>
      <c r="Q737" s="2"/>
    </row>
    <row r="738" ht="15.75" customHeight="1">
      <c r="A738" s="2"/>
      <c r="B738" s="2"/>
      <c r="C738" s="2"/>
      <c r="D738" s="2"/>
      <c r="E738" s="2"/>
      <c r="F738" s="2"/>
      <c r="G738" s="2"/>
      <c r="H738" s="2"/>
      <c r="I738" s="2"/>
      <c r="J738" s="2"/>
      <c r="K738" s="2"/>
      <c r="P738" s="2"/>
      <c r="Q738" s="2"/>
    </row>
    <row r="739" ht="15.75" customHeight="1">
      <c r="A739" s="2"/>
      <c r="B739" s="2"/>
      <c r="C739" s="2"/>
      <c r="D739" s="2"/>
      <c r="E739" s="2"/>
      <c r="F739" s="2"/>
      <c r="G739" s="2"/>
      <c r="H739" s="2"/>
      <c r="I739" s="2"/>
      <c r="J739" s="2"/>
      <c r="K739" s="2"/>
      <c r="P739" s="2"/>
      <c r="Q739" s="2"/>
    </row>
    <row r="740" ht="15.75" customHeight="1">
      <c r="A740" s="2"/>
      <c r="B740" s="2"/>
      <c r="C740" s="2"/>
      <c r="D740" s="2"/>
      <c r="E740" s="2"/>
      <c r="F740" s="2"/>
      <c r="G740" s="2"/>
      <c r="H740" s="2"/>
      <c r="I740" s="2"/>
      <c r="J740" s="2"/>
      <c r="K740" s="2"/>
      <c r="P740" s="2"/>
      <c r="Q740" s="2"/>
    </row>
    <row r="741" ht="15.75" customHeight="1">
      <c r="A741" s="2"/>
      <c r="B741" s="2"/>
      <c r="C741" s="2"/>
      <c r="D741" s="2"/>
      <c r="E741" s="2"/>
      <c r="F741" s="2"/>
      <c r="G741" s="2"/>
      <c r="H741" s="2"/>
      <c r="I741" s="2"/>
      <c r="J741" s="2"/>
      <c r="K741" s="2"/>
      <c r="P741" s="2"/>
      <c r="Q741" s="2"/>
    </row>
    <row r="742" ht="15.75" customHeight="1">
      <c r="A742" s="2"/>
      <c r="B742" s="2"/>
      <c r="C742" s="2"/>
      <c r="D742" s="2"/>
      <c r="E742" s="2"/>
      <c r="F742" s="2"/>
      <c r="G742" s="2"/>
      <c r="H742" s="2"/>
      <c r="I742" s="2"/>
      <c r="J742" s="2"/>
      <c r="K742" s="2"/>
      <c r="P742" s="2"/>
      <c r="Q742" s="2"/>
    </row>
    <row r="743" ht="15.75" customHeight="1">
      <c r="A743" s="2"/>
      <c r="B743" s="2"/>
      <c r="C743" s="2"/>
      <c r="D743" s="2"/>
      <c r="E743" s="2"/>
      <c r="F743" s="2"/>
      <c r="G743" s="2"/>
      <c r="H743" s="2"/>
      <c r="I743" s="2"/>
      <c r="J743" s="2"/>
      <c r="K743" s="2"/>
      <c r="P743" s="2"/>
      <c r="Q743" s="2"/>
    </row>
    <row r="744" ht="15.75" customHeight="1">
      <c r="A744" s="2"/>
      <c r="B744" s="2"/>
      <c r="C744" s="2"/>
      <c r="D744" s="2"/>
      <c r="E744" s="2"/>
      <c r="F744" s="2"/>
      <c r="G744" s="2"/>
      <c r="H744" s="2"/>
      <c r="I744" s="2"/>
      <c r="J744" s="2"/>
      <c r="K744" s="2"/>
      <c r="P744" s="2"/>
      <c r="Q744" s="2"/>
    </row>
    <row r="745" ht="15.75" customHeight="1">
      <c r="A745" s="2"/>
      <c r="B745" s="2"/>
      <c r="C745" s="2"/>
      <c r="D745" s="2"/>
      <c r="E745" s="2"/>
      <c r="F745" s="2"/>
      <c r="G745" s="2"/>
      <c r="H745" s="2"/>
      <c r="I745" s="2"/>
      <c r="J745" s="2"/>
      <c r="K745" s="2"/>
      <c r="P745" s="2"/>
      <c r="Q745" s="2"/>
    </row>
    <row r="746" ht="15.75" customHeight="1">
      <c r="A746" s="2"/>
      <c r="B746" s="2"/>
      <c r="C746" s="2"/>
      <c r="D746" s="2"/>
      <c r="E746" s="2"/>
      <c r="F746" s="2"/>
      <c r="G746" s="2"/>
      <c r="H746" s="2"/>
      <c r="I746" s="2"/>
      <c r="J746" s="2"/>
      <c r="K746" s="2"/>
      <c r="P746" s="2"/>
      <c r="Q746" s="2"/>
    </row>
    <row r="747" ht="15.75" customHeight="1">
      <c r="A747" s="2"/>
      <c r="B747" s="2"/>
      <c r="C747" s="2"/>
      <c r="D747" s="2"/>
      <c r="E747" s="2"/>
      <c r="F747" s="2"/>
      <c r="G747" s="2"/>
      <c r="H747" s="2"/>
      <c r="I747" s="2"/>
      <c r="J747" s="2"/>
      <c r="K747" s="2"/>
      <c r="P747" s="2"/>
      <c r="Q747" s="2"/>
    </row>
    <row r="748" ht="15.75" customHeight="1">
      <c r="A748" s="2"/>
      <c r="B748" s="2"/>
      <c r="C748" s="2"/>
      <c r="D748" s="2"/>
      <c r="E748" s="2"/>
      <c r="F748" s="2"/>
      <c r="G748" s="2"/>
      <c r="H748" s="2"/>
      <c r="I748" s="2"/>
      <c r="J748" s="2"/>
      <c r="K748" s="2"/>
      <c r="P748" s="2"/>
      <c r="Q748" s="2"/>
    </row>
    <row r="749" ht="15.75" customHeight="1">
      <c r="A749" s="2"/>
      <c r="B749" s="2"/>
      <c r="C749" s="2"/>
      <c r="D749" s="2"/>
      <c r="E749" s="2"/>
      <c r="F749" s="2"/>
      <c r="G749" s="2"/>
      <c r="H749" s="2"/>
      <c r="I749" s="2"/>
      <c r="J749" s="2"/>
      <c r="K749" s="2"/>
      <c r="P749" s="2"/>
      <c r="Q749" s="2"/>
    </row>
    <row r="750" ht="15.75" customHeight="1">
      <c r="A750" s="2"/>
      <c r="B750" s="2"/>
      <c r="C750" s="2"/>
      <c r="D750" s="2"/>
      <c r="E750" s="2"/>
      <c r="F750" s="2"/>
      <c r="G750" s="2"/>
      <c r="H750" s="2"/>
      <c r="I750" s="2"/>
      <c r="J750" s="2"/>
      <c r="K750" s="2"/>
      <c r="P750" s="2"/>
      <c r="Q750" s="2"/>
    </row>
    <row r="751" ht="15.75" customHeight="1">
      <c r="A751" s="2"/>
      <c r="B751" s="2"/>
      <c r="C751" s="2"/>
      <c r="D751" s="2"/>
      <c r="E751" s="2"/>
      <c r="F751" s="2"/>
      <c r="G751" s="2"/>
      <c r="H751" s="2"/>
      <c r="I751" s="2"/>
      <c r="J751" s="2"/>
      <c r="K751" s="2"/>
      <c r="P751" s="2"/>
      <c r="Q751" s="2"/>
    </row>
    <row r="752" ht="15.75" customHeight="1">
      <c r="A752" s="2"/>
      <c r="B752" s="2"/>
      <c r="C752" s="2"/>
      <c r="D752" s="2"/>
      <c r="E752" s="2"/>
      <c r="F752" s="2"/>
      <c r="G752" s="2"/>
      <c r="H752" s="2"/>
      <c r="I752" s="2"/>
      <c r="J752" s="2"/>
      <c r="K752" s="2"/>
      <c r="P752" s="2"/>
      <c r="Q752" s="2"/>
    </row>
    <row r="753" ht="15.75" customHeight="1">
      <c r="A753" s="2"/>
      <c r="B753" s="2"/>
      <c r="C753" s="2"/>
      <c r="D753" s="2"/>
      <c r="E753" s="2"/>
      <c r="F753" s="2"/>
      <c r="G753" s="2"/>
      <c r="H753" s="2"/>
      <c r="I753" s="2"/>
      <c r="J753" s="2"/>
      <c r="K753" s="2"/>
      <c r="P753" s="2"/>
      <c r="Q753" s="2"/>
    </row>
    <row r="754" ht="15.75" customHeight="1">
      <c r="A754" s="2"/>
      <c r="B754" s="2"/>
      <c r="C754" s="2"/>
      <c r="D754" s="2"/>
      <c r="E754" s="2"/>
      <c r="F754" s="2"/>
      <c r="G754" s="2"/>
      <c r="H754" s="2"/>
      <c r="I754" s="2"/>
      <c r="J754" s="2"/>
      <c r="K754" s="2"/>
      <c r="P754" s="2"/>
      <c r="Q754" s="2"/>
    </row>
    <row r="755" ht="15.75" customHeight="1">
      <c r="A755" s="2"/>
      <c r="B755" s="2"/>
      <c r="C755" s="2"/>
      <c r="D755" s="2"/>
      <c r="E755" s="2"/>
      <c r="F755" s="2"/>
      <c r="G755" s="2"/>
      <c r="H755" s="2"/>
      <c r="I755" s="2"/>
      <c r="J755" s="2"/>
      <c r="K755" s="2"/>
      <c r="P755" s="2"/>
      <c r="Q755" s="2"/>
    </row>
    <row r="756" ht="15.75" customHeight="1">
      <c r="A756" s="2"/>
      <c r="B756" s="2"/>
      <c r="C756" s="2"/>
      <c r="D756" s="2"/>
      <c r="E756" s="2"/>
      <c r="F756" s="2"/>
      <c r="G756" s="2"/>
      <c r="H756" s="2"/>
      <c r="I756" s="2"/>
      <c r="J756" s="2"/>
      <c r="K756" s="2"/>
      <c r="P756" s="2"/>
      <c r="Q756" s="2"/>
    </row>
    <row r="757" ht="15.75" customHeight="1">
      <c r="A757" s="2"/>
      <c r="B757" s="2"/>
      <c r="C757" s="2"/>
      <c r="D757" s="2"/>
      <c r="E757" s="2"/>
      <c r="F757" s="2"/>
      <c r="G757" s="2"/>
      <c r="H757" s="2"/>
      <c r="I757" s="2"/>
      <c r="J757" s="2"/>
      <c r="K757" s="2"/>
      <c r="P757" s="2"/>
      <c r="Q757" s="2"/>
    </row>
    <row r="758" ht="15.75" customHeight="1">
      <c r="A758" s="2"/>
      <c r="B758" s="2"/>
      <c r="C758" s="2"/>
      <c r="D758" s="2"/>
      <c r="E758" s="2"/>
      <c r="F758" s="2"/>
      <c r="G758" s="2"/>
      <c r="H758" s="2"/>
      <c r="I758" s="2"/>
      <c r="J758" s="2"/>
      <c r="K758" s="2"/>
      <c r="P758" s="2"/>
      <c r="Q758" s="2"/>
    </row>
    <row r="759" ht="15.75" customHeight="1">
      <c r="A759" s="2"/>
      <c r="B759" s="2"/>
      <c r="C759" s="2"/>
      <c r="D759" s="2"/>
      <c r="E759" s="2"/>
      <c r="F759" s="2"/>
      <c r="G759" s="2"/>
      <c r="H759" s="2"/>
      <c r="I759" s="2"/>
      <c r="J759" s="2"/>
      <c r="K759" s="2"/>
      <c r="P759" s="2"/>
      <c r="Q759" s="2"/>
    </row>
    <row r="760" ht="15.75" customHeight="1">
      <c r="A760" s="2"/>
      <c r="B760" s="2"/>
      <c r="C760" s="2"/>
      <c r="D760" s="2"/>
      <c r="E760" s="2"/>
      <c r="F760" s="2"/>
      <c r="G760" s="2"/>
      <c r="H760" s="2"/>
      <c r="I760" s="2"/>
      <c r="J760" s="2"/>
      <c r="K760" s="2"/>
      <c r="P760" s="2"/>
      <c r="Q760" s="2"/>
    </row>
    <row r="761" ht="15.75" customHeight="1">
      <c r="A761" s="2"/>
      <c r="B761" s="2"/>
      <c r="C761" s="2"/>
      <c r="D761" s="2"/>
      <c r="E761" s="2"/>
      <c r="F761" s="2"/>
      <c r="G761" s="2"/>
      <c r="H761" s="2"/>
      <c r="I761" s="2"/>
      <c r="J761" s="2"/>
      <c r="K761" s="2"/>
      <c r="P761" s="2"/>
      <c r="Q761" s="2"/>
    </row>
    <row r="762" ht="15.75" customHeight="1">
      <c r="A762" s="2"/>
      <c r="B762" s="2"/>
      <c r="C762" s="2"/>
      <c r="D762" s="2"/>
      <c r="E762" s="2"/>
      <c r="F762" s="2"/>
      <c r="G762" s="2"/>
      <c r="H762" s="2"/>
      <c r="I762" s="2"/>
      <c r="J762" s="2"/>
      <c r="K762" s="2"/>
      <c r="P762" s="2"/>
      <c r="Q762" s="2"/>
    </row>
    <row r="763" ht="15.75" customHeight="1">
      <c r="A763" s="2"/>
      <c r="B763" s="2"/>
      <c r="C763" s="2"/>
      <c r="D763" s="2"/>
      <c r="E763" s="2"/>
      <c r="F763" s="2"/>
      <c r="G763" s="2"/>
      <c r="H763" s="2"/>
      <c r="I763" s="2"/>
      <c r="J763" s="2"/>
      <c r="K763" s="2"/>
      <c r="P763" s="2"/>
      <c r="Q763" s="2"/>
    </row>
    <row r="764" ht="15.75" customHeight="1">
      <c r="A764" s="2"/>
      <c r="B764" s="2"/>
      <c r="C764" s="2"/>
      <c r="D764" s="2"/>
      <c r="E764" s="2"/>
      <c r="F764" s="2"/>
      <c r="G764" s="2"/>
      <c r="H764" s="2"/>
      <c r="I764" s="2"/>
      <c r="J764" s="2"/>
      <c r="K764" s="2"/>
      <c r="P764" s="2"/>
      <c r="Q764" s="2"/>
    </row>
    <row r="765" ht="15.75" customHeight="1">
      <c r="A765" s="2"/>
      <c r="B765" s="2"/>
      <c r="C765" s="2"/>
      <c r="D765" s="2"/>
      <c r="E765" s="2"/>
      <c r="F765" s="2"/>
      <c r="G765" s="2"/>
      <c r="H765" s="2"/>
      <c r="I765" s="2"/>
      <c r="J765" s="2"/>
      <c r="K765" s="2"/>
      <c r="P765" s="2"/>
      <c r="Q765" s="2"/>
    </row>
    <row r="766" ht="15.75" customHeight="1">
      <c r="A766" s="2"/>
      <c r="B766" s="2"/>
      <c r="C766" s="2"/>
      <c r="D766" s="2"/>
      <c r="E766" s="2"/>
      <c r="F766" s="2"/>
      <c r="G766" s="2"/>
      <c r="H766" s="2"/>
      <c r="I766" s="2"/>
      <c r="J766" s="2"/>
      <c r="K766" s="2"/>
      <c r="P766" s="2"/>
      <c r="Q766" s="2"/>
    </row>
    <row r="767" ht="15.75" customHeight="1">
      <c r="A767" s="2"/>
      <c r="B767" s="2"/>
      <c r="C767" s="2"/>
      <c r="D767" s="2"/>
      <c r="E767" s="2"/>
      <c r="F767" s="2"/>
      <c r="G767" s="2"/>
      <c r="H767" s="2"/>
      <c r="I767" s="2"/>
      <c r="J767" s="2"/>
      <c r="K767" s="2"/>
      <c r="P767" s="2"/>
      <c r="Q767" s="2"/>
    </row>
    <row r="768" ht="15.75" customHeight="1">
      <c r="A768" s="2"/>
      <c r="B768" s="2"/>
      <c r="C768" s="2"/>
      <c r="D768" s="2"/>
      <c r="E768" s="2"/>
      <c r="F768" s="2"/>
      <c r="G768" s="2"/>
      <c r="H768" s="2"/>
      <c r="I768" s="2"/>
      <c r="J768" s="2"/>
      <c r="K768" s="2"/>
      <c r="P768" s="2"/>
      <c r="Q768" s="2"/>
    </row>
    <row r="769" ht="15.75" customHeight="1">
      <c r="A769" s="2"/>
      <c r="B769" s="2"/>
      <c r="C769" s="2"/>
      <c r="D769" s="2"/>
      <c r="E769" s="2"/>
      <c r="F769" s="2"/>
      <c r="G769" s="2"/>
      <c r="H769" s="2"/>
      <c r="I769" s="2"/>
      <c r="J769" s="2"/>
      <c r="K769" s="2"/>
      <c r="P769" s="2"/>
      <c r="Q769" s="2"/>
    </row>
    <row r="770" ht="15.75" customHeight="1">
      <c r="A770" s="2"/>
      <c r="B770" s="2"/>
      <c r="C770" s="2"/>
      <c r="D770" s="2"/>
      <c r="E770" s="2"/>
      <c r="F770" s="2"/>
      <c r="G770" s="2"/>
      <c r="H770" s="2"/>
      <c r="I770" s="2"/>
      <c r="J770" s="2"/>
      <c r="K770" s="2"/>
      <c r="P770" s="2"/>
      <c r="Q770" s="2"/>
    </row>
    <row r="771" ht="15.75" customHeight="1">
      <c r="A771" s="2"/>
      <c r="B771" s="2"/>
      <c r="C771" s="2"/>
      <c r="D771" s="2"/>
      <c r="E771" s="2"/>
      <c r="F771" s="2"/>
      <c r="G771" s="2"/>
      <c r="H771" s="2"/>
      <c r="I771" s="2"/>
      <c r="J771" s="2"/>
      <c r="K771" s="2"/>
      <c r="P771" s="2"/>
      <c r="Q771" s="2"/>
    </row>
    <row r="772" ht="15.75" customHeight="1">
      <c r="A772" s="2"/>
      <c r="B772" s="2"/>
      <c r="C772" s="2"/>
      <c r="D772" s="2"/>
      <c r="E772" s="2"/>
      <c r="F772" s="2"/>
      <c r="G772" s="2"/>
      <c r="H772" s="2"/>
      <c r="I772" s="2"/>
      <c r="J772" s="2"/>
      <c r="K772" s="2"/>
      <c r="P772" s="2"/>
      <c r="Q772" s="2"/>
    </row>
    <row r="773" ht="15.75" customHeight="1">
      <c r="A773" s="2"/>
      <c r="B773" s="2"/>
      <c r="C773" s="2"/>
      <c r="D773" s="2"/>
      <c r="E773" s="2"/>
      <c r="F773" s="2"/>
      <c r="G773" s="2"/>
      <c r="H773" s="2"/>
      <c r="I773" s="2"/>
      <c r="J773" s="2"/>
      <c r="K773" s="2"/>
      <c r="P773" s="2"/>
      <c r="Q773" s="2"/>
    </row>
    <row r="774" ht="15.75" customHeight="1">
      <c r="A774" s="2"/>
      <c r="B774" s="2"/>
      <c r="C774" s="2"/>
      <c r="D774" s="2"/>
      <c r="E774" s="2"/>
      <c r="F774" s="2"/>
      <c r="G774" s="2"/>
      <c r="H774" s="2"/>
      <c r="I774" s="2"/>
      <c r="J774" s="2"/>
      <c r="K774" s="2"/>
      <c r="P774" s="2"/>
      <c r="Q774" s="2"/>
    </row>
    <row r="775" ht="15.75" customHeight="1">
      <c r="A775" s="2"/>
      <c r="B775" s="2"/>
      <c r="C775" s="2"/>
      <c r="D775" s="2"/>
      <c r="E775" s="2"/>
      <c r="F775" s="2"/>
      <c r="G775" s="2"/>
      <c r="H775" s="2"/>
      <c r="I775" s="2"/>
      <c r="J775" s="2"/>
      <c r="K775" s="2"/>
      <c r="P775" s="2"/>
      <c r="Q775" s="2"/>
    </row>
    <row r="776" ht="15.75" customHeight="1">
      <c r="A776" s="2"/>
      <c r="B776" s="2"/>
      <c r="C776" s="2"/>
      <c r="D776" s="2"/>
      <c r="E776" s="2"/>
      <c r="F776" s="2"/>
      <c r="G776" s="2"/>
      <c r="H776" s="2"/>
      <c r="I776" s="2"/>
      <c r="J776" s="2"/>
      <c r="K776" s="2"/>
      <c r="P776" s="2"/>
      <c r="Q776" s="2"/>
    </row>
    <row r="777" ht="15.75" customHeight="1">
      <c r="A777" s="2"/>
      <c r="B777" s="2"/>
      <c r="C777" s="2"/>
      <c r="D777" s="2"/>
      <c r="E777" s="2"/>
      <c r="F777" s="2"/>
      <c r="G777" s="2"/>
      <c r="H777" s="2"/>
      <c r="I777" s="2"/>
      <c r="J777" s="2"/>
      <c r="K777" s="2"/>
      <c r="P777" s="2"/>
      <c r="Q777" s="2"/>
    </row>
    <row r="778" ht="15.75" customHeight="1">
      <c r="A778" s="2"/>
      <c r="B778" s="2"/>
      <c r="C778" s="2"/>
      <c r="D778" s="2"/>
      <c r="E778" s="2"/>
      <c r="F778" s="2"/>
      <c r="G778" s="2"/>
      <c r="H778" s="2"/>
      <c r="I778" s="2"/>
      <c r="J778" s="2"/>
      <c r="K778" s="2"/>
      <c r="P778" s="2"/>
      <c r="Q778" s="2"/>
    </row>
    <row r="779" ht="15.75" customHeight="1">
      <c r="A779" s="2"/>
      <c r="B779" s="2"/>
      <c r="C779" s="2"/>
      <c r="D779" s="2"/>
      <c r="E779" s="2"/>
      <c r="F779" s="2"/>
      <c r="G779" s="2"/>
      <c r="H779" s="2"/>
      <c r="I779" s="2"/>
      <c r="J779" s="2"/>
      <c r="K779" s="2"/>
      <c r="P779" s="2"/>
      <c r="Q779" s="2"/>
    </row>
    <row r="780" ht="15.75" customHeight="1">
      <c r="A780" s="2"/>
      <c r="B780" s="2"/>
      <c r="C780" s="2"/>
      <c r="D780" s="2"/>
      <c r="E780" s="2"/>
      <c r="F780" s="2"/>
      <c r="G780" s="2"/>
      <c r="H780" s="2"/>
      <c r="I780" s="2"/>
      <c r="J780" s="2"/>
      <c r="K780" s="2"/>
      <c r="P780" s="2"/>
      <c r="Q780" s="2"/>
    </row>
    <row r="781" ht="15.75" customHeight="1">
      <c r="A781" s="2"/>
      <c r="B781" s="2"/>
      <c r="C781" s="2"/>
      <c r="D781" s="2"/>
      <c r="E781" s="2"/>
      <c r="F781" s="2"/>
      <c r="G781" s="2"/>
      <c r="H781" s="2"/>
      <c r="I781" s="2"/>
      <c r="J781" s="2"/>
      <c r="K781" s="2"/>
      <c r="P781" s="2"/>
      <c r="Q781" s="2"/>
    </row>
    <row r="782" ht="15.75" customHeight="1">
      <c r="A782" s="2"/>
      <c r="B782" s="2"/>
      <c r="C782" s="2"/>
      <c r="D782" s="2"/>
      <c r="E782" s="2"/>
      <c r="F782" s="2"/>
      <c r="G782" s="2"/>
      <c r="H782" s="2"/>
      <c r="I782" s="2"/>
      <c r="J782" s="2"/>
      <c r="K782" s="2"/>
      <c r="P782" s="2"/>
      <c r="Q782" s="2"/>
    </row>
    <row r="783" ht="15.75" customHeight="1">
      <c r="A783" s="2"/>
      <c r="B783" s="2"/>
      <c r="C783" s="2"/>
      <c r="D783" s="2"/>
      <c r="E783" s="2"/>
      <c r="F783" s="2"/>
      <c r="G783" s="2"/>
      <c r="H783" s="2"/>
      <c r="I783" s="2"/>
      <c r="J783" s="2"/>
      <c r="K783" s="2"/>
      <c r="P783" s="2"/>
      <c r="Q783" s="2"/>
    </row>
    <row r="784" ht="15.75" customHeight="1">
      <c r="A784" s="2"/>
      <c r="B784" s="2"/>
      <c r="C784" s="2"/>
      <c r="D784" s="2"/>
      <c r="E784" s="2"/>
      <c r="F784" s="2"/>
      <c r="G784" s="2"/>
      <c r="H784" s="2"/>
      <c r="I784" s="2"/>
      <c r="J784" s="2"/>
      <c r="K784" s="2"/>
      <c r="P784" s="2"/>
      <c r="Q784" s="2"/>
    </row>
    <row r="785" ht="15.75" customHeight="1">
      <c r="A785" s="2"/>
      <c r="B785" s="2"/>
      <c r="C785" s="2"/>
      <c r="D785" s="2"/>
      <c r="E785" s="2"/>
      <c r="F785" s="2"/>
      <c r="G785" s="2"/>
      <c r="H785" s="2"/>
      <c r="I785" s="2"/>
      <c r="J785" s="2"/>
      <c r="K785" s="2"/>
      <c r="P785" s="2"/>
      <c r="Q785" s="2"/>
    </row>
    <row r="786" ht="15.75" customHeight="1">
      <c r="A786" s="2"/>
      <c r="B786" s="2"/>
      <c r="C786" s="2"/>
      <c r="D786" s="2"/>
      <c r="E786" s="2"/>
      <c r="F786" s="2"/>
      <c r="G786" s="2"/>
      <c r="H786" s="2"/>
      <c r="I786" s="2"/>
      <c r="J786" s="2"/>
      <c r="K786" s="2"/>
      <c r="P786" s="2"/>
      <c r="Q786" s="2"/>
    </row>
    <row r="787" ht="15.75" customHeight="1">
      <c r="A787" s="2"/>
      <c r="B787" s="2"/>
      <c r="C787" s="2"/>
      <c r="D787" s="2"/>
      <c r="E787" s="2"/>
      <c r="F787" s="2"/>
      <c r="G787" s="2"/>
      <c r="H787" s="2"/>
      <c r="I787" s="2"/>
      <c r="J787" s="2"/>
      <c r="K787" s="2"/>
      <c r="P787" s="2"/>
      <c r="Q787" s="2"/>
    </row>
    <row r="788" ht="15.75" customHeight="1">
      <c r="A788" s="2"/>
      <c r="B788" s="2"/>
      <c r="C788" s="2"/>
      <c r="D788" s="2"/>
      <c r="E788" s="2"/>
      <c r="F788" s="2"/>
      <c r="G788" s="2"/>
      <c r="H788" s="2"/>
      <c r="I788" s="2"/>
      <c r="J788" s="2"/>
      <c r="K788" s="2"/>
      <c r="P788" s="2"/>
      <c r="Q788" s="2"/>
    </row>
    <row r="789" ht="15.75" customHeight="1">
      <c r="A789" s="2"/>
      <c r="B789" s="2"/>
      <c r="C789" s="2"/>
      <c r="D789" s="2"/>
      <c r="E789" s="2"/>
      <c r="F789" s="2"/>
      <c r="G789" s="2"/>
      <c r="H789" s="2"/>
      <c r="I789" s="2"/>
      <c r="J789" s="2"/>
      <c r="K789" s="2"/>
      <c r="P789" s="2"/>
      <c r="Q789" s="2"/>
    </row>
    <row r="790" ht="15.75" customHeight="1">
      <c r="A790" s="2"/>
      <c r="B790" s="2"/>
      <c r="C790" s="2"/>
      <c r="D790" s="2"/>
      <c r="E790" s="2"/>
      <c r="F790" s="2"/>
      <c r="G790" s="2"/>
      <c r="H790" s="2"/>
      <c r="I790" s="2"/>
      <c r="J790" s="2"/>
      <c r="K790" s="2"/>
      <c r="P790" s="2"/>
      <c r="Q790" s="2"/>
    </row>
    <row r="791" ht="15.75" customHeight="1">
      <c r="A791" s="2"/>
      <c r="B791" s="2"/>
      <c r="C791" s="2"/>
      <c r="D791" s="2"/>
      <c r="E791" s="2"/>
      <c r="F791" s="2"/>
      <c r="G791" s="2"/>
      <c r="H791" s="2"/>
      <c r="I791" s="2"/>
      <c r="J791" s="2"/>
      <c r="K791" s="2"/>
      <c r="P791" s="2"/>
      <c r="Q791" s="2"/>
    </row>
    <row r="792" ht="15.75" customHeight="1">
      <c r="A792" s="2"/>
      <c r="B792" s="2"/>
      <c r="C792" s="2"/>
      <c r="D792" s="2"/>
      <c r="E792" s="2"/>
      <c r="F792" s="2"/>
      <c r="G792" s="2"/>
      <c r="H792" s="2"/>
      <c r="I792" s="2"/>
      <c r="J792" s="2"/>
      <c r="K792" s="2"/>
      <c r="P792" s="2"/>
      <c r="Q792" s="2"/>
    </row>
    <row r="793" ht="15.75" customHeight="1">
      <c r="A793" s="2"/>
      <c r="B793" s="2"/>
      <c r="C793" s="2"/>
      <c r="D793" s="2"/>
      <c r="E793" s="2"/>
      <c r="F793" s="2"/>
      <c r="G793" s="2"/>
      <c r="H793" s="2"/>
      <c r="I793" s="2"/>
      <c r="J793" s="2"/>
      <c r="K793" s="2"/>
      <c r="P793" s="2"/>
      <c r="Q793" s="2"/>
    </row>
    <row r="794" ht="15.75" customHeight="1">
      <c r="A794" s="2"/>
      <c r="B794" s="2"/>
      <c r="C794" s="2"/>
      <c r="D794" s="2"/>
      <c r="E794" s="2"/>
      <c r="F794" s="2"/>
      <c r="G794" s="2"/>
      <c r="H794" s="2"/>
      <c r="I794" s="2"/>
      <c r="J794" s="2"/>
      <c r="K794" s="2"/>
      <c r="P794" s="2"/>
      <c r="Q794" s="2"/>
    </row>
    <row r="795" ht="15.75" customHeight="1">
      <c r="A795" s="2"/>
      <c r="B795" s="2"/>
      <c r="C795" s="2"/>
      <c r="D795" s="2"/>
      <c r="E795" s="2"/>
      <c r="F795" s="2"/>
      <c r="G795" s="2"/>
      <c r="H795" s="2"/>
      <c r="I795" s="2"/>
      <c r="J795" s="2"/>
      <c r="K795" s="2"/>
      <c r="P795" s="2"/>
      <c r="Q795" s="2"/>
    </row>
    <row r="796" ht="15.75" customHeight="1">
      <c r="A796" s="2"/>
      <c r="B796" s="2"/>
      <c r="C796" s="2"/>
      <c r="D796" s="2"/>
      <c r="E796" s="2"/>
      <c r="F796" s="2"/>
      <c r="G796" s="2"/>
      <c r="H796" s="2"/>
      <c r="I796" s="2"/>
      <c r="J796" s="2"/>
      <c r="K796" s="2"/>
      <c r="P796" s="2"/>
      <c r="Q796" s="2"/>
    </row>
    <row r="797" ht="15.75" customHeight="1">
      <c r="A797" s="2"/>
      <c r="B797" s="2"/>
      <c r="C797" s="2"/>
      <c r="D797" s="2"/>
      <c r="E797" s="2"/>
      <c r="F797" s="2"/>
      <c r="G797" s="2"/>
      <c r="H797" s="2"/>
      <c r="I797" s="2"/>
      <c r="J797" s="2"/>
      <c r="K797" s="2"/>
      <c r="P797" s="2"/>
      <c r="Q797" s="2"/>
    </row>
    <row r="798" ht="15.75" customHeight="1">
      <c r="A798" s="2"/>
      <c r="B798" s="2"/>
      <c r="C798" s="2"/>
      <c r="D798" s="2"/>
      <c r="E798" s="2"/>
      <c r="F798" s="2"/>
      <c r="G798" s="2"/>
      <c r="H798" s="2"/>
      <c r="I798" s="2"/>
      <c r="J798" s="2"/>
      <c r="K798" s="2"/>
      <c r="P798" s="2"/>
      <c r="Q798" s="2"/>
    </row>
    <row r="799" ht="15.75" customHeight="1">
      <c r="A799" s="2"/>
      <c r="B799" s="2"/>
      <c r="C799" s="2"/>
      <c r="D799" s="2"/>
      <c r="E799" s="2"/>
      <c r="F799" s="2"/>
      <c r="G799" s="2"/>
      <c r="H799" s="2"/>
      <c r="I799" s="2"/>
      <c r="J799" s="2"/>
      <c r="K799" s="2"/>
      <c r="P799" s="2"/>
      <c r="Q799" s="2"/>
    </row>
    <row r="800" ht="15.75" customHeight="1">
      <c r="A800" s="2"/>
      <c r="B800" s="2"/>
      <c r="C800" s="2"/>
      <c r="D800" s="2"/>
      <c r="E800" s="2"/>
      <c r="F800" s="2"/>
      <c r="G800" s="2"/>
      <c r="H800" s="2"/>
      <c r="I800" s="2"/>
      <c r="J800" s="2"/>
      <c r="K800" s="2"/>
      <c r="P800" s="2"/>
      <c r="Q800" s="2"/>
    </row>
    <row r="801" ht="15.75" customHeight="1">
      <c r="A801" s="2"/>
      <c r="B801" s="2"/>
      <c r="C801" s="2"/>
      <c r="D801" s="2"/>
      <c r="E801" s="2"/>
      <c r="F801" s="2"/>
      <c r="G801" s="2"/>
      <c r="H801" s="2"/>
      <c r="I801" s="2"/>
      <c r="J801" s="2"/>
      <c r="K801" s="2"/>
      <c r="P801" s="2"/>
      <c r="Q801" s="2"/>
    </row>
    <row r="802" ht="15.75" customHeight="1">
      <c r="A802" s="2"/>
      <c r="B802" s="2"/>
      <c r="C802" s="2"/>
      <c r="D802" s="2"/>
      <c r="E802" s="2"/>
      <c r="F802" s="2"/>
      <c r="G802" s="2"/>
      <c r="H802" s="2"/>
      <c r="I802" s="2"/>
      <c r="J802" s="2"/>
      <c r="K802" s="2"/>
      <c r="P802" s="2"/>
      <c r="Q802" s="2"/>
    </row>
    <row r="803" ht="15.75" customHeight="1">
      <c r="A803" s="2"/>
      <c r="B803" s="2"/>
      <c r="C803" s="2"/>
      <c r="D803" s="2"/>
      <c r="E803" s="2"/>
      <c r="F803" s="2"/>
      <c r="G803" s="2"/>
      <c r="H803" s="2"/>
      <c r="I803" s="2"/>
      <c r="J803" s="2"/>
      <c r="K803" s="2"/>
      <c r="P803" s="2"/>
      <c r="Q803" s="2"/>
    </row>
    <row r="804" ht="15.75" customHeight="1">
      <c r="A804" s="2"/>
      <c r="B804" s="2"/>
      <c r="C804" s="2"/>
      <c r="D804" s="2"/>
      <c r="E804" s="2"/>
      <c r="F804" s="2"/>
      <c r="G804" s="2"/>
      <c r="H804" s="2"/>
      <c r="I804" s="2"/>
      <c r="J804" s="2"/>
      <c r="K804" s="2"/>
      <c r="P804" s="2"/>
      <c r="Q804" s="2"/>
    </row>
    <row r="805" ht="15.75" customHeight="1">
      <c r="A805" s="2"/>
      <c r="B805" s="2"/>
      <c r="C805" s="2"/>
      <c r="D805" s="2"/>
      <c r="E805" s="2"/>
      <c r="F805" s="2"/>
      <c r="G805" s="2"/>
      <c r="H805" s="2"/>
      <c r="I805" s="2"/>
      <c r="J805" s="2"/>
      <c r="K805" s="2"/>
      <c r="P805" s="2"/>
      <c r="Q805" s="2"/>
    </row>
    <row r="806" ht="15.75" customHeight="1">
      <c r="A806" s="2"/>
      <c r="B806" s="2"/>
      <c r="C806" s="2"/>
      <c r="D806" s="2"/>
      <c r="E806" s="2"/>
      <c r="F806" s="2"/>
      <c r="G806" s="2"/>
      <c r="H806" s="2"/>
      <c r="I806" s="2"/>
      <c r="J806" s="2"/>
      <c r="K806" s="2"/>
      <c r="P806" s="2"/>
      <c r="Q806" s="2"/>
    </row>
    <row r="807" ht="15.75" customHeight="1">
      <c r="A807" s="2"/>
      <c r="B807" s="2"/>
      <c r="C807" s="2"/>
      <c r="D807" s="2"/>
      <c r="E807" s="2"/>
      <c r="F807" s="2"/>
      <c r="G807" s="2"/>
      <c r="H807" s="2"/>
      <c r="I807" s="2"/>
      <c r="J807" s="2"/>
      <c r="K807" s="2"/>
      <c r="P807" s="2"/>
      <c r="Q807" s="2"/>
    </row>
    <row r="808" ht="15.75" customHeight="1">
      <c r="A808" s="2"/>
      <c r="B808" s="2"/>
      <c r="C808" s="2"/>
      <c r="D808" s="2"/>
      <c r="E808" s="2"/>
      <c r="F808" s="2"/>
      <c r="G808" s="2"/>
      <c r="H808" s="2"/>
      <c r="I808" s="2"/>
      <c r="J808" s="2"/>
      <c r="K808" s="2"/>
      <c r="P808" s="2"/>
      <c r="Q808" s="2"/>
    </row>
    <row r="809" ht="15.75" customHeight="1">
      <c r="A809" s="2"/>
      <c r="B809" s="2"/>
      <c r="C809" s="2"/>
      <c r="D809" s="2"/>
      <c r="E809" s="2"/>
      <c r="F809" s="2"/>
      <c r="G809" s="2"/>
      <c r="H809" s="2"/>
      <c r="I809" s="2"/>
      <c r="J809" s="2"/>
      <c r="K809" s="2"/>
      <c r="P809" s="2"/>
      <c r="Q809" s="2"/>
    </row>
    <row r="810" ht="15.75" customHeight="1">
      <c r="A810" s="2"/>
      <c r="B810" s="2"/>
      <c r="C810" s="2"/>
      <c r="D810" s="2"/>
      <c r="E810" s="2"/>
      <c r="F810" s="2"/>
      <c r="G810" s="2"/>
      <c r="H810" s="2"/>
      <c r="I810" s="2"/>
      <c r="J810" s="2"/>
      <c r="K810" s="2"/>
      <c r="P810" s="2"/>
      <c r="Q810" s="2"/>
    </row>
    <row r="811" ht="15.75" customHeight="1">
      <c r="A811" s="2"/>
      <c r="B811" s="2"/>
      <c r="C811" s="2"/>
      <c r="D811" s="2"/>
      <c r="E811" s="2"/>
      <c r="F811" s="2"/>
      <c r="G811" s="2"/>
      <c r="H811" s="2"/>
      <c r="I811" s="2"/>
      <c r="J811" s="2"/>
      <c r="K811" s="2"/>
      <c r="P811" s="2"/>
      <c r="Q811" s="2"/>
    </row>
    <row r="812" ht="15.75" customHeight="1">
      <c r="A812" s="2"/>
      <c r="B812" s="2"/>
      <c r="C812" s="2"/>
      <c r="D812" s="2"/>
      <c r="E812" s="2"/>
      <c r="F812" s="2"/>
      <c r="G812" s="2"/>
      <c r="H812" s="2"/>
      <c r="I812" s="2"/>
      <c r="J812" s="2"/>
      <c r="K812" s="2"/>
      <c r="P812" s="2"/>
      <c r="Q812" s="2"/>
    </row>
    <row r="813" ht="15.75" customHeight="1">
      <c r="A813" s="2"/>
      <c r="B813" s="2"/>
      <c r="C813" s="2"/>
      <c r="D813" s="2"/>
      <c r="E813" s="2"/>
      <c r="F813" s="2"/>
      <c r="G813" s="2"/>
      <c r="H813" s="2"/>
      <c r="I813" s="2"/>
      <c r="J813" s="2"/>
      <c r="K813" s="2"/>
      <c r="P813" s="2"/>
      <c r="Q813" s="2"/>
    </row>
    <row r="814" ht="15.75" customHeight="1">
      <c r="A814" s="2"/>
      <c r="B814" s="2"/>
      <c r="C814" s="2"/>
      <c r="D814" s="2"/>
      <c r="E814" s="2"/>
      <c r="F814" s="2"/>
      <c r="G814" s="2"/>
      <c r="H814" s="2"/>
      <c r="I814" s="2"/>
      <c r="J814" s="2"/>
      <c r="K814" s="2"/>
      <c r="P814" s="2"/>
      <c r="Q814" s="2"/>
    </row>
    <row r="815" ht="15.75" customHeight="1">
      <c r="A815" s="2"/>
      <c r="B815" s="2"/>
      <c r="C815" s="2"/>
      <c r="D815" s="2"/>
      <c r="E815" s="2"/>
      <c r="F815" s="2"/>
      <c r="G815" s="2"/>
      <c r="H815" s="2"/>
      <c r="I815" s="2"/>
      <c r="J815" s="2"/>
      <c r="K815" s="2"/>
      <c r="P815" s="2"/>
      <c r="Q815" s="2"/>
    </row>
    <row r="816" ht="15.75" customHeight="1">
      <c r="A816" s="2"/>
      <c r="B816" s="2"/>
      <c r="C816" s="2"/>
      <c r="D816" s="2"/>
      <c r="E816" s="2"/>
      <c r="F816" s="2"/>
      <c r="G816" s="2"/>
      <c r="H816" s="2"/>
      <c r="I816" s="2"/>
      <c r="J816" s="2"/>
      <c r="K816" s="2"/>
      <c r="P816" s="2"/>
      <c r="Q816" s="2"/>
    </row>
    <row r="817" ht="15.75" customHeight="1">
      <c r="A817" s="2"/>
      <c r="B817" s="2"/>
      <c r="C817" s="2"/>
      <c r="D817" s="2"/>
      <c r="E817" s="2"/>
      <c r="F817" s="2"/>
      <c r="G817" s="2"/>
      <c r="H817" s="2"/>
      <c r="I817" s="2"/>
      <c r="J817" s="2"/>
      <c r="K817" s="2"/>
      <c r="P817" s="2"/>
      <c r="Q817" s="2"/>
    </row>
    <row r="818" ht="15.75" customHeight="1">
      <c r="A818" s="2"/>
      <c r="B818" s="2"/>
      <c r="C818" s="2"/>
      <c r="D818" s="2"/>
      <c r="E818" s="2"/>
      <c r="F818" s="2"/>
      <c r="G818" s="2"/>
      <c r="H818" s="2"/>
      <c r="I818" s="2"/>
      <c r="J818" s="2"/>
      <c r="K818" s="2"/>
      <c r="P818" s="2"/>
      <c r="Q818" s="2"/>
    </row>
    <row r="819" ht="15.75" customHeight="1">
      <c r="A819" s="2"/>
      <c r="B819" s="2"/>
      <c r="C819" s="2"/>
      <c r="D819" s="2"/>
      <c r="E819" s="2"/>
      <c r="F819" s="2"/>
      <c r="G819" s="2"/>
      <c r="H819" s="2"/>
      <c r="I819" s="2"/>
      <c r="J819" s="2"/>
      <c r="K819" s="2"/>
      <c r="P819" s="2"/>
      <c r="Q819" s="2"/>
    </row>
    <row r="820" ht="15.75" customHeight="1">
      <c r="A820" s="2"/>
      <c r="B820" s="2"/>
      <c r="C820" s="2"/>
      <c r="D820" s="2"/>
      <c r="E820" s="2"/>
      <c r="F820" s="2"/>
      <c r="G820" s="2"/>
      <c r="H820" s="2"/>
      <c r="I820" s="2"/>
      <c r="J820" s="2"/>
      <c r="K820" s="2"/>
      <c r="P820" s="2"/>
      <c r="Q820" s="2"/>
    </row>
    <row r="821" ht="15.75" customHeight="1">
      <c r="A821" s="2"/>
      <c r="B821" s="2"/>
      <c r="C821" s="2"/>
      <c r="D821" s="2"/>
      <c r="E821" s="2"/>
      <c r="F821" s="2"/>
      <c r="G821" s="2"/>
      <c r="H821" s="2"/>
      <c r="I821" s="2"/>
      <c r="J821" s="2"/>
      <c r="K821" s="2"/>
      <c r="P821" s="2"/>
      <c r="Q821" s="2"/>
    </row>
    <row r="822" ht="15.75" customHeight="1">
      <c r="A822" s="2"/>
      <c r="B822" s="2"/>
      <c r="C822" s="2"/>
      <c r="D822" s="2"/>
      <c r="E822" s="2"/>
      <c r="F822" s="2"/>
      <c r="G822" s="2"/>
      <c r="H822" s="2"/>
      <c r="I822" s="2"/>
      <c r="J822" s="2"/>
      <c r="K822" s="2"/>
      <c r="P822" s="2"/>
      <c r="Q822" s="2"/>
    </row>
    <row r="823" ht="15.75" customHeight="1">
      <c r="A823" s="2"/>
      <c r="B823" s="2"/>
      <c r="C823" s="2"/>
      <c r="D823" s="2"/>
      <c r="E823" s="2"/>
      <c r="F823" s="2"/>
      <c r="G823" s="2"/>
      <c r="H823" s="2"/>
      <c r="I823" s="2"/>
      <c r="J823" s="2"/>
      <c r="K823" s="2"/>
      <c r="P823" s="2"/>
      <c r="Q823" s="2"/>
    </row>
    <row r="824" ht="15.75" customHeight="1">
      <c r="A824" s="2"/>
      <c r="B824" s="2"/>
      <c r="C824" s="2"/>
      <c r="D824" s="2"/>
      <c r="E824" s="2"/>
      <c r="F824" s="2"/>
      <c r="G824" s="2"/>
      <c r="H824" s="2"/>
      <c r="I824" s="2"/>
      <c r="J824" s="2"/>
      <c r="K824" s="2"/>
      <c r="P824" s="2"/>
      <c r="Q824" s="2"/>
    </row>
    <row r="825" ht="15.75" customHeight="1">
      <c r="A825" s="2"/>
      <c r="B825" s="2"/>
      <c r="C825" s="2"/>
      <c r="D825" s="2"/>
      <c r="E825" s="2"/>
      <c r="F825" s="2"/>
      <c r="G825" s="2"/>
      <c r="H825" s="2"/>
      <c r="I825" s="2"/>
      <c r="J825" s="2"/>
      <c r="K825" s="2"/>
      <c r="P825" s="2"/>
      <c r="Q825" s="2"/>
    </row>
    <row r="826" ht="15.75" customHeight="1">
      <c r="A826" s="2"/>
      <c r="B826" s="2"/>
      <c r="C826" s="2"/>
      <c r="D826" s="2"/>
      <c r="E826" s="2"/>
      <c r="F826" s="2"/>
      <c r="G826" s="2"/>
      <c r="H826" s="2"/>
      <c r="I826" s="2"/>
      <c r="J826" s="2"/>
      <c r="K826" s="2"/>
      <c r="P826" s="2"/>
      <c r="Q826" s="2"/>
    </row>
    <row r="827" ht="15.75" customHeight="1">
      <c r="A827" s="2"/>
      <c r="B827" s="2"/>
      <c r="C827" s="2"/>
      <c r="D827" s="2"/>
      <c r="E827" s="2"/>
      <c r="F827" s="2"/>
      <c r="G827" s="2"/>
      <c r="H827" s="2"/>
      <c r="I827" s="2"/>
      <c r="J827" s="2"/>
      <c r="K827" s="2"/>
      <c r="P827" s="2"/>
      <c r="Q827" s="2"/>
    </row>
    <row r="828" ht="15.75" customHeight="1">
      <c r="A828" s="2"/>
      <c r="B828" s="2"/>
      <c r="C828" s="2"/>
      <c r="D828" s="2"/>
      <c r="E828" s="2"/>
      <c r="F828" s="2"/>
      <c r="G828" s="2"/>
      <c r="H828" s="2"/>
      <c r="I828" s="2"/>
      <c r="J828" s="2"/>
      <c r="K828" s="2"/>
      <c r="P828" s="2"/>
      <c r="Q828" s="2"/>
    </row>
    <row r="829" ht="15.75" customHeight="1">
      <c r="A829" s="2"/>
      <c r="B829" s="2"/>
      <c r="C829" s="2"/>
      <c r="D829" s="2"/>
      <c r="E829" s="2"/>
      <c r="F829" s="2"/>
      <c r="G829" s="2"/>
      <c r="H829" s="2"/>
      <c r="I829" s="2"/>
      <c r="J829" s="2"/>
      <c r="K829" s="2"/>
      <c r="P829" s="2"/>
      <c r="Q829" s="2"/>
    </row>
    <row r="830" ht="15.75" customHeight="1">
      <c r="A830" s="2"/>
      <c r="B830" s="2"/>
      <c r="C830" s="2"/>
      <c r="D830" s="2"/>
      <c r="E830" s="2"/>
      <c r="F830" s="2"/>
      <c r="G830" s="2"/>
      <c r="H830" s="2"/>
      <c r="I830" s="2"/>
      <c r="J830" s="2"/>
      <c r="K830" s="2"/>
      <c r="P830" s="2"/>
      <c r="Q830" s="2"/>
    </row>
    <row r="831" ht="15.75" customHeight="1">
      <c r="A831" s="2"/>
      <c r="B831" s="2"/>
      <c r="C831" s="2"/>
      <c r="D831" s="2"/>
      <c r="E831" s="2"/>
      <c r="F831" s="2"/>
      <c r="G831" s="2"/>
      <c r="H831" s="2"/>
      <c r="I831" s="2"/>
      <c r="J831" s="2"/>
      <c r="K831" s="2"/>
      <c r="P831" s="2"/>
      <c r="Q831" s="2"/>
    </row>
    <row r="832" ht="15.75" customHeight="1">
      <c r="A832" s="2"/>
      <c r="B832" s="2"/>
      <c r="C832" s="2"/>
      <c r="D832" s="2"/>
      <c r="E832" s="2"/>
      <c r="F832" s="2"/>
      <c r="G832" s="2"/>
      <c r="H832" s="2"/>
      <c r="I832" s="2"/>
      <c r="J832" s="2"/>
      <c r="K832" s="2"/>
      <c r="P832" s="2"/>
      <c r="Q832" s="2"/>
    </row>
    <row r="833" ht="15.75" customHeight="1">
      <c r="A833" s="2"/>
      <c r="B833" s="2"/>
      <c r="C833" s="2"/>
      <c r="D833" s="2"/>
      <c r="E833" s="2"/>
      <c r="F833" s="2"/>
      <c r="G833" s="2"/>
      <c r="H833" s="2"/>
      <c r="I833" s="2"/>
      <c r="J833" s="2"/>
      <c r="K833" s="2"/>
      <c r="P833" s="2"/>
      <c r="Q833" s="2"/>
    </row>
    <row r="834" ht="15.75" customHeight="1">
      <c r="A834" s="2"/>
      <c r="B834" s="2"/>
      <c r="C834" s="2"/>
      <c r="D834" s="2"/>
      <c r="E834" s="2"/>
      <c r="F834" s="2"/>
      <c r="G834" s="2"/>
      <c r="H834" s="2"/>
      <c r="I834" s="2"/>
      <c r="J834" s="2"/>
      <c r="K834" s="2"/>
      <c r="P834" s="2"/>
      <c r="Q834" s="2"/>
    </row>
    <row r="835" ht="15.75" customHeight="1">
      <c r="A835" s="2"/>
      <c r="B835" s="2"/>
      <c r="C835" s="2"/>
      <c r="D835" s="2"/>
      <c r="E835" s="2"/>
      <c r="F835" s="2"/>
      <c r="G835" s="2"/>
      <c r="H835" s="2"/>
      <c r="I835" s="2"/>
      <c r="J835" s="2"/>
      <c r="K835" s="2"/>
      <c r="P835" s="2"/>
      <c r="Q835" s="2"/>
    </row>
    <row r="836" ht="15.75" customHeight="1">
      <c r="A836" s="2"/>
      <c r="B836" s="2"/>
      <c r="C836" s="2"/>
      <c r="D836" s="2"/>
      <c r="E836" s="2"/>
      <c r="F836" s="2"/>
      <c r="G836" s="2"/>
      <c r="H836" s="2"/>
      <c r="I836" s="2"/>
      <c r="J836" s="2"/>
      <c r="K836" s="2"/>
      <c r="P836" s="2"/>
      <c r="Q836" s="2"/>
    </row>
    <row r="837" ht="15.75" customHeight="1">
      <c r="A837" s="2"/>
      <c r="B837" s="2"/>
      <c r="C837" s="2"/>
      <c r="D837" s="2"/>
      <c r="E837" s="2"/>
      <c r="F837" s="2"/>
      <c r="G837" s="2"/>
      <c r="H837" s="2"/>
      <c r="I837" s="2"/>
      <c r="J837" s="2"/>
      <c r="K837" s="2"/>
      <c r="P837" s="2"/>
      <c r="Q837" s="2"/>
    </row>
    <row r="838" ht="15.75" customHeight="1">
      <c r="A838" s="2"/>
      <c r="B838" s="2"/>
      <c r="C838" s="2"/>
      <c r="D838" s="2"/>
      <c r="E838" s="2"/>
      <c r="F838" s="2"/>
      <c r="G838" s="2"/>
      <c r="H838" s="2"/>
      <c r="I838" s="2"/>
      <c r="J838" s="2"/>
      <c r="K838" s="2"/>
      <c r="P838" s="2"/>
      <c r="Q838" s="2"/>
    </row>
    <row r="839" ht="15.75" customHeight="1">
      <c r="A839" s="2"/>
      <c r="B839" s="2"/>
      <c r="C839" s="2"/>
      <c r="D839" s="2"/>
      <c r="E839" s="2"/>
      <c r="F839" s="2"/>
      <c r="G839" s="2"/>
      <c r="H839" s="2"/>
      <c r="I839" s="2"/>
      <c r="J839" s="2"/>
      <c r="K839" s="2"/>
      <c r="P839" s="2"/>
      <c r="Q839" s="2"/>
    </row>
    <row r="840" ht="15.75" customHeight="1">
      <c r="A840" s="2"/>
      <c r="B840" s="2"/>
      <c r="C840" s="2"/>
      <c r="D840" s="2"/>
      <c r="E840" s="2"/>
      <c r="F840" s="2"/>
      <c r="G840" s="2"/>
      <c r="H840" s="2"/>
      <c r="I840" s="2"/>
      <c r="J840" s="2"/>
      <c r="K840" s="2"/>
      <c r="P840" s="2"/>
      <c r="Q840" s="2"/>
    </row>
    <row r="841" ht="15.75" customHeight="1">
      <c r="A841" s="2"/>
      <c r="B841" s="2"/>
      <c r="C841" s="2"/>
      <c r="D841" s="2"/>
      <c r="E841" s="2"/>
      <c r="F841" s="2"/>
      <c r="G841" s="2"/>
      <c r="H841" s="2"/>
      <c r="I841" s="2"/>
      <c r="J841" s="2"/>
      <c r="K841" s="2"/>
      <c r="P841" s="2"/>
      <c r="Q841" s="2"/>
    </row>
    <row r="842" ht="15.75" customHeight="1">
      <c r="A842" s="2"/>
      <c r="B842" s="2"/>
      <c r="C842" s="2"/>
      <c r="D842" s="2"/>
      <c r="E842" s="2"/>
      <c r="F842" s="2"/>
      <c r="G842" s="2"/>
      <c r="H842" s="2"/>
      <c r="I842" s="2"/>
      <c r="J842" s="2"/>
      <c r="K842" s="2"/>
      <c r="P842" s="2"/>
      <c r="Q842" s="2"/>
    </row>
    <row r="843" ht="15.75" customHeight="1">
      <c r="A843" s="2"/>
      <c r="B843" s="2"/>
      <c r="C843" s="2"/>
      <c r="D843" s="2"/>
      <c r="E843" s="2"/>
      <c r="F843" s="2"/>
      <c r="G843" s="2"/>
      <c r="H843" s="2"/>
      <c r="I843" s="2"/>
      <c r="J843" s="2"/>
      <c r="K843" s="2"/>
      <c r="P843" s="2"/>
      <c r="Q843" s="2"/>
    </row>
    <row r="844" ht="15.75" customHeight="1">
      <c r="A844" s="2"/>
      <c r="B844" s="2"/>
      <c r="C844" s="2"/>
      <c r="D844" s="2"/>
      <c r="E844" s="2"/>
      <c r="F844" s="2"/>
      <c r="G844" s="2"/>
      <c r="H844" s="2"/>
      <c r="I844" s="2"/>
      <c r="J844" s="2"/>
      <c r="K844" s="2"/>
      <c r="P844" s="2"/>
      <c r="Q844" s="2"/>
    </row>
    <row r="845" ht="15.75" customHeight="1">
      <c r="A845" s="2"/>
      <c r="B845" s="2"/>
      <c r="C845" s="2"/>
      <c r="D845" s="2"/>
      <c r="E845" s="2"/>
      <c r="F845" s="2"/>
      <c r="G845" s="2"/>
      <c r="H845" s="2"/>
      <c r="I845" s="2"/>
      <c r="J845" s="2"/>
      <c r="K845" s="2"/>
      <c r="P845" s="2"/>
      <c r="Q845" s="2"/>
    </row>
    <row r="846" ht="15.75" customHeight="1">
      <c r="A846" s="2"/>
      <c r="B846" s="2"/>
      <c r="C846" s="2"/>
      <c r="D846" s="2"/>
      <c r="E846" s="2"/>
      <c r="F846" s="2"/>
      <c r="G846" s="2"/>
      <c r="H846" s="2"/>
      <c r="I846" s="2"/>
      <c r="J846" s="2"/>
      <c r="K846" s="2"/>
      <c r="P846" s="2"/>
      <c r="Q846" s="2"/>
    </row>
    <row r="847" ht="15.75" customHeight="1">
      <c r="A847" s="2"/>
      <c r="B847" s="2"/>
      <c r="C847" s="2"/>
      <c r="D847" s="2"/>
      <c r="E847" s="2"/>
      <c r="F847" s="2"/>
      <c r="G847" s="2"/>
      <c r="H847" s="2"/>
      <c r="I847" s="2"/>
      <c r="J847" s="2"/>
      <c r="K847" s="2"/>
      <c r="P847" s="2"/>
      <c r="Q847" s="2"/>
    </row>
    <row r="848" ht="15.75" customHeight="1">
      <c r="A848" s="2"/>
      <c r="B848" s="2"/>
      <c r="C848" s="2"/>
      <c r="D848" s="2"/>
      <c r="E848" s="2"/>
      <c r="F848" s="2"/>
      <c r="G848" s="2"/>
      <c r="H848" s="2"/>
      <c r="I848" s="2"/>
      <c r="J848" s="2"/>
      <c r="K848" s="2"/>
      <c r="P848" s="2"/>
      <c r="Q848" s="2"/>
    </row>
    <row r="849" ht="15.75" customHeight="1">
      <c r="A849" s="2"/>
      <c r="B849" s="2"/>
      <c r="C849" s="2"/>
      <c r="D849" s="2"/>
      <c r="E849" s="2"/>
      <c r="F849" s="2"/>
      <c r="G849" s="2"/>
      <c r="H849" s="2"/>
      <c r="I849" s="2"/>
      <c r="J849" s="2"/>
      <c r="K849" s="2"/>
      <c r="P849" s="2"/>
      <c r="Q849" s="2"/>
    </row>
    <row r="850" ht="15.75" customHeight="1">
      <c r="A850" s="2"/>
      <c r="B850" s="2"/>
      <c r="C850" s="2"/>
      <c r="D850" s="2"/>
      <c r="E850" s="2"/>
      <c r="F850" s="2"/>
      <c r="G850" s="2"/>
      <c r="H850" s="2"/>
      <c r="I850" s="2"/>
      <c r="J850" s="2"/>
      <c r="K850" s="2"/>
      <c r="P850" s="2"/>
      <c r="Q850" s="2"/>
    </row>
    <row r="851" ht="15.75" customHeight="1">
      <c r="A851" s="2"/>
      <c r="B851" s="2"/>
      <c r="C851" s="2"/>
      <c r="D851" s="2"/>
      <c r="E851" s="2"/>
      <c r="F851" s="2"/>
      <c r="G851" s="2"/>
      <c r="H851" s="2"/>
      <c r="I851" s="2"/>
      <c r="J851" s="2"/>
      <c r="K851" s="2"/>
      <c r="P851" s="2"/>
      <c r="Q851" s="2"/>
    </row>
    <row r="852" ht="15.75" customHeight="1">
      <c r="A852" s="2"/>
      <c r="B852" s="2"/>
      <c r="C852" s="2"/>
      <c r="D852" s="2"/>
      <c r="E852" s="2"/>
      <c r="F852" s="2"/>
      <c r="G852" s="2"/>
      <c r="H852" s="2"/>
      <c r="I852" s="2"/>
      <c r="J852" s="2"/>
      <c r="K852" s="2"/>
      <c r="P852" s="2"/>
      <c r="Q852" s="2"/>
    </row>
    <row r="853" ht="15.75" customHeight="1">
      <c r="A853" s="2"/>
      <c r="B853" s="2"/>
      <c r="C853" s="2"/>
      <c r="D853" s="2"/>
      <c r="E853" s="2"/>
      <c r="F853" s="2"/>
      <c r="G853" s="2"/>
      <c r="H853" s="2"/>
      <c r="I853" s="2"/>
      <c r="J853" s="2"/>
      <c r="K853" s="2"/>
      <c r="P853" s="2"/>
      <c r="Q853" s="2"/>
    </row>
    <row r="854" ht="15.75" customHeight="1">
      <c r="A854" s="2"/>
      <c r="B854" s="2"/>
      <c r="C854" s="2"/>
      <c r="D854" s="2"/>
      <c r="E854" s="2"/>
      <c r="F854" s="2"/>
      <c r="G854" s="2"/>
      <c r="H854" s="2"/>
      <c r="I854" s="2"/>
      <c r="J854" s="2"/>
      <c r="K854" s="2"/>
      <c r="P854" s="2"/>
      <c r="Q854" s="2"/>
    </row>
    <row r="855" ht="15.75" customHeight="1">
      <c r="A855" s="2"/>
      <c r="B855" s="2"/>
      <c r="C855" s="2"/>
      <c r="D855" s="2"/>
      <c r="E855" s="2"/>
      <c r="F855" s="2"/>
      <c r="G855" s="2"/>
      <c r="H855" s="2"/>
      <c r="I855" s="2"/>
      <c r="J855" s="2"/>
      <c r="K855" s="2"/>
      <c r="P855" s="2"/>
      <c r="Q855" s="2"/>
    </row>
    <row r="856" ht="15.75" customHeight="1">
      <c r="A856" s="2"/>
      <c r="B856" s="2"/>
      <c r="C856" s="2"/>
      <c r="D856" s="2"/>
      <c r="E856" s="2"/>
      <c r="F856" s="2"/>
      <c r="G856" s="2"/>
      <c r="H856" s="2"/>
      <c r="I856" s="2"/>
      <c r="J856" s="2"/>
      <c r="K856" s="2"/>
      <c r="P856" s="2"/>
      <c r="Q856" s="2"/>
    </row>
    <row r="857" ht="15.75" customHeight="1">
      <c r="A857" s="2"/>
      <c r="B857" s="2"/>
      <c r="C857" s="2"/>
      <c r="D857" s="2"/>
      <c r="E857" s="2"/>
      <c r="F857" s="2"/>
      <c r="G857" s="2"/>
      <c r="H857" s="2"/>
      <c r="I857" s="2"/>
      <c r="J857" s="2"/>
      <c r="K857" s="2"/>
      <c r="P857" s="2"/>
      <c r="Q857" s="2"/>
    </row>
    <row r="858" ht="15.75" customHeight="1">
      <c r="A858" s="2"/>
      <c r="B858" s="2"/>
      <c r="C858" s="2"/>
      <c r="D858" s="2"/>
      <c r="E858" s="2"/>
      <c r="F858" s="2"/>
      <c r="G858" s="2"/>
      <c r="H858" s="2"/>
      <c r="I858" s="2"/>
      <c r="J858" s="2"/>
      <c r="K858" s="2"/>
      <c r="P858" s="2"/>
      <c r="Q858" s="2"/>
    </row>
    <row r="859" ht="15.75" customHeight="1">
      <c r="A859" s="2"/>
      <c r="B859" s="2"/>
      <c r="C859" s="2"/>
      <c r="D859" s="2"/>
      <c r="E859" s="2"/>
      <c r="F859" s="2"/>
      <c r="G859" s="2"/>
      <c r="H859" s="2"/>
      <c r="I859" s="2"/>
      <c r="J859" s="2"/>
      <c r="K859" s="2"/>
      <c r="P859" s="2"/>
      <c r="Q859" s="2"/>
    </row>
    <row r="860" ht="15.75" customHeight="1">
      <c r="A860" s="2"/>
      <c r="B860" s="2"/>
      <c r="C860" s="2"/>
      <c r="D860" s="2"/>
      <c r="E860" s="2"/>
      <c r="F860" s="2"/>
      <c r="G860" s="2"/>
      <c r="H860" s="2"/>
      <c r="I860" s="2"/>
      <c r="J860" s="2"/>
      <c r="K860" s="2"/>
      <c r="P860" s="2"/>
      <c r="Q860" s="2"/>
    </row>
    <row r="861" ht="15.75" customHeight="1">
      <c r="A861" s="2"/>
      <c r="B861" s="2"/>
      <c r="C861" s="2"/>
      <c r="D861" s="2"/>
      <c r="E861" s="2"/>
      <c r="F861" s="2"/>
      <c r="G861" s="2"/>
      <c r="H861" s="2"/>
      <c r="I861" s="2"/>
      <c r="J861" s="2"/>
      <c r="K861" s="2"/>
      <c r="P861" s="2"/>
      <c r="Q861" s="2"/>
    </row>
    <row r="862" ht="15.75" customHeight="1">
      <c r="A862" s="2"/>
      <c r="B862" s="2"/>
      <c r="C862" s="2"/>
      <c r="D862" s="2"/>
      <c r="E862" s="2"/>
      <c r="F862" s="2"/>
      <c r="G862" s="2"/>
      <c r="H862" s="2"/>
      <c r="I862" s="2"/>
      <c r="J862" s="2"/>
      <c r="K862" s="2"/>
      <c r="P862" s="2"/>
      <c r="Q862" s="2"/>
    </row>
    <row r="863" ht="15.75" customHeight="1">
      <c r="A863" s="2"/>
      <c r="B863" s="2"/>
      <c r="C863" s="2"/>
      <c r="D863" s="2"/>
      <c r="E863" s="2"/>
      <c r="F863" s="2"/>
      <c r="G863" s="2"/>
      <c r="H863" s="2"/>
      <c r="I863" s="2"/>
      <c r="J863" s="2"/>
      <c r="K863" s="2"/>
      <c r="P863" s="2"/>
      <c r="Q863" s="2"/>
    </row>
    <row r="864" ht="15.75" customHeight="1">
      <c r="A864" s="2"/>
      <c r="B864" s="2"/>
      <c r="C864" s="2"/>
      <c r="D864" s="2"/>
      <c r="E864" s="2"/>
      <c r="F864" s="2"/>
      <c r="G864" s="2"/>
      <c r="H864" s="2"/>
      <c r="I864" s="2"/>
      <c r="J864" s="2"/>
      <c r="K864" s="2"/>
      <c r="P864" s="2"/>
      <c r="Q864" s="2"/>
    </row>
    <row r="865" ht="15.75" customHeight="1">
      <c r="A865" s="2"/>
      <c r="B865" s="2"/>
      <c r="C865" s="2"/>
      <c r="D865" s="2"/>
      <c r="E865" s="2"/>
      <c r="F865" s="2"/>
      <c r="G865" s="2"/>
      <c r="H865" s="2"/>
      <c r="I865" s="2"/>
      <c r="J865" s="2"/>
      <c r="K865" s="2"/>
      <c r="P865" s="2"/>
      <c r="Q865" s="2"/>
    </row>
    <row r="866" ht="15.75" customHeight="1">
      <c r="A866" s="2"/>
      <c r="B866" s="2"/>
      <c r="C866" s="2"/>
      <c r="D866" s="2"/>
      <c r="E866" s="2"/>
      <c r="F866" s="2"/>
      <c r="G866" s="2"/>
      <c r="H866" s="2"/>
      <c r="I866" s="2"/>
      <c r="J866" s="2"/>
      <c r="K866" s="2"/>
      <c r="P866" s="2"/>
      <c r="Q866" s="2"/>
    </row>
    <row r="867" ht="15.75" customHeight="1">
      <c r="A867" s="2"/>
      <c r="B867" s="2"/>
      <c r="C867" s="2"/>
      <c r="D867" s="2"/>
      <c r="E867" s="2"/>
      <c r="F867" s="2"/>
      <c r="G867" s="2"/>
      <c r="H867" s="2"/>
      <c r="I867" s="2"/>
      <c r="J867" s="2"/>
      <c r="K867" s="2"/>
      <c r="P867" s="2"/>
      <c r="Q867" s="2"/>
    </row>
    <row r="868" ht="15.75" customHeight="1">
      <c r="A868" s="2"/>
      <c r="B868" s="2"/>
      <c r="C868" s="2"/>
      <c r="D868" s="2"/>
      <c r="E868" s="2"/>
      <c r="F868" s="2"/>
      <c r="G868" s="2"/>
      <c r="H868" s="2"/>
      <c r="I868" s="2"/>
      <c r="J868" s="2"/>
      <c r="K868" s="2"/>
      <c r="P868" s="2"/>
      <c r="Q868" s="2"/>
    </row>
    <row r="869" ht="15.75" customHeight="1">
      <c r="A869" s="2"/>
      <c r="B869" s="2"/>
      <c r="C869" s="2"/>
      <c r="D869" s="2"/>
      <c r="E869" s="2"/>
      <c r="F869" s="2"/>
      <c r="G869" s="2"/>
      <c r="H869" s="2"/>
      <c r="I869" s="2"/>
      <c r="J869" s="2"/>
      <c r="K869" s="2"/>
      <c r="P869" s="2"/>
      <c r="Q869" s="2"/>
    </row>
    <row r="870" ht="15.75" customHeight="1">
      <c r="A870" s="2"/>
      <c r="B870" s="2"/>
      <c r="C870" s="2"/>
      <c r="D870" s="2"/>
      <c r="E870" s="2"/>
      <c r="F870" s="2"/>
      <c r="G870" s="2"/>
      <c r="H870" s="2"/>
      <c r="I870" s="2"/>
      <c r="J870" s="2"/>
      <c r="K870" s="2"/>
      <c r="P870" s="2"/>
      <c r="Q870" s="2"/>
    </row>
    <row r="871" ht="15.75" customHeight="1">
      <c r="A871" s="2"/>
      <c r="B871" s="2"/>
      <c r="C871" s="2"/>
      <c r="D871" s="2"/>
      <c r="E871" s="2"/>
      <c r="F871" s="2"/>
      <c r="G871" s="2"/>
      <c r="H871" s="2"/>
      <c r="I871" s="2"/>
      <c r="J871" s="2"/>
      <c r="K871" s="2"/>
      <c r="P871" s="2"/>
      <c r="Q871" s="2"/>
    </row>
    <row r="872" ht="15.75" customHeight="1">
      <c r="A872" s="2"/>
      <c r="B872" s="2"/>
      <c r="C872" s="2"/>
      <c r="D872" s="2"/>
      <c r="E872" s="2"/>
      <c r="F872" s="2"/>
      <c r="G872" s="2"/>
      <c r="H872" s="2"/>
      <c r="I872" s="2"/>
      <c r="J872" s="2"/>
      <c r="K872" s="2"/>
      <c r="P872" s="2"/>
      <c r="Q872" s="2"/>
    </row>
    <row r="873" ht="15.75" customHeight="1">
      <c r="A873" s="2"/>
      <c r="B873" s="2"/>
      <c r="C873" s="2"/>
      <c r="D873" s="2"/>
      <c r="E873" s="2"/>
      <c r="F873" s="2"/>
      <c r="G873" s="2"/>
      <c r="H873" s="2"/>
      <c r="I873" s="2"/>
      <c r="J873" s="2"/>
      <c r="K873" s="2"/>
      <c r="P873" s="2"/>
      <c r="Q873" s="2"/>
    </row>
    <row r="874" ht="15.75" customHeight="1">
      <c r="A874" s="2"/>
      <c r="B874" s="2"/>
      <c r="C874" s="2"/>
      <c r="D874" s="2"/>
      <c r="E874" s="2"/>
      <c r="F874" s="2"/>
      <c r="G874" s="2"/>
      <c r="H874" s="2"/>
      <c r="I874" s="2"/>
      <c r="J874" s="2"/>
      <c r="K874" s="2"/>
      <c r="P874" s="2"/>
      <c r="Q874" s="2"/>
    </row>
    <row r="875" ht="15.75" customHeight="1">
      <c r="A875" s="2"/>
      <c r="B875" s="2"/>
      <c r="C875" s="2"/>
      <c r="D875" s="2"/>
      <c r="E875" s="2"/>
      <c r="F875" s="2"/>
      <c r="G875" s="2"/>
      <c r="H875" s="2"/>
      <c r="I875" s="2"/>
      <c r="J875" s="2"/>
      <c r="K875" s="2"/>
      <c r="P875" s="2"/>
      <c r="Q875" s="2"/>
    </row>
    <row r="876" ht="15.75" customHeight="1">
      <c r="A876" s="2"/>
      <c r="B876" s="2"/>
      <c r="C876" s="2"/>
      <c r="D876" s="2"/>
      <c r="E876" s="2"/>
      <c r="F876" s="2"/>
      <c r="G876" s="2"/>
      <c r="H876" s="2"/>
      <c r="I876" s="2"/>
      <c r="J876" s="2"/>
      <c r="K876" s="2"/>
      <c r="P876" s="2"/>
      <c r="Q876" s="2"/>
    </row>
    <row r="877" ht="15.75" customHeight="1">
      <c r="A877" s="2"/>
      <c r="B877" s="2"/>
      <c r="C877" s="2"/>
      <c r="D877" s="2"/>
      <c r="E877" s="2"/>
      <c r="F877" s="2"/>
      <c r="G877" s="2"/>
      <c r="H877" s="2"/>
      <c r="I877" s="2"/>
      <c r="J877" s="2"/>
      <c r="K877" s="2"/>
      <c r="P877" s="2"/>
      <c r="Q877" s="2"/>
    </row>
    <row r="878" ht="15.75" customHeight="1">
      <c r="A878" s="2"/>
      <c r="B878" s="2"/>
      <c r="C878" s="2"/>
      <c r="D878" s="2"/>
      <c r="E878" s="2"/>
      <c r="F878" s="2"/>
      <c r="G878" s="2"/>
      <c r="H878" s="2"/>
      <c r="I878" s="2"/>
      <c r="J878" s="2"/>
      <c r="K878" s="2"/>
      <c r="P878" s="2"/>
      <c r="Q878" s="2"/>
    </row>
    <row r="879" ht="15.75" customHeight="1">
      <c r="A879" s="2"/>
      <c r="B879" s="2"/>
      <c r="C879" s="2"/>
      <c r="D879" s="2"/>
      <c r="E879" s="2"/>
      <c r="F879" s="2"/>
      <c r="G879" s="2"/>
      <c r="H879" s="2"/>
      <c r="I879" s="2"/>
      <c r="J879" s="2"/>
      <c r="K879" s="2"/>
      <c r="P879" s="2"/>
      <c r="Q879" s="2"/>
    </row>
    <row r="880" ht="15.75" customHeight="1">
      <c r="A880" s="2"/>
      <c r="B880" s="2"/>
      <c r="C880" s="2"/>
      <c r="D880" s="2"/>
      <c r="E880" s="2"/>
      <c r="F880" s="2"/>
      <c r="G880" s="2"/>
      <c r="H880" s="2"/>
      <c r="I880" s="2"/>
      <c r="J880" s="2"/>
      <c r="K880" s="2"/>
      <c r="P880" s="2"/>
      <c r="Q880" s="2"/>
    </row>
    <row r="881" ht="15.75" customHeight="1">
      <c r="A881" s="2"/>
      <c r="B881" s="2"/>
      <c r="C881" s="2"/>
      <c r="D881" s="2"/>
      <c r="E881" s="2"/>
      <c r="F881" s="2"/>
      <c r="G881" s="2"/>
      <c r="H881" s="2"/>
      <c r="I881" s="2"/>
      <c r="J881" s="2"/>
      <c r="K881" s="2"/>
      <c r="P881" s="2"/>
      <c r="Q881" s="2"/>
    </row>
    <row r="882" ht="15.75" customHeight="1">
      <c r="A882" s="2"/>
      <c r="B882" s="2"/>
      <c r="C882" s="2"/>
      <c r="D882" s="2"/>
      <c r="E882" s="2"/>
      <c r="F882" s="2"/>
      <c r="G882" s="2"/>
      <c r="H882" s="2"/>
      <c r="I882" s="2"/>
      <c r="J882" s="2"/>
      <c r="K882" s="2"/>
      <c r="P882" s="2"/>
      <c r="Q882" s="2"/>
    </row>
    <row r="883" ht="15.75" customHeight="1">
      <c r="A883" s="2"/>
      <c r="B883" s="2"/>
      <c r="C883" s="2"/>
      <c r="D883" s="2"/>
      <c r="E883" s="2"/>
      <c r="F883" s="2"/>
      <c r="G883" s="2"/>
      <c r="H883" s="2"/>
      <c r="I883" s="2"/>
      <c r="J883" s="2"/>
      <c r="K883" s="2"/>
      <c r="P883" s="2"/>
      <c r="Q883" s="2"/>
    </row>
    <row r="884" ht="15.75" customHeight="1">
      <c r="A884" s="2"/>
      <c r="B884" s="2"/>
      <c r="C884" s="2"/>
      <c r="D884" s="2"/>
      <c r="E884" s="2"/>
      <c r="F884" s="2"/>
      <c r="G884" s="2"/>
      <c r="H884" s="2"/>
      <c r="I884" s="2"/>
      <c r="J884" s="2"/>
      <c r="K884" s="2"/>
      <c r="P884" s="2"/>
      <c r="Q884" s="2"/>
    </row>
    <row r="885" ht="15.75" customHeight="1">
      <c r="A885" s="2"/>
      <c r="B885" s="2"/>
      <c r="C885" s="2"/>
      <c r="D885" s="2"/>
      <c r="E885" s="2"/>
      <c r="F885" s="2"/>
      <c r="G885" s="2"/>
      <c r="H885" s="2"/>
      <c r="I885" s="2"/>
      <c r="J885" s="2"/>
      <c r="K885" s="2"/>
      <c r="P885" s="2"/>
      <c r="Q885" s="2"/>
    </row>
    <row r="886" ht="15.75" customHeight="1">
      <c r="A886" s="2"/>
      <c r="B886" s="2"/>
      <c r="C886" s="2"/>
      <c r="D886" s="2"/>
      <c r="E886" s="2"/>
      <c r="F886" s="2"/>
      <c r="G886" s="2"/>
      <c r="H886" s="2"/>
      <c r="I886" s="2"/>
      <c r="J886" s="2"/>
      <c r="K886" s="2"/>
      <c r="P886" s="2"/>
      <c r="Q886" s="2"/>
    </row>
    <row r="887" ht="15.75" customHeight="1">
      <c r="A887" s="2"/>
      <c r="B887" s="2"/>
      <c r="C887" s="2"/>
      <c r="D887" s="2"/>
      <c r="E887" s="2"/>
      <c r="F887" s="2"/>
      <c r="G887" s="2"/>
      <c r="H887" s="2"/>
      <c r="I887" s="2"/>
      <c r="J887" s="2"/>
      <c r="K887" s="2"/>
      <c r="P887" s="2"/>
      <c r="Q887" s="2"/>
    </row>
    <row r="888" ht="15.75" customHeight="1">
      <c r="A888" s="2"/>
      <c r="B888" s="2"/>
      <c r="C888" s="2"/>
      <c r="D888" s="2"/>
      <c r="E888" s="2"/>
      <c r="F888" s="2"/>
      <c r="G888" s="2"/>
      <c r="H888" s="2"/>
      <c r="I888" s="2"/>
      <c r="J888" s="2"/>
      <c r="K888" s="2"/>
      <c r="P888" s="2"/>
      <c r="Q888" s="2"/>
    </row>
    <row r="889" ht="15.75" customHeight="1">
      <c r="A889" s="2"/>
      <c r="B889" s="2"/>
      <c r="C889" s="2"/>
      <c r="D889" s="2"/>
      <c r="E889" s="2"/>
      <c r="F889" s="2"/>
      <c r="G889" s="2"/>
      <c r="H889" s="2"/>
      <c r="I889" s="2"/>
      <c r="J889" s="2"/>
      <c r="K889" s="2"/>
      <c r="P889" s="2"/>
      <c r="Q889" s="2"/>
    </row>
    <row r="890" ht="15.75" customHeight="1">
      <c r="A890" s="2"/>
      <c r="B890" s="2"/>
      <c r="C890" s="2"/>
      <c r="D890" s="2"/>
      <c r="E890" s="2"/>
      <c r="F890" s="2"/>
      <c r="G890" s="2"/>
      <c r="H890" s="2"/>
      <c r="I890" s="2"/>
      <c r="J890" s="2"/>
      <c r="K890" s="2"/>
      <c r="P890" s="2"/>
      <c r="Q890" s="2"/>
    </row>
    <row r="891" ht="15.75" customHeight="1">
      <c r="A891" s="2"/>
      <c r="B891" s="2"/>
      <c r="C891" s="2"/>
      <c r="D891" s="2"/>
      <c r="E891" s="2"/>
      <c r="F891" s="2"/>
      <c r="G891" s="2"/>
      <c r="H891" s="2"/>
      <c r="I891" s="2"/>
      <c r="J891" s="2"/>
      <c r="K891" s="2"/>
      <c r="P891" s="2"/>
      <c r="Q891" s="2"/>
    </row>
    <row r="892" ht="15.75" customHeight="1">
      <c r="A892" s="2"/>
      <c r="B892" s="2"/>
      <c r="C892" s="2"/>
      <c r="D892" s="2"/>
      <c r="E892" s="2"/>
      <c r="F892" s="2"/>
      <c r="G892" s="2"/>
      <c r="H892" s="2"/>
      <c r="I892" s="2"/>
      <c r="J892" s="2"/>
      <c r="K892" s="2"/>
      <c r="P892" s="2"/>
      <c r="Q892" s="2"/>
    </row>
    <row r="893" ht="15.75" customHeight="1">
      <c r="A893" s="2"/>
      <c r="B893" s="2"/>
      <c r="C893" s="2"/>
      <c r="D893" s="2"/>
      <c r="E893" s="2"/>
      <c r="F893" s="2"/>
      <c r="G893" s="2"/>
      <c r="H893" s="2"/>
      <c r="I893" s="2"/>
      <c r="J893" s="2"/>
      <c r="K893" s="2"/>
      <c r="P893" s="2"/>
      <c r="Q893" s="2"/>
    </row>
    <row r="894" ht="15.75" customHeight="1">
      <c r="A894" s="2"/>
      <c r="B894" s="2"/>
      <c r="C894" s="2"/>
      <c r="D894" s="2"/>
      <c r="E894" s="2"/>
      <c r="F894" s="2"/>
      <c r="G894" s="2"/>
      <c r="H894" s="2"/>
      <c r="I894" s="2"/>
      <c r="J894" s="2"/>
      <c r="K894" s="2"/>
      <c r="P894" s="2"/>
      <c r="Q894" s="2"/>
    </row>
    <row r="895" ht="15.75" customHeight="1">
      <c r="A895" s="2"/>
      <c r="B895" s="2"/>
      <c r="C895" s="2"/>
      <c r="D895" s="2"/>
      <c r="E895" s="2"/>
      <c r="F895" s="2"/>
      <c r="G895" s="2"/>
      <c r="H895" s="2"/>
      <c r="I895" s="2"/>
      <c r="J895" s="2"/>
      <c r="K895" s="2"/>
      <c r="P895" s="2"/>
      <c r="Q895" s="2"/>
    </row>
    <row r="896" ht="15.75" customHeight="1">
      <c r="A896" s="2"/>
      <c r="B896" s="2"/>
      <c r="C896" s="2"/>
      <c r="D896" s="2"/>
      <c r="E896" s="2"/>
      <c r="F896" s="2"/>
      <c r="G896" s="2"/>
      <c r="H896" s="2"/>
      <c r="I896" s="2"/>
      <c r="J896" s="2"/>
      <c r="K896" s="2"/>
      <c r="P896" s="2"/>
      <c r="Q896" s="2"/>
    </row>
    <row r="897" ht="15.75" customHeight="1">
      <c r="A897" s="2"/>
      <c r="B897" s="2"/>
      <c r="C897" s="2"/>
      <c r="D897" s="2"/>
      <c r="E897" s="2"/>
      <c r="F897" s="2"/>
      <c r="G897" s="2"/>
      <c r="H897" s="2"/>
      <c r="I897" s="2"/>
      <c r="J897" s="2"/>
      <c r="K897" s="2"/>
      <c r="P897" s="2"/>
      <c r="Q897" s="2"/>
    </row>
    <row r="898" ht="15.75" customHeight="1">
      <c r="A898" s="2"/>
      <c r="B898" s="2"/>
      <c r="C898" s="2"/>
      <c r="D898" s="2"/>
      <c r="E898" s="2"/>
      <c r="F898" s="2"/>
      <c r="G898" s="2"/>
      <c r="H898" s="2"/>
      <c r="I898" s="2"/>
      <c r="J898" s="2"/>
      <c r="K898" s="2"/>
      <c r="P898" s="2"/>
      <c r="Q898" s="2"/>
    </row>
    <row r="899" ht="15.75" customHeight="1">
      <c r="A899" s="2"/>
      <c r="B899" s="2"/>
      <c r="C899" s="2"/>
      <c r="D899" s="2"/>
      <c r="E899" s="2"/>
      <c r="F899" s="2"/>
      <c r="G899" s="2"/>
      <c r="H899" s="2"/>
      <c r="I899" s="2"/>
      <c r="J899" s="2"/>
      <c r="K899" s="2"/>
      <c r="P899" s="2"/>
      <c r="Q899" s="2"/>
    </row>
    <row r="900" ht="15.75" customHeight="1">
      <c r="A900" s="2"/>
      <c r="B900" s="2"/>
      <c r="C900" s="2"/>
      <c r="D900" s="2"/>
      <c r="E900" s="2"/>
      <c r="F900" s="2"/>
      <c r="G900" s="2"/>
      <c r="H900" s="2"/>
      <c r="I900" s="2"/>
      <c r="J900" s="2"/>
      <c r="K900" s="2"/>
      <c r="P900" s="2"/>
      <c r="Q900" s="2"/>
    </row>
    <row r="901" ht="15.75" customHeight="1">
      <c r="A901" s="2"/>
      <c r="B901" s="2"/>
      <c r="C901" s="2"/>
      <c r="D901" s="2"/>
      <c r="E901" s="2"/>
      <c r="F901" s="2"/>
      <c r="G901" s="2"/>
      <c r="H901" s="2"/>
      <c r="I901" s="2"/>
      <c r="J901" s="2"/>
      <c r="K901" s="2"/>
      <c r="P901" s="2"/>
      <c r="Q901" s="2"/>
    </row>
    <row r="902" ht="15.75" customHeight="1">
      <c r="A902" s="2"/>
      <c r="B902" s="2"/>
      <c r="C902" s="2"/>
      <c r="D902" s="2"/>
      <c r="E902" s="2"/>
      <c r="F902" s="2"/>
      <c r="G902" s="2"/>
      <c r="H902" s="2"/>
      <c r="I902" s="2"/>
      <c r="J902" s="2"/>
      <c r="K902" s="2"/>
      <c r="P902" s="2"/>
      <c r="Q902" s="2"/>
    </row>
    <row r="903" ht="15.75" customHeight="1">
      <c r="A903" s="2"/>
      <c r="B903" s="2"/>
      <c r="C903" s="2"/>
      <c r="D903" s="2"/>
      <c r="E903" s="2"/>
      <c r="F903" s="2"/>
      <c r="G903" s="2"/>
      <c r="H903" s="2"/>
      <c r="I903" s="2"/>
      <c r="J903" s="2"/>
      <c r="K903" s="2"/>
      <c r="P903" s="2"/>
      <c r="Q903" s="2"/>
    </row>
    <row r="904" ht="15.75" customHeight="1">
      <c r="A904" s="2"/>
      <c r="B904" s="2"/>
      <c r="C904" s="2"/>
      <c r="D904" s="2"/>
      <c r="E904" s="2"/>
      <c r="F904" s="2"/>
      <c r="G904" s="2"/>
      <c r="H904" s="2"/>
      <c r="I904" s="2"/>
      <c r="J904" s="2"/>
      <c r="K904" s="2"/>
      <c r="P904" s="2"/>
      <c r="Q904" s="2"/>
    </row>
    <row r="905" ht="15.75" customHeight="1">
      <c r="A905" s="2"/>
      <c r="B905" s="2"/>
      <c r="C905" s="2"/>
      <c r="D905" s="2"/>
      <c r="E905" s="2"/>
      <c r="F905" s="2"/>
      <c r="G905" s="2"/>
      <c r="H905" s="2"/>
      <c r="I905" s="2"/>
      <c r="J905" s="2"/>
      <c r="K905" s="2"/>
      <c r="P905" s="2"/>
      <c r="Q905" s="2"/>
    </row>
    <row r="906" ht="15.75" customHeight="1">
      <c r="A906" s="2"/>
      <c r="B906" s="2"/>
      <c r="C906" s="2"/>
      <c r="D906" s="2"/>
      <c r="E906" s="2"/>
      <c r="F906" s="2"/>
      <c r="G906" s="2"/>
      <c r="H906" s="2"/>
      <c r="I906" s="2"/>
      <c r="J906" s="2"/>
      <c r="K906" s="2"/>
      <c r="P906" s="2"/>
      <c r="Q906" s="2"/>
    </row>
    <row r="907" ht="15.75" customHeight="1">
      <c r="A907" s="2"/>
      <c r="B907" s="2"/>
      <c r="C907" s="2"/>
      <c r="D907" s="2"/>
      <c r="E907" s="2"/>
      <c r="F907" s="2"/>
      <c r="G907" s="2"/>
      <c r="H907" s="2"/>
      <c r="I907" s="2"/>
      <c r="J907" s="2"/>
      <c r="K907" s="2"/>
      <c r="P907" s="2"/>
      <c r="Q907" s="2"/>
    </row>
    <row r="908" ht="15.75" customHeight="1">
      <c r="A908" s="2"/>
      <c r="B908" s="2"/>
      <c r="C908" s="2"/>
      <c r="D908" s="2"/>
      <c r="E908" s="2"/>
      <c r="F908" s="2"/>
      <c r="G908" s="2"/>
      <c r="H908" s="2"/>
      <c r="I908" s="2"/>
      <c r="J908" s="2"/>
      <c r="K908" s="2"/>
      <c r="P908" s="2"/>
      <c r="Q908" s="2"/>
    </row>
    <row r="909" ht="15.75" customHeight="1">
      <c r="A909" s="2"/>
      <c r="B909" s="2"/>
      <c r="C909" s="2"/>
      <c r="D909" s="2"/>
      <c r="E909" s="2"/>
      <c r="F909" s="2"/>
      <c r="G909" s="2"/>
      <c r="H909" s="2"/>
      <c r="I909" s="2"/>
      <c r="J909" s="2"/>
      <c r="K909" s="2"/>
      <c r="P909" s="2"/>
      <c r="Q909" s="2"/>
    </row>
    <row r="910" ht="15.75" customHeight="1">
      <c r="A910" s="2"/>
      <c r="B910" s="2"/>
      <c r="C910" s="2"/>
      <c r="D910" s="2"/>
      <c r="E910" s="2"/>
      <c r="F910" s="2"/>
      <c r="G910" s="2"/>
      <c r="H910" s="2"/>
      <c r="I910" s="2"/>
      <c r="J910" s="2"/>
      <c r="K910" s="2"/>
      <c r="P910" s="2"/>
      <c r="Q910" s="2"/>
    </row>
    <row r="911" ht="15.75" customHeight="1">
      <c r="A911" s="2"/>
      <c r="B911" s="2"/>
      <c r="C911" s="2"/>
      <c r="D911" s="2"/>
      <c r="E911" s="2"/>
      <c r="F911" s="2"/>
      <c r="G911" s="2"/>
      <c r="H911" s="2"/>
      <c r="I911" s="2"/>
      <c r="J911" s="2"/>
      <c r="K911" s="2"/>
      <c r="P911" s="2"/>
      <c r="Q911" s="2"/>
    </row>
    <row r="912" ht="15.75" customHeight="1">
      <c r="A912" s="2"/>
      <c r="B912" s="2"/>
      <c r="C912" s="2"/>
      <c r="D912" s="2"/>
      <c r="E912" s="2"/>
      <c r="F912" s="2"/>
      <c r="G912" s="2"/>
      <c r="H912" s="2"/>
      <c r="I912" s="2"/>
      <c r="J912" s="2"/>
      <c r="K912" s="2"/>
      <c r="P912" s="2"/>
      <c r="Q912" s="2"/>
    </row>
    <row r="913" ht="15.75" customHeight="1">
      <c r="A913" s="2"/>
      <c r="B913" s="2"/>
      <c r="C913" s="2"/>
      <c r="D913" s="2"/>
      <c r="E913" s="2"/>
      <c r="F913" s="2"/>
      <c r="G913" s="2"/>
      <c r="H913" s="2"/>
      <c r="I913" s="2"/>
      <c r="J913" s="2"/>
      <c r="K913" s="2"/>
      <c r="P913" s="2"/>
      <c r="Q913" s="2"/>
    </row>
    <row r="914" ht="15.75" customHeight="1">
      <c r="A914" s="2"/>
      <c r="B914" s="2"/>
      <c r="C914" s="2"/>
      <c r="D914" s="2"/>
      <c r="E914" s="2"/>
      <c r="F914" s="2"/>
      <c r="G914" s="2"/>
      <c r="H914" s="2"/>
      <c r="I914" s="2"/>
      <c r="J914" s="2"/>
      <c r="K914" s="2"/>
      <c r="P914" s="2"/>
      <c r="Q914" s="2"/>
    </row>
    <row r="915" ht="15.75" customHeight="1">
      <c r="A915" s="2"/>
      <c r="B915" s="2"/>
      <c r="C915" s="2"/>
      <c r="D915" s="2"/>
      <c r="E915" s="2"/>
      <c r="F915" s="2"/>
      <c r="G915" s="2"/>
      <c r="H915" s="2"/>
      <c r="I915" s="2"/>
      <c r="J915" s="2"/>
      <c r="K915" s="2"/>
      <c r="P915" s="2"/>
      <c r="Q915" s="2"/>
    </row>
    <row r="916" ht="15.75" customHeight="1">
      <c r="A916" s="2"/>
      <c r="B916" s="2"/>
      <c r="C916" s="2"/>
      <c r="D916" s="2"/>
      <c r="E916" s="2"/>
      <c r="F916" s="2"/>
      <c r="G916" s="2"/>
      <c r="H916" s="2"/>
      <c r="I916" s="2"/>
      <c r="J916" s="2"/>
      <c r="K916" s="2"/>
      <c r="P916" s="2"/>
      <c r="Q916" s="2"/>
    </row>
    <row r="917" ht="15.75" customHeight="1">
      <c r="A917" s="2"/>
      <c r="B917" s="2"/>
      <c r="C917" s="2"/>
      <c r="D917" s="2"/>
      <c r="E917" s="2"/>
      <c r="F917" s="2"/>
      <c r="G917" s="2"/>
      <c r="H917" s="2"/>
      <c r="I917" s="2"/>
      <c r="J917" s="2"/>
      <c r="K917" s="2"/>
      <c r="P917" s="2"/>
      <c r="Q917" s="2"/>
    </row>
    <row r="918" ht="15.75" customHeight="1">
      <c r="A918" s="2"/>
      <c r="B918" s="2"/>
      <c r="C918" s="2"/>
      <c r="D918" s="2"/>
      <c r="E918" s="2"/>
      <c r="F918" s="2"/>
      <c r="G918" s="2"/>
      <c r="H918" s="2"/>
      <c r="I918" s="2"/>
      <c r="J918" s="2"/>
      <c r="K918" s="2"/>
      <c r="P918" s="2"/>
      <c r="Q918" s="2"/>
    </row>
    <row r="919" ht="15.75" customHeight="1">
      <c r="A919" s="2"/>
      <c r="B919" s="2"/>
      <c r="C919" s="2"/>
      <c r="D919" s="2"/>
      <c r="E919" s="2"/>
      <c r="F919" s="2"/>
      <c r="G919" s="2"/>
      <c r="H919" s="2"/>
      <c r="I919" s="2"/>
      <c r="J919" s="2"/>
      <c r="K919" s="2"/>
      <c r="P919" s="2"/>
      <c r="Q919" s="2"/>
    </row>
    <row r="920" ht="15.75" customHeight="1">
      <c r="A920" s="2"/>
      <c r="B920" s="2"/>
      <c r="C920" s="2"/>
      <c r="D920" s="2"/>
      <c r="E920" s="2"/>
      <c r="F920" s="2"/>
      <c r="G920" s="2"/>
      <c r="H920" s="2"/>
      <c r="I920" s="2"/>
      <c r="J920" s="2"/>
      <c r="K920" s="2"/>
      <c r="P920" s="2"/>
      <c r="Q920" s="2"/>
    </row>
    <row r="921" ht="15.75" customHeight="1">
      <c r="A921" s="2"/>
      <c r="B921" s="2"/>
      <c r="C921" s="2"/>
      <c r="D921" s="2"/>
      <c r="E921" s="2"/>
      <c r="F921" s="2"/>
      <c r="G921" s="2"/>
      <c r="H921" s="2"/>
      <c r="I921" s="2"/>
      <c r="J921" s="2"/>
      <c r="K921" s="2"/>
      <c r="P921" s="2"/>
      <c r="Q921" s="2"/>
    </row>
    <row r="922" ht="15.75" customHeight="1">
      <c r="A922" s="2"/>
      <c r="B922" s="2"/>
      <c r="C922" s="2"/>
      <c r="D922" s="2"/>
      <c r="E922" s="2"/>
      <c r="F922" s="2"/>
      <c r="G922" s="2"/>
      <c r="H922" s="2"/>
      <c r="I922" s="2"/>
      <c r="J922" s="2"/>
      <c r="K922" s="2"/>
      <c r="P922" s="2"/>
      <c r="Q922" s="2"/>
    </row>
    <row r="923" ht="15.75" customHeight="1">
      <c r="A923" s="2"/>
      <c r="B923" s="2"/>
      <c r="C923" s="2"/>
      <c r="D923" s="2"/>
      <c r="E923" s="2"/>
      <c r="F923" s="2"/>
      <c r="G923" s="2"/>
      <c r="H923" s="2"/>
      <c r="I923" s="2"/>
      <c r="J923" s="2"/>
      <c r="K923" s="2"/>
      <c r="P923" s="2"/>
      <c r="Q923" s="2"/>
    </row>
    <row r="924" ht="15.75" customHeight="1">
      <c r="A924" s="2"/>
      <c r="B924" s="2"/>
      <c r="C924" s="2"/>
      <c r="D924" s="2"/>
      <c r="E924" s="2"/>
      <c r="F924" s="2"/>
      <c r="G924" s="2"/>
      <c r="H924" s="2"/>
      <c r="I924" s="2"/>
      <c r="J924" s="2"/>
      <c r="K924" s="2"/>
      <c r="P924" s="2"/>
      <c r="Q924" s="2"/>
    </row>
    <row r="925" ht="15.75" customHeight="1">
      <c r="A925" s="2"/>
      <c r="B925" s="2"/>
      <c r="C925" s="2"/>
      <c r="D925" s="2"/>
      <c r="E925" s="2"/>
      <c r="F925" s="2"/>
      <c r="G925" s="2"/>
      <c r="H925" s="2"/>
      <c r="I925" s="2"/>
      <c r="J925" s="2"/>
      <c r="K925" s="2"/>
      <c r="P925" s="2"/>
      <c r="Q925" s="2"/>
    </row>
    <row r="926" ht="15.75" customHeight="1">
      <c r="A926" s="2"/>
      <c r="B926" s="2"/>
      <c r="C926" s="2"/>
      <c r="D926" s="2"/>
      <c r="E926" s="2"/>
      <c r="F926" s="2"/>
      <c r="G926" s="2"/>
      <c r="H926" s="2"/>
      <c r="I926" s="2"/>
      <c r="J926" s="2"/>
      <c r="K926" s="2"/>
      <c r="P926" s="2"/>
      <c r="Q926" s="2"/>
    </row>
    <row r="927" ht="15.75" customHeight="1">
      <c r="A927" s="2"/>
      <c r="B927" s="2"/>
      <c r="C927" s="2"/>
      <c r="D927" s="2"/>
      <c r="E927" s="2"/>
      <c r="F927" s="2"/>
      <c r="G927" s="2"/>
      <c r="H927" s="2"/>
      <c r="I927" s="2"/>
      <c r="J927" s="2"/>
      <c r="K927" s="2"/>
      <c r="P927" s="2"/>
      <c r="Q927" s="2"/>
    </row>
    <row r="928" ht="15.75" customHeight="1">
      <c r="A928" s="2"/>
      <c r="B928" s="2"/>
      <c r="C928" s="2"/>
      <c r="D928" s="2"/>
      <c r="E928" s="2"/>
      <c r="F928" s="2"/>
      <c r="G928" s="2"/>
      <c r="H928" s="2"/>
      <c r="I928" s="2"/>
      <c r="J928" s="2"/>
      <c r="K928" s="2"/>
      <c r="P928" s="2"/>
      <c r="Q928" s="2"/>
    </row>
    <row r="929" ht="15.75" customHeight="1">
      <c r="A929" s="2"/>
      <c r="B929" s="2"/>
      <c r="C929" s="2"/>
      <c r="D929" s="2"/>
      <c r="E929" s="2"/>
      <c r="F929" s="2"/>
      <c r="G929" s="2"/>
      <c r="H929" s="2"/>
      <c r="I929" s="2"/>
      <c r="J929" s="2"/>
      <c r="K929" s="2"/>
      <c r="P929" s="2"/>
      <c r="Q929" s="2"/>
    </row>
    <row r="930" ht="15.75" customHeight="1">
      <c r="A930" s="2"/>
      <c r="B930" s="2"/>
      <c r="C930" s="2"/>
      <c r="D930" s="2"/>
      <c r="E930" s="2"/>
      <c r="F930" s="2"/>
      <c r="G930" s="2"/>
      <c r="H930" s="2"/>
      <c r="I930" s="2"/>
      <c r="J930" s="2"/>
      <c r="K930" s="2"/>
      <c r="P930" s="2"/>
      <c r="Q930" s="2"/>
    </row>
    <row r="931" ht="15.75" customHeight="1">
      <c r="A931" s="2"/>
      <c r="B931" s="2"/>
      <c r="C931" s="2"/>
      <c r="D931" s="2"/>
      <c r="E931" s="2"/>
      <c r="F931" s="2"/>
      <c r="G931" s="2"/>
      <c r="H931" s="2"/>
      <c r="I931" s="2"/>
      <c r="J931" s="2"/>
      <c r="K931" s="2"/>
      <c r="P931" s="2"/>
      <c r="Q931" s="2"/>
    </row>
    <row r="932" ht="15.75" customHeight="1">
      <c r="A932" s="2"/>
      <c r="B932" s="2"/>
      <c r="C932" s="2"/>
      <c r="D932" s="2"/>
      <c r="E932" s="2"/>
      <c r="F932" s="2"/>
      <c r="G932" s="2"/>
      <c r="H932" s="2"/>
      <c r="I932" s="2"/>
      <c r="J932" s="2"/>
      <c r="K932" s="2"/>
      <c r="P932" s="2"/>
      <c r="Q932" s="2"/>
    </row>
    <row r="933" ht="15.75" customHeight="1">
      <c r="A933" s="2"/>
      <c r="B933" s="2"/>
      <c r="C933" s="2"/>
      <c r="D933" s="2"/>
      <c r="E933" s="2"/>
      <c r="F933" s="2"/>
      <c r="G933" s="2"/>
      <c r="H933" s="2"/>
      <c r="I933" s="2"/>
      <c r="J933" s="2"/>
      <c r="K933" s="2"/>
      <c r="P933" s="2"/>
      <c r="Q933" s="2"/>
    </row>
    <row r="934" ht="15.75" customHeight="1">
      <c r="A934" s="2"/>
      <c r="B934" s="2"/>
      <c r="C934" s="2"/>
      <c r="D934" s="2"/>
      <c r="E934" s="2"/>
      <c r="F934" s="2"/>
      <c r="G934" s="2"/>
      <c r="H934" s="2"/>
      <c r="I934" s="2"/>
      <c r="J934" s="2"/>
      <c r="K934" s="2"/>
      <c r="P934" s="2"/>
      <c r="Q934" s="2"/>
    </row>
    <row r="935" ht="15.75" customHeight="1">
      <c r="A935" s="2"/>
      <c r="B935" s="2"/>
      <c r="C935" s="2"/>
      <c r="D935" s="2"/>
      <c r="E935" s="2"/>
      <c r="F935" s="2"/>
      <c r="G935" s="2"/>
      <c r="H935" s="2"/>
      <c r="I935" s="2"/>
      <c r="J935" s="2"/>
      <c r="K935" s="2"/>
      <c r="P935" s="2"/>
      <c r="Q935" s="2"/>
    </row>
    <row r="936" ht="15.75" customHeight="1">
      <c r="A936" s="2"/>
      <c r="B936" s="2"/>
      <c r="C936" s="2"/>
      <c r="D936" s="2"/>
      <c r="E936" s="2"/>
      <c r="F936" s="2"/>
      <c r="G936" s="2"/>
      <c r="H936" s="2"/>
      <c r="I936" s="2"/>
      <c r="J936" s="2"/>
      <c r="K936" s="2"/>
      <c r="P936" s="2"/>
      <c r="Q936" s="2"/>
    </row>
    <row r="937" ht="15.75" customHeight="1">
      <c r="A937" s="2"/>
      <c r="B937" s="2"/>
      <c r="C937" s="2"/>
      <c r="D937" s="2"/>
      <c r="E937" s="2"/>
      <c r="F937" s="2"/>
      <c r="G937" s="2"/>
      <c r="H937" s="2"/>
      <c r="I937" s="2"/>
      <c r="J937" s="2"/>
      <c r="K937" s="2"/>
      <c r="P937" s="2"/>
      <c r="Q937" s="2"/>
    </row>
    <row r="938" ht="15.75" customHeight="1">
      <c r="A938" s="2"/>
      <c r="B938" s="2"/>
      <c r="C938" s="2"/>
      <c r="D938" s="2"/>
      <c r="E938" s="2"/>
      <c r="F938" s="2"/>
      <c r="G938" s="2"/>
      <c r="H938" s="2"/>
      <c r="I938" s="2"/>
      <c r="J938" s="2"/>
      <c r="K938" s="2"/>
      <c r="P938" s="2"/>
      <c r="Q938" s="2"/>
    </row>
    <row r="939" ht="15.75" customHeight="1">
      <c r="A939" s="2"/>
      <c r="B939" s="2"/>
      <c r="C939" s="2"/>
      <c r="D939" s="2"/>
      <c r="E939" s="2"/>
      <c r="F939" s="2"/>
      <c r="G939" s="2"/>
      <c r="H939" s="2"/>
      <c r="I939" s="2"/>
      <c r="J939" s="2"/>
      <c r="K939" s="2"/>
      <c r="P939" s="2"/>
      <c r="Q939" s="2"/>
    </row>
    <row r="940" ht="15.75" customHeight="1">
      <c r="A940" s="2"/>
      <c r="B940" s="2"/>
      <c r="C940" s="2"/>
      <c r="D940" s="2"/>
      <c r="E940" s="2"/>
      <c r="F940" s="2"/>
      <c r="G940" s="2"/>
      <c r="H940" s="2"/>
      <c r="I940" s="2"/>
      <c r="J940" s="2"/>
      <c r="K940" s="2"/>
      <c r="P940" s="2"/>
      <c r="Q940" s="2"/>
    </row>
    <row r="941" ht="15.75" customHeight="1">
      <c r="A941" s="2"/>
      <c r="B941" s="2"/>
      <c r="C941" s="2"/>
      <c r="D941" s="2"/>
      <c r="E941" s="2"/>
      <c r="F941" s="2"/>
      <c r="G941" s="2"/>
      <c r="H941" s="2"/>
      <c r="I941" s="2"/>
      <c r="J941" s="2"/>
      <c r="K941" s="2"/>
      <c r="P941" s="2"/>
      <c r="Q941" s="2"/>
    </row>
    <row r="942" ht="15.75" customHeight="1">
      <c r="A942" s="2"/>
      <c r="B942" s="2"/>
      <c r="C942" s="2"/>
      <c r="D942" s="2"/>
      <c r="E942" s="2"/>
      <c r="F942" s="2"/>
      <c r="G942" s="2"/>
      <c r="H942" s="2"/>
      <c r="I942" s="2"/>
      <c r="J942" s="2"/>
      <c r="K942" s="2"/>
      <c r="P942" s="2"/>
      <c r="Q942" s="2"/>
    </row>
    <row r="943" ht="15.75" customHeight="1">
      <c r="A943" s="2"/>
      <c r="B943" s="2"/>
      <c r="C943" s="2"/>
      <c r="D943" s="2"/>
      <c r="E943" s="2"/>
      <c r="F943" s="2"/>
      <c r="G943" s="2"/>
      <c r="H943" s="2"/>
      <c r="I943" s="2"/>
      <c r="J943" s="2"/>
      <c r="K943" s="2"/>
      <c r="P943" s="2"/>
      <c r="Q943" s="2"/>
    </row>
    <row r="944" ht="15.75" customHeight="1">
      <c r="A944" s="2"/>
      <c r="B944" s="2"/>
      <c r="C944" s="2"/>
      <c r="D944" s="2"/>
      <c r="E944" s="2"/>
      <c r="F944" s="2"/>
      <c r="G944" s="2"/>
      <c r="H944" s="2"/>
      <c r="I944" s="2"/>
      <c r="J944" s="2"/>
      <c r="K944" s="2"/>
      <c r="P944" s="2"/>
      <c r="Q944" s="2"/>
    </row>
    <row r="945" ht="15.75" customHeight="1">
      <c r="A945" s="2"/>
      <c r="B945" s="2"/>
      <c r="C945" s="2"/>
      <c r="D945" s="2"/>
      <c r="E945" s="2"/>
      <c r="F945" s="2"/>
      <c r="G945" s="2"/>
      <c r="H945" s="2"/>
      <c r="I945" s="2"/>
      <c r="J945" s="2"/>
      <c r="K945" s="2"/>
      <c r="P945" s="2"/>
      <c r="Q945" s="2"/>
    </row>
    <row r="946" ht="15.75" customHeight="1">
      <c r="A946" s="2"/>
      <c r="B946" s="2"/>
      <c r="C946" s="2"/>
      <c r="D946" s="2"/>
      <c r="E946" s="2"/>
      <c r="F946" s="2"/>
      <c r="G946" s="2"/>
      <c r="H946" s="2"/>
      <c r="I946" s="2"/>
      <c r="J946" s="2"/>
      <c r="K946" s="2"/>
      <c r="P946" s="2"/>
      <c r="Q946" s="2"/>
    </row>
    <row r="947" ht="15.75" customHeight="1">
      <c r="A947" s="2"/>
      <c r="B947" s="2"/>
      <c r="C947" s="2"/>
      <c r="D947" s="2"/>
      <c r="E947" s="2"/>
      <c r="F947" s="2"/>
      <c r="G947" s="2"/>
      <c r="H947" s="2"/>
      <c r="I947" s="2"/>
      <c r="J947" s="2"/>
      <c r="K947" s="2"/>
      <c r="P947" s="2"/>
      <c r="Q947" s="2"/>
    </row>
    <row r="948" ht="15.75" customHeight="1">
      <c r="A948" s="2"/>
      <c r="B948" s="2"/>
      <c r="C948" s="2"/>
      <c r="D948" s="2"/>
      <c r="E948" s="2"/>
      <c r="F948" s="2"/>
      <c r="G948" s="2"/>
      <c r="H948" s="2"/>
      <c r="I948" s="2"/>
      <c r="J948" s="2"/>
      <c r="K948" s="2"/>
      <c r="P948" s="2"/>
      <c r="Q948" s="2"/>
    </row>
    <row r="949" ht="15.75" customHeight="1">
      <c r="A949" s="2"/>
      <c r="B949" s="2"/>
      <c r="C949" s="2"/>
      <c r="D949" s="2"/>
      <c r="E949" s="2"/>
      <c r="F949" s="2"/>
      <c r="G949" s="2"/>
      <c r="H949" s="2"/>
      <c r="I949" s="2"/>
      <c r="J949" s="2"/>
      <c r="K949" s="2"/>
      <c r="P949" s="2"/>
      <c r="Q949" s="2"/>
    </row>
    <row r="950" ht="15.75" customHeight="1">
      <c r="A950" s="2"/>
      <c r="B950" s="2"/>
      <c r="C950" s="2"/>
      <c r="D950" s="2"/>
      <c r="E950" s="2"/>
      <c r="F950" s="2"/>
      <c r="G950" s="2"/>
      <c r="H950" s="2"/>
      <c r="I950" s="2"/>
      <c r="J950" s="2"/>
      <c r="K950" s="2"/>
      <c r="P950" s="2"/>
      <c r="Q950" s="2"/>
    </row>
    <row r="951" ht="15.75" customHeight="1">
      <c r="A951" s="2"/>
      <c r="B951" s="2"/>
      <c r="C951" s="2"/>
      <c r="D951" s="2"/>
      <c r="E951" s="2"/>
      <c r="F951" s="2"/>
      <c r="G951" s="2"/>
      <c r="H951" s="2"/>
      <c r="I951" s="2"/>
      <c r="J951" s="2"/>
      <c r="K951" s="2"/>
      <c r="P951" s="2"/>
      <c r="Q951" s="2"/>
    </row>
    <row r="952" ht="15.75" customHeight="1">
      <c r="A952" s="2"/>
      <c r="B952" s="2"/>
      <c r="C952" s="2"/>
      <c r="D952" s="2"/>
      <c r="E952" s="2"/>
      <c r="F952" s="2"/>
      <c r="G952" s="2"/>
      <c r="H952" s="2"/>
      <c r="I952" s="2"/>
      <c r="J952" s="2"/>
      <c r="K952" s="2"/>
      <c r="P952" s="2"/>
      <c r="Q952" s="2"/>
    </row>
    <row r="953" ht="15.75" customHeight="1">
      <c r="A953" s="2"/>
      <c r="B953" s="2"/>
      <c r="C953" s="2"/>
      <c r="D953" s="2"/>
      <c r="E953" s="2"/>
      <c r="F953" s="2"/>
      <c r="G953" s="2"/>
      <c r="H953" s="2"/>
      <c r="I953" s="2"/>
      <c r="J953" s="2"/>
      <c r="K953" s="2"/>
      <c r="P953" s="2"/>
      <c r="Q953" s="2"/>
    </row>
    <row r="954" ht="15.75" customHeight="1">
      <c r="A954" s="2"/>
      <c r="B954" s="2"/>
      <c r="C954" s="2"/>
      <c r="D954" s="2"/>
      <c r="E954" s="2"/>
      <c r="F954" s="2"/>
      <c r="G954" s="2"/>
      <c r="H954" s="2"/>
      <c r="I954" s="2"/>
      <c r="J954" s="2"/>
      <c r="K954" s="2"/>
      <c r="P954" s="2"/>
      <c r="Q954" s="2"/>
    </row>
    <row r="955" ht="15.75" customHeight="1">
      <c r="A955" s="2"/>
      <c r="B955" s="2"/>
      <c r="C955" s="2"/>
      <c r="D955" s="2"/>
      <c r="E955" s="2"/>
      <c r="F955" s="2"/>
      <c r="G955" s="2"/>
      <c r="H955" s="2"/>
      <c r="I955" s="2"/>
      <c r="J955" s="2"/>
      <c r="K955" s="2"/>
      <c r="P955" s="2"/>
      <c r="Q955" s="2"/>
    </row>
    <row r="956" ht="15.75" customHeight="1">
      <c r="A956" s="2"/>
      <c r="B956" s="2"/>
      <c r="C956" s="2"/>
      <c r="D956" s="2"/>
      <c r="E956" s="2"/>
      <c r="F956" s="2"/>
      <c r="G956" s="2"/>
      <c r="H956" s="2"/>
      <c r="I956" s="2"/>
      <c r="J956" s="2"/>
      <c r="K956" s="2"/>
      <c r="P956" s="2"/>
      <c r="Q956" s="2"/>
    </row>
    <row r="957" ht="15.75" customHeight="1">
      <c r="A957" s="2"/>
      <c r="B957" s="2"/>
      <c r="C957" s="2"/>
      <c r="D957" s="2"/>
      <c r="E957" s="2"/>
      <c r="F957" s="2"/>
      <c r="G957" s="2"/>
      <c r="H957" s="2"/>
      <c r="I957" s="2"/>
      <c r="J957" s="2"/>
      <c r="K957" s="2"/>
      <c r="P957" s="2"/>
      <c r="Q957" s="2"/>
    </row>
    <row r="958" ht="15.75" customHeight="1">
      <c r="A958" s="2"/>
      <c r="B958" s="2"/>
      <c r="C958" s="2"/>
      <c r="D958" s="2"/>
      <c r="E958" s="2"/>
      <c r="F958" s="2"/>
      <c r="G958" s="2"/>
      <c r="H958" s="2"/>
      <c r="I958" s="2"/>
      <c r="J958" s="2"/>
      <c r="K958" s="2"/>
      <c r="P958" s="2"/>
      <c r="Q958" s="2"/>
    </row>
    <row r="959" ht="15.75" customHeight="1">
      <c r="A959" s="2"/>
      <c r="B959" s="2"/>
      <c r="C959" s="2"/>
      <c r="D959" s="2"/>
      <c r="E959" s="2"/>
      <c r="F959" s="2"/>
      <c r="G959" s="2"/>
      <c r="H959" s="2"/>
      <c r="I959" s="2"/>
      <c r="J959" s="2"/>
      <c r="K959" s="2"/>
      <c r="P959" s="2"/>
      <c r="Q959" s="2"/>
    </row>
    <row r="960" ht="15.75" customHeight="1">
      <c r="A960" s="2"/>
      <c r="B960" s="2"/>
      <c r="C960" s="2"/>
      <c r="D960" s="2"/>
      <c r="E960" s="2"/>
      <c r="F960" s="2"/>
      <c r="G960" s="2"/>
      <c r="H960" s="2"/>
      <c r="I960" s="2"/>
      <c r="J960" s="2"/>
      <c r="K960" s="2"/>
      <c r="P960" s="2"/>
      <c r="Q960" s="2"/>
    </row>
    <row r="961" ht="15.75" customHeight="1">
      <c r="A961" s="2"/>
      <c r="B961" s="2"/>
      <c r="C961" s="2"/>
      <c r="D961" s="2"/>
      <c r="E961" s="2"/>
      <c r="F961" s="2"/>
      <c r="G961" s="2"/>
      <c r="H961" s="2"/>
      <c r="I961" s="2"/>
      <c r="J961" s="2"/>
      <c r="K961" s="2"/>
      <c r="P961" s="2"/>
      <c r="Q961" s="2"/>
    </row>
    <row r="962" ht="15.75" customHeight="1">
      <c r="A962" s="2"/>
      <c r="B962" s="2"/>
      <c r="C962" s="2"/>
      <c r="D962" s="2"/>
      <c r="E962" s="2"/>
      <c r="F962" s="2"/>
      <c r="G962" s="2"/>
      <c r="H962" s="2"/>
      <c r="I962" s="2"/>
      <c r="J962" s="2"/>
      <c r="K962" s="2"/>
      <c r="P962" s="2"/>
      <c r="Q962" s="2"/>
    </row>
    <row r="963" ht="15.75" customHeight="1">
      <c r="A963" s="2"/>
      <c r="B963" s="2"/>
      <c r="C963" s="2"/>
      <c r="D963" s="2"/>
      <c r="E963" s="2"/>
      <c r="F963" s="2"/>
      <c r="G963" s="2"/>
      <c r="H963" s="2"/>
      <c r="I963" s="2"/>
      <c r="J963" s="2"/>
      <c r="K963" s="2"/>
      <c r="P963" s="2"/>
      <c r="Q963" s="2"/>
    </row>
    <row r="964" ht="15.75" customHeight="1">
      <c r="A964" s="2"/>
      <c r="B964" s="2"/>
      <c r="C964" s="2"/>
      <c r="D964" s="2"/>
      <c r="E964" s="2"/>
      <c r="F964" s="2"/>
      <c r="G964" s="2"/>
      <c r="H964" s="2"/>
      <c r="I964" s="2"/>
      <c r="J964" s="2"/>
      <c r="K964" s="2"/>
      <c r="P964" s="2"/>
      <c r="Q964" s="2"/>
    </row>
    <row r="965" ht="15.75" customHeight="1">
      <c r="A965" s="2"/>
      <c r="B965" s="2"/>
      <c r="C965" s="2"/>
      <c r="D965" s="2"/>
      <c r="E965" s="2"/>
      <c r="F965" s="2"/>
      <c r="G965" s="2"/>
      <c r="H965" s="2"/>
      <c r="I965" s="2"/>
      <c r="J965" s="2"/>
      <c r="K965" s="2"/>
      <c r="P965" s="2"/>
      <c r="Q965" s="2"/>
    </row>
    <row r="966" ht="15.75" customHeight="1">
      <c r="A966" s="2"/>
      <c r="B966" s="2"/>
      <c r="C966" s="2"/>
      <c r="D966" s="2"/>
      <c r="E966" s="2"/>
      <c r="F966" s="2"/>
      <c r="G966" s="2"/>
      <c r="H966" s="2"/>
      <c r="I966" s="2"/>
      <c r="J966" s="2"/>
      <c r="K966" s="2"/>
      <c r="P966" s="2"/>
      <c r="Q966" s="2"/>
    </row>
    <row r="967" ht="15.75" customHeight="1">
      <c r="A967" s="2"/>
      <c r="B967" s="2"/>
      <c r="C967" s="2"/>
      <c r="D967" s="2"/>
      <c r="E967" s="2"/>
      <c r="F967" s="2"/>
      <c r="G967" s="2"/>
      <c r="H967" s="2"/>
      <c r="I967" s="2"/>
      <c r="J967" s="2"/>
      <c r="K967" s="2"/>
      <c r="P967" s="2"/>
      <c r="Q967" s="2"/>
    </row>
    <row r="968" ht="15.75" customHeight="1">
      <c r="A968" s="2"/>
      <c r="B968" s="2"/>
      <c r="C968" s="2"/>
      <c r="D968" s="2"/>
      <c r="E968" s="2"/>
      <c r="F968" s="2"/>
      <c r="G968" s="2"/>
      <c r="H968" s="2"/>
      <c r="I968" s="2"/>
      <c r="J968" s="2"/>
      <c r="K968" s="2"/>
      <c r="P968" s="2"/>
      <c r="Q968" s="2"/>
    </row>
    <row r="969" ht="15.75" customHeight="1">
      <c r="A969" s="2"/>
      <c r="B969" s="2"/>
      <c r="C969" s="2"/>
      <c r="D969" s="2"/>
      <c r="E969" s="2"/>
      <c r="F969" s="2"/>
      <c r="G969" s="2"/>
      <c r="H969" s="2"/>
      <c r="I969" s="2"/>
      <c r="J969" s="2"/>
      <c r="K969" s="2"/>
      <c r="P969" s="2"/>
      <c r="Q969" s="2"/>
    </row>
    <row r="970" ht="15.75" customHeight="1">
      <c r="A970" s="2"/>
      <c r="B970" s="2"/>
      <c r="C970" s="2"/>
      <c r="D970" s="2"/>
      <c r="E970" s="2"/>
      <c r="F970" s="2"/>
      <c r="G970" s="2"/>
      <c r="H970" s="2"/>
      <c r="I970" s="2"/>
      <c r="J970" s="2"/>
      <c r="K970" s="2"/>
      <c r="P970" s="2"/>
      <c r="Q970" s="2"/>
    </row>
    <row r="971" ht="15.75" customHeight="1">
      <c r="A971" s="2"/>
      <c r="B971" s="2"/>
      <c r="C971" s="2"/>
      <c r="D971" s="2"/>
      <c r="E971" s="2"/>
      <c r="F971" s="2"/>
      <c r="G971" s="2"/>
      <c r="H971" s="2"/>
      <c r="I971" s="2"/>
      <c r="J971" s="2"/>
      <c r="K971" s="2"/>
      <c r="P971" s="2"/>
      <c r="Q971" s="2"/>
    </row>
    <row r="972" ht="15.75" customHeight="1">
      <c r="A972" s="2"/>
      <c r="B972" s="2"/>
      <c r="C972" s="2"/>
      <c r="D972" s="2"/>
      <c r="E972" s="2"/>
      <c r="F972" s="2"/>
      <c r="G972" s="2"/>
      <c r="H972" s="2"/>
      <c r="I972" s="2"/>
      <c r="J972" s="2"/>
      <c r="K972" s="2"/>
      <c r="P972" s="2"/>
      <c r="Q972" s="2"/>
    </row>
    <row r="973" ht="15.75" customHeight="1">
      <c r="A973" s="2"/>
      <c r="B973" s="2"/>
      <c r="C973" s="2"/>
      <c r="D973" s="2"/>
      <c r="E973" s="2"/>
      <c r="F973" s="2"/>
      <c r="G973" s="2"/>
      <c r="H973" s="2"/>
      <c r="I973" s="2"/>
      <c r="J973" s="2"/>
      <c r="K973" s="2"/>
      <c r="P973" s="2"/>
      <c r="Q973" s="2"/>
    </row>
    <row r="974" ht="15.75" customHeight="1">
      <c r="A974" s="2"/>
      <c r="B974" s="2"/>
      <c r="C974" s="2"/>
      <c r="D974" s="2"/>
      <c r="E974" s="2"/>
      <c r="F974" s="2"/>
      <c r="G974" s="2"/>
      <c r="H974" s="2"/>
      <c r="I974" s="2"/>
      <c r="J974" s="2"/>
      <c r="K974" s="2"/>
      <c r="P974" s="2"/>
      <c r="Q974" s="2"/>
    </row>
    <row r="975" ht="15.75" customHeight="1">
      <c r="A975" s="2"/>
      <c r="B975" s="2"/>
      <c r="C975" s="2"/>
      <c r="D975" s="2"/>
      <c r="E975" s="2"/>
      <c r="F975" s="2"/>
      <c r="G975" s="2"/>
      <c r="H975" s="2"/>
      <c r="I975" s="2"/>
      <c r="J975" s="2"/>
      <c r="K975" s="2"/>
      <c r="P975" s="2"/>
      <c r="Q975" s="2"/>
    </row>
    <row r="976" ht="15.75" customHeight="1">
      <c r="A976" s="2"/>
      <c r="B976" s="2"/>
      <c r="C976" s="2"/>
      <c r="D976" s="2"/>
      <c r="E976" s="2"/>
      <c r="F976" s="2"/>
      <c r="G976" s="2"/>
      <c r="H976" s="2"/>
      <c r="I976" s="2"/>
      <c r="J976" s="2"/>
      <c r="K976" s="2"/>
      <c r="P976" s="2"/>
      <c r="Q976" s="2"/>
    </row>
    <row r="977" ht="15.75" customHeight="1">
      <c r="A977" s="2"/>
      <c r="B977" s="2"/>
      <c r="C977" s="2"/>
      <c r="D977" s="2"/>
      <c r="E977" s="2"/>
      <c r="F977" s="2"/>
      <c r="G977" s="2"/>
      <c r="H977" s="2"/>
      <c r="I977" s="2"/>
      <c r="J977" s="2"/>
      <c r="K977" s="2"/>
      <c r="P977" s="2"/>
      <c r="Q977" s="2"/>
    </row>
    <row r="978" ht="15.75" customHeight="1">
      <c r="A978" s="2"/>
      <c r="B978" s="2"/>
      <c r="C978" s="2"/>
      <c r="D978" s="2"/>
      <c r="E978" s="2"/>
      <c r="F978" s="2"/>
      <c r="G978" s="2"/>
      <c r="H978" s="2"/>
      <c r="I978" s="2"/>
      <c r="J978" s="2"/>
      <c r="K978" s="2"/>
      <c r="P978" s="2"/>
      <c r="Q978" s="2"/>
    </row>
    <row r="979" ht="15.75" customHeight="1">
      <c r="A979" s="2"/>
      <c r="B979" s="2"/>
      <c r="C979" s="2"/>
      <c r="D979" s="2"/>
      <c r="E979" s="2"/>
      <c r="F979" s="2"/>
      <c r="G979" s="2"/>
      <c r="H979" s="2"/>
      <c r="I979" s="2"/>
      <c r="J979" s="2"/>
      <c r="K979" s="2"/>
      <c r="P979" s="2"/>
      <c r="Q979" s="2"/>
    </row>
    <row r="980" ht="15.75" customHeight="1">
      <c r="A980" s="2"/>
      <c r="B980" s="2"/>
      <c r="C980" s="2"/>
      <c r="D980" s="2"/>
      <c r="E980" s="2"/>
      <c r="F980" s="2"/>
      <c r="G980" s="2"/>
      <c r="H980" s="2"/>
      <c r="I980" s="2"/>
      <c r="J980" s="2"/>
      <c r="K980" s="2"/>
      <c r="P980" s="2"/>
      <c r="Q980" s="2"/>
    </row>
    <row r="981" ht="15.75" customHeight="1">
      <c r="A981" s="2"/>
      <c r="B981" s="2"/>
      <c r="C981" s="2"/>
      <c r="D981" s="2"/>
      <c r="E981" s="2"/>
      <c r="F981" s="2"/>
      <c r="G981" s="2"/>
      <c r="H981" s="2"/>
      <c r="I981" s="2"/>
      <c r="J981" s="2"/>
      <c r="K981" s="2"/>
      <c r="P981" s="2"/>
      <c r="Q981" s="2"/>
    </row>
    <row r="982" ht="15.75" customHeight="1">
      <c r="A982" s="2"/>
      <c r="B982" s="2"/>
      <c r="C982" s="2"/>
      <c r="D982" s="2"/>
      <c r="E982" s="2"/>
      <c r="F982" s="2"/>
      <c r="G982" s="2"/>
      <c r="H982" s="2"/>
      <c r="I982" s="2"/>
      <c r="J982" s="2"/>
      <c r="K982" s="2"/>
      <c r="P982" s="2"/>
      <c r="Q982" s="2"/>
    </row>
    <row r="983" ht="15.75" customHeight="1">
      <c r="A983" s="2"/>
      <c r="B983" s="2"/>
      <c r="C983" s="2"/>
      <c r="D983" s="2"/>
      <c r="E983" s="2"/>
      <c r="F983" s="2"/>
      <c r="G983" s="2"/>
      <c r="H983" s="2"/>
      <c r="I983" s="2"/>
      <c r="J983" s="2"/>
      <c r="K983" s="2"/>
      <c r="P983" s="2"/>
      <c r="Q983" s="2"/>
    </row>
    <row r="984" ht="15.75" customHeight="1">
      <c r="A984" s="2"/>
      <c r="B984" s="2"/>
      <c r="C984" s="2"/>
      <c r="D984" s="2"/>
      <c r="E984" s="2"/>
      <c r="F984" s="2"/>
      <c r="G984" s="2"/>
      <c r="H984" s="2"/>
      <c r="I984" s="2"/>
      <c r="J984" s="2"/>
      <c r="K984" s="2"/>
      <c r="P984" s="2"/>
      <c r="Q984" s="2"/>
    </row>
    <row r="985" ht="15.75" customHeight="1">
      <c r="A985" s="2"/>
      <c r="B985" s="2"/>
      <c r="C985" s="2"/>
      <c r="D985" s="2"/>
      <c r="E985" s="2"/>
      <c r="F985" s="2"/>
      <c r="G985" s="2"/>
      <c r="H985" s="2"/>
      <c r="I985" s="2"/>
      <c r="J985" s="2"/>
      <c r="K985" s="2"/>
      <c r="P985" s="2"/>
      <c r="Q985" s="2"/>
    </row>
    <row r="986" ht="15.75" customHeight="1">
      <c r="A986" s="2"/>
      <c r="B986" s="2"/>
      <c r="C986" s="2"/>
      <c r="D986" s="2"/>
      <c r="E986" s="2"/>
      <c r="F986" s="2"/>
      <c r="G986" s="2"/>
      <c r="H986" s="2"/>
      <c r="I986" s="2"/>
      <c r="J986" s="2"/>
      <c r="K986" s="2"/>
      <c r="P986" s="2"/>
      <c r="Q986" s="2"/>
    </row>
    <row r="987" ht="15.75" customHeight="1">
      <c r="A987" s="2"/>
      <c r="B987" s="2"/>
      <c r="C987" s="2"/>
      <c r="D987" s="2"/>
      <c r="E987" s="2"/>
      <c r="F987" s="2"/>
      <c r="G987" s="2"/>
      <c r="H987" s="2"/>
      <c r="I987" s="2"/>
      <c r="J987" s="2"/>
      <c r="K987" s="2"/>
      <c r="P987" s="2"/>
      <c r="Q987" s="2"/>
    </row>
    <row r="988" ht="15.75" customHeight="1">
      <c r="A988" s="2"/>
      <c r="B988" s="2"/>
      <c r="C988" s="2"/>
      <c r="D988" s="2"/>
      <c r="E988" s="2"/>
      <c r="F988" s="2"/>
      <c r="G988" s="2"/>
      <c r="H988" s="2"/>
      <c r="I988" s="2"/>
      <c r="J988" s="2"/>
      <c r="K988" s="2"/>
      <c r="P988" s="2"/>
      <c r="Q988" s="2"/>
    </row>
    <row r="989" ht="15.75" customHeight="1">
      <c r="A989" s="2"/>
      <c r="B989" s="2"/>
      <c r="C989" s="2"/>
      <c r="D989" s="2"/>
      <c r="E989" s="2"/>
      <c r="F989" s="2"/>
      <c r="G989" s="2"/>
      <c r="H989" s="2"/>
      <c r="I989" s="2"/>
      <c r="J989" s="2"/>
      <c r="K989" s="2"/>
      <c r="P989" s="2"/>
      <c r="Q989" s="2"/>
    </row>
    <row r="990" ht="15.75" customHeight="1">
      <c r="A990" s="2"/>
      <c r="B990" s="2"/>
      <c r="C990" s="2"/>
      <c r="D990" s="2"/>
      <c r="E990" s="2"/>
      <c r="F990" s="2"/>
      <c r="G990" s="2"/>
      <c r="H990" s="2"/>
      <c r="I990" s="2"/>
      <c r="J990" s="2"/>
      <c r="K990" s="2"/>
      <c r="P990" s="2"/>
      <c r="Q990" s="2"/>
    </row>
    <row r="991" ht="15.75" customHeight="1">
      <c r="A991" s="2"/>
      <c r="B991" s="2"/>
      <c r="C991" s="2"/>
      <c r="D991" s="2"/>
      <c r="E991" s="2"/>
      <c r="F991" s="2"/>
      <c r="G991" s="2"/>
      <c r="H991" s="2"/>
      <c r="I991" s="2"/>
      <c r="J991" s="2"/>
      <c r="K991" s="2"/>
      <c r="P991" s="2"/>
      <c r="Q991" s="2"/>
    </row>
    <row r="992" ht="15.75" customHeight="1">
      <c r="A992" s="2"/>
      <c r="B992" s="2"/>
      <c r="C992" s="2"/>
      <c r="D992" s="2"/>
      <c r="E992" s="2"/>
      <c r="F992" s="2"/>
      <c r="G992" s="2"/>
      <c r="H992" s="2"/>
      <c r="I992" s="2"/>
      <c r="J992" s="2"/>
      <c r="K992" s="2"/>
      <c r="P992" s="2"/>
      <c r="Q992" s="2"/>
    </row>
    <row r="993" ht="15.75" customHeight="1">
      <c r="A993" s="2"/>
      <c r="B993" s="2"/>
      <c r="C993" s="2"/>
      <c r="D993" s="2"/>
      <c r="E993" s="2"/>
      <c r="F993" s="2"/>
      <c r="G993" s="2"/>
      <c r="H993" s="2"/>
      <c r="I993" s="2"/>
      <c r="J993" s="2"/>
      <c r="K993" s="2"/>
      <c r="P993" s="2"/>
      <c r="Q993" s="2"/>
    </row>
    <row r="994" ht="15.75" customHeight="1">
      <c r="A994" s="2"/>
      <c r="B994" s="2"/>
      <c r="C994" s="2"/>
      <c r="D994" s="2"/>
      <c r="E994" s="2"/>
      <c r="F994" s="2"/>
      <c r="G994" s="2"/>
      <c r="H994" s="2"/>
      <c r="I994" s="2"/>
      <c r="J994" s="2"/>
      <c r="K994" s="2"/>
      <c r="P994" s="2"/>
      <c r="Q994" s="2"/>
    </row>
    <row r="995" ht="15.75" customHeight="1">
      <c r="A995" s="2"/>
      <c r="B995" s="2"/>
      <c r="C995" s="2"/>
      <c r="D995" s="2"/>
      <c r="E995" s="2"/>
      <c r="F995" s="2"/>
      <c r="G995" s="2"/>
      <c r="H995" s="2"/>
      <c r="I995" s="2"/>
      <c r="J995" s="2"/>
      <c r="K995" s="2"/>
      <c r="P995" s="2"/>
      <c r="Q995" s="2"/>
    </row>
    <row r="996" ht="15.75" customHeight="1">
      <c r="A996" s="2"/>
      <c r="B996" s="2"/>
      <c r="C996" s="2"/>
      <c r="D996" s="2"/>
      <c r="E996" s="2"/>
      <c r="F996" s="2"/>
      <c r="G996" s="2"/>
      <c r="H996" s="2"/>
      <c r="I996" s="2"/>
      <c r="J996" s="2"/>
      <c r="K996" s="2"/>
      <c r="P996" s="2"/>
      <c r="Q996" s="2"/>
    </row>
    <row r="997" ht="15.75" customHeight="1">
      <c r="A997" s="2"/>
      <c r="B997" s="2"/>
      <c r="C997" s="2"/>
      <c r="D997" s="2"/>
      <c r="E997" s="2"/>
      <c r="F997" s="2"/>
      <c r="G997" s="2"/>
      <c r="H997" s="2"/>
      <c r="I997" s="2"/>
      <c r="J997" s="2"/>
      <c r="K997" s="2"/>
      <c r="P997" s="2"/>
      <c r="Q997" s="2"/>
    </row>
    <row r="998" ht="15.75" customHeight="1">
      <c r="A998" s="2"/>
      <c r="B998" s="2"/>
      <c r="C998" s="2"/>
      <c r="D998" s="2"/>
      <c r="E998" s="2"/>
      <c r="F998" s="2"/>
      <c r="G998" s="2"/>
      <c r="H998" s="2"/>
      <c r="I998" s="2"/>
      <c r="J998" s="2"/>
      <c r="K998" s="2"/>
      <c r="P998" s="2"/>
      <c r="Q998" s="2"/>
    </row>
    <row r="999" ht="15.75" customHeight="1">
      <c r="A999" s="2"/>
      <c r="B999" s="2"/>
      <c r="C999" s="2"/>
      <c r="D999" s="2"/>
      <c r="E999" s="2"/>
      <c r="F999" s="2"/>
      <c r="G999" s="2"/>
      <c r="H999" s="2"/>
      <c r="I999" s="2"/>
      <c r="J999" s="2"/>
      <c r="K999" s="2"/>
      <c r="P999" s="2"/>
      <c r="Q999" s="2"/>
    </row>
    <row r="1000" ht="15.75" customHeight="1">
      <c r="A1000" s="2"/>
      <c r="B1000" s="2"/>
      <c r="C1000" s="2"/>
      <c r="D1000" s="2"/>
      <c r="E1000" s="2"/>
      <c r="F1000" s="2"/>
      <c r="G1000" s="2"/>
      <c r="H1000" s="2"/>
      <c r="I1000" s="2"/>
      <c r="J1000" s="2"/>
      <c r="K1000" s="2"/>
      <c r="P1000" s="2"/>
      <c r="Q1000" s="2"/>
    </row>
  </sheetData>
  <mergeCells count="1">
    <mergeCell ref="A30:K33"/>
  </mergeCells>
  <printOptions/>
  <pageMargins bottom="1.0" footer="0.0" header="0.0" left="0.75" right="0.75" top="1.0"/>
  <pageSetup orientation="landscape"/>
  <drawing r:id="rId1"/>
</worksheet>
</file>